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235"/>
  </bookViews>
  <sheets>
    <sheet name="Summary - Cost - PG 1 (Reg)" sheetId="1" r:id="rId1"/>
    <sheet name="Summary - Reserve - PG 2 (Reg)" sheetId="2" r:id="rId2"/>
    <sheet name="RWIP BY ACCOUNT - PG 2A (Reg)" sheetId="3" r:id="rId3"/>
    <sheet name="Cash Flow Summary - PG 2B REG" sheetId="4" r:id="rId4"/>
    <sheet name="Transfer Detail PG 3 (Reg)" sheetId="5" r:id="rId5"/>
    <sheet name="Land &amp; Vehicle Retire P3A(Reg)" sheetId="6" r:id="rId6"/>
    <sheet name="CWIP Spend by Project P3B (Reg)" sheetId="7" r:id="rId7"/>
    <sheet name="Recon Depr Exp to IS P4 (Reg)" sheetId="8" r:id="rId8"/>
    <sheet name="Total Comm PIS_NBV-P5 (Reg)" sheetId="9" r:id="rId9"/>
    <sheet name="Tot Com PIS_COST SPLIT-P6 (Reg)" sheetId="10" r:id="rId10"/>
    <sheet name="KY_Total Comm PIS_NBV-P7 (Reg)" sheetId="11" r:id="rId11"/>
    <sheet name="KY_Cost Plant Acct-Comm-P8(Reg)" sheetId="12" r:id="rId12"/>
    <sheet name="IN_Total PIS_Comm_NBV-P9 (Reg)" sheetId="13" r:id="rId13"/>
    <sheet name="IN_Cost Plant Acct-Com-P10(Reg)" sheetId="14" r:id="rId14"/>
    <sheet name="Total Elec PIS_NBV-P11 (Reg)" sheetId="15" r:id="rId15"/>
    <sheet name="Tot Elec PIS Cost Split-P12(Reg" sheetId="16" r:id="rId16"/>
    <sheet name="KY_Total Elec PIS_NBV-P13 (Reg)" sheetId="17" r:id="rId17"/>
    <sheet name="KY_Cost Plant Acct-Elec-P14(Reg" sheetId="18" r:id="rId18"/>
    <sheet name="IN_Total PIS_Elec_NBV-P15 (Reg)" sheetId="19" r:id="rId19"/>
    <sheet name="IN_Cost Plant Acct-Elec-P16(Reg" sheetId="20" r:id="rId20"/>
    <sheet name="Total Gas PIS_NBV-P17 (Reg)" sheetId="21" r:id="rId21"/>
    <sheet name="Tot Gas PIS COST SPLIT-P18(Reg)" sheetId="22" r:id="rId22"/>
    <sheet name="KY_Total Gas PIS_NBV-P19(Reg)" sheetId="23" r:id="rId23"/>
    <sheet name="KY_Cost Plant Acct-Gas-P20(REG)" sheetId="24" r:id="rId24"/>
    <sheet name="IN_Total PIS_Gas_NBV-P21(Reg)" sheetId="25" r:id="rId25"/>
    <sheet name="IN_Cost Plant Acct-Gas-P22(Reg)" sheetId="26" r:id="rId26"/>
    <sheet name="Gas Stored NonRecov-KY P23(Reg)" sheetId="27" r:id="rId27"/>
    <sheet name="Gas Stored NonRecov-IN P24(Reg)" sheetId="28" r:id="rId28"/>
    <sheet name="Capital Leased Prop P25 (Reg)" sheetId="29" r:id="rId29"/>
    <sheet name="Plant Held Future Use P26 (Reg)" sheetId="30" r:id="rId30"/>
    <sheet name="Non Utility Property P27 (Reg)" sheetId="31" r:id="rId31"/>
    <sheet name="Plant Purch &amp; Sold P28 (Reg)" sheetId="32" r:id="rId32"/>
    <sheet name="KY_Res by Plant Acct-P29 (Reg)" sheetId="33" r:id="rId33"/>
    <sheet name="IN_Res by Plant Acct-P30 (Reg)" sheetId="34" r:id="rId34"/>
    <sheet name="Depr Study Summary Pg2" sheetId="35" r:id="rId35"/>
    <sheet name="Res by Plant Acct- Depr Study" sheetId="36" r:id="rId3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4" i="36" l="1"/>
  <c r="B524" i="36"/>
  <c r="J523" i="36"/>
  <c r="B523" i="36"/>
  <c r="J522" i="36"/>
  <c r="B522" i="36"/>
  <c r="J521" i="36"/>
  <c r="B521" i="36"/>
  <c r="J520" i="36"/>
  <c r="B520" i="36"/>
  <c r="J512" i="36"/>
  <c r="B512" i="36"/>
  <c r="J511" i="36"/>
  <c r="B511" i="36"/>
  <c r="J510" i="36"/>
  <c r="B510" i="36"/>
  <c r="J509" i="36"/>
  <c r="B509" i="36"/>
  <c r="J508" i="36"/>
  <c r="B508" i="36"/>
  <c r="B513" i="36" s="1"/>
  <c r="J504" i="36"/>
  <c r="B504" i="36"/>
  <c r="J503" i="36"/>
  <c r="B503" i="36"/>
  <c r="J502" i="36"/>
  <c r="B502" i="36"/>
  <c r="J501" i="36"/>
  <c r="B501" i="36"/>
  <c r="J500" i="36"/>
  <c r="B500" i="36"/>
  <c r="J499" i="36"/>
  <c r="B499" i="36"/>
  <c r="J498" i="36"/>
  <c r="B498" i="36"/>
  <c r="J497" i="36"/>
  <c r="B497" i="36"/>
  <c r="J496" i="36"/>
  <c r="B496" i="36"/>
  <c r="J495" i="36"/>
  <c r="B495" i="36"/>
  <c r="J494" i="36"/>
  <c r="B494" i="36"/>
  <c r="J493" i="36"/>
  <c r="B493" i="36"/>
  <c r="J492" i="36"/>
  <c r="B492" i="36"/>
  <c r="J491" i="36"/>
  <c r="B491" i="36"/>
  <c r="J490" i="36"/>
  <c r="B490" i="36"/>
  <c r="J489" i="36"/>
  <c r="B489" i="36"/>
  <c r="J488" i="36"/>
  <c r="B488" i="36"/>
  <c r="J487" i="36"/>
  <c r="B487" i="36"/>
  <c r="J486" i="36"/>
  <c r="B486" i="36"/>
  <c r="J485" i="36"/>
  <c r="B485" i="36"/>
  <c r="J484" i="36"/>
  <c r="B484" i="36"/>
  <c r="J483" i="36"/>
  <c r="B483" i="36"/>
  <c r="J482" i="36"/>
  <c r="B482" i="36"/>
  <c r="J481" i="36"/>
  <c r="B481" i="36"/>
  <c r="J480" i="36"/>
  <c r="G480" i="36"/>
  <c r="B480" i="36"/>
  <c r="J479" i="36"/>
  <c r="G479" i="36"/>
  <c r="B479" i="36"/>
  <c r="J478" i="36"/>
  <c r="G478" i="36"/>
  <c r="B478" i="36"/>
  <c r="J477" i="36"/>
  <c r="B477" i="36"/>
  <c r="J476" i="36"/>
  <c r="J505" i="36" s="1"/>
  <c r="B476" i="36"/>
  <c r="J468" i="36"/>
  <c r="J469" i="36" s="1"/>
  <c r="J472" i="36" s="1"/>
  <c r="B468" i="36"/>
  <c r="B469" i="36" s="1"/>
  <c r="B472" i="36" s="1"/>
  <c r="J461" i="36"/>
  <c r="J460" i="36"/>
  <c r="B460" i="36"/>
  <c r="J459" i="36"/>
  <c r="B459" i="36"/>
  <c r="J458" i="36"/>
  <c r="B458" i="36"/>
  <c r="J454" i="36"/>
  <c r="B454" i="36"/>
  <c r="J453" i="36"/>
  <c r="B453" i="36"/>
  <c r="J452" i="36"/>
  <c r="B452" i="36"/>
  <c r="J451" i="36"/>
  <c r="B451" i="36"/>
  <c r="J450" i="36"/>
  <c r="B450" i="36"/>
  <c r="J449" i="36"/>
  <c r="B449" i="36"/>
  <c r="J448" i="36"/>
  <c r="B448" i="36"/>
  <c r="J447" i="36"/>
  <c r="B447" i="36"/>
  <c r="J446" i="36"/>
  <c r="B446" i="36"/>
  <c r="J445" i="36"/>
  <c r="B445" i="36"/>
  <c r="J444" i="36"/>
  <c r="B444" i="36"/>
  <c r="J443" i="36"/>
  <c r="B443" i="36"/>
  <c r="J442" i="36"/>
  <c r="B442" i="36"/>
  <c r="J441" i="36"/>
  <c r="B441" i="36"/>
  <c r="J440" i="36"/>
  <c r="B440" i="36"/>
  <c r="J439" i="36"/>
  <c r="B439" i="36"/>
  <c r="J438" i="36"/>
  <c r="B438" i="36"/>
  <c r="J437" i="36"/>
  <c r="B437" i="36"/>
  <c r="J432" i="36"/>
  <c r="B432" i="36"/>
  <c r="J431" i="36"/>
  <c r="B431" i="36"/>
  <c r="J430" i="36"/>
  <c r="B430" i="36"/>
  <c r="J429" i="36"/>
  <c r="B429" i="36"/>
  <c r="J428" i="36"/>
  <c r="B428" i="36"/>
  <c r="J427" i="36"/>
  <c r="B427" i="36"/>
  <c r="J426" i="36"/>
  <c r="B426" i="36"/>
  <c r="J425" i="36"/>
  <c r="B425" i="36"/>
  <c r="J421" i="36"/>
  <c r="B421" i="36"/>
  <c r="J420" i="36"/>
  <c r="B420" i="36"/>
  <c r="J419" i="36"/>
  <c r="B419" i="36"/>
  <c r="J418" i="36"/>
  <c r="B418" i="36"/>
  <c r="J417" i="36"/>
  <c r="B417" i="36"/>
  <c r="J416" i="36"/>
  <c r="B416" i="36"/>
  <c r="J415" i="36"/>
  <c r="B415" i="36"/>
  <c r="J414" i="36"/>
  <c r="B414" i="36"/>
  <c r="J413" i="36"/>
  <c r="B413" i="36"/>
  <c r="J412" i="36"/>
  <c r="B412" i="36"/>
  <c r="J411" i="36"/>
  <c r="B411" i="36"/>
  <c r="K410" i="36"/>
  <c r="J410" i="36"/>
  <c r="B410" i="36"/>
  <c r="J409" i="36"/>
  <c r="B409" i="36"/>
  <c r="J408" i="36"/>
  <c r="B408" i="36"/>
  <c r="J407" i="36"/>
  <c r="B407" i="36"/>
  <c r="J406" i="36"/>
  <c r="B406" i="36"/>
  <c r="J405" i="36"/>
  <c r="B405" i="36"/>
  <c r="J404" i="36"/>
  <c r="B404" i="36"/>
  <c r="J395" i="36"/>
  <c r="B395" i="36"/>
  <c r="J394" i="36"/>
  <c r="B394" i="36"/>
  <c r="B396" i="36" s="1"/>
  <c r="B398" i="36" s="1"/>
  <c r="J386" i="36"/>
  <c r="B386" i="36"/>
  <c r="J385" i="36"/>
  <c r="B385" i="36"/>
  <c r="J384" i="36"/>
  <c r="B384" i="36"/>
  <c r="J383" i="36"/>
  <c r="B383" i="36"/>
  <c r="J382" i="36"/>
  <c r="B382" i="36"/>
  <c r="J381" i="36"/>
  <c r="B381" i="36"/>
  <c r="J380" i="36"/>
  <c r="B380" i="36"/>
  <c r="O379" i="36"/>
  <c r="M379" i="36"/>
  <c r="K379" i="36"/>
  <c r="J379" i="36"/>
  <c r="I379" i="36"/>
  <c r="G379" i="36"/>
  <c r="E379" i="36"/>
  <c r="C379" i="36"/>
  <c r="B379" i="36"/>
  <c r="J378" i="36"/>
  <c r="B378" i="36"/>
  <c r="J377" i="36"/>
  <c r="B377" i="36"/>
  <c r="J376" i="36"/>
  <c r="B376" i="36"/>
  <c r="J375" i="36"/>
  <c r="B375" i="36"/>
  <c r="J374" i="36"/>
  <c r="B374" i="36"/>
  <c r="J373" i="36"/>
  <c r="B373" i="36"/>
  <c r="J372" i="36"/>
  <c r="B372" i="36"/>
  <c r="J371" i="36"/>
  <c r="B371" i="36"/>
  <c r="J370" i="36"/>
  <c r="B370" i="36"/>
  <c r="J369" i="36"/>
  <c r="B369" i="36"/>
  <c r="J368" i="36"/>
  <c r="B368" i="36"/>
  <c r="J364" i="36"/>
  <c r="B364" i="36"/>
  <c r="J363" i="36"/>
  <c r="B363" i="36"/>
  <c r="J361" i="36"/>
  <c r="B361" i="36"/>
  <c r="J360" i="36"/>
  <c r="B360" i="36"/>
  <c r="J359" i="36"/>
  <c r="B359" i="36"/>
  <c r="J358" i="36"/>
  <c r="B358" i="36"/>
  <c r="J357" i="36"/>
  <c r="B357" i="36"/>
  <c r="J356" i="36"/>
  <c r="B356" i="36"/>
  <c r="J355" i="36"/>
  <c r="B355" i="36"/>
  <c r="J354" i="36"/>
  <c r="B354" i="36"/>
  <c r="J353" i="36"/>
  <c r="B353" i="36"/>
  <c r="J352" i="36"/>
  <c r="B352" i="36"/>
  <c r="J351" i="36"/>
  <c r="B351" i="36"/>
  <c r="J350" i="36"/>
  <c r="B350" i="36"/>
  <c r="J349" i="36"/>
  <c r="B349" i="36"/>
  <c r="J348" i="36"/>
  <c r="B348" i="36"/>
  <c r="J347" i="36"/>
  <c r="B347" i="36"/>
  <c r="J346" i="36"/>
  <c r="B346" i="36"/>
  <c r="J345" i="36"/>
  <c r="B345" i="36"/>
  <c r="J344" i="36"/>
  <c r="B344" i="36"/>
  <c r="J343" i="36"/>
  <c r="B343" i="36"/>
  <c r="J342" i="36"/>
  <c r="B342" i="36"/>
  <c r="J340" i="36"/>
  <c r="B340" i="36"/>
  <c r="J339" i="36"/>
  <c r="B339" i="36"/>
  <c r="J338" i="36"/>
  <c r="B338" i="36"/>
  <c r="J337" i="36"/>
  <c r="B337" i="36"/>
  <c r="J336" i="36"/>
  <c r="B336" i="36"/>
  <c r="J335" i="36"/>
  <c r="B335" i="36"/>
  <c r="J334" i="36"/>
  <c r="B334" i="36"/>
  <c r="J333" i="36"/>
  <c r="B333" i="36"/>
  <c r="J331" i="36"/>
  <c r="B331" i="36"/>
  <c r="J330" i="36"/>
  <c r="B330" i="36"/>
  <c r="P329" i="36"/>
  <c r="O329" i="36"/>
  <c r="M329" i="36"/>
  <c r="K329" i="36"/>
  <c r="J329" i="36"/>
  <c r="I329" i="36"/>
  <c r="G329" i="36"/>
  <c r="B329" i="36"/>
  <c r="O328" i="36"/>
  <c r="M328" i="36"/>
  <c r="K328" i="36"/>
  <c r="J328" i="36"/>
  <c r="I328" i="36"/>
  <c r="G328" i="36"/>
  <c r="E328" i="36"/>
  <c r="C328" i="36"/>
  <c r="B328" i="36"/>
  <c r="J327" i="36"/>
  <c r="B327" i="36"/>
  <c r="J326" i="36"/>
  <c r="B326" i="36"/>
  <c r="J325" i="36"/>
  <c r="B325" i="36"/>
  <c r="J324" i="36"/>
  <c r="B324" i="36"/>
  <c r="J323" i="36"/>
  <c r="B323" i="36"/>
  <c r="J322" i="36"/>
  <c r="B322" i="36"/>
  <c r="J321" i="36"/>
  <c r="B321" i="36"/>
  <c r="J320" i="36"/>
  <c r="B320" i="36"/>
  <c r="J319" i="36"/>
  <c r="B319" i="36"/>
  <c r="J318" i="36"/>
  <c r="B318" i="36"/>
  <c r="J317" i="36"/>
  <c r="B317" i="36"/>
  <c r="J316" i="36"/>
  <c r="B316" i="36"/>
  <c r="J315" i="36"/>
  <c r="B315" i="36"/>
  <c r="J314" i="36"/>
  <c r="B314" i="36"/>
  <c r="J313" i="36"/>
  <c r="B313" i="36"/>
  <c r="J312" i="36"/>
  <c r="B312" i="36"/>
  <c r="J311" i="36"/>
  <c r="B311" i="36"/>
  <c r="J310" i="36"/>
  <c r="B310" i="36"/>
  <c r="J309" i="36"/>
  <c r="B309" i="36"/>
  <c r="J308" i="36"/>
  <c r="B308" i="36"/>
  <c r="J307" i="36"/>
  <c r="B307" i="36"/>
  <c r="J306" i="36"/>
  <c r="B306" i="36"/>
  <c r="J305" i="36"/>
  <c r="B305" i="36"/>
  <c r="J304" i="36"/>
  <c r="B304" i="36"/>
  <c r="J303" i="36"/>
  <c r="B303" i="36"/>
  <c r="J302" i="36"/>
  <c r="B302" i="36"/>
  <c r="J300" i="36"/>
  <c r="B300" i="36"/>
  <c r="J299" i="36"/>
  <c r="B299" i="36"/>
  <c r="J298" i="36"/>
  <c r="B298" i="36"/>
  <c r="J297" i="36"/>
  <c r="B297" i="36"/>
  <c r="J296" i="36"/>
  <c r="B296" i="36"/>
  <c r="J295" i="36"/>
  <c r="B295" i="36"/>
  <c r="J294" i="36"/>
  <c r="B294" i="36"/>
  <c r="J293" i="36"/>
  <c r="B293" i="36"/>
  <c r="J292" i="36"/>
  <c r="B292" i="36"/>
  <c r="J291" i="36"/>
  <c r="B291" i="36"/>
  <c r="J290" i="36"/>
  <c r="B290" i="36"/>
  <c r="J289" i="36"/>
  <c r="B289" i="36"/>
  <c r="J288" i="36"/>
  <c r="B288" i="36"/>
  <c r="J286" i="36"/>
  <c r="B286" i="36"/>
  <c r="J285" i="36"/>
  <c r="B285" i="36"/>
  <c r="B287" i="36" s="1"/>
  <c r="J283" i="36"/>
  <c r="B283" i="36"/>
  <c r="J282" i="36"/>
  <c r="B282" i="36"/>
  <c r="J281" i="36"/>
  <c r="B281" i="36"/>
  <c r="J280" i="36"/>
  <c r="B280" i="36"/>
  <c r="J279" i="36"/>
  <c r="B279" i="36"/>
  <c r="J278" i="36"/>
  <c r="B278" i="36"/>
  <c r="J277" i="36"/>
  <c r="B277" i="36"/>
  <c r="Q276" i="36"/>
  <c r="O276" i="36"/>
  <c r="M276" i="36"/>
  <c r="K276" i="36"/>
  <c r="J276" i="36"/>
  <c r="I276" i="36"/>
  <c r="G276" i="36"/>
  <c r="E276" i="36"/>
  <c r="C276" i="36"/>
  <c r="B276" i="36"/>
  <c r="Q275" i="36"/>
  <c r="O275" i="36"/>
  <c r="M275" i="36"/>
  <c r="K275" i="36"/>
  <c r="K284" i="36" s="1"/>
  <c r="J275" i="36"/>
  <c r="I275" i="36"/>
  <c r="G275" i="36"/>
  <c r="E275" i="36"/>
  <c r="C275" i="36"/>
  <c r="B275" i="36"/>
  <c r="J274" i="36"/>
  <c r="B274" i="36"/>
  <c r="J273" i="36"/>
  <c r="B273" i="36"/>
  <c r="J272" i="36"/>
  <c r="B272" i="36"/>
  <c r="J271" i="36"/>
  <c r="B271" i="36"/>
  <c r="J270" i="36"/>
  <c r="B270" i="36"/>
  <c r="J269" i="36"/>
  <c r="B269" i="36"/>
  <c r="J268" i="36"/>
  <c r="B268" i="36"/>
  <c r="J267" i="36"/>
  <c r="B267" i="36"/>
  <c r="J266" i="36"/>
  <c r="B266" i="36"/>
  <c r="J265" i="36"/>
  <c r="B265" i="36"/>
  <c r="J264" i="36"/>
  <c r="B264" i="36"/>
  <c r="P263" i="36"/>
  <c r="L263" i="36"/>
  <c r="J263" i="36"/>
  <c r="B263" i="36"/>
  <c r="J262" i="36"/>
  <c r="B262" i="36"/>
  <c r="J261" i="36"/>
  <c r="J260" i="36"/>
  <c r="B260" i="36"/>
  <c r="J259" i="36"/>
  <c r="B259" i="36"/>
  <c r="P258" i="36"/>
  <c r="L258" i="36"/>
  <c r="J258" i="36"/>
  <c r="E258" i="36"/>
  <c r="B258" i="36"/>
  <c r="J257" i="36"/>
  <c r="B257" i="36"/>
  <c r="J256" i="36"/>
  <c r="B256" i="36"/>
  <c r="J255" i="36"/>
  <c r="B255" i="36"/>
  <c r="J254" i="36"/>
  <c r="B254" i="36"/>
  <c r="J253" i="36"/>
  <c r="B253" i="36"/>
  <c r="J252" i="36"/>
  <c r="B252" i="36"/>
  <c r="J251" i="36"/>
  <c r="B251" i="36"/>
  <c r="J250" i="36"/>
  <c r="B250" i="36"/>
  <c r="J249" i="36"/>
  <c r="B249" i="36"/>
  <c r="J248" i="36"/>
  <c r="B248" i="36"/>
  <c r="J247" i="36"/>
  <c r="B247" i="36"/>
  <c r="J246" i="36"/>
  <c r="B246" i="36"/>
  <c r="J245" i="36"/>
  <c r="B245" i="36"/>
  <c r="J244" i="36"/>
  <c r="B244" i="36"/>
  <c r="J243" i="36"/>
  <c r="B243" i="36"/>
  <c r="J242" i="36"/>
  <c r="B242" i="36"/>
  <c r="J241" i="36"/>
  <c r="B241" i="36"/>
  <c r="J240" i="36"/>
  <c r="B240" i="36"/>
  <c r="J239" i="36"/>
  <c r="B239" i="36"/>
  <c r="J238" i="36"/>
  <c r="B238" i="36"/>
  <c r="J237" i="36"/>
  <c r="B237" i="36"/>
  <c r="J236" i="36"/>
  <c r="B236" i="36"/>
  <c r="J235" i="36"/>
  <c r="B235" i="36"/>
  <c r="J234" i="36"/>
  <c r="B234" i="36"/>
  <c r="J233" i="36"/>
  <c r="B233" i="36"/>
  <c r="J232" i="36"/>
  <c r="B232" i="36"/>
  <c r="J231" i="36"/>
  <c r="B231" i="36"/>
  <c r="J230" i="36"/>
  <c r="B230" i="36"/>
  <c r="J229" i="36"/>
  <c r="B229" i="36"/>
  <c r="J228" i="36"/>
  <c r="B228" i="36"/>
  <c r="J227" i="36"/>
  <c r="B227" i="36"/>
  <c r="J226" i="36"/>
  <c r="B226" i="36"/>
  <c r="J225" i="36"/>
  <c r="B225" i="36"/>
  <c r="J224" i="36"/>
  <c r="B224" i="36"/>
  <c r="J223" i="36"/>
  <c r="B223" i="36"/>
  <c r="J221" i="36"/>
  <c r="B221" i="36"/>
  <c r="J220" i="36"/>
  <c r="B220" i="36"/>
  <c r="J219" i="36"/>
  <c r="B219" i="36"/>
  <c r="J217" i="36"/>
  <c r="B217" i="36"/>
  <c r="J216" i="36"/>
  <c r="B216" i="36"/>
  <c r="J215" i="36"/>
  <c r="B215" i="36"/>
  <c r="J214" i="36"/>
  <c r="B214" i="36"/>
  <c r="J213" i="36"/>
  <c r="B213" i="36"/>
  <c r="J212" i="36"/>
  <c r="B212" i="36"/>
  <c r="J211" i="36"/>
  <c r="B211" i="36"/>
  <c r="J210" i="36"/>
  <c r="B210" i="36"/>
  <c r="J208" i="36"/>
  <c r="B208" i="36"/>
  <c r="J207" i="36"/>
  <c r="B207" i="36"/>
  <c r="J206" i="36"/>
  <c r="B206" i="36"/>
  <c r="J205" i="36"/>
  <c r="B205" i="36"/>
  <c r="J204" i="36"/>
  <c r="B204" i="36"/>
  <c r="J203" i="36"/>
  <c r="B203" i="36"/>
  <c r="J202" i="36"/>
  <c r="B202" i="36"/>
  <c r="J201" i="36"/>
  <c r="B201" i="36"/>
  <c r="J200" i="36"/>
  <c r="B200" i="36"/>
  <c r="J199" i="36"/>
  <c r="B199" i="36"/>
  <c r="J198" i="36"/>
  <c r="B198" i="36"/>
  <c r="J197" i="36"/>
  <c r="B197" i="36"/>
  <c r="J196" i="36"/>
  <c r="B196" i="36"/>
  <c r="J195" i="36"/>
  <c r="B195" i="36"/>
  <c r="J194" i="36"/>
  <c r="B194" i="36"/>
  <c r="J193" i="36"/>
  <c r="B193" i="36"/>
  <c r="J192" i="36"/>
  <c r="B192" i="36"/>
  <c r="J191" i="36"/>
  <c r="B191" i="36"/>
  <c r="J190" i="36"/>
  <c r="B190" i="36"/>
  <c r="J189" i="36"/>
  <c r="B189" i="36"/>
  <c r="J188" i="36"/>
  <c r="B188" i="36"/>
  <c r="J187" i="36"/>
  <c r="B187" i="36"/>
  <c r="J186" i="36"/>
  <c r="B186" i="36"/>
  <c r="J185" i="36"/>
  <c r="B185" i="36"/>
  <c r="J184" i="36"/>
  <c r="B184" i="36"/>
  <c r="J183" i="36"/>
  <c r="B183" i="36"/>
  <c r="J182" i="36"/>
  <c r="B182" i="36"/>
  <c r="J181" i="36"/>
  <c r="B181" i="36"/>
  <c r="J180" i="36"/>
  <c r="B180" i="36"/>
  <c r="J179" i="36"/>
  <c r="B179" i="36"/>
  <c r="J178" i="36"/>
  <c r="B178" i="36"/>
  <c r="J177" i="36"/>
  <c r="B177" i="36"/>
  <c r="J176" i="36"/>
  <c r="B176" i="36"/>
  <c r="J175" i="36"/>
  <c r="B175" i="36"/>
  <c r="J174" i="36"/>
  <c r="B174" i="36"/>
  <c r="J173" i="36"/>
  <c r="B173" i="36"/>
  <c r="J171" i="36"/>
  <c r="B171" i="36"/>
  <c r="J170" i="36"/>
  <c r="B170" i="36"/>
  <c r="J169" i="36"/>
  <c r="B169" i="36"/>
  <c r="J165" i="36"/>
  <c r="B165" i="36"/>
  <c r="J164" i="36"/>
  <c r="B164" i="36"/>
  <c r="J162" i="36"/>
  <c r="B162" i="36"/>
  <c r="J161" i="36"/>
  <c r="B161" i="36"/>
  <c r="J160" i="36"/>
  <c r="B160" i="36"/>
  <c r="J159" i="36"/>
  <c r="B159" i="36"/>
  <c r="J158" i="36"/>
  <c r="B158" i="36"/>
  <c r="J157" i="36"/>
  <c r="B157" i="36"/>
  <c r="J156" i="36"/>
  <c r="B156" i="36"/>
  <c r="J155" i="36"/>
  <c r="B155" i="36"/>
  <c r="J154" i="36"/>
  <c r="B154" i="36"/>
  <c r="J153" i="36"/>
  <c r="B153" i="36"/>
  <c r="J152" i="36"/>
  <c r="B152" i="36"/>
  <c r="J151" i="36"/>
  <c r="B151" i="36"/>
  <c r="J150" i="36"/>
  <c r="B150" i="36"/>
  <c r="J149" i="36"/>
  <c r="B149" i="36"/>
  <c r="O148" i="36"/>
  <c r="M148" i="36"/>
  <c r="K148" i="36"/>
  <c r="J148" i="36"/>
  <c r="I148" i="36"/>
  <c r="G148" i="36"/>
  <c r="E148" i="36"/>
  <c r="C148" i="36"/>
  <c r="B148" i="36"/>
  <c r="J146" i="36"/>
  <c r="B146" i="36"/>
  <c r="J145" i="36"/>
  <c r="B145" i="36"/>
  <c r="J144" i="36"/>
  <c r="B144" i="36"/>
  <c r="J143" i="36"/>
  <c r="B143" i="36"/>
  <c r="J142" i="36"/>
  <c r="B142" i="36"/>
  <c r="J141" i="36"/>
  <c r="B141" i="36"/>
  <c r="J140" i="36"/>
  <c r="B140" i="36"/>
  <c r="J139" i="36"/>
  <c r="B139" i="36"/>
  <c r="J138" i="36"/>
  <c r="B138" i="36"/>
  <c r="J137" i="36"/>
  <c r="B137" i="36"/>
  <c r="J136" i="36"/>
  <c r="B136" i="36"/>
  <c r="J135" i="36"/>
  <c r="B135" i="36"/>
  <c r="J134" i="36"/>
  <c r="B134" i="36"/>
  <c r="J133" i="36"/>
  <c r="B133" i="36"/>
  <c r="J132" i="36"/>
  <c r="B132" i="36"/>
  <c r="O131" i="36"/>
  <c r="M131" i="36"/>
  <c r="K131" i="36"/>
  <c r="J131" i="36"/>
  <c r="I131" i="36"/>
  <c r="G131" i="36"/>
  <c r="E131" i="36"/>
  <c r="C131" i="36"/>
  <c r="B131" i="36"/>
  <c r="J130" i="36"/>
  <c r="B130" i="36"/>
  <c r="J128" i="36"/>
  <c r="B128" i="36"/>
  <c r="J127" i="36"/>
  <c r="B127" i="36"/>
  <c r="J126" i="36"/>
  <c r="B126" i="36"/>
  <c r="J125" i="36"/>
  <c r="B125" i="36"/>
  <c r="J124" i="36"/>
  <c r="B124" i="36"/>
  <c r="J123" i="36"/>
  <c r="B123" i="36"/>
  <c r="J122" i="36"/>
  <c r="B122" i="36"/>
  <c r="J121" i="36"/>
  <c r="B121" i="36"/>
  <c r="J120" i="36"/>
  <c r="B120" i="36"/>
  <c r="J119" i="36"/>
  <c r="B119" i="36"/>
  <c r="J118" i="36"/>
  <c r="B118" i="36"/>
  <c r="J117" i="36"/>
  <c r="B117" i="36"/>
  <c r="J116" i="36"/>
  <c r="B116" i="36"/>
  <c r="J115" i="36"/>
  <c r="B115" i="36"/>
  <c r="J114" i="36"/>
  <c r="B114" i="36"/>
  <c r="Q113" i="36"/>
  <c r="O113" i="36"/>
  <c r="M113" i="36"/>
  <c r="K113" i="36"/>
  <c r="J113" i="36"/>
  <c r="I113" i="36"/>
  <c r="G113" i="36"/>
  <c r="E113" i="36"/>
  <c r="C113" i="36"/>
  <c r="B113" i="36"/>
  <c r="J112" i="36"/>
  <c r="B112" i="36"/>
  <c r="J110" i="36"/>
  <c r="B110" i="36"/>
  <c r="J109" i="36"/>
  <c r="B109" i="36"/>
  <c r="J108" i="36"/>
  <c r="B108" i="36"/>
  <c r="J107" i="36"/>
  <c r="B107" i="36"/>
  <c r="J106" i="36"/>
  <c r="B106" i="36"/>
  <c r="J105" i="36"/>
  <c r="B105" i="36"/>
  <c r="J104" i="36"/>
  <c r="B104" i="36"/>
  <c r="J103" i="36"/>
  <c r="B103" i="36"/>
  <c r="J102" i="36"/>
  <c r="B102" i="36"/>
  <c r="J101" i="36"/>
  <c r="B101" i="36"/>
  <c r="B111" i="36" s="1"/>
  <c r="J100" i="36"/>
  <c r="B100" i="36"/>
  <c r="O99" i="36"/>
  <c r="O111" i="36" s="1"/>
  <c r="M99" i="36"/>
  <c r="M111" i="36" s="1"/>
  <c r="K99" i="36"/>
  <c r="K111" i="36" s="1"/>
  <c r="J99" i="36"/>
  <c r="I99" i="36"/>
  <c r="I111" i="36" s="1"/>
  <c r="G99" i="36"/>
  <c r="G111" i="36" s="1"/>
  <c r="E99" i="36"/>
  <c r="E111" i="36" s="1"/>
  <c r="C99" i="36"/>
  <c r="B99" i="36"/>
  <c r="J97" i="36"/>
  <c r="B97" i="36"/>
  <c r="J96" i="36"/>
  <c r="B96" i="36"/>
  <c r="J95" i="36"/>
  <c r="B95" i="36"/>
  <c r="J94" i="36"/>
  <c r="B94" i="36"/>
  <c r="J93" i="36"/>
  <c r="B93" i="36"/>
  <c r="J92" i="36"/>
  <c r="B92" i="36"/>
  <c r="J91" i="36"/>
  <c r="B91" i="36"/>
  <c r="J90" i="36"/>
  <c r="B90" i="36"/>
  <c r="J89" i="36"/>
  <c r="B89" i="36"/>
  <c r="J88" i="36"/>
  <c r="B88" i="36"/>
  <c r="J87" i="36"/>
  <c r="B87" i="36"/>
  <c r="J86" i="36"/>
  <c r="B86" i="36"/>
  <c r="J85" i="36"/>
  <c r="B85" i="36"/>
  <c r="J84" i="36"/>
  <c r="B84" i="36"/>
  <c r="J83" i="36"/>
  <c r="B83" i="36"/>
  <c r="J82" i="36"/>
  <c r="B82" i="36"/>
  <c r="O81" i="36"/>
  <c r="M81" i="36"/>
  <c r="K81" i="36"/>
  <c r="J81" i="36"/>
  <c r="I81" i="36"/>
  <c r="G81" i="36"/>
  <c r="E81" i="36"/>
  <c r="C81" i="36"/>
  <c r="B81" i="36"/>
  <c r="O80" i="36"/>
  <c r="M80" i="36"/>
  <c r="K80" i="36"/>
  <c r="J80" i="36"/>
  <c r="I80" i="36"/>
  <c r="G80" i="36"/>
  <c r="E80" i="36"/>
  <c r="C80" i="36"/>
  <c r="B80" i="36"/>
  <c r="J79" i="36"/>
  <c r="B79" i="36"/>
  <c r="J77" i="36"/>
  <c r="B77" i="36"/>
  <c r="J76" i="36"/>
  <c r="B76" i="36"/>
  <c r="J75" i="36"/>
  <c r="B75" i="36"/>
  <c r="J74" i="36"/>
  <c r="B74" i="36"/>
  <c r="J73" i="36"/>
  <c r="B73" i="36"/>
  <c r="J72" i="36"/>
  <c r="B72" i="36"/>
  <c r="J71" i="36"/>
  <c r="B71" i="36"/>
  <c r="J70" i="36"/>
  <c r="B70" i="36"/>
  <c r="J69" i="36"/>
  <c r="B69" i="36"/>
  <c r="J68" i="36"/>
  <c r="B68" i="36"/>
  <c r="J67" i="36"/>
  <c r="B67" i="36"/>
  <c r="J66" i="36"/>
  <c r="B66" i="36"/>
  <c r="J65" i="36"/>
  <c r="B65" i="36"/>
  <c r="J64" i="36"/>
  <c r="B64" i="36"/>
  <c r="O63" i="36"/>
  <c r="M63" i="36"/>
  <c r="K63" i="36"/>
  <c r="J63" i="36"/>
  <c r="I63" i="36"/>
  <c r="G63" i="36"/>
  <c r="E63" i="36"/>
  <c r="B63" i="36"/>
  <c r="J62" i="36"/>
  <c r="B62" i="36"/>
  <c r="J60" i="36"/>
  <c r="B60" i="36"/>
  <c r="J59" i="36"/>
  <c r="B59" i="36"/>
  <c r="J55" i="36"/>
  <c r="B55" i="36"/>
  <c r="J54" i="36"/>
  <c r="B54" i="36"/>
  <c r="J53" i="36"/>
  <c r="B53" i="36"/>
  <c r="J52" i="36"/>
  <c r="B52" i="36"/>
  <c r="J51" i="36"/>
  <c r="B51" i="36"/>
  <c r="J50" i="36"/>
  <c r="B50" i="36"/>
  <c r="J49" i="36"/>
  <c r="B49" i="36"/>
  <c r="J48" i="36"/>
  <c r="B48" i="36"/>
  <c r="J47" i="36"/>
  <c r="B47" i="36"/>
  <c r="J46" i="36"/>
  <c r="B46" i="36"/>
  <c r="J45" i="36"/>
  <c r="B45" i="36"/>
  <c r="J44" i="36"/>
  <c r="B44" i="36"/>
  <c r="J40" i="36"/>
  <c r="B40" i="36"/>
  <c r="J39" i="36"/>
  <c r="B39" i="36"/>
  <c r="J38" i="36"/>
  <c r="B38" i="36"/>
  <c r="J37" i="36"/>
  <c r="B37" i="36"/>
  <c r="J36" i="36"/>
  <c r="B36" i="36"/>
  <c r="J35" i="36"/>
  <c r="B35" i="36"/>
  <c r="J34" i="36"/>
  <c r="B34" i="36"/>
  <c r="J33" i="36"/>
  <c r="B33" i="36"/>
  <c r="J29" i="36"/>
  <c r="B29" i="36"/>
  <c r="J28" i="36"/>
  <c r="B28" i="36"/>
  <c r="J27" i="36"/>
  <c r="B27" i="36"/>
  <c r="J26" i="36"/>
  <c r="B26" i="36"/>
  <c r="J25" i="36"/>
  <c r="B25" i="36"/>
  <c r="O24" i="36"/>
  <c r="M24" i="36"/>
  <c r="K24" i="36"/>
  <c r="J24" i="36"/>
  <c r="I24" i="36"/>
  <c r="G24" i="36"/>
  <c r="E24" i="36"/>
  <c r="B24" i="36"/>
  <c r="O23" i="36"/>
  <c r="M23" i="36"/>
  <c r="K23" i="36"/>
  <c r="J23" i="36"/>
  <c r="I23" i="36"/>
  <c r="G23" i="36"/>
  <c r="E23" i="36"/>
  <c r="B23" i="36"/>
  <c r="J22" i="36"/>
  <c r="B22" i="36"/>
  <c r="J21" i="36"/>
  <c r="B21" i="36"/>
  <c r="J20" i="36"/>
  <c r="B20" i="36"/>
  <c r="J19" i="36"/>
  <c r="B19" i="36"/>
  <c r="J18" i="36"/>
  <c r="B18" i="36"/>
  <c r="J17" i="36"/>
  <c r="B17" i="36"/>
  <c r="J16" i="36"/>
  <c r="B16" i="36"/>
  <c r="J15" i="36"/>
  <c r="B15" i="36"/>
  <c r="J14" i="36"/>
  <c r="B14" i="36"/>
  <c r="J13" i="36"/>
  <c r="B13" i="36"/>
  <c r="J12" i="36"/>
  <c r="B12" i="36"/>
  <c r="J11" i="36"/>
  <c r="B11" i="36"/>
  <c r="J10" i="36"/>
  <c r="B10" i="36"/>
  <c r="M86" i="35"/>
  <c r="K86" i="35"/>
  <c r="C86" i="35"/>
  <c r="M85" i="35"/>
  <c r="K85" i="35"/>
  <c r="C85" i="35"/>
  <c r="M84" i="35"/>
  <c r="M87" i="35" s="1"/>
  <c r="K84" i="35"/>
  <c r="K87" i="35" s="1"/>
  <c r="C84" i="35"/>
  <c r="C87" i="35" s="1"/>
  <c r="I79" i="35"/>
  <c r="S78" i="35"/>
  <c r="I78" i="35"/>
  <c r="G78" i="35"/>
  <c r="E78" i="35"/>
  <c r="C78" i="35"/>
  <c r="I77" i="35"/>
  <c r="G77" i="35"/>
  <c r="E77" i="35"/>
  <c r="C77" i="35"/>
  <c r="C79" i="35" s="1"/>
  <c r="K76" i="35"/>
  <c r="I76" i="35"/>
  <c r="G76" i="35"/>
  <c r="E76" i="35"/>
  <c r="E79" i="35" s="1"/>
  <c r="C76" i="35"/>
  <c r="M66" i="35"/>
  <c r="K66" i="35"/>
  <c r="C66" i="35"/>
  <c r="M65" i="35"/>
  <c r="K65" i="35"/>
  <c r="C65" i="35"/>
  <c r="M64" i="35"/>
  <c r="K64" i="35"/>
  <c r="C64" i="35"/>
  <c r="M63" i="35"/>
  <c r="K63" i="35"/>
  <c r="C63" i="35"/>
  <c r="M62" i="35"/>
  <c r="K62" i="35"/>
  <c r="C62" i="35"/>
  <c r="M61" i="35"/>
  <c r="K61" i="35"/>
  <c r="C61" i="35"/>
  <c r="M60" i="35"/>
  <c r="K60" i="35"/>
  <c r="C60" i="35"/>
  <c r="M59" i="35"/>
  <c r="K59" i="35"/>
  <c r="C59" i="35"/>
  <c r="M58" i="35"/>
  <c r="K58" i="35"/>
  <c r="C58" i="35"/>
  <c r="M57" i="35"/>
  <c r="K57" i="35"/>
  <c r="K67" i="35" s="1"/>
  <c r="C57" i="35"/>
  <c r="M56" i="35"/>
  <c r="K56" i="35"/>
  <c r="C56" i="35"/>
  <c r="M55" i="35"/>
  <c r="K55" i="35"/>
  <c r="C55" i="35"/>
  <c r="C67" i="35" s="1"/>
  <c r="M54" i="35"/>
  <c r="K54" i="35"/>
  <c r="C54" i="35"/>
  <c r="M50" i="35"/>
  <c r="K50" i="35"/>
  <c r="C50" i="35"/>
  <c r="M49" i="35"/>
  <c r="K49" i="35"/>
  <c r="C49" i="35"/>
  <c r="M48" i="35"/>
  <c r="K48" i="35"/>
  <c r="C48" i="35"/>
  <c r="U47" i="35"/>
  <c r="M46" i="35"/>
  <c r="K46" i="35"/>
  <c r="C46" i="35"/>
  <c r="M45" i="35"/>
  <c r="K45" i="35"/>
  <c r="C45" i="35"/>
  <c r="M44" i="35"/>
  <c r="K44" i="35"/>
  <c r="C44" i="35"/>
  <c r="M43" i="35"/>
  <c r="K43" i="35"/>
  <c r="C43" i="35"/>
  <c r="U42" i="35"/>
  <c r="M41" i="35"/>
  <c r="K41" i="35"/>
  <c r="C41" i="35"/>
  <c r="M40" i="35"/>
  <c r="K40" i="35"/>
  <c r="C40" i="35"/>
  <c r="M39" i="35"/>
  <c r="K39" i="35"/>
  <c r="C39" i="35"/>
  <c r="M38" i="35"/>
  <c r="K38" i="35"/>
  <c r="C38" i="35"/>
  <c r="M37" i="35"/>
  <c r="K37" i="35"/>
  <c r="C37" i="35"/>
  <c r="M36" i="35"/>
  <c r="K36" i="35"/>
  <c r="C36" i="35"/>
  <c r="C51" i="35" s="1"/>
  <c r="M32" i="35"/>
  <c r="K32" i="35"/>
  <c r="C32" i="35"/>
  <c r="S31" i="35"/>
  <c r="Q31" i="35"/>
  <c r="O31" i="35"/>
  <c r="U31" i="35" s="1"/>
  <c r="M31" i="35"/>
  <c r="K31" i="35"/>
  <c r="I31" i="35"/>
  <c r="G31" i="35"/>
  <c r="E31" i="35"/>
  <c r="C31" i="35"/>
  <c r="M30" i="35"/>
  <c r="K30" i="35"/>
  <c r="C30" i="35"/>
  <c r="M29" i="35"/>
  <c r="K29" i="35"/>
  <c r="C29" i="35"/>
  <c r="M28" i="35"/>
  <c r="K28" i="35"/>
  <c r="C28" i="35"/>
  <c r="M27" i="35"/>
  <c r="K27" i="35"/>
  <c r="C27" i="35"/>
  <c r="M26" i="35"/>
  <c r="K26" i="35"/>
  <c r="C26" i="35"/>
  <c r="M25" i="35"/>
  <c r="K25" i="35"/>
  <c r="C25" i="35"/>
  <c r="M24" i="35"/>
  <c r="K24" i="35"/>
  <c r="C24" i="35"/>
  <c r="M23" i="35"/>
  <c r="K23" i="35"/>
  <c r="C23" i="35"/>
  <c r="M22" i="35"/>
  <c r="K22" i="35"/>
  <c r="C22" i="35"/>
  <c r="M21" i="35"/>
  <c r="K21" i="35"/>
  <c r="C21" i="35"/>
  <c r="M20" i="35"/>
  <c r="K20" i="35"/>
  <c r="C20" i="35"/>
  <c r="M19" i="35"/>
  <c r="K19" i="35"/>
  <c r="C19" i="35"/>
  <c r="M18" i="35"/>
  <c r="K18" i="35"/>
  <c r="C18" i="35"/>
  <c r="M17" i="35"/>
  <c r="K17" i="35"/>
  <c r="C17" i="35"/>
  <c r="M16" i="35"/>
  <c r="K16" i="35"/>
  <c r="C16" i="35"/>
  <c r="M15" i="35"/>
  <c r="K15" i="35"/>
  <c r="C15" i="35"/>
  <c r="M14" i="35"/>
  <c r="K14" i="35"/>
  <c r="C14" i="35"/>
  <c r="M13" i="35"/>
  <c r="K13" i="35"/>
  <c r="C13" i="35"/>
  <c r="M12" i="35"/>
  <c r="K12" i="35"/>
  <c r="C12" i="35"/>
  <c r="M11" i="35"/>
  <c r="K11" i="35"/>
  <c r="C11" i="35"/>
  <c r="M10" i="35"/>
  <c r="M33" i="35" s="1"/>
  <c r="K10" i="35"/>
  <c r="C10" i="35"/>
  <c r="C33" i="35" s="1"/>
  <c r="J46" i="34"/>
  <c r="B46" i="34"/>
  <c r="B39" i="34"/>
  <c r="J36" i="34"/>
  <c r="J39" i="34" s="1"/>
  <c r="B36" i="34"/>
  <c r="R34" i="34"/>
  <c r="J25" i="34"/>
  <c r="J22" i="34"/>
  <c r="B22" i="34"/>
  <c r="J11" i="34"/>
  <c r="B11" i="34"/>
  <c r="J530" i="33"/>
  <c r="J527" i="33"/>
  <c r="B527" i="33"/>
  <c r="B530" i="33" s="1"/>
  <c r="J515" i="33"/>
  <c r="B515" i="33"/>
  <c r="J507" i="33"/>
  <c r="B507" i="33"/>
  <c r="B474" i="33"/>
  <c r="J471" i="33"/>
  <c r="J474" i="33" s="1"/>
  <c r="B471" i="33"/>
  <c r="J463" i="33"/>
  <c r="J466" i="33" s="1"/>
  <c r="B463" i="33"/>
  <c r="J457" i="33"/>
  <c r="B457" i="33"/>
  <c r="J435" i="33"/>
  <c r="B435" i="33"/>
  <c r="J424" i="33"/>
  <c r="B424" i="33"/>
  <c r="J398" i="33"/>
  <c r="J400" i="33" s="1"/>
  <c r="B398" i="33"/>
  <c r="B400" i="33" s="1"/>
  <c r="J389" i="33"/>
  <c r="B389" i="33"/>
  <c r="J364" i="33"/>
  <c r="B364" i="33"/>
  <c r="J343" i="33"/>
  <c r="B343" i="33"/>
  <c r="J334" i="33"/>
  <c r="B334" i="33"/>
  <c r="J302" i="33"/>
  <c r="B302" i="33"/>
  <c r="J288" i="33"/>
  <c r="B288" i="33"/>
  <c r="Q285" i="33"/>
  <c r="O285" i="33"/>
  <c r="M285" i="33"/>
  <c r="K285" i="33"/>
  <c r="J285" i="33"/>
  <c r="I285" i="33"/>
  <c r="G285" i="33"/>
  <c r="E285" i="33"/>
  <c r="B285" i="33"/>
  <c r="J223" i="33"/>
  <c r="B223" i="33"/>
  <c r="J219" i="33"/>
  <c r="B219" i="33"/>
  <c r="J210" i="33"/>
  <c r="B210" i="33"/>
  <c r="J173" i="33"/>
  <c r="B173" i="33"/>
  <c r="J164" i="33"/>
  <c r="B164" i="33"/>
  <c r="J148" i="33"/>
  <c r="B148" i="33"/>
  <c r="J130" i="33"/>
  <c r="B130" i="33"/>
  <c r="J112" i="33"/>
  <c r="B112" i="33"/>
  <c r="J99" i="33"/>
  <c r="B99" i="33"/>
  <c r="J79" i="33"/>
  <c r="B79" i="33"/>
  <c r="J57" i="33"/>
  <c r="B57" i="33"/>
  <c r="J42" i="33"/>
  <c r="B42" i="33"/>
  <c r="J31" i="33"/>
  <c r="B31" i="33"/>
  <c r="F12" i="32"/>
  <c r="B12" i="32"/>
  <c r="H11" i="32"/>
  <c r="H12" i="32" s="1"/>
  <c r="D11" i="32"/>
  <c r="D12" i="32" s="1"/>
  <c r="H15" i="31"/>
  <c r="F15" i="31"/>
  <c r="D15" i="31"/>
  <c r="B15" i="31"/>
  <c r="L14" i="31"/>
  <c r="J14" i="31"/>
  <c r="J13" i="31"/>
  <c r="L13" i="31" s="1"/>
  <c r="L12" i="31"/>
  <c r="J12" i="31"/>
  <c r="J11" i="31"/>
  <c r="L11" i="31" s="1"/>
  <c r="L10" i="31"/>
  <c r="L15" i="31" s="1"/>
  <c r="J10" i="31"/>
  <c r="J31" i="30"/>
  <c r="H31" i="30"/>
  <c r="F31" i="30"/>
  <c r="D31" i="30"/>
  <c r="B31" i="30"/>
  <c r="L30" i="30"/>
  <c r="L31" i="30" s="1"/>
  <c r="J30" i="30"/>
  <c r="H26" i="30"/>
  <c r="H33" i="30" s="1"/>
  <c r="F26" i="30"/>
  <c r="D26" i="30"/>
  <c r="B26" i="30"/>
  <c r="B33" i="30" s="1"/>
  <c r="L25" i="30"/>
  <c r="J25" i="30"/>
  <c r="J24" i="30"/>
  <c r="L24" i="30" s="1"/>
  <c r="J23" i="30"/>
  <c r="L23" i="30" s="1"/>
  <c r="J22" i="30"/>
  <c r="L22" i="30" s="1"/>
  <c r="J21" i="30"/>
  <c r="L21" i="30" s="1"/>
  <c r="J20" i="30"/>
  <c r="L20" i="30" s="1"/>
  <c r="L17" i="30"/>
  <c r="J17" i="30"/>
  <c r="H17" i="30"/>
  <c r="F17" i="30"/>
  <c r="D17" i="30"/>
  <c r="B17" i="30"/>
  <c r="L16" i="30"/>
  <c r="L13" i="30"/>
  <c r="H13" i="30"/>
  <c r="F13" i="30"/>
  <c r="D13" i="30"/>
  <c r="D33" i="30" s="1"/>
  <c r="B13" i="30"/>
  <c r="L12" i="30"/>
  <c r="J12" i="30"/>
  <c r="L11" i="30"/>
  <c r="J11" i="30"/>
  <c r="J13" i="30" s="1"/>
  <c r="J11" i="29"/>
  <c r="H11" i="29"/>
  <c r="F11" i="29"/>
  <c r="D11" i="29"/>
  <c r="B11" i="29"/>
  <c r="L10" i="29"/>
  <c r="L11" i="29" s="1"/>
  <c r="J10" i="29"/>
  <c r="J11" i="28"/>
  <c r="H11" i="28"/>
  <c r="F11" i="28"/>
  <c r="D11" i="28"/>
  <c r="B11" i="28"/>
  <c r="L10" i="28"/>
  <c r="L11" i="28" s="1"/>
  <c r="J10" i="28"/>
  <c r="L11" i="27"/>
  <c r="J11" i="27"/>
  <c r="H11" i="27"/>
  <c r="F11" i="27"/>
  <c r="D11" i="27"/>
  <c r="B11" i="27"/>
  <c r="B33" i="26"/>
  <c r="B22" i="26"/>
  <c r="B35" i="26" s="1"/>
  <c r="B19" i="26"/>
  <c r="B18" i="25"/>
  <c r="N17" i="25"/>
  <c r="B17" i="25"/>
  <c r="B16" i="25"/>
  <c r="B15" i="25"/>
  <c r="B14" i="25"/>
  <c r="B13" i="25"/>
  <c r="B12" i="25"/>
  <c r="B11" i="25"/>
  <c r="B121" i="24"/>
  <c r="B117" i="24"/>
  <c r="B125" i="24" s="1"/>
  <c r="B103" i="24"/>
  <c r="J100" i="24"/>
  <c r="L100" i="24" s="1"/>
  <c r="J99" i="24"/>
  <c r="L99" i="24" s="1"/>
  <c r="J96" i="24"/>
  <c r="L96" i="24" s="1"/>
  <c r="B93" i="24"/>
  <c r="B71" i="24"/>
  <c r="B65" i="24"/>
  <c r="B44" i="24"/>
  <c r="B40" i="24"/>
  <c r="B29" i="24"/>
  <c r="B70" i="23"/>
  <c r="B69" i="23"/>
  <c r="B68" i="23"/>
  <c r="B71" i="23" s="1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65" i="23" s="1"/>
  <c r="B43" i="23"/>
  <c r="B44" i="23" s="1"/>
  <c r="B39" i="23"/>
  <c r="B38" i="23"/>
  <c r="B37" i="23"/>
  <c r="B36" i="23"/>
  <c r="B35" i="23"/>
  <c r="B34" i="23"/>
  <c r="B33" i="23"/>
  <c r="B32" i="23"/>
  <c r="B40" i="23" s="1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29" i="23" s="1"/>
  <c r="H121" i="22"/>
  <c r="F121" i="22"/>
  <c r="B120" i="22"/>
  <c r="B121" i="22" s="1"/>
  <c r="B116" i="22"/>
  <c r="B115" i="22"/>
  <c r="B114" i="22"/>
  <c r="B113" i="22"/>
  <c r="B112" i="22"/>
  <c r="B111" i="22"/>
  <c r="B110" i="22"/>
  <c r="B109" i="22"/>
  <c r="B108" i="22"/>
  <c r="B107" i="22"/>
  <c r="B106" i="22"/>
  <c r="B117" i="22" s="1"/>
  <c r="H103" i="22"/>
  <c r="F103" i="22"/>
  <c r="B102" i="22"/>
  <c r="B101" i="22"/>
  <c r="L100" i="22"/>
  <c r="J100" i="22"/>
  <c r="D100" i="22"/>
  <c r="B100" i="22"/>
  <c r="L99" i="22"/>
  <c r="J99" i="22"/>
  <c r="D99" i="22"/>
  <c r="B99" i="22"/>
  <c r="B98" i="22"/>
  <c r="B97" i="22"/>
  <c r="L96" i="22"/>
  <c r="J96" i="22"/>
  <c r="D96" i="22"/>
  <c r="B96" i="22"/>
  <c r="B103" i="22" s="1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93" i="22" s="1"/>
  <c r="B70" i="22"/>
  <c r="B69" i="22"/>
  <c r="B68" i="22"/>
  <c r="B71" i="22" s="1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65" i="22" s="1"/>
  <c r="B43" i="22"/>
  <c r="B44" i="22" s="1"/>
  <c r="D39" i="22"/>
  <c r="B39" i="22"/>
  <c r="B38" i="22"/>
  <c r="B37" i="22"/>
  <c r="B36" i="22"/>
  <c r="B35" i="22"/>
  <c r="B34" i="22"/>
  <c r="B33" i="22"/>
  <c r="B32" i="22"/>
  <c r="B40" i="22" s="1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29" i="22" s="1"/>
  <c r="B69" i="21"/>
  <c r="B68" i="21"/>
  <c r="B67" i="21"/>
  <c r="B70" i="21" s="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65" i="21" s="1"/>
  <c r="B43" i="21"/>
  <c r="B44" i="21" s="1"/>
  <c r="B39" i="21"/>
  <c r="B38" i="21"/>
  <c r="B37" i="21"/>
  <c r="B36" i="21"/>
  <c r="B35" i="21"/>
  <c r="B34" i="21"/>
  <c r="B33" i="21"/>
  <c r="B32" i="21"/>
  <c r="B40" i="21" s="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29" i="21" s="1"/>
  <c r="B35" i="20"/>
  <c r="B27" i="20"/>
  <c r="B38" i="20" s="1"/>
  <c r="B18" i="20"/>
  <c r="B21" i="20" s="1"/>
  <c r="B41" i="20" s="1"/>
  <c r="B21" i="19"/>
  <c r="B20" i="19"/>
  <c r="B19" i="19"/>
  <c r="B18" i="19"/>
  <c r="B17" i="19"/>
  <c r="B16" i="19"/>
  <c r="B15" i="19"/>
  <c r="B22" i="19" s="1"/>
  <c r="B25" i="19" s="1"/>
  <c r="B11" i="19"/>
  <c r="B12" i="19" s="1"/>
  <c r="B166" i="18"/>
  <c r="B169" i="18" s="1"/>
  <c r="B154" i="18"/>
  <c r="B145" i="18"/>
  <c r="B136" i="18"/>
  <c r="B128" i="18"/>
  <c r="B120" i="18"/>
  <c r="J117" i="18"/>
  <c r="L117" i="18" s="1"/>
  <c r="B101" i="18"/>
  <c r="B104" i="18" s="1"/>
  <c r="B85" i="18"/>
  <c r="B69" i="18"/>
  <c r="B57" i="18"/>
  <c r="B52" i="18"/>
  <c r="B41" i="18"/>
  <c r="B30" i="18"/>
  <c r="B101" i="17"/>
  <c r="B100" i="17"/>
  <c r="B99" i="17"/>
  <c r="B98" i="17"/>
  <c r="B97" i="17"/>
  <c r="B96" i="17"/>
  <c r="B95" i="17"/>
  <c r="I94" i="17"/>
  <c r="G94" i="17"/>
  <c r="E94" i="17"/>
  <c r="C94" i="17"/>
  <c r="B94" i="17"/>
  <c r="B93" i="17"/>
  <c r="B92" i="17"/>
  <c r="G91" i="17"/>
  <c r="E91" i="17"/>
  <c r="B91" i="17"/>
  <c r="B90" i="17"/>
  <c r="B89" i="17"/>
  <c r="B88" i="17"/>
  <c r="B102" i="17" s="1"/>
  <c r="B84" i="17"/>
  <c r="B83" i="17"/>
  <c r="G82" i="17"/>
  <c r="E82" i="17"/>
  <c r="B82" i="17"/>
  <c r="B81" i="17"/>
  <c r="B80" i="17"/>
  <c r="B79" i="17"/>
  <c r="B78" i="17"/>
  <c r="B77" i="17"/>
  <c r="B76" i="17"/>
  <c r="B75" i="17"/>
  <c r="B74" i="17"/>
  <c r="B73" i="17"/>
  <c r="B72" i="17"/>
  <c r="B85" i="17" s="1"/>
  <c r="B68" i="17"/>
  <c r="B67" i="17"/>
  <c r="B66" i="17"/>
  <c r="B65" i="17"/>
  <c r="B64" i="17"/>
  <c r="B63" i="17"/>
  <c r="B62" i="17"/>
  <c r="G61" i="17"/>
  <c r="E61" i="17"/>
  <c r="B61" i="17"/>
  <c r="B60" i="17"/>
  <c r="B69" i="17" s="1"/>
  <c r="B56" i="17"/>
  <c r="N55" i="17"/>
  <c r="B55" i="17"/>
  <c r="B57" i="17" s="1"/>
  <c r="B51" i="17"/>
  <c r="B50" i="17"/>
  <c r="B49" i="17"/>
  <c r="B48" i="17"/>
  <c r="B47" i="17"/>
  <c r="B46" i="17"/>
  <c r="B45" i="17"/>
  <c r="B44" i="17"/>
  <c r="B52" i="17" s="1"/>
  <c r="B40" i="17"/>
  <c r="B39" i="17"/>
  <c r="B38" i="17"/>
  <c r="G37" i="17"/>
  <c r="E37" i="17"/>
  <c r="B37" i="17"/>
  <c r="B36" i="17"/>
  <c r="B35" i="17"/>
  <c r="B34" i="17"/>
  <c r="B33" i="17"/>
  <c r="B29" i="17"/>
  <c r="B28" i="17"/>
  <c r="B27" i="17"/>
  <c r="B26" i="17"/>
  <c r="B25" i="17"/>
  <c r="I24" i="17"/>
  <c r="G24" i="17"/>
  <c r="E24" i="17"/>
  <c r="C24" i="17"/>
  <c r="I23" i="17"/>
  <c r="G23" i="17"/>
  <c r="E23" i="17"/>
  <c r="C23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30" i="17" s="1"/>
  <c r="B166" i="16"/>
  <c r="B165" i="16"/>
  <c r="B164" i="16"/>
  <c r="B163" i="16"/>
  <c r="I162" i="16"/>
  <c r="G162" i="16"/>
  <c r="E162" i="16"/>
  <c r="C162" i="16"/>
  <c r="B162" i="16"/>
  <c r="B161" i="16"/>
  <c r="B160" i="16"/>
  <c r="B159" i="16"/>
  <c r="B158" i="16"/>
  <c r="B167" i="16" s="1"/>
  <c r="B154" i="16"/>
  <c r="B153" i="16"/>
  <c r="B152" i="16"/>
  <c r="B151" i="16"/>
  <c r="B150" i="16"/>
  <c r="B149" i="16"/>
  <c r="B148" i="16"/>
  <c r="B155" i="16" s="1"/>
  <c r="G145" i="16"/>
  <c r="E145" i="16"/>
  <c r="B145" i="16"/>
  <c r="G144" i="16"/>
  <c r="E144" i="16"/>
  <c r="B144" i="16"/>
  <c r="B143" i="16"/>
  <c r="B142" i="16"/>
  <c r="B141" i="16"/>
  <c r="G140" i="16"/>
  <c r="E140" i="16"/>
  <c r="B140" i="16"/>
  <c r="B146" i="16" s="1"/>
  <c r="B136" i="16"/>
  <c r="B135" i="16"/>
  <c r="B134" i="16"/>
  <c r="B133" i="16"/>
  <c r="B132" i="16"/>
  <c r="B137" i="16" s="1"/>
  <c r="B128" i="16"/>
  <c r="B127" i="16"/>
  <c r="B126" i="16"/>
  <c r="B125" i="16"/>
  <c r="B124" i="16"/>
  <c r="B129" i="16" s="1"/>
  <c r="B120" i="16"/>
  <c r="B119" i="16"/>
  <c r="I118" i="16"/>
  <c r="H118" i="16"/>
  <c r="G118" i="16"/>
  <c r="F118" i="16"/>
  <c r="J118" i="16" s="1"/>
  <c r="L118" i="16" s="1"/>
  <c r="E118" i="16"/>
  <c r="D118" i="16"/>
  <c r="C118" i="16"/>
  <c r="B118" i="16"/>
  <c r="B117" i="16"/>
  <c r="B116" i="16"/>
  <c r="B115" i="16"/>
  <c r="B114" i="16"/>
  <c r="B113" i="16"/>
  <c r="B112" i="16"/>
  <c r="B111" i="16"/>
  <c r="B110" i="16"/>
  <c r="B109" i="16"/>
  <c r="B121" i="16" s="1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101" i="16" s="1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85" i="16" s="1"/>
  <c r="B68" i="16"/>
  <c r="B67" i="16"/>
  <c r="B66" i="16"/>
  <c r="B65" i="16"/>
  <c r="B64" i="16"/>
  <c r="B63" i="16"/>
  <c r="B62" i="16"/>
  <c r="B61" i="16"/>
  <c r="B60" i="16"/>
  <c r="B69" i="16" s="1"/>
  <c r="B56" i="16"/>
  <c r="B55" i="16"/>
  <c r="B57" i="16" s="1"/>
  <c r="B51" i="16"/>
  <c r="B50" i="16"/>
  <c r="B49" i="16"/>
  <c r="B48" i="16"/>
  <c r="B47" i="16"/>
  <c r="B46" i="16"/>
  <c r="B45" i="16"/>
  <c r="B44" i="16"/>
  <c r="B40" i="16"/>
  <c r="B39" i="16"/>
  <c r="B38" i="16"/>
  <c r="B37" i="16"/>
  <c r="B36" i="16"/>
  <c r="B35" i="16"/>
  <c r="B34" i="16"/>
  <c r="B33" i="16"/>
  <c r="B41" i="16" s="1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30" i="16" s="1"/>
  <c r="B101" i="15"/>
  <c r="B100" i="15"/>
  <c r="B99" i="15"/>
  <c r="B98" i="15"/>
  <c r="B97" i="15"/>
  <c r="B96" i="15"/>
  <c r="B95" i="15"/>
  <c r="I94" i="15"/>
  <c r="G94" i="15"/>
  <c r="E94" i="15"/>
  <c r="C94" i="15"/>
  <c r="B94" i="15"/>
  <c r="B93" i="15"/>
  <c r="B92" i="15"/>
  <c r="B91" i="15"/>
  <c r="B90" i="15"/>
  <c r="B89" i="15"/>
  <c r="B88" i="15"/>
  <c r="B84" i="15"/>
  <c r="B83" i="15"/>
  <c r="G82" i="15"/>
  <c r="E82" i="15"/>
  <c r="B82" i="15"/>
  <c r="B81" i="15"/>
  <c r="B80" i="15"/>
  <c r="B79" i="15"/>
  <c r="B78" i="15"/>
  <c r="B77" i="15"/>
  <c r="B76" i="15"/>
  <c r="B75" i="15"/>
  <c r="B74" i="15"/>
  <c r="B73" i="15"/>
  <c r="B72" i="15"/>
  <c r="B68" i="15"/>
  <c r="B67" i="15"/>
  <c r="G66" i="15"/>
  <c r="E66" i="15"/>
  <c r="B66" i="15"/>
  <c r="G65" i="15"/>
  <c r="E65" i="15"/>
  <c r="B65" i="15"/>
  <c r="G64" i="15"/>
  <c r="E64" i="15"/>
  <c r="B64" i="15"/>
  <c r="B63" i="15"/>
  <c r="B62" i="15"/>
  <c r="G61" i="15"/>
  <c r="E61" i="15"/>
  <c r="B61" i="15"/>
  <c r="B60" i="15"/>
  <c r="B69" i="15" s="1"/>
  <c r="B56" i="15"/>
  <c r="N55" i="15"/>
  <c r="B55" i="15"/>
  <c r="B57" i="15" s="1"/>
  <c r="B51" i="15"/>
  <c r="B50" i="15"/>
  <c r="B49" i="15"/>
  <c r="B48" i="15"/>
  <c r="B47" i="15"/>
  <c r="B46" i="15"/>
  <c r="B45" i="15"/>
  <c r="B44" i="15"/>
  <c r="B52" i="15" s="1"/>
  <c r="B40" i="15"/>
  <c r="B39" i="15"/>
  <c r="B38" i="15"/>
  <c r="B37" i="15"/>
  <c r="B36" i="15"/>
  <c r="B35" i="15"/>
  <c r="B34" i="15"/>
  <c r="B33" i="15"/>
  <c r="B41" i="15" s="1"/>
  <c r="B29" i="15"/>
  <c r="B28" i="15"/>
  <c r="B27" i="15"/>
  <c r="B26" i="15"/>
  <c r="B25" i="15"/>
  <c r="P24" i="15"/>
  <c r="O24" i="15"/>
  <c r="M24" i="15"/>
  <c r="K24" i="15"/>
  <c r="I24" i="15"/>
  <c r="G24" i="15"/>
  <c r="E24" i="15"/>
  <c r="C24" i="15"/>
  <c r="B24" i="15"/>
  <c r="G23" i="15"/>
  <c r="E23" i="15"/>
  <c r="C23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30" i="15" s="1"/>
  <c r="B22" i="14"/>
  <c r="B24" i="14" s="1"/>
  <c r="B16" i="14"/>
  <c r="B13" i="14"/>
  <c r="B11" i="13"/>
  <c r="N10" i="13"/>
  <c r="B10" i="13"/>
  <c r="B12" i="13" s="1"/>
  <c r="B15" i="13" s="1"/>
  <c r="B68" i="12"/>
  <c r="B71" i="12" s="1"/>
  <c r="B41" i="12"/>
  <c r="B44" i="12" s="1"/>
  <c r="B74" i="12" s="1"/>
  <c r="B40" i="11"/>
  <c r="B39" i="11"/>
  <c r="B38" i="11"/>
  <c r="B37" i="11"/>
  <c r="B36" i="11"/>
  <c r="B35" i="11"/>
  <c r="B34" i="11"/>
  <c r="B33" i="11"/>
  <c r="B32" i="11"/>
  <c r="O31" i="11"/>
  <c r="M31" i="11"/>
  <c r="K31" i="11"/>
  <c r="I31" i="11"/>
  <c r="G31" i="11"/>
  <c r="E31" i="11"/>
  <c r="C31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1" i="11" s="1"/>
  <c r="B44" i="11" s="1"/>
  <c r="L74" i="10"/>
  <c r="J74" i="10"/>
  <c r="B73" i="10"/>
  <c r="B72" i="10"/>
  <c r="L71" i="10"/>
  <c r="J71" i="10"/>
  <c r="J70" i="10"/>
  <c r="L70" i="10" s="1"/>
  <c r="L69" i="10"/>
  <c r="J69" i="10"/>
  <c r="B67" i="10"/>
  <c r="B66" i="10"/>
  <c r="G65" i="10"/>
  <c r="E65" i="10"/>
  <c r="C65" i="10"/>
  <c r="B65" i="10"/>
  <c r="J64" i="10"/>
  <c r="L64" i="10" s="1"/>
  <c r="L63" i="10"/>
  <c r="J63" i="10"/>
  <c r="B62" i="10"/>
  <c r="B61" i="10"/>
  <c r="L59" i="10"/>
  <c r="J59" i="10"/>
  <c r="B58" i="10"/>
  <c r="B57" i="10"/>
  <c r="B56" i="10"/>
  <c r="B55" i="10"/>
  <c r="B54" i="10"/>
  <c r="B53" i="10"/>
  <c r="B51" i="10"/>
  <c r="B50" i="10"/>
  <c r="B49" i="10"/>
  <c r="B75" i="10" s="1"/>
  <c r="L48" i="10"/>
  <c r="J48" i="10"/>
  <c r="J47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1" i="10" s="1"/>
  <c r="B40" i="9"/>
  <c r="B39" i="9"/>
  <c r="B38" i="9"/>
  <c r="B37" i="9"/>
  <c r="B36" i="9"/>
  <c r="B35" i="9"/>
  <c r="B34" i="9"/>
  <c r="B33" i="9"/>
  <c r="B32" i="9"/>
  <c r="O31" i="9"/>
  <c r="M31" i="9"/>
  <c r="K31" i="9"/>
  <c r="I31" i="9"/>
  <c r="G31" i="9"/>
  <c r="E31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9" s="1"/>
  <c r="B44" i="9" s="1"/>
  <c r="O68" i="8"/>
  <c r="G67" i="8"/>
  <c r="O54" i="8"/>
  <c r="G54" i="8"/>
  <c r="S44" i="8"/>
  <c r="Q44" i="8"/>
  <c r="O44" i="8"/>
  <c r="M44" i="8"/>
  <c r="K44" i="8"/>
  <c r="I44" i="8"/>
  <c r="G44" i="8"/>
  <c r="E44" i="8"/>
  <c r="S36" i="8"/>
  <c r="Q36" i="8"/>
  <c r="Q38" i="8" s="1"/>
  <c r="M36" i="8"/>
  <c r="K36" i="8"/>
  <c r="K38" i="8" s="1"/>
  <c r="I36" i="8"/>
  <c r="I38" i="8" s="1"/>
  <c r="E36" i="8"/>
  <c r="O30" i="8"/>
  <c r="O36" i="8" s="1"/>
  <c r="O38" i="8" s="1"/>
  <c r="Q26" i="8"/>
  <c r="K26" i="8"/>
  <c r="I26" i="8"/>
  <c r="E26" i="8"/>
  <c r="E38" i="8" s="1"/>
  <c r="K22" i="8"/>
  <c r="M20" i="8"/>
  <c r="M26" i="8" s="1"/>
  <c r="M38" i="8" s="1"/>
  <c r="O17" i="8"/>
  <c r="O26" i="8" s="1"/>
  <c r="S13" i="8"/>
  <c r="Q13" i="8"/>
  <c r="M13" i="8"/>
  <c r="K13" i="8"/>
  <c r="I13" i="8"/>
  <c r="E13" i="8"/>
  <c r="O10" i="8"/>
  <c r="O13" i="8" s="1"/>
  <c r="C1141" i="7"/>
  <c r="J15" i="6"/>
  <c r="H15" i="6"/>
  <c r="F15" i="6"/>
  <c r="D15" i="6"/>
  <c r="L10" i="6"/>
  <c r="L9" i="6"/>
  <c r="L15" i="6" s="1"/>
  <c r="L8" i="6"/>
  <c r="AG599" i="5"/>
  <c r="AE599" i="5"/>
  <c r="AC599" i="5"/>
  <c r="AA599" i="5"/>
  <c r="Y599" i="5"/>
  <c r="W599" i="5"/>
  <c r="U599" i="5"/>
  <c r="S599" i="5"/>
  <c r="Q599" i="5"/>
  <c r="O599" i="5"/>
  <c r="M599" i="5"/>
  <c r="K599" i="5"/>
  <c r="I599" i="5"/>
  <c r="G599" i="5"/>
  <c r="E599" i="5"/>
  <c r="C599" i="5"/>
  <c r="AJ598" i="5"/>
  <c r="AJ597" i="5"/>
  <c r="AJ596" i="5"/>
  <c r="AG591" i="5"/>
  <c r="AE591" i="5"/>
  <c r="AC591" i="5"/>
  <c r="AA591" i="5"/>
  <c r="Y591" i="5"/>
  <c r="W591" i="5"/>
  <c r="U591" i="5"/>
  <c r="S591" i="5"/>
  <c r="Q591" i="5"/>
  <c r="O591" i="5"/>
  <c r="M591" i="5"/>
  <c r="K591" i="5"/>
  <c r="I591" i="5"/>
  <c r="G591" i="5"/>
  <c r="E591" i="5"/>
  <c r="C591" i="5"/>
  <c r="AJ590" i="5"/>
  <c r="AJ589" i="5"/>
  <c r="AJ588" i="5"/>
  <c r="AG584" i="5"/>
  <c r="AE584" i="5"/>
  <c r="AC584" i="5"/>
  <c r="AA584" i="5"/>
  <c r="Y584" i="5"/>
  <c r="W584" i="5"/>
  <c r="U584" i="5"/>
  <c r="S584" i="5"/>
  <c r="Q584" i="5"/>
  <c r="O584" i="5"/>
  <c r="M584" i="5"/>
  <c r="K584" i="5"/>
  <c r="I584" i="5"/>
  <c r="G584" i="5"/>
  <c r="E584" i="5"/>
  <c r="C584" i="5"/>
  <c r="AG583" i="5"/>
  <c r="AE583" i="5"/>
  <c r="AC583" i="5"/>
  <c r="AA583" i="5"/>
  <c r="Y583" i="5"/>
  <c r="W583" i="5"/>
  <c r="U583" i="5"/>
  <c r="S583" i="5"/>
  <c r="Q583" i="5"/>
  <c r="O583" i="5"/>
  <c r="M583" i="5"/>
  <c r="K583" i="5"/>
  <c r="I583" i="5"/>
  <c r="G583" i="5"/>
  <c r="E583" i="5"/>
  <c r="C583" i="5"/>
  <c r="AG582" i="5"/>
  <c r="AE582" i="5"/>
  <c r="AC582" i="5"/>
  <c r="AA582" i="5"/>
  <c r="Y582" i="5"/>
  <c r="W582" i="5"/>
  <c r="U582" i="5"/>
  <c r="S582" i="5"/>
  <c r="Q582" i="5"/>
  <c r="O582" i="5"/>
  <c r="M582" i="5"/>
  <c r="K582" i="5"/>
  <c r="I582" i="5"/>
  <c r="G582" i="5"/>
  <c r="E582" i="5"/>
  <c r="C582" i="5"/>
  <c r="AG579" i="5"/>
  <c r="AE579" i="5"/>
  <c r="AC579" i="5"/>
  <c r="AA579" i="5"/>
  <c r="Y579" i="5"/>
  <c r="W579" i="5"/>
  <c r="U579" i="5"/>
  <c r="S579" i="5"/>
  <c r="Q579" i="5"/>
  <c r="O579" i="5"/>
  <c r="M579" i="5"/>
  <c r="K579" i="5"/>
  <c r="I579" i="5"/>
  <c r="G579" i="5"/>
  <c r="E579" i="5"/>
  <c r="C579" i="5"/>
  <c r="AJ578" i="5"/>
  <c r="AJ577" i="5"/>
  <c r="AJ576" i="5"/>
  <c r="AJ575" i="5"/>
  <c r="AJ574" i="5"/>
  <c r="AJ573" i="5"/>
  <c r="AJ572" i="5"/>
  <c r="AJ571" i="5"/>
  <c r="AJ570" i="5"/>
  <c r="AJ569" i="5"/>
  <c r="AJ568" i="5"/>
  <c r="AJ567" i="5"/>
  <c r="AJ566" i="5"/>
  <c r="AG563" i="5"/>
  <c r="AE563" i="5"/>
  <c r="AC563" i="5"/>
  <c r="AA563" i="5"/>
  <c r="Y563" i="5"/>
  <c r="W563" i="5"/>
  <c r="U563" i="5"/>
  <c r="S563" i="5"/>
  <c r="Q563" i="5"/>
  <c r="O563" i="5"/>
  <c r="M563" i="5"/>
  <c r="K563" i="5"/>
  <c r="I563" i="5"/>
  <c r="G563" i="5"/>
  <c r="E563" i="5"/>
  <c r="C563" i="5"/>
  <c r="AJ562" i="5"/>
  <c r="AJ561" i="5"/>
  <c r="AJ560" i="5"/>
  <c r="AJ559" i="5"/>
  <c r="AJ558" i="5"/>
  <c r="AJ557" i="5"/>
  <c r="AJ556" i="5"/>
  <c r="AJ555" i="5"/>
  <c r="AJ554" i="5"/>
  <c r="AJ553" i="5"/>
  <c r="AJ552" i="5"/>
  <c r="AJ551" i="5"/>
  <c r="AJ550" i="5"/>
  <c r="AG546" i="5"/>
  <c r="AE546" i="5"/>
  <c r="AC546" i="5"/>
  <c r="AA546" i="5"/>
  <c r="Y546" i="5"/>
  <c r="W546" i="5"/>
  <c r="U546" i="5"/>
  <c r="S546" i="5"/>
  <c r="Q546" i="5"/>
  <c r="O546" i="5"/>
  <c r="M546" i="5"/>
  <c r="K546" i="5"/>
  <c r="I546" i="5"/>
  <c r="G546" i="5"/>
  <c r="E546" i="5"/>
  <c r="C546" i="5"/>
  <c r="AJ545" i="5"/>
  <c r="AJ544" i="5"/>
  <c r="AJ543" i="5"/>
  <c r="AJ542" i="5"/>
  <c r="AJ541" i="5"/>
  <c r="AJ540" i="5"/>
  <c r="AJ539" i="5"/>
  <c r="AJ538" i="5"/>
  <c r="AJ537" i="5"/>
  <c r="AJ536" i="5"/>
  <c r="AJ535" i="5"/>
  <c r="AJ534" i="5"/>
  <c r="AJ533" i="5"/>
  <c r="AJ532" i="5"/>
  <c r="AJ531" i="5"/>
  <c r="AJ530" i="5"/>
  <c r="AJ529" i="5"/>
  <c r="AJ528" i="5"/>
  <c r="AJ527" i="5"/>
  <c r="AJ526" i="5"/>
  <c r="AJ525" i="5"/>
  <c r="AJ524" i="5"/>
  <c r="AJ523" i="5"/>
  <c r="AV513" i="5"/>
  <c r="AV512" i="5"/>
  <c r="AG511" i="5"/>
  <c r="AE511" i="5"/>
  <c r="AC511" i="5"/>
  <c r="AA511" i="5"/>
  <c r="Y511" i="5"/>
  <c r="W511" i="5"/>
  <c r="U511" i="5"/>
  <c r="S511" i="5"/>
  <c r="Q511" i="5"/>
  <c r="O511" i="5"/>
  <c r="M511" i="5"/>
  <c r="K511" i="5"/>
  <c r="I511" i="5"/>
  <c r="G511" i="5"/>
  <c r="E511" i="5"/>
  <c r="C511" i="5"/>
  <c r="AR510" i="5"/>
  <c r="AP510" i="5"/>
  <c r="AN510" i="5"/>
  <c r="AL510" i="5"/>
  <c r="AJ510" i="5"/>
  <c r="AR509" i="5"/>
  <c r="AP509" i="5"/>
  <c r="AN509" i="5"/>
  <c r="AL509" i="5"/>
  <c r="AJ509" i="5"/>
  <c r="AR508" i="5"/>
  <c r="AP508" i="5"/>
  <c r="AN508" i="5"/>
  <c r="AL508" i="5"/>
  <c r="AJ508" i="5"/>
  <c r="AV507" i="5"/>
  <c r="AV506" i="5"/>
  <c r="AV505" i="5"/>
  <c r="AV504" i="5"/>
  <c r="AV503" i="5"/>
  <c r="AV501" i="5"/>
  <c r="AG500" i="5"/>
  <c r="AG502" i="5" s="1"/>
  <c r="AE500" i="5"/>
  <c r="AE502" i="5" s="1"/>
  <c r="AC500" i="5"/>
  <c r="AC502" i="5" s="1"/>
  <c r="AA500" i="5"/>
  <c r="AA502" i="5" s="1"/>
  <c r="Y500" i="5"/>
  <c r="Y502" i="5" s="1"/>
  <c r="W500" i="5"/>
  <c r="W502" i="5" s="1"/>
  <c r="U500" i="5"/>
  <c r="U502" i="5" s="1"/>
  <c r="S500" i="5"/>
  <c r="S502" i="5" s="1"/>
  <c r="Q500" i="5"/>
  <c r="Q502" i="5" s="1"/>
  <c r="O500" i="5"/>
  <c r="O502" i="5" s="1"/>
  <c r="M500" i="5"/>
  <c r="M502" i="5" s="1"/>
  <c r="K500" i="5"/>
  <c r="K502" i="5" s="1"/>
  <c r="I500" i="5"/>
  <c r="I502" i="5" s="1"/>
  <c r="G500" i="5"/>
  <c r="G502" i="5" s="1"/>
  <c r="E500" i="5"/>
  <c r="E502" i="5" s="1"/>
  <c r="C500" i="5"/>
  <c r="C502" i="5" s="1"/>
  <c r="AR499" i="5"/>
  <c r="AR500" i="5" s="1"/>
  <c r="AR502" i="5" s="1"/>
  <c r="AP499" i="5"/>
  <c r="AP500" i="5" s="1"/>
  <c r="AP502" i="5" s="1"/>
  <c r="AN499" i="5"/>
  <c r="AN500" i="5" s="1"/>
  <c r="AN502" i="5" s="1"/>
  <c r="AL499" i="5"/>
  <c r="AJ499" i="5"/>
  <c r="AJ500" i="5" s="1"/>
  <c r="AV498" i="5"/>
  <c r="AV497" i="5"/>
  <c r="AV496" i="5"/>
  <c r="AV495" i="5"/>
  <c r="AV493" i="5"/>
  <c r="AG492" i="5"/>
  <c r="AG494" i="5" s="1"/>
  <c r="AE492" i="5"/>
  <c r="AE494" i="5" s="1"/>
  <c r="AC492" i="5"/>
  <c r="AC494" i="5" s="1"/>
  <c r="AA492" i="5"/>
  <c r="AA494" i="5" s="1"/>
  <c r="Y492" i="5"/>
  <c r="Y494" i="5" s="1"/>
  <c r="W492" i="5"/>
  <c r="W494" i="5" s="1"/>
  <c r="U492" i="5"/>
  <c r="U494" i="5" s="1"/>
  <c r="S492" i="5"/>
  <c r="S494" i="5" s="1"/>
  <c r="Q492" i="5"/>
  <c r="Q494" i="5" s="1"/>
  <c r="O492" i="5"/>
  <c r="O494" i="5" s="1"/>
  <c r="M492" i="5"/>
  <c r="M494" i="5" s="1"/>
  <c r="K492" i="5"/>
  <c r="K494" i="5" s="1"/>
  <c r="I492" i="5"/>
  <c r="I494" i="5" s="1"/>
  <c r="G492" i="5"/>
  <c r="G494" i="5" s="1"/>
  <c r="E492" i="5"/>
  <c r="E494" i="5" s="1"/>
  <c r="C492" i="5"/>
  <c r="C494" i="5" s="1"/>
  <c r="AR491" i="5"/>
  <c r="AR492" i="5" s="1"/>
  <c r="AR494" i="5" s="1"/>
  <c r="AP491" i="5"/>
  <c r="AP492" i="5" s="1"/>
  <c r="AP494" i="5" s="1"/>
  <c r="AN491" i="5"/>
  <c r="AN492" i="5" s="1"/>
  <c r="AN494" i="5" s="1"/>
  <c r="AL491" i="5"/>
  <c r="AL492" i="5" s="1"/>
  <c r="AL494" i="5" s="1"/>
  <c r="AJ491" i="5"/>
  <c r="AV490" i="5"/>
  <c r="AV489" i="5"/>
  <c r="AV488" i="5"/>
  <c r="AV487" i="5"/>
  <c r="AV485" i="5"/>
  <c r="AV484" i="5"/>
  <c r="AV483" i="5"/>
  <c r="AV481" i="5"/>
  <c r="AV480" i="5"/>
  <c r="AG479" i="5"/>
  <c r="AE479" i="5"/>
  <c r="AC479" i="5"/>
  <c r="AA479" i="5"/>
  <c r="Y479" i="5"/>
  <c r="W479" i="5"/>
  <c r="U479" i="5"/>
  <c r="S479" i="5"/>
  <c r="Q479" i="5"/>
  <c r="O479" i="5"/>
  <c r="M479" i="5"/>
  <c r="K479" i="5"/>
  <c r="I479" i="5"/>
  <c r="G479" i="5"/>
  <c r="E479" i="5"/>
  <c r="C479" i="5"/>
  <c r="AR478" i="5"/>
  <c r="AP478" i="5"/>
  <c r="AN478" i="5"/>
  <c r="AL478" i="5"/>
  <c r="AJ478" i="5"/>
  <c r="AR477" i="5"/>
  <c r="AP477" i="5"/>
  <c r="AN477" i="5"/>
  <c r="AL477" i="5"/>
  <c r="AJ477" i="5"/>
  <c r="AR476" i="5"/>
  <c r="AP476" i="5"/>
  <c r="AN476" i="5"/>
  <c r="AL476" i="5"/>
  <c r="AJ476" i="5"/>
  <c r="AV475" i="5"/>
  <c r="AV474" i="5"/>
  <c r="AG472" i="5"/>
  <c r="AE472" i="5"/>
  <c r="AC472" i="5"/>
  <c r="AA472" i="5"/>
  <c r="Y472" i="5"/>
  <c r="W472" i="5"/>
  <c r="U472" i="5"/>
  <c r="S472" i="5"/>
  <c r="Q472" i="5"/>
  <c r="O472" i="5"/>
  <c r="M472" i="5"/>
  <c r="K472" i="5"/>
  <c r="I472" i="5"/>
  <c r="G472" i="5"/>
  <c r="E472" i="5"/>
  <c r="C472" i="5"/>
  <c r="AR471" i="5"/>
  <c r="AP471" i="5"/>
  <c r="AN471" i="5"/>
  <c r="AL471" i="5"/>
  <c r="AJ471" i="5"/>
  <c r="AR470" i="5"/>
  <c r="AP470" i="5"/>
  <c r="AN470" i="5"/>
  <c r="AL470" i="5"/>
  <c r="AJ470" i="5"/>
  <c r="AR469" i="5"/>
  <c r="AP469" i="5"/>
  <c r="AN469" i="5"/>
  <c r="AL469" i="5"/>
  <c r="AJ469" i="5"/>
  <c r="AR468" i="5"/>
  <c r="AP468" i="5"/>
  <c r="AN468" i="5"/>
  <c r="AL468" i="5"/>
  <c r="AJ468" i="5"/>
  <c r="AR467" i="5"/>
  <c r="AP467" i="5"/>
  <c r="AN467" i="5"/>
  <c r="AL467" i="5"/>
  <c r="AJ467" i="5"/>
  <c r="AR466" i="5"/>
  <c r="AP466" i="5"/>
  <c r="AN466" i="5"/>
  <c r="AL466" i="5"/>
  <c r="AJ466" i="5"/>
  <c r="AR465" i="5"/>
  <c r="AP465" i="5"/>
  <c r="AN465" i="5"/>
  <c r="AL465" i="5"/>
  <c r="AJ465" i="5"/>
  <c r="AR464" i="5"/>
  <c r="AP464" i="5"/>
  <c r="AN464" i="5"/>
  <c r="AL464" i="5"/>
  <c r="AJ464" i="5"/>
  <c r="AR463" i="5"/>
  <c r="AP463" i="5"/>
  <c r="AN463" i="5"/>
  <c r="AL463" i="5"/>
  <c r="AJ463" i="5"/>
  <c r="AR462" i="5"/>
  <c r="AP462" i="5"/>
  <c r="AN462" i="5"/>
  <c r="AL462" i="5"/>
  <c r="AJ462" i="5"/>
  <c r="AG461" i="5"/>
  <c r="AE461" i="5"/>
  <c r="AC461" i="5"/>
  <c r="AA461" i="5"/>
  <c r="Y461" i="5"/>
  <c r="W461" i="5"/>
  <c r="U461" i="5"/>
  <c r="S461" i="5"/>
  <c r="Q461" i="5"/>
  <c r="O461" i="5"/>
  <c r="M461" i="5"/>
  <c r="K461" i="5"/>
  <c r="I461" i="5"/>
  <c r="G461" i="5"/>
  <c r="E461" i="5"/>
  <c r="C461" i="5"/>
  <c r="AR460" i="5"/>
  <c r="AP460" i="5"/>
  <c r="AN460" i="5"/>
  <c r="AL460" i="5"/>
  <c r="AJ460" i="5"/>
  <c r="AR459" i="5"/>
  <c r="AP459" i="5"/>
  <c r="AN459" i="5"/>
  <c r="AL459" i="5"/>
  <c r="AJ459" i="5"/>
  <c r="AR458" i="5"/>
  <c r="AP458" i="5"/>
  <c r="AN458" i="5"/>
  <c r="AL458" i="5"/>
  <c r="AJ458" i="5"/>
  <c r="AG457" i="5"/>
  <c r="AE457" i="5"/>
  <c r="AC457" i="5"/>
  <c r="AA457" i="5"/>
  <c r="Y457" i="5"/>
  <c r="W457" i="5"/>
  <c r="U457" i="5"/>
  <c r="S457" i="5"/>
  <c r="Q457" i="5"/>
  <c r="O457" i="5"/>
  <c r="M457" i="5"/>
  <c r="K457" i="5"/>
  <c r="I457" i="5"/>
  <c r="G457" i="5"/>
  <c r="E457" i="5"/>
  <c r="C457" i="5"/>
  <c r="AR456" i="5"/>
  <c r="AP456" i="5"/>
  <c r="AN456" i="5"/>
  <c r="AL456" i="5"/>
  <c r="AJ456" i="5"/>
  <c r="AR455" i="5"/>
  <c r="AP455" i="5"/>
  <c r="AN455" i="5"/>
  <c r="AL455" i="5"/>
  <c r="AJ455" i="5"/>
  <c r="AR454" i="5"/>
  <c r="AP454" i="5"/>
  <c r="AN454" i="5"/>
  <c r="AL454" i="5"/>
  <c r="AJ454" i="5"/>
  <c r="AG453" i="5"/>
  <c r="AE453" i="5"/>
  <c r="AC453" i="5"/>
  <c r="AA453" i="5"/>
  <c r="Y453" i="5"/>
  <c r="W453" i="5"/>
  <c r="U453" i="5"/>
  <c r="S453" i="5"/>
  <c r="Q453" i="5"/>
  <c r="O453" i="5"/>
  <c r="M453" i="5"/>
  <c r="K453" i="5"/>
  <c r="I453" i="5"/>
  <c r="G453" i="5"/>
  <c r="E453" i="5"/>
  <c r="C453" i="5"/>
  <c r="AR452" i="5"/>
  <c r="AP452" i="5"/>
  <c r="AN452" i="5"/>
  <c r="AL452" i="5"/>
  <c r="AJ452" i="5"/>
  <c r="AR451" i="5"/>
  <c r="AP451" i="5"/>
  <c r="AN451" i="5"/>
  <c r="AL451" i="5"/>
  <c r="AJ451" i="5"/>
  <c r="AV450" i="5"/>
  <c r="AV449" i="5"/>
  <c r="AG448" i="5"/>
  <c r="AE448" i="5"/>
  <c r="AC448" i="5"/>
  <c r="AA448" i="5"/>
  <c r="Y448" i="5"/>
  <c r="W448" i="5"/>
  <c r="U448" i="5"/>
  <c r="S448" i="5"/>
  <c r="Q448" i="5"/>
  <c r="O448" i="5"/>
  <c r="M448" i="5"/>
  <c r="K448" i="5"/>
  <c r="I448" i="5"/>
  <c r="G448" i="5"/>
  <c r="E448" i="5"/>
  <c r="C448" i="5"/>
  <c r="AR447" i="5"/>
  <c r="AR448" i="5" s="1"/>
  <c r="AP447" i="5"/>
  <c r="AP448" i="5" s="1"/>
  <c r="AN447" i="5"/>
  <c r="AN448" i="5" s="1"/>
  <c r="AL447" i="5"/>
  <c r="AL448" i="5" s="1"/>
  <c r="AJ447" i="5"/>
  <c r="AV446" i="5"/>
  <c r="AV445" i="5"/>
  <c r="AR443" i="5"/>
  <c r="AP443" i="5"/>
  <c r="AN443" i="5"/>
  <c r="AL443" i="5"/>
  <c r="AJ443" i="5"/>
  <c r="AG442" i="5"/>
  <c r="AE442" i="5"/>
  <c r="AC442" i="5"/>
  <c r="AA442" i="5"/>
  <c r="Y442" i="5"/>
  <c r="W442" i="5"/>
  <c r="U442" i="5"/>
  <c r="S442" i="5"/>
  <c r="Q442" i="5"/>
  <c r="O442" i="5"/>
  <c r="M442" i="5"/>
  <c r="K442" i="5"/>
  <c r="I442" i="5"/>
  <c r="G442" i="5"/>
  <c r="E442" i="5"/>
  <c r="C442" i="5"/>
  <c r="AR441" i="5"/>
  <c r="AP441" i="5"/>
  <c r="AN441" i="5"/>
  <c r="AL441" i="5"/>
  <c r="AJ441" i="5"/>
  <c r="AR440" i="5"/>
  <c r="AP440" i="5"/>
  <c r="AN440" i="5"/>
  <c r="AL440" i="5"/>
  <c r="AJ440" i="5"/>
  <c r="AR439" i="5"/>
  <c r="AP439" i="5"/>
  <c r="AN439" i="5"/>
  <c r="AL439" i="5"/>
  <c r="AJ439" i="5"/>
  <c r="AR438" i="5"/>
  <c r="AP438" i="5"/>
  <c r="AN438" i="5"/>
  <c r="AL438" i="5"/>
  <c r="AJ438" i="5"/>
  <c r="AG437" i="5"/>
  <c r="AE437" i="5"/>
  <c r="AC437" i="5"/>
  <c r="AA437" i="5"/>
  <c r="Y437" i="5"/>
  <c r="W437" i="5"/>
  <c r="U437" i="5"/>
  <c r="S437" i="5"/>
  <c r="Q437" i="5"/>
  <c r="O437" i="5"/>
  <c r="M437" i="5"/>
  <c r="K437" i="5"/>
  <c r="I437" i="5"/>
  <c r="G437" i="5"/>
  <c r="E437" i="5"/>
  <c r="C437" i="5"/>
  <c r="AR436" i="5"/>
  <c r="AP436" i="5"/>
  <c r="AN436" i="5"/>
  <c r="AL436" i="5"/>
  <c r="AJ436" i="5"/>
  <c r="AR435" i="5"/>
  <c r="AP435" i="5"/>
  <c r="AN435" i="5"/>
  <c r="AL435" i="5"/>
  <c r="AJ435" i="5"/>
  <c r="AV434" i="5"/>
  <c r="AV433" i="5"/>
  <c r="AG431" i="5"/>
  <c r="AE431" i="5"/>
  <c r="AC431" i="5"/>
  <c r="AA431" i="5"/>
  <c r="Y431" i="5"/>
  <c r="W431" i="5"/>
  <c r="U431" i="5"/>
  <c r="S431" i="5"/>
  <c r="Q431" i="5"/>
  <c r="O431" i="5"/>
  <c r="M431" i="5"/>
  <c r="K431" i="5"/>
  <c r="I431" i="5"/>
  <c r="G431" i="5"/>
  <c r="E431" i="5"/>
  <c r="C431" i="5"/>
  <c r="AR430" i="5"/>
  <c r="AP430" i="5"/>
  <c r="AN430" i="5"/>
  <c r="AL430" i="5"/>
  <c r="AJ430" i="5"/>
  <c r="AR429" i="5"/>
  <c r="AP429" i="5"/>
  <c r="AN429" i="5"/>
  <c r="AL429" i="5"/>
  <c r="AJ429" i="5"/>
  <c r="AR428" i="5"/>
  <c r="AP428" i="5"/>
  <c r="AN428" i="5"/>
  <c r="AL428" i="5"/>
  <c r="AJ428" i="5"/>
  <c r="AR427" i="5"/>
  <c r="AP427" i="5"/>
  <c r="AN427" i="5"/>
  <c r="AL427" i="5"/>
  <c r="AJ427" i="5"/>
  <c r="AR426" i="5"/>
  <c r="AP426" i="5"/>
  <c r="AN426" i="5"/>
  <c r="AL426" i="5"/>
  <c r="AJ426" i="5"/>
  <c r="AR425" i="5"/>
  <c r="AP425" i="5"/>
  <c r="AN425" i="5"/>
  <c r="AL425" i="5"/>
  <c r="AJ425" i="5"/>
  <c r="AR424" i="5"/>
  <c r="AP424" i="5"/>
  <c r="AN424" i="5"/>
  <c r="AL424" i="5"/>
  <c r="AJ424" i="5"/>
  <c r="AR423" i="5"/>
  <c r="AP423" i="5"/>
  <c r="AN423" i="5"/>
  <c r="AL423" i="5"/>
  <c r="AJ423" i="5"/>
  <c r="AR422" i="5"/>
  <c r="AP422" i="5"/>
  <c r="AN422" i="5"/>
  <c r="AL422" i="5"/>
  <c r="AJ422" i="5"/>
  <c r="AR421" i="5"/>
  <c r="AP421" i="5"/>
  <c r="AN421" i="5"/>
  <c r="AL421" i="5"/>
  <c r="AJ421" i="5"/>
  <c r="AR420" i="5"/>
  <c r="AP420" i="5"/>
  <c r="AN420" i="5"/>
  <c r="AL420" i="5"/>
  <c r="AJ420" i="5"/>
  <c r="AR419" i="5"/>
  <c r="AP419" i="5"/>
  <c r="AN419" i="5"/>
  <c r="AL419" i="5"/>
  <c r="AJ419" i="5"/>
  <c r="AR418" i="5"/>
  <c r="AP418" i="5"/>
  <c r="AN418" i="5"/>
  <c r="AM418" i="5"/>
  <c r="AL418" i="5"/>
  <c r="AJ418" i="5"/>
  <c r="AR417" i="5"/>
  <c r="AP417" i="5"/>
  <c r="AN417" i="5"/>
  <c r="AL417" i="5"/>
  <c r="AJ417" i="5"/>
  <c r="AG416" i="5"/>
  <c r="AE416" i="5"/>
  <c r="AC416" i="5"/>
  <c r="AA416" i="5"/>
  <c r="Y416" i="5"/>
  <c r="W416" i="5"/>
  <c r="U416" i="5"/>
  <c r="S416" i="5"/>
  <c r="Q416" i="5"/>
  <c r="O416" i="5"/>
  <c r="M416" i="5"/>
  <c r="K416" i="5"/>
  <c r="I416" i="5"/>
  <c r="G416" i="5"/>
  <c r="E416" i="5"/>
  <c r="C416" i="5"/>
  <c r="AR415" i="5"/>
  <c r="AP415" i="5"/>
  <c r="AN415" i="5"/>
  <c r="AL415" i="5"/>
  <c r="AJ415" i="5"/>
  <c r="AR414" i="5"/>
  <c r="AP414" i="5"/>
  <c r="AN414" i="5"/>
  <c r="AL414" i="5"/>
  <c r="AJ414" i="5"/>
  <c r="AG413" i="5"/>
  <c r="AE413" i="5"/>
  <c r="AC413" i="5"/>
  <c r="AA413" i="5"/>
  <c r="Y413" i="5"/>
  <c r="W413" i="5"/>
  <c r="U413" i="5"/>
  <c r="S413" i="5"/>
  <c r="Q413" i="5"/>
  <c r="O413" i="5"/>
  <c r="M413" i="5"/>
  <c r="K413" i="5"/>
  <c r="I413" i="5"/>
  <c r="G413" i="5"/>
  <c r="E413" i="5"/>
  <c r="C413" i="5"/>
  <c r="AR412" i="5"/>
  <c r="AP412" i="5"/>
  <c r="AN412" i="5"/>
  <c r="AL412" i="5"/>
  <c r="AJ412" i="5"/>
  <c r="AR411" i="5"/>
  <c r="AP411" i="5"/>
  <c r="AN411" i="5"/>
  <c r="AL411" i="5"/>
  <c r="AJ411" i="5"/>
  <c r="AV410" i="5"/>
  <c r="AV409" i="5"/>
  <c r="AV408" i="5"/>
  <c r="AV407" i="5"/>
  <c r="AV405" i="5"/>
  <c r="AV404" i="5"/>
  <c r="AG402" i="5"/>
  <c r="AE402" i="5"/>
  <c r="AC402" i="5"/>
  <c r="AA402" i="5"/>
  <c r="Y402" i="5"/>
  <c r="W402" i="5"/>
  <c r="U402" i="5"/>
  <c r="S402" i="5"/>
  <c r="Q402" i="5"/>
  <c r="O402" i="5"/>
  <c r="M402" i="5"/>
  <c r="K402" i="5"/>
  <c r="I402" i="5"/>
  <c r="G402" i="5"/>
  <c r="E402" i="5"/>
  <c r="C402" i="5"/>
  <c r="AR401" i="5"/>
  <c r="AP401" i="5"/>
  <c r="AN401" i="5"/>
  <c r="AL401" i="5"/>
  <c r="AJ401" i="5"/>
  <c r="AR400" i="5"/>
  <c r="AP400" i="5"/>
  <c r="AN400" i="5"/>
  <c r="AL400" i="5"/>
  <c r="AJ400" i="5"/>
  <c r="AR399" i="5"/>
  <c r="AP399" i="5"/>
  <c r="AN399" i="5"/>
  <c r="AL399" i="5"/>
  <c r="AJ399" i="5"/>
  <c r="AR398" i="5"/>
  <c r="AP398" i="5"/>
  <c r="AN398" i="5"/>
  <c r="AL398" i="5"/>
  <c r="AJ398" i="5"/>
  <c r="AR397" i="5"/>
  <c r="AP397" i="5"/>
  <c r="AN397" i="5"/>
  <c r="AL397" i="5"/>
  <c r="AJ397" i="5"/>
  <c r="AR396" i="5"/>
  <c r="AP396" i="5"/>
  <c r="AN396" i="5"/>
  <c r="AL396" i="5"/>
  <c r="AJ396" i="5"/>
  <c r="AR395" i="5"/>
  <c r="AP395" i="5"/>
  <c r="AN395" i="5"/>
  <c r="AL395" i="5"/>
  <c r="AJ395" i="5"/>
  <c r="AG394" i="5"/>
  <c r="AE394" i="5"/>
  <c r="AC394" i="5"/>
  <c r="AA394" i="5"/>
  <c r="Y394" i="5"/>
  <c r="W394" i="5"/>
  <c r="U394" i="5"/>
  <c r="S394" i="5"/>
  <c r="Q394" i="5"/>
  <c r="O394" i="5"/>
  <c r="M394" i="5"/>
  <c r="K394" i="5"/>
  <c r="I394" i="5"/>
  <c r="G394" i="5"/>
  <c r="E394" i="5"/>
  <c r="C394" i="5"/>
  <c r="AR393" i="5"/>
  <c r="AP393" i="5"/>
  <c r="AN393" i="5"/>
  <c r="AL393" i="5"/>
  <c r="AJ393" i="5"/>
  <c r="AR392" i="5"/>
  <c r="AP392" i="5"/>
  <c r="AN392" i="5"/>
  <c r="AL392" i="5"/>
  <c r="AJ392" i="5"/>
  <c r="AR391" i="5"/>
  <c r="AP391" i="5"/>
  <c r="AN391" i="5"/>
  <c r="AL391" i="5"/>
  <c r="AJ391" i="5"/>
  <c r="AG390" i="5"/>
  <c r="AE390" i="5"/>
  <c r="AC390" i="5"/>
  <c r="AA390" i="5"/>
  <c r="Y390" i="5"/>
  <c r="W390" i="5"/>
  <c r="U390" i="5"/>
  <c r="S390" i="5"/>
  <c r="Q390" i="5"/>
  <c r="O390" i="5"/>
  <c r="M390" i="5"/>
  <c r="K390" i="5"/>
  <c r="I390" i="5"/>
  <c r="G390" i="5"/>
  <c r="E390" i="5"/>
  <c r="C390" i="5"/>
  <c r="AR389" i="5"/>
  <c r="AP389" i="5"/>
  <c r="AN389" i="5"/>
  <c r="AL389" i="5"/>
  <c r="AJ389" i="5"/>
  <c r="AR388" i="5"/>
  <c r="AP388" i="5"/>
  <c r="AN388" i="5"/>
  <c r="AL388" i="5"/>
  <c r="AJ388" i="5"/>
  <c r="AV387" i="5"/>
  <c r="AV386" i="5"/>
  <c r="AR384" i="5"/>
  <c r="AP384" i="5"/>
  <c r="AN384" i="5"/>
  <c r="AL384" i="5"/>
  <c r="AJ384" i="5"/>
  <c r="AR383" i="5"/>
  <c r="AP383" i="5"/>
  <c r="AN383" i="5"/>
  <c r="AL383" i="5"/>
  <c r="AJ383" i="5"/>
  <c r="AG382" i="5"/>
  <c r="AE382" i="5"/>
  <c r="AC382" i="5"/>
  <c r="AA382" i="5"/>
  <c r="Y382" i="5"/>
  <c r="W382" i="5"/>
  <c r="U382" i="5"/>
  <c r="S382" i="5"/>
  <c r="Q382" i="5"/>
  <c r="O382" i="5"/>
  <c r="M382" i="5"/>
  <c r="K382" i="5"/>
  <c r="I382" i="5"/>
  <c r="G382" i="5"/>
  <c r="E382" i="5"/>
  <c r="C382" i="5"/>
  <c r="AR381" i="5"/>
  <c r="AP381" i="5"/>
  <c r="AN381" i="5"/>
  <c r="AL381" i="5"/>
  <c r="AJ381" i="5"/>
  <c r="AR380" i="5"/>
  <c r="AP380" i="5"/>
  <c r="AN380" i="5"/>
  <c r="AL380" i="5"/>
  <c r="AJ380" i="5"/>
  <c r="AR379" i="5"/>
  <c r="AP379" i="5"/>
  <c r="AN379" i="5"/>
  <c r="AL379" i="5"/>
  <c r="AJ379" i="5"/>
  <c r="AG378" i="5"/>
  <c r="AE378" i="5"/>
  <c r="AC378" i="5"/>
  <c r="AA378" i="5"/>
  <c r="Y378" i="5"/>
  <c r="W378" i="5"/>
  <c r="U378" i="5"/>
  <c r="S378" i="5"/>
  <c r="Q378" i="5"/>
  <c r="O378" i="5"/>
  <c r="M378" i="5"/>
  <c r="K378" i="5"/>
  <c r="I378" i="5"/>
  <c r="G378" i="5"/>
  <c r="E378" i="5"/>
  <c r="C378" i="5"/>
  <c r="AR377" i="5"/>
  <c r="AP377" i="5"/>
  <c r="AN377" i="5"/>
  <c r="AL377" i="5"/>
  <c r="AJ377" i="5"/>
  <c r="AR376" i="5"/>
  <c r="AP376" i="5"/>
  <c r="AN376" i="5"/>
  <c r="AL376" i="5"/>
  <c r="AJ376" i="5"/>
  <c r="AG375" i="5"/>
  <c r="AE375" i="5"/>
  <c r="AC375" i="5"/>
  <c r="AA375" i="5"/>
  <c r="Y375" i="5"/>
  <c r="W375" i="5"/>
  <c r="U375" i="5"/>
  <c r="S375" i="5"/>
  <c r="Q375" i="5"/>
  <c r="O375" i="5"/>
  <c r="M375" i="5"/>
  <c r="K375" i="5"/>
  <c r="I375" i="5"/>
  <c r="G375" i="5"/>
  <c r="E375" i="5"/>
  <c r="C375" i="5"/>
  <c r="AR374" i="5"/>
  <c r="AP374" i="5"/>
  <c r="AN374" i="5"/>
  <c r="AL374" i="5"/>
  <c r="AJ374" i="5"/>
  <c r="AR373" i="5"/>
  <c r="AP373" i="5"/>
  <c r="AN373" i="5"/>
  <c r="AL373" i="5"/>
  <c r="AJ373" i="5"/>
  <c r="AG372" i="5"/>
  <c r="AE372" i="5"/>
  <c r="AC372" i="5"/>
  <c r="AA372" i="5"/>
  <c r="Y372" i="5"/>
  <c r="W372" i="5"/>
  <c r="U372" i="5"/>
  <c r="S372" i="5"/>
  <c r="Q372" i="5"/>
  <c r="O372" i="5"/>
  <c r="M372" i="5"/>
  <c r="K372" i="5"/>
  <c r="I372" i="5"/>
  <c r="G372" i="5"/>
  <c r="E372" i="5"/>
  <c r="C372" i="5"/>
  <c r="AR371" i="5"/>
  <c r="AP371" i="5"/>
  <c r="AN371" i="5"/>
  <c r="AL371" i="5"/>
  <c r="AJ371" i="5"/>
  <c r="AR370" i="5"/>
  <c r="AP370" i="5"/>
  <c r="AN370" i="5"/>
  <c r="AL370" i="5"/>
  <c r="AJ370" i="5"/>
  <c r="AV369" i="5"/>
  <c r="AV368" i="5"/>
  <c r="AG366" i="5"/>
  <c r="AG367" i="5" s="1"/>
  <c r="AE366" i="5"/>
  <c r="AE367" i="5" s="1"/>
  <c r="AC366" i="5"/>
  <c r="AC367" i="5" s="1"/>
  <c r="AA366" i="5"/>
  <c r="AA367" i="5" s="1"/>
  <c r="Y366" i="5"/>
  <c r="Y367" i="5" s="1"/>
  <c r="W366" i="5"/>
  <c r="W367" i="5" s="1"/>
  <c r="U366" i="5"/>
  <c r="U367" i="5" s="1"/>
  <c r="S366" i="5"/>
  <c r="S367" i="5" s="1"/>
  <c r="Q366" i="5"/>
  <c r="Q367" i="5" s="1"/>
  <c r="O366" i="5"/>
  <c r="O367" i="5" s="1"/>
  <c r="M366" i="5"/>
  <c r="M367" i="5" s="1"/>
  <c r="K366" i="5"/>
  <c r="K367" i="5" s="1"/>
  <c r="I366" i="5"/>
  <c r="I367" i="5" s="1"/>
  <c r="G366" i="5"/>
  <c r="E366" i="5"/>
  <c r="E367" i="5" s="1"/>
  <c r="C366" i="5"/>
  <c r="C367" i="5" s="1"/>
  <c r="AR365" i="5"/>
  <c r="AP365" i="5"/>
  <c r="AN365" i="5"/>
  <c r="AL365" i="5"/>
  <c r="AJ365" i="5"/>
  <c r="AR364" i="5"/>
  <c r="AP364" i="5"/>
  <c r="AN364" i="5"/>
  <c r="AL364" i="5"/>
  <c r="AJ364" i="5"/>
  <c r="AR363" i="5"/>
  <c r="AP363" i="5"/>
  <c r="AN363" i="5"/>
  <c r="AL363" i="5"/>
  <c r="AJ363" i="5"/>
  <c r="AR362" i="5"/>
  <c r="AP362" i="5"/>
  <c r="AN362" i="5"/>
  <c r="AL362" i="5"/>
  <c r="AJ362" i="5"/>
  <c r="AR361" i="5"/>
  <c r="AP361" i="5"/>
  <c r="AN361" i="5"/>
  <c r="AL361" i="5"/>
  <c r="AJ361" i="5"/>
  <c r="AR360" i="5"/>
  <c r="AP360" i="5"/>
  <c r="AN360" i="5"/>
  <c r="AL360" i="5"/>
  <c r="AJ360" i="5"/>
  <c r="AR359" i="5"/>
  <c r="AP359" i="5"/>
  <c r="AN359" i="5"/>
  <c r="AL359" i="5"/>
  <c r="AJ359" i="5"/>
  <c r="AR358" i="5"/>
  <c r="AP358" i="5"/>
  <c r="AN358" i="5"/>
  <c r="AL358" i="5"/>
  <c r="AJ358" i="5"/>
  <c r="AR357" i="5"/>
  <c r="AP357" i="5"/>
  <c r="AN357" i="5"/>
  <c r="AL357" i="5"/>
  <c r="AJ357" i="5"/>
  <c r="AV356" i="5"/>
  <c r="AV355" i="5"/>
  <c r="AQ354" i="5"/>
  <c r="AO354" i="5"/>
  <c r="AM354" i="5"/>
  <c r="AG354" i="5"/>
  <c r="AE354" i="5"/>
  <c r="AC354" i="5"/>
  <c r="AA354" i="5"/>
  <c r="Y354" i="5"/>
  <c r="W354" i="5"/>
  <c r="U354" i="5"/>
  <c r="S354" i="5"/>
  <c r="Q354" i="5"/>
  <c r="O354" i="5"/>
  <c r="M354" i="5"/>
  <c r="K354" i="5"/>
  <c r="I354" i="5"/>
  <c r="G354" i="5"/>
  <c r="E354" i="5"/>
  <c r="C354" i="5"/>
  <c r="AR353" i="5"/>
  <c r="AP353" i="5"/>
  <c r="AN353" i="5"/>
  <c r="AL353" i="5"/>
  <c r="AJ353" i="5"/>
  <c r="AR352" i="5"/>
  <c r="AP352" i="5"/>
  <c r="AN352" i="5"/>
  <c r="AL352" i="5"/>
  <c r="AJ352" i="5"/>
  <c r="AV351" i="5"/>
  <c r="AV350" i="5"/>
  <c r="AG349" i="5"/>
  <c r="AE349" i="5"/>
  <c r="AC349" i="5"/>
  <c r="AA349" i="5"/>
  <c r="Y349" i="5"/>
  <c r="W349" i="5"/>
  <c r="U349" i="5"/>
  <c r="S349" i="5"/>
  <c r="Q349" i="5"/>
  <c r="O349" i="5"/>
  <c r="M349" i="5"/>
  <c r="K349" i="5"/>
  <c r="I349" i="5"/>
  <c r="G349" i="5"/>
  <c r="E349" i="5"/>
  <c r="C349" i="5"/>
  <c r="AR348" i="5"/>
  <c r="AP348" i="5"/>
  <c r="AN348" i="5"/>
  <c r="AL348" i="5"/>
  <c r="AJ348" i="5"/>
  <c r="AR347" i="5"/>
  <c r="AP347" i="5"/>
  <c r="AN347" i="5"/>
  <c r="AL347" i="5"/>
  <c r="AJ347" i="5"/>
  <c r="AR346" i="5"/>
  <c r="AP346" i="5"/>
  <c r="AN346" i="5"/>
  <c r="AL346" i="5"/>
  <c r="AJ346" i="5"/>
  <c r="AR345" i="5"/>
  <c r="AP345" i="5"/>
  <c r="AN345" i="5"/>
  <c r="AL345" i="5"/>
  <c r="AJ345" i="5"/>
  <c r="AR344" i="5"/>
  <c r="AP344" i="5"/>
  <c r="AN344" i="5"/>
  <c r="AL344" i="5"/>
  <c r="AJ344" i="5"/>
  <c r="AR343" i="5"/>
  <c r="AP343" i="5"/>
  <c r="AN343" i="5"/>
  <c r="AL343" i="5"/>
  <c r="AJ343" i="5"/>
  <c r="AR342" i="5"/>
  <c r="AP342" i="5"/>
  <c r="AN342" i="5"/>
  <c r="AL342" i="5"/>
  <c r="AJ342" i="5"/>
  <c r="AR341" i="5"/>
  <c r="AP341" i="5"/>
  <c r="AN341" i="5"/>
  <c r="AL341" i="5"/>
  <c r="AJ341" i="5"/>
  <c r="AV340" i="5"/>
  <c r="AV339" i="5"/>
  <c r="AR337" i="5"/>
  <c r="AP337" i="5"/>
  <c r="AN337" i="5"/>
  <c r="AL337" i="5"/>
  <c r="AJ337" i="5"/>
  <c r="AG336" i="5"/>
  <c r="AE336" i="5"/>
  <c r="AC336" i="5"/>
  <c r="AA336" i="5"/>
  <c r="Y336" i="5"/>
  <c r="W336" i="5"/>
  <c r="U336" i="5"/>
  <c r="S336" i="5"/>
  <c r="Q336" i="5"/>
  <c r="O336" i="5"/>
  <c r="M336" i="5"/>
  <c r="K336" i="5"/>
  <c r="I336" i="5"/>
  <c r="G336" i="5"/>
  <c r="E336" i="5"/>
  <c r="C336" i="5"/>
  <c r="AR335" i="5"/>
  <c r="AP335" i="5"/>
  <c r="AN335" i="5"/>
  <c r="AL335" i="5"/>
  <c r="AJ335" i="5"/>
  <c r="AR334" i="5"/>
  <c r="AP334" i="5"/>
  <c r="AN334" i="5"/>
  <c r="AL334" i="5"/>
  <c r="AJ334" i="5"/>
  <c r="AR333" i="5"/>
  <c r="AP333" i="5"/>
  <c r="AN333" i="5"/>
  <c r="AL333" i="5"/>
  <c r="AJ333" i="5"/>
  <c r="AR332" i="5"/>
  <c r="AP332" i="5"/>
  <c r="AN332" i="5"/>
  <c r="AL332" i="5"/>
  <c r="AJ332" i="5"/>
  <c r="AG331" i="5"/>
  <c r="AE331" i="5"/>
  <c r="AC331" i="5"/>
  <c r="AA331" i="5"/>
  <c r="Y331" i="5"/>
  <c r="W331" i="5"/>
  <c r="U331" i="5"/>
  <c r="S331" i="5"/>
  <c r="Q331" i="5"/>
  <c r="O331" i="5"/>
  <c r="M331" i="5"/>
  <c r="K331" i="5"/>
  <c r="I331" i="5"/>
  <c r="G331" i="5"/>
  <c r="E331" i="5"/>
  <c r="C331" i="5"/>
  <c r="AR330" i="5"/>
  <c r="AP330" i="5"/>
  <c r="AN330" i="5"/>
  <c r="AL330" i="5"/>
  <c r="AJ330" i="5"/>
  <c r="AR329" i="5"/>
  <c r="AP329" i="5"/>
  <c r="AN329" i="5"/>
  <c r="AL329" i="5"/>
  <c r="AJ329" i="5"/>
  <c r="AV328" i="5"/>
  <c r="AV327" i="5"/>
  <c r="AG325" i="5"/>
  <c r="AE325" i="5"/>
  <c r="AC325" i="5"/>
  <c r="AA325" i="5"/>
  <c r="Y325" i="5"/>
  <c r="W325" i="5"/>
  <c r="U325" i="5"/>
  <c r="S325" i="5"/>
  <c r="Q325" i="5"/>
  <c r="O325" i="5"/>
  <c r="M325" i="5"/>
  <c r="K325" i="5"/>
  <c r="I325" i="5"/>
  <c r="G325" i="5"/>
  <c r="E325" i="5"/>
  <c r="C325" i="5"/>
  <c r="AR324" i="5"/>
  <c r="AP324" i="5"/>
  <c r="AN324" i="5"/>
  <c r="AL324" i="5"/>
  <c r="AJ324" i="5"/>
  <c r="AR323" i="5"/>
  <c r="AP323" i="5"/>
  <c r="AN323" i="5"/>
  <c r="AL323" i="5"/>
  <c r="AJ323" i="5"/>
  <c r="AG322" i="5"/>
  <c r="AE322" i="5"/>
  <c r="AC322" i="5"/>
  <c r="AA322" i="5"/>
  <c r="Y322" i="5"/>
  <c r="W322" i="5"/>
  <c r="U322" i="5"/>
  <c r="S322" i="5"/>
  <c r="Q322" i="5"/>
  <c r="O322" i="5"/>
  <c r="M322" i="5"/>
  <c r="K322" i="5"/>
  <c r="I322" i="5"/>
  <c r="G322" i="5"/>
  <c r="E322" i="5"/>
  <c r="C322" i="5"/>
  <c r="AR321" i="5"/>
  <c r="AP321" i="5"/>
  <c r="AN321" i="5"/>
  <c r="AL321" i="5"/>
  <c r="AJ321" i="5"/>
  <c r="AR320" i="5"/>
  <c r="AP320" i="5"/>
  <c r="AN320" i="5"/>
  <c r="AL320" i="5"/>
  <c r="AJ320" i="5"/>
  <c r="AR319" i="5"/>
  <c r="AP319" i="5"/>
  <c r="AN319" i="5"/>
  <c r="AL319" i="5"/>
  <c r="AJ319" i="5"/>
  <c r="AR318" i="5"/>
  <c r="AP318" i="5"/>
  <c r="AN318" i="5"/>
  <c r="AL318" i="5"/>
  <c r="AJ318" i="5"/>
  <c r="AG317" i="5"/>
  <c r="AE317" i="5"/>
  <c r="AC317" i="5"/>
  <c r="AA317" i="5"/>
  <c r="Y317" i="5"/>
  <c r="W317" i="5"/>
  <c r="U317" i="5"/>
  <c r="S317" i="5"/>
  <c r="Q317" i="5"/>
  <c r="O317" i="5"/>
  <c r="M317" i="5"/>
  <c r="K317" i="5"/>
  <c r="I317" i="5"/>
  <c r="G317" i="5"/>
  <c r="E317" i="5"/>
  <c r="C317" i="5"/>
  <c r="AR316" i="5"/>
  <c r="AP316" i="5"/>
  <c r="AN316" i="5"/>
  <c r="AL316" i="5"/>
  <c r="AJ316" i="5"/>
  <c r="AR315" i="5"/>
  <c r="AP315" i="5"/>
  <c r="AN315" i="5"/>
  <c r="AL315" i="5"/>
  <c r="AJ315" i="5"/>
  <c r="AR314" i="5"/>
  <c r="AP314" i="5"/>
  <c r="AN314" i="5"/>
  <c r="AL314" i="5"/>
  <c r="AJ314" i="5"/>
  <c r="AR313" i="5"/>
  <c r="AP313" i="5"/>
  <c r="AN313" i="5"/>
  <c r="AL313" i="5"/>
  <c r="AJ313" i="5"/>
  <c r="AR312" i="5"/>
  <c r="AP312" i="5"/>
  <c r="AN312" i="5"/>
  <c r="AL312" i="5"/>
  <c r="AJ312" i="5"/>
  <c r="AR311" i="5"/>
  <c r="AP311" i="5"/>
  <c r="AN311" i="5"/>
  <c r="AL311" i="5"/>
  <c r="AJ311" i="5"/>
  <c r="AR310" i="5"/>
  <c r="AP310" i="5"/>
  <c r="AN310" i="5"/>
  <c r="AL310" i="5"/>
  <c r="AJ310" i="5"/>
  <c r="AR309" i="5"/>
  <c r="AP309" i="5"/>
  <c r="AN309" i="5"/>
  <c r="AL309" i="5"/>
  <c r="AJ309" i="5"/>
  <c r="AR308" i="5"/>
  <c r="AP308" i="5"/>
  <c r="AN308" i="5"/>
  <c r="AL308" i="5"/>
  <c r="AJ308" i="5"/>
  <c r="AG307" i="5"/>
  <c r="AE307" i="5"/>
  <c r="AC307" i="5"/>
  <c r="AA307" i="5"/>
  <c r="Y307" i="5"/>
  <c r="W307" i="5"/>
  <c r="U307" i="5"/>
  <c r="S307" i="5"/>
  <c r="Q307" i="5"/>
  <c r="O307" i="5"/>
  <c r="M307" i="5"/>
  <c r="K307" i="5"/>
  <c r="I307" i="5"/>
  <c r="G307" i="5"/>
  <c r="E307" i="5"/>
  <c r="C307" i="5"/>
  <c r="AR306" i="5"/>
  <c r="AP306" i="5"/>
  <c r="AN306" i="5"/>
  <c r="AL306" i="5"/>
  <c r="AJ306" i="5"/>
  <c r="AR305" i="5"/>
  <c r="AP305" i="5"/>
  <c r="AN305" i="5"/>
  <c r="AL305" i="5"/>
  <c r="AJ305" i="5"/>
  <c r="AV304" i="5"/>
  <c r="AV303" i="5"/>
  <c r="AV302" i="5"/>
  <c r="AV301" i="5"/>
  <c r="AG300" i="5"/>
  <c r="AE300" i="5"/>
  <c r="AC300" i="5"/>
  <c r="AA300" i="5"/>
  <c r="Y300" i="5"/>
  <c r="W300" i="5"/>
  <c r="U300" i="5"/>
  <c r="S300" i="5"/>
  <c r="Q300" i="5"/>
  <c r="O300" i="5"/>
  <c r="M300" i="5"/>
  <c r="K300" i="5"/>
  <c r="I300" i="5"/>
  <c r="G300" i="5"/>
  <c r="E300" i="5"/>
  <c r="C300" i="5"/>
  <c r="AR299" i="5"/>
  <c r="AP299" i="5"/>
  <c r="AN299" i="5"/>
  <c r="AL299" i="5"/>
  <c r="AJ299" i="5"/>
  <c r="AR298" i="5"/>
  <c r="AP298" i="5"/>
  <c r="AN298" i="5"/>
  <c r="AL298" i="5"/>
  <c r="AJ298" i="5"/>
  <c r="AR297" i="5"/>
  <c r="AP297" i="5"/>
  <c r="AN297" i="5"/>
  <c r="AL297" i="5"/>
  <c r="AJ297" i="5"/>
  <c r="AR296" i="5"/>
  <c r="AP296" i="5"/>
  <c r="AN296" i="5"/>
  <c r="AL296" i="5"/>
  <c r="AJ296" i="5"/>
  <c r="AR295" i="5"/>
  <c r="AP295" i="5"/>
  <c r="AN295" i="5"/>
  <c r="AL295" i="5"/>
  <c r="AJ295" i="5"/>
  <c r="AR294" i="5"/>
  <c r="AP294" i="5"/>
  <c r="AN294" i="5"/>
  <c r="AL294" i="5"/>
  <c r="AJ294" i="5"/>
  <c r="AR293" i="5"/>
  <c r="AP293" i="5"/>
  <c r="AN293" i="5"/>
  <c r="AL293" i="5"/>
  <c r="AJ293" i="5"/>
  <c r="AR292" i="5"/>
  <c r="AP292" i="5"/>
  <c r="AN292" i="5"/>
  <c r="AL292" i="5"/>
  <c r="AJ292" i="5"/>
  <c r="AR291" i="5"/>
  <c r="AP291" i="5"/>
  <c r="AN291" i="5"/>
  <c r="AL291" i="5"/>
  <c r="AJ291" i="5"/>
  <c r="AR290" i="5"/>
  <c r="AP290" i="5"/>
  <c r="AN290" i="5"/>
  <c r="AL290" i="5"/>
  <c r="AJ290" i="5"/>
  <c r="AR289" i="5"/>
  <c r="AP289" i="5"/>
  <c r="AN289" i="5"/>
  <c r="AL289" i="5"/>
  <c r="AJ289" i="5"/>
  <c r="AR288" i="5"/>
  <c r="AP288" i="5"/>
  <c r="AN288" i="5"/>
  <c r="AL288" i="5"/>
  <c r="AJ288" i="5"/>
  <c r="AR287" i="5"/>
  <c r="AP287" i="5"/>
  <c r="AN287" i="5"/>
  <c r="AL287" i="5"/>
  <c r="AJ287" i="5"/>
  <c r="AR286" i="5"/>
  <c r="AP286" i="5"/>
  <c r="AN286" i="5"/>
  <c r="AL286" i="5"/>
  <c r="AJ286" i="5"/>
  <c r="AR285" i="5"/>
  <c r="AP285" i="5"/>
  <c r="AN285" i="5"/>
  <c r="AL285" i="5"/>
  <c r="AJ285" i="5"/>
  <c r="AR284" i="5"/>
  <c r="AP284" i="5"/>
  <c r="AN284" i="5"/>
  <c r="AL284" i="5"/>
  <c r="AJ284" i="5"/>
  <c r="AR283" i="5"/>
  <c r="AP283" i="5"/>
  <c r="AN283" i="5"/>
  <c r="AL283" i="5"/>
  <c r="AJ283" i="5"/>
  <c r="AR282" i="5"/>
  <c r="AP282" i="5"/>
  <c r="AN282" i="5"/>
  <c r="AL282" i="5"/>
  <c r="AJ282" i="5"/>
  <c r="AR281" i="5"/>
  <c r="AP281" i="5"/>
  <c r="AN281" i="5"/>
  <c r="AL281" i="5"/>
  <c r="AJ281" i="5"/>
  <c r="AR280" i="5"/>
  <c r="AP280" i="5"/>
  <c r="AN280" i="5"/>
  <c r="AL280" i="5"/>
  <c r="AJ280" i="5"/>
  <c r="AR279" i="5"/>
  <c r="AP279" i="5"/>
  <c r="AN279" i="5"/>
  <c r="AL279" i="5"/>
  <c r="AJ279" i="5"/>
  <c r="AR278" i="5"/>
  <c r="AP278" i="5"/>
  <c r="AN278" i="5"/>
  <c r="AL278" i="5"/>
  <c r="AJ278" i="5"/>
  <c r="AR277" i="5"/>
  <c r="AP277" i="5"/>
  <c r="AN277" i="5"/>
  <c r="AL277" i="5"/>
  <c r="AJ277" i="5"/>
  <c r="AR276" i="5"/>
  <c r="AP276" i="5"/>
  <c r="AN276" i="5"/>
  <c r="AL276" i="5"/>
  <c r="AJ276" i="5"/>
  <c r="AR275" i="5"/>
  <c r="AP275" i="5"/>
  <c r="AN275" i="5"/>
  <c r="AL275" i="5"/>
  <c r="AJ275" i="5"/>
  <c r="AR274" i="5"/>
  <c r="AP274" i="5"/>
  <c r="AN274" i="5"/>
  <c r="AL274" i="5"/>
  <c r="AJ274" i="5"/>
  <c r="AR273" i="5"/>
  <c r="AP273" i="5"/>
  <c r="AN273" i="5"/>
  <c r="AL273" i="5"/>
  <c r="AJ273" i="5"/>
  <c r="AR272" i="5"/>
  <c r="AP272" i="5"/>
  <c r="AN272" i="5"/>
  <c r="AL272" i="5"/>
  <c r="AJ272" i="5"/>
  <c r="AR271" i="5"/>
  <c r="AP271" i="5"/>
  <c r="AN271" i="5"/>
  <c r="AL271" i="5"/>
  <c r="AJ271" i="5"/>
  <c r="AR270" i="5"/>
  <c r="AP270" i="5"/>
  <c r="AN270" i="5"/>
  <c r="AL270" i="5"/>
  <c r="AJ270" i="5"/>
  <c r="AV269" i="5"/>
  <c r="AV268" i="5"/>
  <c r="AV267" i="5"/>
  <c r="AV266" i="5"/>
  <c r="AV265" i="5"/>
  <c r="AV264" i="5"/>
  <c r="AV262" i="5"/>
  <c r="AG261" i="5"/>
  <c r="AG263" i="5" s="1"/>
  <c r="AE261" i="5"/>
  <c r="AE263" i="5" s="1"/>
  <c r="AC261" i="5"/>
  <c r="AC263" i="5" s="1"/>
  <c r="AA261" i="5"/>
  <c r="AA263" i="5" s="1"/>
  <c r="Y261" i="5"/>
  <c r="Y263" i="5" s="1"/>
  <c r="W261" i="5"/>
  <c r="W263" i="5" s="1"/>
  <c r="U261" i="5"/>
  <c r="U263" i="5" s="1"/>
  <c r="S261" i="5"/>
  <c r="S263" i="5" s="1"/>
  <c r="Q261" i="5"/>
  <c r="Q263" i="5" s="1"/>
  <c r="O261" i="5"/>
  <c r="O263" i="5" s="1"/>
  <c r="M261" i="5"/>
  <c r="M263" i="5" s="1"/>
  <c r="K261" i="5"/>
  <c r="K263" i="5" s="1"/>
  <c r="I261" i="5"/>
  <c r="I263" i="5" s="1"/>
  <c r="G261" i="5"/>
  <c r="G263" i="5" s="1"/>
  <c r="E261" i="5"/>
  <c r="E263" i="5" s="1"/>
  <c r="C261" i="5"/>
  <c r="C263" i="5" s="1"/>
  <c r="AR260" i="5"/>
  <c r="AP260" i="5"/>
  <c r="AN260" i="5"/>
  <c r="AL260" i="5"/>
  <c r="AJ260" i="5"/>
  <c r="AR259" i="5"/>
  <c r="AP259" i="5"/>
  <c r="AN259" i="5"/>
  <c r="AL259" i="5"/>
  <c r="AJ259" i="5"/>
  <c r="AV258" i="5"/>
  <c r="AV257" i="5"/>
  <c r="AV255" i="5"/>
  <c r="AG254" i="5"/>
  <c r="AG256" i="5" s="1"/>
  <c r="AE254" i="5"/>
  <c r="AE256" i="5" s="1"/>
  <c r="AC254" i="5"/>
  <c r="AC256" i="5" s="1"/>
  <c r="AA254" i="5"/>
  <c r="AA256" i="5" s="1"/>
  <c r="Y254" i="5"/>
  <c r="Y256" i="5" s="1"/>
  <c r="W254" i="5"/>
  <c r="W256" i="5" s="1"/>
  <c r="U254" i="5"/>
  <c r="U256" i="5" s="1"/>
  <c r="S254" i="5"/>
  <c r="S256" i="5" s="1"/>
  <c r="Q254" i="5"/>
  <c r="Q256" i="5" s="1"/>
  <c r="O254" i="5"/>
  <c r="O256" i="5" s="1"/>
  <c r="M254" i="5"/>
  <c r="M256" i="5" s="1"/>
  <c r="K254" i="5"/>
  <c r="K256" i="5" s="1"/>
  <c r="I254" i="5"/>
  <c r="I256" i="5" s="1"/>
  <c r="G254" i="5"/>
  <c r="G256" i="5" s="1"/>
  <c r="E254" i="5"/>
  <c r="E256" i="5" s="1"/>
  <c r="C254" i="5"/>
  <c r="C256" i="5" s="1"/>
  <c r="AR253" i="5"/>
  <c r="AP253" i="5"/>
  <c r="AN253" i="5"/>
  <c r="AL253" i="5"/>
  <c r="AJ253" i="5"/>
  <c r="AR252" i="5"/>
  <c r="AP252" i="5"/>
  <c r="AN252" i="5"/>
  <c r="AL252" i="5"/>
  <c r="AJ252" i="5"/>
  <c r="AV251" i="5"/>
  <c r="AV250" i="5"/>
  <c r="AV249" i="5"/>
  <c r="AV248" i="5"/>
  <c r="AG245" i="5"/>
  <c r="AE245" i="5"/>
  <c r="AC245" i="5"/>
  <c r="AA245" i="5"/>
  <c r="Y245" i="5"/>
  <c r="W245" i="5"/>
  <c r="U245" i="5"/>
  <c r="S245" i="5"/>
  <c r="Q245" i="5"/>
  <c r="O245" i="5"/>
  <c r="M245" i="5"/>
  <c r="K245" i="5"/>
  <c r="I245" i="5"/>
  <c r="G245" i="5"/>
  <c r="E245" i="5"/>
  <c r="C245" i="5"/>
  <c r="AR244" i="5"/>
  <c r="AR245" i="5" s="1"/>
  <c r="AP244" i="5"/>
  <c r="AP245" i="5" s="1"/>
  <c r="AN244" i="5"/>
  <c r="AN245" i="5" s="1"/>
  <c r="AL244" i="5"/>
  <c r="AL245" i="5" s="1"/>
  <c r="AJ244" i="5"/>
  <c r="AJ245" i="5" s="1"/>
  <c r="AV242" i="5"/>
  <c r="AG241" i="5"/>
  <c r="AG247" i="5" s="1"/>
  <c r="AE241" i="5"/>
  <c r="AE247" i="5" s="1"/>
  <c r="AC241" i="5"/>
  <c r="AC247" i="5" s="1"/>
  <c r="AA241" i="5"/>
  <c r="AA247" i="5" s="1"/>
  <c r="Y241" i="5"/>
  <c r="Y247" i="5" s="1"/>
  <c r="W241" i="5"/>
  <c r="W247" i="5" s="1"/>
  <c r="U241" i="5"/>
  <c r="S241" i="5"/>
  <c r="Q241" i="5"/>
  <c r="O241" i="5"/>
  <c r="M241" i="5"/>
  <c r="M247" i="5" s="1"/>
  <c r="K241" i="5"/>
  <c r="K247" i="5" s="1"/>
  <c r="I241" i="5"/>
  <c r="I247" i="5" s="1"/>
  <c r="G241" i="5"/>
  <c r="G247" i="5" s="1"/>
  <c r="E241" i="5"/>
  <c r="E247" i="5" s="1"/>
  <c r="C241" i="5"/>
  <c r="C247" i="5" s="1"/>
  <c r="AR240" i="5"/>
  <c r="AR241" i="5" s="1"/>
  <c r="AR247" i="5" s="1"/>
  <c r="AP240" i="5"/>
  <c r="AP241" i="5" s="1"/>
  <c r="AP247" i="5" s="1"/>
  <c r="AN240" i="5"/>
  <c r="AN241" i="5" s="1"/>
  <c r="AN247" i="5" s="1"/>
  <c r="AL240" i="5"/>
  <c r="AL241" i="5" s="1"/>
  <c r="AL247" i="5" s="1"/>
  <c r="AJ240" i="5"/>
  <c r="AJ241" i="5" s="1"/>
  <c r="AV239" i="5"/>
  <c r="AV238" i="5"/>
  <c r="AV237" i="5"/>
  <c r="AV236" i="5"/>
  <c r="AV234" i="5"/>
  <c r="AV233" i="5"/>
  <c r="AV231" i="5"/>
  <c r="AV230" i="5"/>
  <c r="AG229" i="5"/>
  <c r="AE229" i="5"/>
  <c r="AC229" i="5"/>
  <c r="AA229" i="5"/>
  <c r="Y229" i="5"/>
  <c r="W229" i="5"/>
  <c r="U229" i="5"/>
  <c r="S229" i="5"/>
  <c r="Q229" i="5"/>
  <c r="O229" i="5"/>
  <c r="M229" i="5"/>
  <c r="K229" i="5"/>
  <c r="I229" i="5"/>
  <c r="G229" i="5"/>
  <c r="E229" i="5"/>
  <c r="C229" i="5"/>
  <c r="AR228" i="5"/>
  <c r="AP228" i="5"/>
  <c r="AN228" i="5"/>
  <c r="AL228" i="5"/>
  <c r="AJ228" i="5"/>
  <c r="AR227" i="5"/>
  <c r="AP227" i="5"/>
  <c r="AN227" i="5"/>
  <c r="AL227" i="5"/>
  <c r="AJ227" i="5"/>
  <c r="AR226" i="5"/>
  <c r="AP226" i="5"/>
  <c r="AN226" i="5"/>
  <c r="AL226" i="5"/>
  <c r="AJ226" i="5"/>
  <c r="AV225" i="5"/>
  <c r="AV224" i="5"/>
  <c r="AG222" i="5"/>
  <c r="AE222" i="5"/>
  <c r="AC222" i="5"/>
  <c r="AA222" i="5"/>
  <c r="Y222" i="5"/>
  <c r="W222" i="5"/>
  <c r="U222" i="5"/>
  <c r="S222" i="5"/>
  <c r="Q222" i="5"/>
  <c r="O222" i="5"/>
  <c r="M222" i="5"/>
  <c r="K222" i="5"/>
  <c r="I222" i="5"/>
  <c r="G222" i="5"/>
  <c r="E222" i="5"/>
  <c r="C222" i="5"/>
  <c r="AR221" i="5"/>
  <c r="AP221" i="5"/>
  <c r="AN221" i="5"/>
  <c r="AL221" i="5"/>
  <c r="AJ221" i="5"/>
  <c r="AR220" i="5"/>
  <c r="AP220" i="5"/>
  <c r="AN220" i="5"/>
  <c r="AL220" i="5"/>
  <c r="AJ220" i="5"/>
  <c r="AR219" i="5"/>
  <c r="AP219" i="5"/>
  <c r="AN219" i="5"/>
  <c r="AL219" i="5"/>
  <c r="AJ219" i="5"/>
  <c r="AR218" i="5"/>
  <c r="AP218" i="5"/>
  <c r="AN218" i="5"/>
  <c r="AL218" i="5"/>
  <c r="AJ218" i="5"/>
  <c r="AR217" i="5"/>
  <c r="AP217" i="5"/>
  <c r="AN217" i="5"/>
  <c r="AL217" i="5"/>
  <c r="AJ217" i="5"/>
  <c r="AR216" i="5"/>
  <c r="AP216" i="5"/>
  <c r="AN216" i="5"/>
  <c r="AL216" i="5"/>
  <c r="AJ216" i="5"/>
  <c r="AR215" i="5"/>
  <c r="AP215" i="5"/>
  <c r="AN215" i="5"/>
  <c r="AL215" i="5"/>
  <c r="AJ215" i="5"/>
  <c r="AR214" i="5"/>
  <c r="AP214" i="5"/>
  <c r="AN214" i="5"/>
  <c r="AL214" i="5"/>
  <c r="AJ214" i="5"/>
  <c r="AR213" i="5"/>
  <c r="AP213" i="5"/>
  <c r="AN213" i="5"/>
  <c r="AL213" i="5"/>
  <c r="AJ213" i="5"/>
  <c r="AR212" i="5"/>
  <c r="AP212" i="5"/>
  <c r="AN212" i="5"/>
  <c r="AL212" i="5"/>
  <c r="AJ212" i="5"/>
  <c r="AG211" i="5"/>
  <c r="AE211" i="5"/>
  <c r="AC211" i="5"/>
  <c r="AA211" i="5"/>
  <c r="Y211" i="5"/>
  <c r="W211" i="5"/>
  <c r="U211" i="5"/>
  <c r="S211" i="5"/>
  <c r="Q211" i="5"/>
  <c r="O211" i="5"/>
  <c r="M211" i="5"/>
  <c r="K211" i="5"/>
  <c r="I211" i="5"/>
  <c r="G211" i="5"/>
  <c r="E211" i="5"/>
  <c r="C211" i="5"/>
  <c r="AR210" i="5"/>
  <c r="AP210" i="5"/>
  <c r="AN210" i="5"/>
  <c r="AL210" i="5"/>
  <c r="AJ210" i="5"/>
  <c r="AR209" i="5"/>
  <c r="AP209" i="5"/>
  <c r="AN209" i="5"/>
  <c r="AL209" i="5"/>
  <c r="AJ209" i="5"/>
  <c r="AR208" i="5"/>
  <c r="AP208" i="5"/>
  <c r="AN208" i="5"/>
  <c r="AL208" i="5"/>
  <c r="AJ208" i="5"/>
  <c r="AG207" i="5"/>
  <c r="AE207" i="5"/>
  <c r="AC207" i="5"/>
  <c r="AA207" i="5"/>
  <c r="Y207" i="5"/>
  <c r="W207" i="5"/>
  <c r="U207" i="5"/>
  <c r="S207" i="5"/>
  <c r="Q207" i="5"/>
  <c r="O207" i="5"/>
  <c r="M207" i="5"/>
  <c r="K207" i="5"/>
  <c r="I207" i="5"/>
  <c r="G207" i="5"/>
  <c r="E207" i="5"/>
  <c r="C207" i="5"/>
  <c r="AR206" i="5"/>
  <c r="AP206" i="5"/>
  <c r="AN206" i="5"/>
  <c r="AL206" i="5"/>
  <c r="AJ206" i="5"/>
  <c r="AR205" i="5"/>
  <c r="AP205" i="5"/>
  <c r="AN205" i="5"/>
  <c r="AL205" i="5"/>
  <c r="AJ205" i="5"/>
  <c r="AR204" i="5"/>
  <c r="AP204" i="5"/>
  <c r="AN204" i="5"/>
  <c r="AL204" i="5"/>
  <c r="AJ204" i="5"/>
  <c r="AG203" i="5"/>
  <c r="AE203" i="5"/>
  <c r="AC203" i="5"/>
  <c r="AA203" i="5"/>
  <c r="Y203" i="5"/>
  <c r="W203" i="5"/>
  <c r="U203" i="5"/>
  <c r="S203" i="5"/>
  <c r="Q203" i="5"/>
  <c r="O203" i="5"/>
  <c r="M203" i="5"/>
  <c r="K203" i="5"/>
  <c r="I203" i="5"/>
  <c r="G203" i="5"/>
  <c r="E203" i="5"/>
  <c r="C203" i="5"/>
  <c r="AR202" i="5"/>
  <c r="AP202" i="5"/>
  <c r="AN202" i="5"/>
  <c r="AL202" i="5"/>
  <c r="AJ202" i="5"/>
  <c r="AR201" i="5"/>
  <c r="AP201" i="5"/>
  <c r="AN201" i="5"/>
  <c r="AL201" i="5"/>
  <c r="AJ201" i="5"/>
  <c r="AV200" i="5"/>
  <c r="AV199" i="5"/>
  <c r="AG198" i="5"/>
  <c r="AE198" i="5"/>
  <c r="AC198" i="5"/>
  <c r="AA198" i="5"/>
  <c r="Y198" i="5"/>
  <c r="W198" i="5"/>
  <c r="U198" i="5"/>
  <c r="S198" i="5"/>
  <c r="Q198" i="5"/>
  <c r="O198" i="5"/>
  <c r="M198" i="5"/>
  <c r="K198" i="5"/>
  <c r="I198" i="5"/>
  <c r="G198" i="5"/>
  <c r="E198" i="5"/>
  <c r="C198" i="5"/>
  <c r="AR197" i="5"/>
  <c r="AR198" i="5" s="1"/>
  <c r="AP197" i="5"/>
  <c r="AP198" i="5" s="1"/>
  <c r="AN197" i="5"/>
  <c r="AN198" i="5" s="1"/>
  <c r="AL197" i="5"/>
  <c r="AJ197" i="5"/>
  <c r="AJ198" i="5" s="1"/>
  <c r="AV196" i="5"/>
  <c r="AV195" i="5"/>
  <c r="AR193" i="5"/>
  <c r="AP193" i="5"/>
  <c r="AN193" i="5"/>
  <c r="AL193" i="5"/>
  <c r="AJ193" i="5"/>
  <c r="AG192" i="5"/>
  <c r="AE192" i="5"/>
  <c r="AC192" i="5"/>
  <c r="AA192" i="5"/>
  <c r="Y192" i="5"/>
  <c r="W192" i="5"/>
  <c r="U192" i="5"/>
  <c r="S192" i="5"/>
  <c r="Q192" i="5"/>
  <c r="O192" i="5"/>
  <c r="M192" i="5"/>
  <c r="K192" i="5"/>
  <c r="I192" i="5"/>
  <c r="G192" i="5"/>
  <c r="E192" i="5"/>
  <c r="C192" i="5"/>
  <c r="AR191" i="5"/>
  <c r="AP191" i="5"/>
  <c r="AN191" i="5"/>
  <c r="AL191" i="5"/>
  <c r="AJ191" i="5"/>
  <c r="AR190" i="5"/>
  <c r="AP190" i="5"/>
  <c r="AN190" i="5"/>
  <c r="AL190" i="5"/>
  <c r="AJ190" i="5"/>
  <c r="AR189" i="5"/>
  <c r="AP189" i="5"/>
  <c r="AN189" i="5"/>
  <c r="AL189" i="5"/>
  <c r="AJ189" i="5"/>
  <c r="AR188" i="5"/>
  <c r="AP188" i="5"/>
  <c r="AN188" i="5"/>
  <c r="AL188" i="5"/>
  <c r="AJ188" i="5"/>
  <c r="AG187" i="5"/>
  <c r="AE187" i="5"/>
  <c r="AC187" i="5"/>
  <c r="AA187" i="5"/>
  <c r="Y187" i="5"/>
  <c r="W187" i="5"/>
  <c r="U187" i="5"/>
  <c r="S187" i="5"/>
  <c r="Q187" i="5"/>
  <c r="O187" i="5"/>
  <c r="M187" i="5"/>
  <c r="K187" i="5"/>
  <c r="I187" i="5"/>
  <c r="G187" i="5"/>
  <c r="E187" i="5"/>
  <c r="C187" i="5"/>
  <c r="AR186" i="5"/>
  <c r="AP186" i="5"/>
  <c r="AN186" i="5"/>
  <c r="AL186" i="5"/>
  <c r="AJ186" i="5"/>
  <c r="AR185" i="5"/>
  <c r="AP185" i="5"/>
  <c r="AN185" i="5"/>
  <c r="AL185" i="5"/>
  <c r="AJ185" i="5"/>
  <c r="AR184" i="5"/>
  <c r="AP184" i="5"/>
  <c r="AN184" i="5"/>
  <c r="AL184" i="5"/>
  <c r="AJ184" i="5"/>
  <c r="AV183" i="5"/>
  <c r="AV182" i="5"/>
  <c r="AH180" i="5"/>
  <c r="AG180" i="5"/>
  <c r="AE180" i="5"/>
  <c r="AC180" i="5"/>
  <c r="AA180" i="5"/>
  <c r="Y180" i="5"/>
  <c r="W180" i="5"/>
  <c r="U180" i="5"/>
  <c r="S180" i="5"/>
  <c r="Q180" i="5"/>
  <c r="O180" i="5"/>
  <c r="M180" i="5"/>
  <c r="K180" i="5"/>
  <c r="I180" i="5"/>
  <c r="G180" i="5"/>
  <c r="E180" i="5"/>
  <c r="C180" i="5"/>
  <c r="AR179" i="5"/>
  <c r="AP179" i="5"/>
  <c r="AN179" i="5"/>
  <c r="AL179" i="5"/>
  <c r="AJ179" i="5"/>
  <c r="AR178" i="5"/>
  <c r="AP178" i="5"/>
  <c r="AN178" i="5"/>
  <c r="AL178" i="5"/>
  <c r="AJ178" i="5"/>
  <c r="AR177" i="5"/>
  <c r="AP177" i="5"/>
  <c r="AN177" i="5"/>
  <c r="AL177" i="5"/>
  <c r="AJ177" i="5"/>
  <c r="AR176" i="5"/>
  <c r="AP176" i="5"/>
  <c r="AN176" i="5"/>
  <c r="AL176" i="5"/>
  <c r="AJ176" i="5"/>
  <c r="AR175" i="5"/>
  <c r="AP175" i="5"/>
  <c r="AN175" i="5"/>
  <c r="AL175" i="5"/>
  <c r="AJ175" i="5"/>
  <c r="AR174" i="5"/>
  <c r="AP174" i="5"/>
  <c r="AN174" i="5"/>
  <c r="AL174" i="5"/>
  <c r="AJ174" i="5"/>
  <c r="AR173" i="5"/>
  <c r="AP173" i="5"/>
  <c r="AN173" i="5"/>
  <c r="AL173" i="5"/>
  <c r="AJ173" i="5"/>
  <c r="AR172" i="5"/>
  <c r="AP172" i="5"/>
  <c r="AN172" i="5"/>
  <c r="AL172" i="5"/>
  <c r="AJ172" i="5"/>
  <c r="AR171" i="5"/>
  <c r="AP171" i="5"/>
  <c r="AN171" i="5"/>
  <c r="AL171" i="5"/>
  <c r="AJ171" i="5"/>
  <c r="AR170" i="5"/>
  <c r="AP170" i="5"/>
  <c r="AN170" i="5"/>
  <c r="AL170" i="5"/>
  <c r="AJ170" i="5"/>
  <c r="AR169" i="5"/>
  <c r="AP169" i="5"/>
  <c r="AN169" i="5"/>
  <c r="AL169" i="5"/>
  <c r="AJ169" i="5"/>
  <c r="AR168" i="5"/>
  <c r="AP168" i="5"/>
  <c r="AN168" i="5"/>
  <c r="AL168" i="5"/>
  <c r="AJ168" i="5"/>
  <c r="AG167" i="5"/>
  <c r="AE167" i="5"/>
  <c r="AC167" i="5"/>
  <c r="AA167" i="5"/>
  <c r="Y167" i="5"/>
  <c r="W167" i="5"/>
  <c r="U167" i="5"/>
  <c r="S167" i="5"/>
  <c r="Q167" i="5"/>
  <c r="O167" i="5"/>
  <c r="M167" i="5"/>
  <c r="K167" i="5"/>
  <c r="I167" i="5"/>
  <c r="G167" i="5"/>
  <c r="E167" i="5"/>
  <c r="C167" i="5"/>
  <c r="AR166" i="5"/>
  <c r="AP166" i="5"/>
  <c r="AN166" i="5"/>
  <c r="AL166" i="5"/>
  <c r="AJ166" i="5"/>
  <c r="AR165" i="5"/>
  <c r="AP165" i="5"/>
  <c r="AN165" i="5"/>
  <c r="AL165" i="5"/>
  <c r="AJ165" i="5"/>
  <c r="AG164" i="5"/>
  <c r="AE164" i="5"/>
  <c r="AC164" i="5"/>
  <c r="AA164" i="5"/>
  <c r="Y164" i="5"/>
  <c r="W164" i="5"/>
  <c r="U164" i="5"/>
  <c r="S164" i="5"/>
  <c r="Q164" i="5"/>
  <c r="O164" i="5"/>
  <c r="M164" i="5"/>
  <c r="K164" i="5"/>
  <c r="I164" i="5"/>
  <c r="G164" i="5"/>
  <c r="E164" i="5"/>
  <c r="C164" i="5"/>
  <c r="AR163" i="5"/>
  <c r="AP163" i="5"/>
  <c r="AN163" i="5"/>
  <c r="AL163" i="5"/>
  <c r="AJ163" i="5"/>
  <c r="AR162" i="5"/>
  <c r="AP162" i="5"/>
  <c r="AN162" i="5"/>
  <c r="AL162" i="5"/>
  <c r="AJ162" i="5"/>
  <c r="AV161" i="5"/>
  <c r="AV160" i="5"/>
  <c r="AV159" i="5"/>
  <c r="AV158" i="5"/>
  <c r="AV156" i="5"/>
  <c r="AV155" i="5"/>
  <c r="AG153" i="5"/>
  <c r="AE153" i="5"/>
  <c r="AC153" i="5"/>
  <c r="AA153" i="5"/>
  <c r="Y153" i="5"/>
  <c r="W153" i="5"/>
  <c r="U153" i="5"/>
  <c r="S153" i="5"/>
  <c r="Q153" i="5"/>
  <c r="O153" i="5"/>
  <c r="M153" i="5"/>
  <c r="K153" i="5"/>
  <c r="I153" i="5"/>
  <c r="G153" i="5"/>
  <c r="E153" i="5"/>
  <c r="C153" i="5"/>
  <c r="AR152" i="5"/>
  <c r="AP152" i="5"/>
  <c r="AN152" i="5"/>
  <c r="AL152" i="5"/>
  <c r="AJ152" i="5"/>
  <c r="AR151" i="5"/>
  <c r="AP151" i="5"/>
  <c r="AN151" i="5"/>
  <c r="AL151" i="5"/>
  <c r="AJ151" i="5"/>
  <c r="AR150" i="5"/>
  <c r="AP150" i="5"/>
  <c r="AN150" i="5"/>
  <c r="AL150" i="5"/>
  <c r="AJ150" i="5"/>
  <c r="AR149" i="5"/>
  <c r="AP149" i="5"/>
  <c r="AN149" i="5"/>
  <c r="AL149" i="5"/>
  <c r="AJ149" i="5"/>
  <c r="AR148" i="5"/>
  <c r="AP148" i="5"/>
  <c r="AN148" i="5"/>
  <c r="AL148" i="5"/>
  <c r="AJ148" i="5"/>
  <c r="AR147" i="5"/>
  <c r="AP147" i="5"/>
  <c r="AN147" i="5"/>
  <c r="AL147" i="5"/>
  <c r="AJ147" i="5"/>
  <c r="AR146" i="5"/>
  <c r="AP146" i="5"/>
  <c r="AN146" i="5"/>
  <c r="AL146" i="5"/>
  <c r="AJ146" i="5"/>
  <c r="AG145" i="5"/>
  <c r="AE145" i="5"/>
  <c r="AC145" i="5"/>
  <c r="AA145" i="5"/>
  <c r="Y145" i="5"/>
  <c r="W145" i="5"/>
  <c r="U145" i="5"/>
  <c r="S145" i="5"/>
  <c r="Q145" i="5"/>
  <c r="O145" i="5"/>
  <c r="M145" i="5"/>
  <c r="K145" i="5"/>
  <c r="I145" i="5"/>
  <c r="G145" i="5"/>
  <c r="E145" i="5"/>
  <c r="C145" i="5"/>
  <c r="AR144" i="5"/>
  <c r="AP144" i="5"/>
  <c r="AN144" i="5"/>
  <c r="AL144" i="5"/>
  <c r="AJ144" i="5"/>
  <c r="AR143" i="5"/>
  <c r="AP143" i="5"/>
  <c r="AN143" i="5"/>
  <c r="AL143" i="5"/>
  <c r="AJ143" i="5"/>
  <c r="AR142" i="5"/>
  <c r="AP142" i="5"/>
  <c r="AN142" i="5"/>
  <c r="AL142" i="5"/>
  <c r="AJ142" i="5"/>
  <c r="AR141" i="5"/>
  <c r="AP141" i="5"/>
  <c r="AN141" i="5"/>
  <c r="AL141" i="5"/>
  <c r="AJ141" i="5"/>
  <c r="AR140" i="5"/>
  <c r="AP140" i="5"/>
  <c r="AN140" i="5"/>
  <c r="AL140" i="5"/>
  <c r="AJ140" i="5"/>
  <c r="AG139" i="5"/>
  <c r="AE139" i="5"/>
  <c r="AC139" i="5"/>
  <c r="AA139" i="5"/>
  <c r="Y139" i="5"/>
  <c r="W139" i="5"/>
  <c r="U139" i="5"/>
  <c r="S139" i="5"/>
  <c r="Q139" i="5"/>
  <c r="O139" i="5"/>
  <c r="M139" i="5"/>
  <c r="K139" i="5"/>
  <c r="I139" i="5"/>
  <c r="G139" i="5"/>
  <c r="E139" i="5"/>
  <c r="C139" i="5"/>
  <c r="AR138" i="5"/>
  <c r="AP138" i="5"/>
  <c r="AN138" i="5"/>
  <c r="AL138" i="5"/>
  <c r="AJ138" i="5"/>
  <c r="AR137" i="5"/>
  <c r="AP137" i="5"/>
  <c r="AN137" i="5"/>
  <c r="AL137" i="5"/>
  <c r="AJ137" i="5"/>
  <c r="AV136" i="5"/>
  <c r="AV135" i="5"/>
  <c r="AR133" i="5"/>
  <c r="AP133" i="5"/>
  <c r="AN133" i="5"/>
  <c r="AL133" i="5"/>
  <c r="AJ133" i="5"/>
  <c r="AR132" i="5"/>
  <c r="AP132" i="5"/>
  <c r="AA132" i="5"/>
  <c r="AN132" i="5" s="1"/>
  <c r="Y132" i="5"/>
  <c r="AL132" i="5" s="1"/>
  <c r="AR131" i="5"/>
  <c r="AP131" i="5"/>
  <c r="AN131" i="5"/>
  <c r="AL131" i="5"/>
  <c r="AJ131" i="5"/>
  <c r="AG130" i="5"/>
  <c r="AE130" i="5"/>
  <c r="AC130" i="5"/>
  <c r="AA130" i="5"/>
  <c r="Y130" i="5"/>
  <c r="W130" i="5"/>
  <c r="U130" i="5"/>
  <c r="S130" i="5"/>
  <c r="Q130" i="5"/>
  <c r="O130" i="5"/>
  <c r="M130" i="5"/>
  <c r="K130" i="5"/>
  <c r="I130" i="5"/>
  <c r="G130" i="5"/>
  <c r="E130" i="5"/>
  <c r="C130" i="5"/>
  <c r="AR129" i="5"/>
  <c r="AP129" i="5"/>
  <c r="AN129" i="5"/>
  <c r="AL129" i="5"/>
  <c r="AJ129" i="5"/>
  <c r="AR128" i="5"/>
  <c r="AP128" i="5"/>
  <c r="AN128" i="5"/>
  <c r="AL128" i="5"/>
  <c r="AJ128" i="5"/>
  <c r="AR127" i="5"/>
  <c r="AP127" i="5"/>
  <c r="AN127" i="5"/>
  <c r="AL127" i="5"/>
  <c r="AJ127" i="5"/>
  <c r="AG126" i="5"/>
  <c r="AE126" i="5"/>
  <c r="AC126" i="5"/>
  <c r="AA126" i="5"/>
  <c r="Y126" i="5"/>
  <c r="W126" i="5"/>
  <c r="U126" i="5"/>
  <c r="S126" i="5"/>
  <c r="Q126" i="5"/>
  <c r="O126" i="5"/>
  <c r="M126" i="5"/>
  <c r="K126" i="5"/>
  <c r="I126" i="5"/>
  <c r="G126" i="5"/>
  <c r="E126" i="5"/>
  <c r="C126" i="5"/>
  <c r="AR125" i="5"/>
  <c r="AP125" i="5"/>
  <c r="AN125" i="5"/>
  <c r="AL125" i="5"/>
  <c r="AJ125" i="5"/>
  <c r="AR124" i="5"/>
  <c r="AP124" i="5"/>
  <c r="AN124" i="5"/>
  <c r="AL124" i="5"/>
  <c r="AJ124" i="5"/>
  <c r="AG123" i="5"/>
  <c r="AE123" i="5"/>
  <c r="AC123" i="5"/>
  <c r="AA123" i="5"/>
  <c r="Y123" i="5"/>
  <c r="W123" i="5"/>
  <c r="U123" i="5"/>
  <c r="S123" i="5"/>
  <c r="Q123" i="5"/>
  <c r="O123" i="5"/>
  <c r="M123" i="5"/>
  <c r="K123" i="5"/>
  <c r="I123" i="5"/>
  <c r="G123" i="5"/>
  <c r="E123" i="5"/>
  <c r="C123" i="5"/>
  <c r="AR122" i="5"/>
  <c r="AP122" i="5"/>
  <c r="AN122" i="5"/>
  <c r="AL122" i="5"/>
  <c r="AJ122" i="5"/>
  <c r="AR121" i="5"/>
  <c r="AP121" i="5"/>
  <c r="AN121" i="5"/>
  <c r="AL121" i="5"/>
  <c r="AJ121" i="5"/>
  <c r="AG120" i="5"/>
  <c r="AE120" i="5"/>
  <c r="AC120" i="5"/>
  <c r="AA120" i="5"/>
  <c r="Y120" i="5"/>
  <c r="W120" i="5"/>
  <c r="U120" i="5"/>
  <c r="S120" i="5"/>
  <c r="Q120" i="5"/>
  <c r="O120" i="5"/>
  <c r="M120" i="5"/>
  <c r="K120" i="5"/>
  <c r="I120" i="5"/>
  <c r="G120" i="5"/>
  <c r="E120" i="5"/>
  <c r="C120" i="5"/>
  <c r="AR119" i="5"/>
  <c r="AP119" i="5"/>
  <c r="AN119" i="5"/>
  <c r="AL119" i="5"/>
  <c r="AJ119" i="5"/>
  <c r="AR118" i="5"/>
  <c r="AP118" i="5"/>
  <c r="AN118" i="5"/>
  <c r="AL118" i="5"/>
  <c r="AJ118" i="5"/>
  <c r="AR117" i="5"/>
  <c r="AP117" i="5"/>
  <c r="AN117" i="5"/>
  <c r="AL117" i="5"/>
  <c r="AJ117" i="5"/>
  <c r="AV116" i="5"/>
  <c r="AV115" i="5"/>
  <c r="O114" i="5"/>
  <c r="AG113" i="5"/>
  <c r="AG114" i="5" s="1"/>
  <c r="AE113" i="5"/>
  <c r="AE114" i="5" s="1"/>
  <c r="AC113" i="5"/>
  <c r="AC114" i="5" s="1"/>
  <c r="AA113" i="5"/>
  <c r="AA114" i="5" s="1"/>
  <c r="Y113" i="5"/>
  <c r="Y114" i="5" s="1"/>
  <c r="W113" i="5"/>
  <c r="U113" i="5"/>
  <c r="U114" i="5" s="1"/>
  <c r="S113" i="5"/>
  <c r="S114" i="5" s="1"/>
  <c r="Q113" i="5"/>
  <c r="Q114" i="5" s="1"/>
  <c r="O113" i="5"/>
  <c r="M113" i="5"/>
  <c r="M114" i="5" s="1"/>
  <c r="K113" i="5"/>
  <c r="K114" i="5" s="1"/>
  <c r="I113" i="5"/>
  <c r="G113" i="5"/>
  <c r="G114" i="5" s="1"/>
  <c r="E113" i="5"/>
  <c r="E114" i="5" s="1"/>
  <c r="C113" i="5"/>
  <c r="C114" i="5" s="1"/>
  <c r="AR112" i="5"/>
  <c r="AP112" i="5"/>
  <c r="AN112" i="5"/>
  <c r="AL112" i="5"/>
  <c r="AJ112" i="5"/>
  <c r="AR111" i="5"/>
  <c r="AP111" i="5"/>
  <c r="AN111" i="5"/>
  <c r="AL111" i="5"/>
  <c r="AJ111" i="5"/>
  <c r="AR110" i="5"/>
  <c r="AP110" i="5"/>
  <c r="AN110" i="5"/>
  <c r="AL110" i="5"/>
  <c r="AJ110" i="5"/>
  <c r="AR109" i="5"/>
  <c r="AP109" i="5"/>
  <c r="AN109" i="5"/>
  <c r="AL109" i="5"/>
  <c r="AJ109" i="5"/>
  <c r="AR108" i="5"/>
  <c r="AP108" i="5"/>
  <c r="AN108" i="5"/>
  <c r="AL108" i="5"/>
  <c r="AJ108" i="5"/>
  <c r="AR107" i="5"/>
  <c r="AP107" i="5"/>
  <c r="AN107" i="5"/>
  <c r="AL107" i="5"/>
  <c r="AJ107" i="5"/>
  <c r="AR106" i="5"/>
  <c r="AP106" i="5"/>
  <c r="AN106" i="5"/>
  <c r="AL106" i="5"/>
  <c r="AJ106" i="5"/>
  <c r="AR105" i="5"/>
  <c r="AP105" i="5"/>
  <c r="AN105" i="5"/>
  <c r="AL105" i="5"/>
  <c r="AJ105" i="5"/>
  <c r="AR104" i="5"/>
  <c r="AP104" i="5"/>
  <c r="AN104" i="5"/>
  <c r="AL104" i="5"/>
  <c r="AJ104" i="5"/>
  <c r="AV103" i="5"/>
  <c r="AV102" i="5"/>
  <c r="AG101" i="5"/>
  <c r="AE101" i="5"/>
  <c r="AC101" i="5"/>
  <c r="AA101" i="5"/>
  <c r="Y101" i="5"/>
  <c r="W101" i="5"/>
  <c r="U101" i="5"/>
  <c r="S101" i="5"/>
  <c r="Q101" i="5"/>
  <c r="O101" i="5"/>
  <c r="M101" i="5"/>
  <c r="K101" i="5"/>
  <c r="I101" i="5"/>
  <c r="G101" i="5"/>
  <c r="E101" i="5"/>
  <c r="C101" i="5"/>
  <c r="AR100" i="5"/>
  <c r="AP100" i="5"/>
  <c r="AN100" i="5"/>
  <c r="AL100" i="5"/>
  <c r="AJ100" i="5"/>
  <c r="AR99" i="5"/>
  <c r="AP99" i="5"/>
  <c r="AN99" i="5"/>
  <c r="AL99" i="5"/>
  <c r="AJ99" i="5"/>
  <c r="AV98" i="5"/>
  <c r="AV97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C96" i="5"/>
  <c r="AR95" i="5"/>
  <c r="AP95" i="5"/>
  <c r="AN95" i="5"/>
  <c r="AL95" i="5"/>
  <c r="AJ95" i="5"/>
  <c r="AR94" i="5"/>
  <c r="AP94" i="5"/>
  <c r="AN94" i="5"/>
  <c r="AL94" i="5"/>
  <c r="AJ94" i="5"/>
  <c r="AR93" i="5"/>
  <c r="AP93" i="5"/>
  <c r="AN93" i="5"/>
  <c r="AL93" i="5"/>
  <c r="AJ93" i="5"/>
  <c r="AR92" i="5"/>
  <c r="AP92" i="5"/>
  <c r="AN92" i="5"/>
  <c r="AL92" i="5"/>
  <c r="AJ92" i="5"/>
  <c r="AR91" i="5"/>
  <c r="AP91" i="5"/>
  <c r="AN91" i="5"/>
  <c r="AL91" i="5"/>
  <c r="AJ91" i="5"/>
  <c r="AR90" i="5"/>
  <c r="AP90" i="5"/>
  <c r="AN90" i="5"/>
  <c r="AL90" i="5"/>
  <c r="AJ90" i="5"/>
  <c r="AR89" i="5"/>
  <c r="AP89" i="5"/>
  <c r="AN89" i="5"/>
  <c r="AL89" i="5"/>
  <c r="AJ89" i="5"/>
  <c r="AR88" i="5"/>
  <c r="AP88" i="5"/>
  <c r="AN88" i="5"/>
  <c r="AL88" i="5"/>
  <c r="AJ88" i="5"/>
  <c r="AV87" i="5"/>
  <c r="AV86" i="5"/>
  <c r="AR84" i="5"/>
  <c r="AP84" i="5"/>
  <c r="AN84" i="5"/>
  <c r="AL84" i="5"/>
  <c r="AJ84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C83" i="5"/>
  <c r="AR82" i="5"/>
  <c r="AP82" i="5"/>
  <c r="AN82" i="5"/>
  <c r="AL82" i="5"/>
  <c r="AJ82" i="5"/>
  <c r="AR81" i="5"/>
  <c r="AP81" i="5"/>
  <c r="AN81" i="5"/>
  <c r="AL81" i="5"/>
  <c r="AJ81" i="5"/>
  <c r="AR80" i="5"/>
  <c r="AP80" i="5"/>
  <c r="AN80" i="5"/>
  <c r="AL80" i="5"/>
  <c r="AJ80" i="5"/>
  <c r="AR79" i="5"/>
  <c r="AP79" i="5"/>
  <c r="AN79" i="5"/>
  <c r="AL79" i="5"/>
  <c r="AJ79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E78" i="5"/>
  <c r="C78" i="5"/>
  <c r="AR77" i="5"/>
  <c r="AP77" i="5"/>
  <c r="AN77" i="5"/>
  <c r="AL77" i="5"/>
  <c r="AJ77" i="5"/>
  <c r="AR76" i="5"/>
  <c r="AP76" i="5"/>
  <c r="AN76" i="5"/>
  <c r="AL76" i="5"/>
  <c r="AJ76" i="5"/>
  <c r="AR75" i="5"/>
  <c r="AP75" i="5"/>
  <c r="AN75" i="5"/>
  <c r="AL75" i="5"/>
  <c r="AJ75" i="5"/>
  <c r="AV74" i="5"/>
  <c r="AV73" i="5"/>
  <c r="AG71" i="5"/>
  <c r="AE71" i="5"/>
  <c r="U71" i="5"/>
  <c r="S71" i="5"/>
  <c r="Q71" i="5"/>
  <c r="O71" i="5"/>
  <c r="M71" i="5"/>
  <c r="K71" i="5"/>
  <c r="I71" i="5"/>
  <c r="G71" i="5"/>
  <c r="E71" i="5"/>
  <c r="C71" i="5"/>
  <c r="AR70" i="5"/>
  <c r="AP70" i="5"/>
  <c r="AN70" i="5"/>
  <c r="AL70" i="5"/>
  <c r="AJ70" i="5"/>
  <c r="AR69" i="5"/>
  <c r="AP69" i="5"/>
  <c r="AN69" i="5"/>
  <c r="AL69" i="5"/>
  <c r="AJ69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E68" i="5"/>
  <c r="C68" i="5"/>
  <c r="AR67" i="5"/>
  <c r="AP67" i="5"/>
  <c r="AN67" i="5"/>
  <c r="AL67" i="5"/>
  <c r="AJ67" i="5"/>
  <c r="AR66" i="5"/>
  <c r="AP66" i="5"/>
  <c r="AN66" i="5"/>
  <c r="AL66" i="5"/>
  <c r="AJ66" i="5"/>
  <c r="AR65" i="5"/>
  <c r="AP65" i="5"/>
  <c r="AN65" i="5"/>
  <c r="AL65" i="5"/>
  <c r="AJ65" i="5"/>
  <c r="AP64" i="5"/>
  <c r="AT64" i="5" s="1"/>
  <c r="AJ64" i="5"/>
  <c r="AR63" i="5"/>
  <c r="AP63" i="5"/>
  <c r="AN63" i="5"/>
  <c r="AL63" i="5"/>
  <c r="AJ63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C62" i="5"/>
  <c r="AR61" i="5"/>
  <c r="AP61" i="5"/>
  <c r="AN61" i="5"/>
  <c r="AL61" i="5"/>
  <c r="AJ61" i="5"/>
  <c r="AR60" i="5"/>
  <c r="AP60" i="5"/>
  <c r="AN60" i="5"/>
  <c r="AL60" i="5"/>
  <c r="AJ60" i="5"/>
  <c r="AR59" i="5"/>
  <c r="AP59" i="5"/>
  <c r="AN59" i="5"/>
  <c r="AL59" i="5"/>
  <c r="AJ59" i="5"/>
  <c r="AR58" i="5"/>
  <c r="AP58" i="5"/>
  <c r="AN58" i="5"/>
  <c r="AL58" i="5"/>
  <c r="AJ58" i="5"/>
  <c r="AR57" i="5"/>
  <c r="AP57" i="5"/>
  <c r="AN57" i="5"/>
  <c r="AL57" i="5"/>
  <c r="AJ57" i="5"/>
  <c r="AR56" i="5"/>
  <c r="AP56" i="5"/>
  <c r="AN56" i="5"/>
  <c r="AL56" i="5"/>
  <c r="AJ56" i="5"/>
  <c r="AR55" i="5"/>
  <c r="AP55" i="5"/>
  <c r="AN55" i="5"/>
  <c r="AL55" i="5"/>
  <c r="AJ55" i="5"/>
  <c r="AR54" i="5"/>
  <c r="AP54" i="5"/>
  <c r="AN54" i="5"/>
  <c r="AL54" i="5"/>
  <c r="AJ54" i="5"/>
  <c r="AR53" i="5"/>
  <c r="AP53" i="5"/>
  <c r="AN53" i="5"/>
  <c r="AL53" i="5"/>
  <c r="AJ53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E52" i="5"/>
  <c r="C52" i="5"/>
  <c r="AR51" i="5"/>
  <c r="AP51" i="5"/>
  <c r="AN51" i="5"/>
  <c r="AL51" i="5"/>
  <c r="AJ51" i="5"/>
  <c r="AR50" i="5"/>
  <c r="AP50" i="5"/>
  <c r="AN50" i="5"/>
  <c r="AL50" i="5"/>
  <c r="AJ50" i="5"/>
  <c r="AV49" i="5"/>
  <c r="AV48" i="5"/>
  <c r="AV47" i="5"/>
  <c r="AV46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C45" i="5"/>
  <c r="AR44" i="5"/>
  <c r="AP44" i="5"/>
  <c r="AN44" i="5"/>
  <c r="AL44" i="5"/>
  <c r="AJ44" i="5"/>
  <c r="AR43" i="5"/>
  <c r="AP43" i="5"/>
  <c r="AN43" i="5"/>
  <c r="AL43" i="5"/>
  <c r="AJ43" i="5"/>
  <c r="AR42" i="5"/>
  <c r="AP42" i="5"/>
  <c r="AN42" i="5"/>
  <c r="AL42" i="5"/>
  <c r="AJ42" i="5"/>
  <c r="AR41" i="5"/>
  <c r="AP41" i="5"/>
  <c r="AN41" i="5"/>
  <c r="AL41" i="5"/>
  <c r="AJ41" i="5"/>
  <c r="AR40" i="5"/>
  <c r="AP40" i="5"/>
  <c r="AN40" i="5"/>
  <c r="AL40" i="5"/>
  <c r="AJ40" i="5"/>
  <c r="AR39" i="5"/>
  <c r="AP39" i="5"/>
  <c r="AN39" i="5"/>
  <c r="AL39" i="5"/>
  <c r="AJ39" i="5"/>
  <c r="AR38" i="5"/>
  <c r="AP38" i="5"/>
  <c r="AN38" i="5"/>
  <c r="AL38" i="5"/>
  <c r="AJ38" i="5"/>
  <c r="AR37" i="5"/>
  <c r="AP37" i="5"/>
  <c r="AN37" i="5"/>
  <c r="AL37" i="5"/>
  <c r="AJ37" i="5"/>
  <c r="AR36" i="5"/>
  <c r="AP36" i="5"/>
  <c r="AN36" i="5"/>
  <c r="AL36" i="5"/>
  <c r="AJ36" i="5"/>
  <c r="AR35" i="5"/>
  <c r="AP35" i="5"/>
  <c r="AN35" i="5"/>
  <c r="AL35" i="5"/>
  <c r="AJ35" i="5"/>
  <c r="AR34" i="5"/>
  <c r="AP34" i="5"/>
  <c r="AN34" i="5"/>
  <c r="AL34" i="5"/>
  <c r="AJ34" i="5"/>
  <c r="AR33" i="5"/>
  <c r="AP33" i="5"/>
  <c r="AN33" i="5"/>
  <c r="AL33" i="5"/>
  <c r="AJ33" i="5"/>
  <c r="AR32" i="5"/>
  <c r="AP32" i="5"/>
  <c r="AN32" i="5"/>
  <c r="AL32" i="5"/>
  <c r="AJ32" i="5"/>
  <c r="AR31" i="5"/>
  <c r="AP31" i="5"/>
  <c r="AN31" i="5"/>
  <c r="AL31" i="5"/>
  <c r="AJ31" i="5"/>
  <c r="AR30" i="5"/>
  <c r="AP30" i="5"/>
  <c r="AN30" i="5"/>
  <c r="AL30" i="5"/>
  <c r="AJ30" i="5"/>
  <c r="AR29" i="5"/>
  <c r="AP29" i="5"/>
  <c r="AN29" i="5"/>
  <c r="AL29" i="5"/>
  <c r="AJ29" i="5"/>
  <c r="AR28" i="5"/>
  <c r="AP28" i="5"/>
  <c r="AN28" i="5"/>
  <c r="AL28" i="5"/>
  <c r="AJ28" i="5"/>
  <c r="AR27" i="5"/>
  <c r="AP27" i="5"/>
  <c r="AN27" i="5"/>
  <c r="AL27" i="5"/>
  <c r="AJ27" i="5"/>
  <c r="AR26" i="5"/>
  <c r="AP26" i="5"/>
  <c r="AN26" i="5"/>
  <c r="AL26" i="5"/>
  <c r="AJ26" i="5"/>
  <c r="AR25" i="5"/>
  <c r="AP25" i="5"/>
  <c r="AN25" i="5"/>
  <c r="AL25" i="5"/>
  <c r="AJ25" i="5"/>
  <c r="AR24" i="5"/>
  <c r="AP24" i="5"/>
  <c r="AN24" i="5"/>
  <c r="AL24" i="5"/>
  <c r="AJ24" i="5"/>
  <c r="AR23" i="5"/>
  <c r="AP23" i="5"/>
  <c r="AN23" i="5"/>
  <c r="AL23" i="5"/>
  <c r="AJ23" i="5"/>
  <c r="AR22" i="5"/>
  <c r="AP22" i="5"/>
  <c r="AN22" i="5"/>
  <c r="AL22" i="5"/>
  <c r="AJ22" i="5"/>
  <c r="AR21" i="5"/>
  <c r="AP21" i="5"/>
  <c r="AN21" i="5"/>
  <c r="AL21" i="5"/>
  <c r="AJ21" i="5"/>
  <c r="AR20" i="5"/>
  <c r="AP20" i="5"/>
  <c r="AN20" i="5"/>
  <c r="AL20" i="5"/>
  <c r="AJ20" i="5"/>
  <c r="AR19" i="5"/>
  <c r="AP19" i="5"/>
  <c r="AN19" i="5"/>
  <c r="AL19" i="5"/>
  <c r="AJ19" i="5"/>
  <c r="AR18" i="5"/>
  <c r="AP18" i="5"/>
  <c r="AN18" i="5"/>
  <c r="AL18" i="5"/>
  <c r="AJ18" i="5"/>
  <c r="AR17" i="5"/>
  <c r="AP17" i="5"/>
  <c r="AN17" i="5"/>
  <c r="AL17" i="5"/>
  <c r="AJ17" i="5"/>
  <c r="AR16" i="5"/>
  <c r="AP16" i="5"/>
  <c r="AN16" i="5"/>
  <c r="AL16" i="5"/>
  <c r="AJ16" i="5"/>
  <c r="AR15" i="5"/>
  <c r="AP15" i="5"/>
  <c r="AN15" i="5"/>
  <c r="AL15" i="5"/>
  <c r="AJ15" i="5"/>
  <c r="AG317" i="4"/>
  <c r="Y16" i="4"/>
  <c r="T313" i="4"/>
  <c r="R313" i="4"/>
  <c r="P313" i="4"/>
  <c r="N313" i="4"/>
  <c r="J313" i="4"/>
  <c r="H313" i="4"/>
  <c r="D313" i="4"/>
  <c r="F312" i="4"/>
  <c r="V312" i="4" s="1"/>
  <c r="F311" i="4"/>
  <c r="V311" i="4" s="1"/>
  <c r="T306" i="4"/>
  <c r="R306" i="4"/>
  <c r="N306" i="4"/>
  <c r="J306" i="4"/>
  <c r="H306" i="4"/>
  <c r="F306" i="4"/>
  <c r="D306" i="4"/>
  <c r="T305" i="4"/>
  <c r="R305" i="4"/>
  <c r="N305" i="4"/>
  <c r="L305" i="4"/>
  <c r="J305" i="4"/>
  <c r="H305" i="4"/>
  <c r="F305" i="4"/>
  <c r="D305" i="4"/>
  <c r="T304" i="4"/>
  <c r="R304" i="4"/>
  <c r="P304" i="4"/>
  <c r="N304" i="4"/>
  <c r="L304" i="4"/>
  <c r="J304" i="4"/>
  <c r="H304" i="4"/>
  <c r="H307" i="4" s="1"/>
  <c r="F304" i="4"/>
  <c r="D304" i="4"/>
  <c r="V301" i="4"/>
  <c r="T301" i="4"/>
  <c r="R301" i="4"/>
  <c r="P301" i="4"/>
  <c r="N301" i="4"/>
  <c r="J301" i="4"/>
  <c r="H301" i="4"/>
  <c r="F301" i="4"/>
  <c r="D301" i="4"/>
  <c r="V300" i="4"/>
  <c r="T300" i="4"/>
  <c r="R300" i="4"/>
  <c r="P300" i="4"/>
  <c r="N300" i="4"/>
  <c r="J300" i="4"/>
  <c r="H300" i="4"/>
  <c r="F300" i="4"/>
  <c r="D300" i="4"/>
  <c r="T299" i="4"/>
  <c r="R299" i="4"/>
  <c r="R302" i="4" s="1"/>
  <c r="P299" i="4"/>
  <c r="N299" i="4"/>
  <c r="J299" i="4"/>
  <c r="H299" i="4"/>
  <c r="H302" i="4" s="1"/>
  <c r="F299" i="4"/>
  <c r="D299" i="4"/>
  <c r="T295" i="4"/>
  <c r="J295" i="4"/>
  <c r="H295" i="4"/>
  <c r="F295" i="4"/>
  <c r="D295" i="4"/>
  <c r="J294" i="4"/>
  <c r="J296" i="4" s="1"/>
  <c r="H294" i="4"/>
  <c r="F294" i="4"/>
  <c r="D294" i="4"/>
  <c r="L293" i="4"/>
  <c r="J293" i="4"/>
  <c r="H293" i="4"/>
  <c r="H296" i="4" s="1"/>
  <c r="F293" i="4"/>
  <c r="D293" i="4"/>
  <c r="N289" i="4"/>
  <c r="D289" i="4"/>
  <c r="N288" i="4"/>
  <c r="D288" i="4"/>
  <c r="N287" i="4"/>
  <c r="D287" i="4"/>
  <c r="N286" i="4"/>
  <c r="D286" i="4"/>
  <c r="N285" i="4"/>
  <c r="D285" i="4"/>
  <c r="N284" i="4"/>
  <c r="D284" i="4"/>
  <c r="N283" i="4"/>
  <c r="D283" i="4"/>
  <c r="N282" i="4"/>
  <c r="D282" i="4"/>
  <c r="N281" i="4"/>
  <c r="D281" i="4"/>
  <c r="N280" i="4"/>
  <c r="D280" i="4"/>
  <c r="N279" i="4"/>
  <c r="D279" i="4"/>
  <c r="N278" i="4"/>
  <c r="D278" i="4"/>
  <c r="N277" i="4"/>
  <c r="D277" i="4"/>
  <c r="N273" i="4"/>
  <c r="D273" i="4"/>
  <c r="N272" i="4"/>
  <c r="D272" i="4"/>
  <c r="N271" i="4"/>
  <c r="D271" i="4"/>
  <c r="N270" i="4"/>
  <c r="D270" i="4"/>
  <c r="N269" i="4"/>
  <c r="D269" i="4"/>
  <c r="N268" i="4"/>
  <c r="D268" i="4"/>
  <c r="N267" i="4"/>
  <c r="D267" i="4"/>
  <c r="N266" i="4"/>
  <c r="D266" i="4"/>
  <c r="N265" i="4"/>
  <c r="D265" i="4"/>
  <c r="N264" i="4"/>
  <c r="D264" i="4"/>
  <c r="N263" i="4"/>
  <c r="D263" i="4"/>
  <c r="N262" i="4"/>
  <c r="D262" i="4"/>
  <c r="N261" i="4"/>
  <c r="D261" i="4"/>
  <c r="AO257" i="4"/>
  <c r="AO319" i="4" s="1"/>
  <c r="AG257" i="4"/>
  <c r="Z12" i="4"/>
  <c r="Z17" i="4" s="1"/>
  <c r="V238" i="4"/>
  <c r="N238" i="4"/>
  <c r="D238" i="4"/>
  <c r="T238" i="4"/>
  <c r="P238" i="4"/>
  <c r="F238" i="4"/>
  <c r="R238" i="4"/>
  <c r="J238" i="4"/>
  <c r="H238" i="4"/>
  <c r="N231" i="4"/>
  <c r="D231" i="4"/>
  <c r="N230" i="4"/>
  <c r="D230" i="4"/>
  <c r="N229" i="4"/>
  <c r="D229" i="4"/>
  <c r="N225" i="4"/>
  <c r="N250" i="4" s="1"/>
  <c r="D225" i="4"/>
  <c r="D250" i="4" s="1"/>
  <c r="T224" i="4"/>
  <c r="T249" i="4" s="1"/>
  <c r="R224" i="4"/>
  <c r="R249" i="4" s="1"/>
  <c r="P224" i="4"/>
  <c r="P249" i="4" s="1"/>
  <c r="N224" i="4"/>
  <c r="N249" i="4" s="1"/>
  <c r="J224" i="4"/>
  <c r="J249" i="4" s="1"/>
  <c r="H224" i="4"/>
  <c r="H249" i="4" s="1"/>
  <c r="F224" i="4"/>
  <c r="F249" i="4" s="1"/>
  <c r="D224" i="4"/>
  <c r="D249" i="4" s="1"/>
  <c r="N223" i="4"/>
  <c r="D223" i="4"/>
  <c r="N222" i="4"/>
  <c r="D222" i="4"/>
  <c r="N221" i="4"/>
  <c r="D221" i="4"/>
  <c r="N220" i="4"/>
  <c r="D220" i="4"/>
  <c r="N219" i="4"/>
  <c r="D219" i="4"/>
  <c r="N218" i="4"/>
  <c r="D218" i="4"/>
  <c r="N217" i="4"/>
  <c r="D217" i="4"/>
  <c r="N216" i="4"/>
  <c r="D216" i="4"/>
  <c r="N215" i="4"/>
  <c r="D215" i="4"/>
  <c r="N214" i="4"/>
  <c r="D214" i="4"/>
  <c r="N213" i="4"/>
  <c r="D213" i="4"/>
  <c r="N212" i="4"/>
  <c r="D212" i="4"/>
  <c r="N211" i="4"/>
  <c r="D211" i="4"/>
  <c r="N210" i="4"/>
  <c r="D210" i="4"/>
  <c r="N209" i="4"/>
  <c r="D209" i="4"/>
  <c r="N208" i="4"/>
  <c r="D208" i="4"/>
  <c r="N207" i="4"/>
  <c r="D207" i="4"/>
  <c r="N206" i="4"/>
  <c r="D206" i="4"/>
  <c r="N205" i="4"/>
  <c r="D205" i="4"/>
  <c r="N204" i="4"/>
  <c r="D204" i="4"/>
  <c r="N203" i="4"/>
  <c r="D203" i="4"/>
  <c r="N193" i="4"/>
  <c r="N251" i="4" s="1"/>
  <c r="D193" i="4"/>
  <c r="D251" i="4" s="1"/>
  <c r="N192" i="4"/>
  <c r="N248" i="4" s="1"/>
  <c r="D192" i="4"/>
  <c r="D248" i="4" s="1"/>
  <c r="N191" i="4"/>
  <c r="N247" i="4" s="1"/>
  <c r="D191" i="4"/>
  <c r="D247" i="4" s="1"/>
  <c r="N190" i="4"/>
  <c r="N246" i="4" s="1"/>
  <c r="D190" i="4"/>
  <c r="D246" i="4" s="1"/>
  <c r="N189" i="4"/>
  <c r="N245" i="4" s="1"/>
  <c r="D189" i="4"/>
  <c r="D245" i="4" s="1"/>
  <c r="N187" i="4"/>
  <c r="N244" i="4" s="1"/>
  <c r="D187" i="4"/>
  <c r="D244" i="4" s="1"/>
  <c r="N186" i="4"/>
  <c r="N243" i="4" s="1"/>
  <c r="D186" i="4"/>
  <c r="D243" i="4" s="1"/>
  <c r="N185" i="4"/>
  <c r="N242" i="4" s="1"/>
  <c r="D185" i="4"/>
  <c r="D242" i="4" s="1"/>
  <c r="N184" i="4"/>
  <c r="N241" i="4" s="1"/>
  <c r="D184" i="4"/>
  <c r="D241" i="4" s="1"/>
  <c r="T178" i="4"/>
  <c r="R178" i="4"/>
  <c r="P178" i="4"/>
  <c r="T177" i="4"/>
  <c r="R177" i="4"/>
  <c r="P177" i="4"/>
  <c r="T176" i="4"/>
  <c r="R176" i="4"/>
  <c r="P176" i="4"/>
  <c r="T175" i="4"/>
  <c r="R175" i="4"/>
  <c r="P175" i="4"/>
  <c r="T174" i="4"/>
  <c r="R174" i="4"/>
  <c r="P174" i="4"/>
  <c r="T172" i="4"/>
  <c r="R172" i="4"/>
  <c r="P172" i="4"/>
  <c r="T171" i="4"/>
  <c r="R171" i="4"/>
  <c r="P171" i="4"/>
  <c r="T170" i="4"/>
  <c r="R170" i="4"/>
  <c r="P170" i="4"/>
  <c r="T169" i="4"/>
  <c r="R169" i="4"/>
  <c r="P169" i="4"/>
  <c r="T168" i="4"/>
  <c r="R168" i="4"/>
  <c r="P168" i="4"/>
  <c r="J160" i="4"/>
  <c r="H160" i="4"/>
  <c r="F160" i="4"/>
  <c r="D160" i="4"/>
  <c r="H159" i="4"/>
  <c r="D159" i="4"/>
  <c r="J158" i="4"/>
  <c r="H158" i="4"/>
  <c r="D158" i="4"/>
  <c r="T143" i="4"/>
  <c r="R143" i="4"/>
  <c r="P143" i="4"/>
  <c r="D139" i="4"/>
  <c r="D178" i="4" s="1"/>
  <c r="D138" i="4"/>
  <c r="D177" i="4" s="1"/>
  <c r="D137" i="4"/>
  <c r="D176" i="4" s="1"/>
  <c r="D136" i="4"/>
  <c r="D175" i="4" s="1"/>
  <c r="D135" i="4"/>
  <c r="D174" i="4" s="1"/>
  <c r="D133" i="4"/>
  <c r="D172" i="4" s="1"/>
  <c r="D132" i="4"/>
  <c r="D171" i="4" s="1"/>
  <c r="D131" i="4"/>
  <c r="D170" i="4" s="1"/>
  <c r="D130" i="4"/>
  <c r="D169" i="4" s="1"/>
  <c r="D129" i="4"/>
  <c r="D168" i="4" s="1"/>
  <c r="D121" i="4"/>
  <c r="D122" i="4" s="1"/>
  <c r="D124" i="4" s="1"/>
  <c r="D113" i="4"/>
  <c r="D112" i="4"/>
  <c r="J111" i="4"/>
  <c r="H111" i="4"/>
  <c r="F111" i="4"/>
  <c r="N111" i="4" s="1"/>
  <c r="D111" i="4"/>
  <c r="D110" i="4"/>
  <c r="D109" i="4"/>
  <c r="D105" i="4"/>
  <c r="D104" i="4"/>
  <c r="D103" i="4"/>
  <c r="J102" i="4"/>
  <c r="H102" i="4"/>
  <c r="N102" i="4" s="1"/>
  <c r="F102" i="4"/>
  <c r="D102" i="4"/>
  <c r="D101" i="4"/>
  <c r="D100" i="4"/>
  <c r="D99" i="4"/>
  <c r="D95" i="4"/>
  <c r="D94" i="4"/>
  <c r="D86" i="4"/>
  <c r="D85" i="4"/>
  <c r="V85" i="4" s="1"/>
  <c r="D84" i="4"/>
  <c r="H76" i="4"/>
  <c r="H77" i="4" s="1"/>
  <c r="F76" i="4"/>
  <c r="D76" i="4"/>
  <c r="D77" i="4" s="1"/>
  <c r="J73" i="4"/>
  <c r="J74" i="4" s="1"/>
  <c r="H73" i="4"/>
  <c r="H74" i="4" s="1"/>
  <c r="F73" i="4"/>
  <c r="D73" i="4"/>
  <c r="D74" i="4" s="1"/>
  <c r="D79" i="4" s="1"/>
  <c r="D65" i="4"/>
  <c r="D66" i="4" s="1"/>
  <c r="D68" i="4" s="1"/>
  <c r="D57" i="4"/>
  <c r="D56" i="4"/>
  <c r="D55" i="4"/>
  <c r="D54" i="4"/>
  <c r="D53" i="4"/>
  <c r="D49" i="4"/>
  <c r="D48" i="4"/>
  <c r="D47" i="4"/>
  <c r="D46" i="4"/>
  <c r="D45" i="4"/>
  <c r="D44" i="4"/>
  <c r="D43" i="4"/>
  <c r="D39" i="4"/>
  <c r="D38" i="4"/>
  <c r="AO33" i="4"/>
  <c r="AR25" i="4"/>
  <c r="AO19" i="4"/>
  <c r="AB19" i="4"/>
  <c r="AN19" i="4"/>
  <c r="AK17" i="4"/>
  <c r="AK10" i="4" s="1"/>
  <c r="AR16" i="4"/>
  <c r="AM16" i="4"/>
  <c r="AL16" i="4"/>
  <c r="AK16" i="4"/>
  <c r="AI16" i="4"/>
  <c r="AG16" i="4"/>
  <c r="AF16" i="4"/>
  <c r="AD16" i="4"/>
  <c r="AC16" i="4"/>
  <c r="AB16" i="4"/>
  <c r="Z16" i="4"/>
  <c r="AR15" i="4"/>
  <c r="AP15" i="4"/>
  <c r="AO15" i="4"/>
  <c r="AM15" i="4"/>
  <c r="AL15" i="4"/>
  <c r="AK15" i="4"/>
  <c r="AJ15" i="4"/>
  <c r="AI15" i="4"/>
  <c r="AH15" i="4"/>
  <c r="AG15" i="4"/>
  <c r="AF15" i="4"/>
  <c r="AE15" i="4"/>
  <c r="AD15" i="4"/>
  <c r="AB15" i="4"/>
  <c r="Z15" i="4"/>
  <c r="Y15" i="4"/>
  <c r="AP14" i="4"/>
  <c r="AM14" i="4"/>
  <c r="AL14" i="4"/>
  <c r="AK14" i="4"/>
  <c r="AJ14" i="4"/>
  <c r="AI14" i="4"/>
  <c r="AH14" i="4"/>
  <c r="AG14" i="4"/>
  <c r="AF14" i="4"/>
  <c r="AE14" i="4"/>
  <c r="AD14" i="4"/>
  <c r="AB14" i="4"/>
  <c r="Z14" i="4"/>
  <c r="Y14" i="4"/>
  <c r="X14" i="4"/>
  <c r="AT13" i="4"/>
  <c r="AU13" i="4" s="1"/>
  <c r="AR12" i="4"/>
  <c r="AM12" i="4"/>
  <c r="AL12" i="4"/>
  <c r="AK12" i="4"/>
  <c r="AI12" i="4"/>
  <c r="AF12" i="4"/>
  <c r="AD12" i="4"/>
  <c r="AC12" i="4"/>
  <c r="AB12" i="4"/>
  <c r="Y12" i="4"/>
  <c r="AR11" i="4"/>
  <c r="AP11" i="4"/>
  <c r="AO11" i="4"/>
  <c r="AM11" i="4"/>
  <c r="AL11" i="4"/>
  <c r="AK11" i="4"/>
  <c r="AJ11" i="4"/>
  <c r="AI11" i="4"/>
  <c r="AH11" i="4"/>
  <c r="AG11" i="4"/>
  <c r="AF11" i="4"/>
  <c r="AE11" i="4"/>
  <c r="AD11" i="4"/>
  <c r="AB11" i="4"/>
  <c r="Z11" i="4"/>
  <c r="Y11" i="4"/>
  <c r="X11" i="4"/>
  <c r="AR10" i="4"/>
  <c r="AP10" i="4"/>
  <c r="AO10" i="4"/>
  <c r="AM10" i="4"/>
  <c r="AM21" i="4" s="1"/>
  <c r="AL10" i="4"/>
  <c r="AJ19" i="4"/>
  <c r="AI10" i="4"/>
  <c r="AF10" i="4"/>
  <c r="AD10" i="4"/>
  <c r="AB10" i="4"/>
  <c r="Z10" i="4"/>
  <c r="Y10" i="4"/>
  <c r="X10" i="4"/>
  <c r="G35" i="3"/>
  <c r="M34" i="3"/>
  <c r="I34" i="3"/>
  <c r="G34" i="3"/>
  <c r="E34" i="3"/>
  <c r="C34" i="3"/>
  <c r="K33" i="3"/>
  <c r="I33" i="3"/>
  <c r="G33" i="3"/>
  <c r="E33" i="3"/>
  <c r="C33" i="3"/>
  <c r="S32" i="3"/>
  <c r="Q32" i="3"/>
  <c r="K32" i="3"/>
  <c r="I32" i="3"/>
  <c r="I35" i="3" s="1"/>
  <c r="G32" i="3"/>
  <c r="E32" i="3"/>
  <c r="E35" i="3" s="1"/>
  <c r="C32" i="3"/>
  <c r="C35" i="3" s="1"/>
  <c r="O30" i="3"/>
  <c r="K30" i="3"/>
  <c r="I30" i="3"/>
  <c r="G30" i="3"/>
  <c r="E30" i="3"/>
  <c r="S29" i="3"/>
  <c r="S34" i="3" s="1"/>
  <c r="Q29" i="3"/>
  <c r="Q34" i="3" s="1"/>
  <c r="O29" i="3"/>
  <c r="M29" i="3"/>
  <c r="S28" i="3"/>
  <c r="U28" i="3" s="1"/>
  <c r="Q28" i="3"/>
  <c r="Q33" i="3" s="1"/>
  <c r="O28" i="3"/>
  <c r="M28" i="3"/>
  <c r="M33" i="3" s="1"/>
  <c r="S27" i="3"/>
  <c r="Q27" i="3"/>
  <c r="O27" i="3"/>
  <c r="O32" i="3" s="1"/>
  <c r="M27" i="3"/>
  <c r="M30" i="3" s="1"/>
  <c r="S25" i="3"/>
  <c r="Q25" i="3"/>
  <c r="M25" i="3"/>
  <c r="K25" i="3"/>
  <c r="I25" i="3"/>
  <c r="G25" i="3"/>
  <c r="E25" i="3"/>
  <c r="O24" i="3"/>
  <c r="O34" i="3" s="1"/>
  <c r="M24" i="3"/>
  <c r="K24" i="3"/>
  <c r="L306" i="4" s="1"/>
  <c r="O23" i="3"/>
  <c r="P305" i="4" s="1"/>
  <c r="K23" i="3"/>
  <c r="U22" i="3"/>
  <c r="S20" i="3"/>
  <c r="Q20" i="3"/>
  <c r="O20" i="3"/>
  <c r="M20" i="3"/>
  <c r="K20" i="3"/>
  <c r="I20" i="3"/>
  <c r="G20" i="3"/>
  <c r="E20" i="3"/>
  <c r="C20" i="3"/>
  <c r="U19" i="3"/>
  <c r="U18" i="3"/>
  <c r="U17" i="3"/>
  <c r="V299" i="4" s="1"/>
  <c r="G14" i="3"/>
  <c r="E14" i="3"/>
  <c r="S13" i="3"/>
  <c r="Q13" i="3"/>
  <c r="K13" i="3"/>
  <c r="I13" i="3"/>
  <c r="C13" i="3"/>
  <c r="I12" i="3"/>
  <c r="C12" i="3"/>
  <c r="S11" i="3"/>
  <c r="Q11" i="3"/>
  <c r="K11" i="3"/>
  <c r="I11" i="3"/>
  <c r="I14" i="3" s="1"/>
  <c r="I37" i="3" s="1"/>
  <c r="C11" i="3"/>
  <c r="C14" i="3" s="1"/>
  <c r="S111" i="2"/>
  <c r="S110" i="2"/>
  <c r="M85" i="2"/>
  <c r="K85" i="2"/>
  <c r="C85" i="2"/>
  <c r="S77" i="2"/>
  <c r="K77" i="2"/>
  <c r="I77" i="2"/>
  <c r="G77" i="2"/>
  <c r="E77" i="2"/>
  <c r="C77" i="2"/>
  <c r="Q76" i="2"/>
  <c r="Q78" i="35" s="1"/>
  <c r="O76" i="2"/>
  <c r="O78" i="35" s="1"/>
  <c r="M76" i="2"/>
  <c r="M78" i="35" s="1"/>
  <c r="K76" i="2"/>
  <c r="K78" i="35" s="1"/>
  <c r="S75" i="2"/>
  <c r="S77" i="35" s="1"/>
  <c r="Q75" i="2"/>
  <c r="Q77" i="35" s="1"/>
  <c r="O75" i="2"/>
  <c r="O77" i="35" s="1"/>
  <c r="M75" i="2"/>
  <c r="M77" i="35" s="1"/>
  <c r="K75" i="2"/>
  <c r="K77" i="35" s="1"/>
  <c r="K79" i="35" s="1"/>
  <c r="S74" i="2"/>
  <c r="S76" i="35" s="1"/>
  <c r="Q74" i="2"/>
  <c r="Q76" i="35" s="1"/>
  <c r="O74" i="2"/>
  <c r="O76" i="35" s="1"/>
  <c r="O79" i="35" s="1"/>
  <c r="M74" i="2"/>
  <c r="M76" i="35" s="1"/>
  <c r="M79" i="35" s="1"/>
  <c r="M70" i="2"/>
  <c r="K70" i="2"/>
  <c r="C70" i="2"/>
  <c r="M69" i="2"/>
  <c r="K69" i="2"/>
  <c r="K71" i="2" s="1"/>
  <c r="K79" i="2" s="1"/>
  <c r="K88" i="2" s="1"/>
  <c r="C69" i="2"/>
  <c r="C71" i="2" s="1"/>
  <c r="C79" i="2" s="1"/>
  <c r="C88" i="2" s="1"/>
  <c r="M68" i="2"/>
  <c r="M71" i="2" s="1"/>
  <c r="K68" i="2"/>
  <c r="C68" i="2"/>
  <c r="M65" i="2"/>
  <c r="K65" i="2"/>
  <c r="C65" i="2"/>
  <c r="M49" i="2"/>
  <c r="K49" i="2"/>
  <c r="C49" i="2"/>
  <c r="M33" i="2"/>
  <c r="K33" i="2"/>
  <c r="C33" i="2"/>
  <c r="U31" i="2"/>
  <c r="J123" i="1"/>
  <c r="H123" i="1"/>
  <c r="D123" i="1"/>
  <c r="F122" i="1"/>
  <c r="L122" i="1" s="1"/>
  <c r="N122" i="1" s="1"/>
  <c r="L121" i="1"/>
  <c r="N121" i="1" s="1"/>
  <c r="F121" i="1"/>
  <c r="F159" i="4" s="1"/>
  <c r="F120" i="1"/>
  <c r="F123" i="1" s="1"/>
  <c r="D112" i="1"/>
  <c r="D114" i="1" s="1"/>
  <c r="D106" i="1"/>
  <c r="D104" i="1"/>
  <c r="D97" i="1"/>
  <c r="L94" i="1"/>
  <c r="N94" i="1" s="1"/>
  <c r="D89" i="1"/>
  <c r="L85" i="1"/>
  <c r="N85" i="1" s="1"/>
  <c r="D79" i="1"/>
  <c r="D99" i="1" s="1"/>
  <c r="D69" i="1"/>
  <c r="D68" i="1"/>
  <c r="D67" i="1"/>
  <c r="D70" i="1" s="1"/>
  <c r="D72" i="1" s="1"/>
  <c r="D64" i="1"/>
  <c r="L63" i="1"/>
  <c r="N63" i="1" s="1"/>
  <c r="D59" i="1"/>
  <c r="N57" i="1"/>
  <c r="D51" i="1"/>
  <c r="H49" i="1"/>
  <c r="H51" i="1" s="1"/>
  <c r="F49" i="1"/>
  <c r="F51" i="1" s="1"/>
  <c r="D49" i="1"/>
  <c r="J48" i="1"/>
  <c r="J76" i="4" s="1"/>
  <c r="J77" i="4" s="1"/>
  <c r="J46" i="1"/>
  <c r="H46" i="1"/>
  <c r="F46" i="1"/>
  <c r="D46" i="1"/>
  <c r="L45" i="1"/>
  <c r="L46" i="1" s="1"/>
  <c r="D38" i="1"/>
  <c r="D40" i="1" s="1"/>
  <c r="D30" i="1"/>
  <c r="D22" i="1"/>
  <c r="D32" i="1" s="1"/>
  <c r="D12" i="1"/>
  <c r="AJ167" i="5" l="1"/>
  <c r="AL167" i="5"/>
  <c r="AL382" i="5"/>
  <c r="AR457" i="5"/>
  <c r="AT53" i="5"/>
  <c r="AV53" i="5" s="1"/>
  <c r="AT57" i="5"/>
  <c r="AV57" i="5" s="1"/>
  <c r="AT79" i="5"/>
  <c r="AV79" i="5" s="1"/>
  <c r="AJ83" i="5"/>
  <c r="AR83" i="5"/>
  <c r="AJ120" i="5"/>
  <c r="AL254" i="5"/>
  <c r="AL256" i="5" s="1"/>
  <c r="AL83" i="5"/>
  <c r="AT380" i="5"/>
  <c r="AV380" i="5" s="1"/>
  <c r="AR382" i="5"/>
  <c r="AL180" i="5"/>
  <c r="AL207" i="5"/>
  <c r="AP229" i="5"/>
  <c r="AJ261" i="5"/>
  <c r="AJ263" i="5" s="1"/>
  <c r="AR261" i="5"/>
  <c r="AR263" i="5" s="1"/>
  <c r="AN300" i="5"/>
  <c r="AT455" i="5"/>
  <c r="AV455" i="5" s="1"/>
  <c r="AP261" i="5"/>
  <c r="AP263" i="5" s="1"/>
  <c r="K585" i="5"/>
  <c r="S585" i="5"/>
  <c r="S593" i="5" s="1"/>
  <c r="S602" i="5" s="1"/>
  <c r="AA585" i="5"/>
  <c r="AA593" i="5" s="1"/>
  <c r="AA602" i="5" s="1"/>
  <c r="AT61" i="5"/>
  <c r="AV61" i="5" s="1"/>
  <c r="AJ62" i="5"/>
  <c r="AT411" i="5"/>
  <c r="AV411" i="5" s="1"/>
  <c r="AR413" i="5"/>
  <c r="AT439" i="5"/>
  <c r="AV439" i="5" s="1"/>
  <c r="AJ442" i="5"/>
  <c r="AL78" i="5"/>
  <c r="AT271" i="5"/>
  <c r="AV271" i="5" s="1"/>
  <c r="AT275" i="5"/>
  <c r="AV275" i="5" s="1"/>
  <c r="AT279" i="5"/>
  <c r="AV279" i="5" s="1"/>
  <c r="AT283" i="5"/>
  <c r="AV283" i="5" s="1"/>
  <c r="AT287" i="5"/>
  <c r="AV287" i="5" s="1"/>
  <c r="AL394" i="5"/>
  <c r="S247" i="5"/>
  <c r="AJ164" i="5"/>
  <c r="O181" i="5"/>
  <c r="E432" i="5"/>
  <c r="M432" i="5"/>
  <c r="U432" i="5"/>
  <c r="AC432" i="5"/>
  <c r="AN479" i="5"/>
  <c r="AL145" i="5"/>
  <c r="AN52" i="5"/>
  <c r="AT214" i="5"/>
  <c r="AV214" i="5" s="1"/>
  <c r="AL322" i="5"/>
  <c r="AR378" i="5"/>
  <c r="AR254" i="5"/>
  <c r="AR256" i="5" s="1"/>
  <c r="AJ331" i="5"/>
  <c r="AR62" i="5"/>
  <c r="M85" i="5"/>
  <c r="U85" i="5"/>
  <c r="AL203" i="5"/>
  <c r="AL307" i="5"/>
  <c r="AR331" i="5"/>
  <c r="AP354" i="5"/>
  <c r="AJ563" i="5"/>
  <c r="W85" i="5"/>
  <c r="AE85" i="5"/>
  <c r="G181" i="5"/>
  <c r="AT218" i="5"/>
  <c r="AV218" i="5" s="1"/>
  <c r="G444" i="5"/>
  <c r="O444" i="5"/>
  <c r="W444" i="5"/>
  <c r="AE444" i="5"/>
  <c r="AT190" i="5"/>
  <c r="AV190" i="5" s="1"/>
  <c r="I194" i="5"/>
  <c r="Q194" i="5"/>
  <c r="Y194" i="5"/>
  <c r="AG194" i="5"/>
  <c r="AT149" i="5"/>
  <c r="AV149" i="5" s="1"/>
  <c r="AR153" i="5"/>
  <c r="AT171" i="5"/>
  <c r="AV171" i="5" s="1"/>
  <c r="AT175" i="5"/>
  <c r="AV175" i="5" s="1"/>
  <c r="AT179" i="5"/>
  <c r="AV179" i="5" s="1"/>
  <c r="AT291" i="5"/>
  <c r="AV291" i="5" s="1"/>
  <c r="AT295" i="5"/>
  <c r="AT299" i="5"/>
  <c r="AV299" i="5" s="1"/>
  <c r="E338" i="5"/>
  <c r="M338" i="5"/>
  <c r="U338" i="5"/>
  <c r="AC338" i="5"/>
  <c r="AR366" i="5"/>
  <c r="U154" i="5"/>
  <c r="AT69" i="5"/>
  <c r="AV69" i="5" s="1"/>
  <c r="AT105" i="5"/>
  <c r="AV105" i="5" s="1"/>
  <c r="AT109" i="5"/>
  <c r="AV109" i="5" s="1"/>
  <c r="AT125" i="5"/>
  <c r="AV125" i="5" s="1"/>
  <c r="AT142" i="5"/>
  <c r="AV142" i="5" s="1"/>
  <c r="C194" i="5"/>
  <c r="K194" i="5"/>
  <c r="S194" i="5"/>
  <c r="AA194" i="5"/>
  <c r="AT308" i="5"/>
  <c r="AV308" i="5" s="1"/>
  <c r="AT312" i="5"/>
  <c r="AV312" i="5" s="1"/>
  <c r="AT316" i="5"/>
  <c r="AV316" i="5" s="1"/>
  <c r="AR317" i="5"/>
  <c r="AT359" i="5"/>
  <c r="AV359" i="5" s="1"/>
  <c r="AT363" i="5"/>
  <c r="AV363" i="5" s="1"/>
  <c r="AN366" i="5"/>
  <c r="AN367" i="5" s="1"/>
  <c r="AL375" i="5"/>
  <c r="AT398" i="5"/>
  <c r="AV398" i="5" s="1"/>
  <c r="E403" i="5"/>
  <c r="M403" i="5"/>
  <c r="U403" i="5"/>
  <c r="AC403" i="5"/>
  <c r="C432" i="5"/>
  <c r="K432" i="5"/>
  <c r="S432" i="5"/>
  <c r="AA432" i="5"/>
  <c r="AT436" i="5"/>
  <c r="AP437" i="5"/>
  <c r="AT452" i="5"/>
  <c r="AV452" i="5" s="1"/>
  <c r="AP453" i="5"/>
  <c r="AT477" i="5"/>
  <c r="AJ591" i="5"/>
  <c r="M154" i="5"/>
  <c r="AT15" i="5"/>
  <c r="AV15" i="5" s="1"/>
  <c r="AT51" i="5"/>
  <c r="AP52" i="5"/>
  <c r="AR52" i="5"/>
  <c r="AN62" i="5"/>
  <c r="AT63" i="5"/>
  <c r="AT66" i="5"/>
  <c r="AV66" i="5" s="1"/>
  <c r="AR68" i="5"/>
  <c r="Q72" i="5"/>
  <c r="Y72" i="5"/>
  <c r="AG72" i="5"/>
  <c r="AR101" i="5"/>
  <c r="AJ113" i="5"/>
  <c r="AJ114" i="5" s="1"/>
  <c r="AT122" i="5"/>
  <c r="AV122" i="5" s="1"/>
  <c r="AT184" i="5"/>
  <c r="AN187" i="5"/>
  <c r="AL187" i="5"/>
  <c r="AT204" i="5"/>
  <c r="AV204" i="5" s="1"/>
  <c r="AP325" i="5"/>
  <c r="AR325" i="5"/>
  <c r="AP349" i="5"/>
  <c r="AT343" i="5"/>
  <c r="AV343" i="5" s="1"/>
  <c r="AT347" i="5"/>
  <c r="AV347" i="5" s="1"/>
  <c r="AL372" i="5"/>
  <c r="AT391" i="5"/>
  <c r="AV391" i="5" s="1"/>
  <c r="AN394" i="5"/>
  <c r="W403" i="5"/>
  <c r="AE403" i="5"/>
  <c r="AN416" i="5"/>
  <c r="AT417" i="5"/>
  <c r="AV417" i="5" s="1"/>
  <c r="AT420" i="5"/>
  <c r="AV420" i="5" s="1"/>
  <c r="AT424" i="5"/>
  <c r="AV424" i="5" s="1"/>
  <c r="AT428" i="5"/>
  <c r="AV428" i="5" s="1"/>
  <c r="AN431" i="5"/>
  <c r="O432" i="5"/>
  <c r="W432" i="5"/>
  <c r="AE432" i="5"/>
  <c r="AT469" i="5"/>
  <c r="AN472" i="5"/>
  <c r="AP479" i="5"/>
  <c r="AP511" i="5"/>
  <c r="AT510" i="5"/>
  <c r="AV510" i="5" s="1"/>
  <c r="E585" i="5"/>
  <c r="E593" i="5" s="1"/>
  <c r="E602" i="5" s="1"/>
  <c r="M585" i="5"/>
  <c r="M593" i="5" s="1"/>
  <c r="M602" i="5" s="1"/>
  <c r="U585" i="5"/>
  <c r="U593" i="5" s="1"/>
  <c r="U602" i="5" s="1"/>
  <c r="AC585" i="5"/>
  <c r="AC593" i="5" s="1"/>
  <c r="AC602" i="5" s="1"/>
  <c r="AN45" i="5"/>
  <c r="AT20" i="5"/>
  <c r="AV20" i="5" s="1"/>
  <c r="AT24" i="5"/>
  <c r="AV24" i="5" s="1"/>
  <c r="AT28" i="5"/>
  <c r="AV28" i="5" s="1"/>
  <c r="AT32" i="5"/>
  <c r="AV32" i="5" s="1"/>
  <c r="AT36" i="5"/>
  <c r="AV36" i="5" s="1"/>
  <c r="AT40" i="5"/>
  <c r="AV40" i="5" s="1"/>
  <c r="AT44" i="5"/>
  <c r="AV44" i="5" s="1"/>
  <c r="AT76" i="5"/>
  <c r="AV76" i="5" s="1"/>
  <c r="AT91" i="5"/>
  <c r="AV91" i="5" s="1"/>
  <c r="AT95" i="5"/>
  <c r="AV95" i="5" s="1"/>
  <c r="AL101" i="5"/>
  <c r="AT119" i="5"/>
  <c r="AP120" i="5"/>
  <c r="AR120" i="5"/>
  <c r="AN120" i="5"/>
  <c r="AJ130" i="5"/>
  <c r="AL130" i="5"/>
  <c r="AL139" i="5"/>
  <c r="AR164" i="5"/>
  <c r="AN192" i="5"/>
  <c r="AT201" i="5"/>
  <c r="AV201" i="5" s="1"/>
  <c r="AR203" i="5"/>
  <c r="AT227" i="5"/>
  <c r="AV227" i="5" s="1"/>
  <c r="AP254" i="5"/>
  <c r="AP256" i="5" s="1"/>
  <c r="AN261" i="5"/>
  <c r="AN263" i="5" s="1"/>
  <c r="AT260" i="5"/>
  <c r="AV260" i="5" s="1"/>
  <c r="AT306" i="5"/>
  <c r="AR307" i="5"/>
  <c r="AL317" i="5"/>
  <c r="AT318" i="5"/>
  <c r="AV318" i="5" s="1"/>
  <c r="AJ322" i="5"/>
  <c r="E326" i="5"/>
  <c r="M326" i="5"/>
  <c r="U326" i="5"/>
  <c r="AC326" i="5"/>
  <c r="AT335" i="5"/>
  <c r="AV335" i="5" s="1"/>
  <c r="AP336" i="5"/>
  <c r="K338" i="5"/>
  <c r="S338" i="5"/>
  <c r="AA338" i="5"/>
  <c r="AL354" i="5"/>
  <c r="AP375" i="5"/>
  <c r="AN375" i="5"/>
  <c r="AT383" i="5"/>
  <c r="AV383" i="5" s="1"/>
  <c r="AT388" i="5"/>
  <c r="AV388" i="5" s="1"/>
  <c r="AR390" i="5"/>
  <c r="AL390" i="5"/>
  <c r="AT414" i="5"/>
  <c r="AV414" i="5" s="1"/>
  <c r="AJ437" i="5"/>
  <c r="AJ453" i="5"/>
  <c r="AT458" i="5"/>
  <c r="AV458" i="5" s="1"/>
  <c r="AR511" i="5"/>
  <c r="G585" i="5"/>
  <c r="G593" i="5" s="1"/>
  <c r="G602" i="5" s="1"/>
  <c r="O585" i="5"/>
  <c r="O593" i="5" s="1"/>
  <c r="O602" i="5" s="1"/>
  <c r="W585" i="5"/>
  <c r="W593" i="5" s="1"/>
  <c r="W602" i="5" s="1"/>
  <c r="AE585" i="5"/>
  <c r="AE593" i="5" s="1"/>
  <c r="AE602" i="5" s="1"/>
  <c r="J307" i="4"/>
  <c r="D50" i="4"/>
  <c r="J302" i="4"/>
  <c r="T302" i="4"/>
  <c r="N274" i="4"/>
  <c r="N290" i="4"/>
  <c r="D40" i="4"/>
  <c r="N73" i="4"/>
  <c r="D114" i="4"/>
  <c r="F296" i="4"/>
  <c r="D296" i="4"/>
  <c r="R307" i="4"/>
  <c r="H79" i="4"/>
  <c r="D87" i="4"/>
  <c r="D89" i="4" s="1"/>
  <c r="V102" i="4"/>
  <c r="H161" i="4"/>
  <c r="H164" i="4" s="1"/>
  <c r="P179" i="4"/>
  <c r="D226" i="4"/>
  <c r="D232" i="4"/>
  <c r="D274" i="4"/>
  <c r="D290" i="4"/>
  <c r="D302" i="4"/>
  <c r="N302" i="4"/>
  <c r="T307" i="4"/>
  <c r="N76" i="4"/>
  <c r="N77" i="4" s="1"/>
  <c r="D106" i="4"/>
  <c r="V111" i="4"/>
  <c r="N160" i="4"/>
  <c r="V160" i="4" s="1"/>
  <c r="N226" i="4"/>
  <c r="V224" i="4"/>
  <c r="V249" i="4" s="1"/>
  <c r="N232" i="4"/>
  <c r="F302" i="4"/>
  <c r="P302" i="4"/>
  <c r="F307" i="4"/>
  <c r="V304" i="4"/>
  <c r="D307" i="4"/>
  <c r="AB21" i="4"/>
  <c r="AK21" i="4"/>
  <c r="AD21" i="4"/>
  <c r="AL21" i="4"/>
  <c r="R179" i="4"/>
  <c r="T179" i="4"/>
  <c r="Z21" i="4"/>
  <c r="AF21" i="4"/>
  <c r="AT19" i="5"/>
  <c r="AV19" i="5" s="1"/>
  <c r="AT23" i="5"/>
  <c r="AV23" i="5" s="1"/>
  <c r="AT27" i="5"/>
  <c r="AV27" i="5" s="1"/>
  <c r="AT31" i="5"/>
  <c r="AV31" i="5" s="1"/>
  <c r="AT35" i="5"/>
  <c r="AV35" i="5" s="1"/>
  <c r="AT39" i="5"/>
  <c r="AV39" i="5" s="1"/>
  <c r="AT43" i="5"/>
  <c r="AV43" i="5" s="1"/>
  <c r="AT50" i="5"/>
  <c r="AV50" i="5" s="1"/>
  <c r="AT56" i="5"/>
  <c r="AV56" i="5" s="1"/>
  <c r="AT60" i="5"/>
  <c r="AV60" i="5" s="1"/>
  <c r="AT65" i="5"/>
  <c r="AV65" i="5" s="1"/>
  <c r="W72" i="5"/>
  <c r="G72" i="5"/>
  <c r="O72" i="5"/>
  <c r="AE72" i="5"/>
  <c r="AN71" i="5"/>
  <c r="AT75" i="5"/>
  <c r="AN78" i="5"/>
  <c r="AT82" i="5"/>
  <c r="C85" i="5"/>
  <c r="K85" i="5"/>
  <c r="S85" i="5"/>
  <c r="AA85" i="5"/>
  <c r="AP96" i="5"/>
  <c r="AL96" i="5"/>
  <c r="AT94" i="5"/>
  <c r="AV94" i="5" s="1"/>
  <c r="AP101" i="5"/>
  <c r="AT104" i="5"/>
  <c r="AV104" i="5" s="1"/>
  <c r="AT108" i="5"/>
  <c r="AV108" i="5" s="1"/>
  <c r="AN113" i="5"/>
  <c r="AN114" i="5" s="1"/>
  <c r="AT112" i="5"/>
  <c r="AV112" i="5" s="1"/>
  <c r="AT118" i="5"/>
  <c r="AV118" i="5" s="1"/>
  <c r="AT121" i="5"/>
  <c r="AV121" i="5" s="1"/>
  <c r="AT124" i="5"/>
  <c r="AV124" i="5" s="1"/>
  <c r="I134" i="5"/>
  <c r="Q134" i="5"/>
  <c r="Y134" i="5"/>
  <c r="AG134" i="5"/>
  <c r="AT133" i="5"/>
  <c r="AT138" i="5"/>
  <c r="AV138" i="5" s="1"/>
  <c r="AP139" i="5"/>
  <c r="AR139" i="5"/>
  <c r="AN139" i="5"/>
  <c r="AT141" i="5"/>
  <c r="AV141" i="5" s="1"/>
  <c r="AT148" i="5"/>
  <c r="AV148" i="5" s="1"/>
  <c r="AT152" i="5"/>
  <c r="AV152" i="5" s="1"/>
  <c r="C154" i="5"/>
  <c r="K154" i="5"/>
  <c r="S154" i="5"/>
  <c r="AA154" i="5"/>
  <c r="AT163" i="5"/>
  <c r="AV163" i="5" s="1"/>
  <c r="AP164" i="5"/>
  <c r="AN164" i="5"/>
  <c r="W181" i="5"/>
  <c r="AE181" i="5"/>
  <c r="AT197" i="5"/>
  <c r="AT198" i="5" s="1"/>
  <c r="AV198" i="5" s="1"/>
  <c r="AL198" i="5"/>
  <c r="C134" i="5"/>
  <c r="K134" i="5"/>
  <c r="S134" i="5"/>
  <c r="AA134" i="5"/>
  <c r="E154" i="5"/>
  <c r="AC154" i="5"/>
  <c r="AT16" i="5"/>
  <c r="AV16" i="5" s="1"/>
  <c r="AP45" i="5"/>
  <c r="AT17" i="5"/>
  <c r="AV17" i="5" s="1"/>
  <c r="AT21" i="5"/>
  <c r="AV21" i="5" s="1"/>
  <c r="AT25" i="5"/>
  <c r="AV25" i="5" s="1"/>
  <c r="AT29" i="5"/>
  <c r="AV29" i="5" s="1"/>
  <c r="AT33" i="5"/>
  <c r="AV33" i="5" s="1"/>
  <c r="AT37" i="5"/>
  <c r="AV37" i="5" s="1"/>
  <c r="AT41" i="5"/>
  <c r="AV41" i="5" s="1"/>
  <c r="AT54" i="5"/>
  <c r="AV54" i="5" s="1"/>
  <c r="AT58" i="5"/>
  <c r="AT67" i="5"/>
  <c r="AV67" i="5" s="1"/>
  <c r="AJ68" i="5"/>
  <c r="AA72" i="5"/>
  <c r="AT70" i="5"/>
  <c r="AV70" i="5" s="1"/>
  <c r="C72" i="5"/>
  <c r="AR71" i="5"/>
  <c r="S72" i="5"/>
  <c r="AT77" i="5"/>
  <c r="AV77" i="5" s="1"/>
  <c r="AP78" i="5"/>
  <c r="AR78" i="5"/>
  <c r="AR85" i="5" s="1"/>
  <c r="AT80" i="5"/>
  <c r="AV80" i="5" s="1"/>
  <c r="AN83" i="5"/>
  <c r="AT88" i="5"/>
  <c r="AT92" i="5"/>
  <c r="AV92" i="5" s="1"/>
  <c r="AT106" i="5"/>
  <c r="AV106" i="5" s="1"/>
  <c r="AT110" i="5"/>
  <c r="AV110" i="5" s="1"/>
  <c r="E134" i="5"/>
  <c r="M134" i="5"/>
  <c r="U134" i="5"/>
  <c r="AR123" i="5"/>
  <c r="AT128" i="5"/>
  <c r="AV128" i="5" s="1"/>
  <c r="AT131" i="5"/>
  <c r="AV131" i="5" s="1"/>
  <c r="AT132" i="5"/>
  <c r="AT143" i="5"/>
  <c r="AV143" i="5" s="1"/>
  <c r="AT146" i="5"/>
  <c r="AV146" i="5" s="1"/>
  <c r="AT150" i="5"/>
  <c r="AV150" i="5" s="1"/>
  <c r="AN153" i="5"/>
  <c r="O154" i="5"/>
  <c r="W154" i="5"/>
  <c r="AE154" i="5"/>
  <c r="C181" i="5"/>
  <c r="K181" i="5"/>
  <c r="S181" i="5"/>
  <c r="AA181" i="5"/>
  <c r="E223" i="5"/>
  <c r="M223" i="5"/>
  <c r="U223" i="5"/>
  <c r="AC223" i="5"/>
  <c r="AJ45" i="5"/>
  <c r="AR45" i="5"/>
  <c r="AT18" i="5"/>
  <c r="AV18" i="5" s="1"/>
  <c r="AT22" i="5"/>
  <c r="AV22" i="5" s="1"/>
  <c r="AT26" i="5"/>
  <c r="AV26" i="5" s="1"/>
  <c r="AT30" i="5"/>
  <c r="AV30" i="5" s="1"/>
  <c r="AT34" i="5"/>
  <c r="AV34" i="5" s="1"/>
  <c r="AT38" i="5"/>
  <c r="AV38" i="5" s="1"/>
  <c r="AT42" i="5"/>
  <c r="AV42" i="5" s="1"/>
  <c r="AL52" i="5"/>
  <c r="AT55" i="5"/>
  <c r="AV55" i="5" s="1"/>
  <c r="AT59" i="5"/>
  <c r="AV59" i="5" s="1"/>
  <c r="AL62" i="5"/>
  <c r="AC72" i="5"/>
  <c r="E72" i="5"/>
  <c r="M72" i="5"/>
  <c r="U72" i="5"/>
  <c r="AJ78" i="5"/>
  <c r="AT81" i="5"/>
  <c r="AV81" i="5" s="1"/>
  <c r="AV82" i="5"/>
  <c r="I85" i="5"/>
  <c r="Q85" i="5"/>
  <c r="Y85" i="5"/>
  <c r="AG85" i="5"/>
  <c r="AN96" i="5"/>
  <c r="AT89" i="5"/>
  <c r="AV89" i="5" s="1"/>
  <c r="AR96" i="5"/>
  <c r="AT93" i="5"/>
  <c r="AV93" i="5" s="1"/>
  <c r="AN101" i="5"/>
  <c r="AT100" i="5"/>
  <c r="AV100" i="5" s="1"/>
  <c r="AT107" i="5"/>
  <c r="AV107" i="5" s="1"/>
  <c r="AT111" i="5"/>
  <c r="AV111" i="5" s="1"/>
  <c r="AR113" i="5"/>
  <c r="AR114" i="5" s="1"/>
  <c r="AT117" i="5"/>
  <c r="AV117" i="5" s="1"/>
  <c r="AL120" i="5"/>
  <c r="AN123" i="5"/>
  <c r="AL123" i="5"/>
  <c r="G134" i="5"/>
  <c r="AL126" i="5"/>
  <c r="W134" i="5"/>
  <c r="AE134" i="5"/>
  <c r="AR126" i="5"/>
  <c r="AT129" i="5"/>
  <c r="AV129" i="5" s="1"/>
  <c r="AP130" i="5"/>
  <c r="AR130" i="5"/>
  <c r="AN130" i="5"/>
  <c r="AT162" i="5"/>
  <c r="AV162" i="5" s="1"/>
  <c r="AL164" i="5"/>
  <c r="AT165" i="5"/>
  <c r="AV165" i="5" s="1"/>
  <c r="AT168" i="5"/>
  <c r="AV168" i="5" s="1"/>
  <c r="AT172" i="5"/>
  <c r="AV172" i="5" s="1"/>
  <c r="AT176" i="5"/>
  <c r="AV176" i="5" s="1"/>
  <c r="AN180" i="5"/>
  <c r="AT189" i="5"/>
  <c r="AV189" i="5" s="1"/>
  <c r="AL192" i="5"/>
  <c r="AL194" i="5" s="1"/>
  <c r="W194" i="5"/>
  <c r="AE194" i="5"/>
  <c r="AR192" i="5"/>
  <c r="AT202" i="5"/>
  <c r="AV202" i="5" s="1"/>
  <c r="AP203" i="5"/>
  <c r="AT205" i="5"/>
  <c r="AV205" i="5" s="1"/>
  <c r="AT208" i="5"/>
  <c r="AV208" i="5" s="1"/>
  <c r="AN211" i="5"/>
  <c r="AT215" i="5"/>
  <c r="AV215" i="5" s="1"/>
  <c r="AT137" i="5"/>
  <c r="AV137" i="5" s="1"/>
  <c r="AT140" i="5"/>
  <c r="AV140" i="5" s="1"/>
  <c r="AT144" i="5"/>
  <c r="AV144" i="5" s="1"/>
  <c r="AJ145" i="5"/>
  <c r="AR145" i="5"/>
  <c r="AN145" i="5"/>
  <c r="AT147" i="5"/>
  <c r="AV147" i="5" s="1"/>
  <c r="AT151" i="5"/>
  <c r="AV151" i="5" s="1"/>
  <c r="I154" i="5"/>
  <c r="Q154" i="5"/>
  <c r="Y154" i="5"/>
  <c r="Y157" i="5" s="1"/>
  <c r="AG154" i="5"/>
  <c r="E181" i="5"/>
  <c r="M181" i="5"/>
  <c r="U181" i="5"/>
  <c r="AC181" i="5"/>
  <c r="AT170" i="5"/>
  <c r="AV170" i="5" s="1"/>
  <c r="AT174" i="5"/>
  <c r="AV174" i="5" s="1"/>
  <c r="AT178" i="5"/>
  <c r="AV178" i="5" s="1"/>
  <c r="I181" i="5"/>
  <c r="Q181" i="5"/>
  <c r="Y181" i="5"/>
  <c r="AG181" i="5"/>
  <c r="AT186" i="5"/>
  <c r="AV186" i="5" s="1"/>
  <c r="AP187" i="5"/>
  <c r="AT188" i="5"/>
  <c r="AV188" i="5" s="1"/>
  <c r="E194" i="5"/>
  <c r="M194" i="5"/>
  <c r="U194" i="5"/>
  <c r="AC194" i="5"/>
  <c r="AN203" i="5"/>
  <c r="AP207" i="5"/>
  <c r="AN207" i="5"/>
  <c r="AT210" i="5"/>
  <c r="AV210" i="5" s="1"/>
  <c r="AP211" i="5"/>
  <c r="AT213" i="5"/>
  <c r="AV213" i="5" s="1"/>
  <c r="AT217" i="5"/>
  <c r="AV217" i="5" s="1"/>
  <c r="AT221" i="5"/>
  <c r="AV221" i="5" s="1"/>
  <c r="AJ222" i="5"/>
  <c r="K223" i="5"/>
  <c r="S223" i="5"/>
  <c r="AA223" i="5"/>
  <c r="AT226" i="5"/>
  <c r="AV226" i="5" s="1"/>
  <c r="Q247" i="5"/>
  <c r="AN254" i="5"/>
  <c r="AN256" i="5" s="1"/>
  <c r="AT253" i="5"/>
  <c r="AV253" i="5" s="1"/>
  <c r="AL261" i="5"/>
  <c r="AL263" i="5" s="1"/>
  <c r="AL300" i="5"/>
  <c r="AT274" i="5"/>
  <c r="AV274" i="5" s="1"/>
  <c r="AT278" i="5"/>
  <c r="AV278" i="5" s="1"/>
  <c r="AT282" i="5"/>
  <c r="AV282" i="5" s="1"/>
  <c r="AT286" i="5"/>
  <c r="AV286" i="5" s="1"/>
  <c r="AT290" i="5"/>
  <c r="AV290" i="5" s="1"/>
  <c r="AT294" i="5"/>
  <c r="AV294" i="5" s="1"/>
  <c r="AT298" i="5"/>
  <c r="AV298" i="5" s="1"/>
  <c r="AT305" i="5"/>
  <c r="AV305" i="5" s="1"/>
  <c r="AT311" i="5"/>
  <c r="AV311" i="5" s="1"/>
  <c r="AT315" i="5"/>
  <c r="AV315" i="5" s="1"/>
  <c r="AT321" i="5"/>
  <c r="AV321" i="5" s="1"/>
  <c r="C326" i="5"/>
  <c r="K326" i="5"/>
  <c r="S326" i="5"/>
  <c r="AA326" i="5"/>
  <c r="AT324" i="5"/>
  <c r="AV324" i="5" s="1"/>
  <c r="AT334" i="5"/>
  <c r="AV334" i="5" s="1"/>
  <c r="I338" i="5"/>
  <c r="Q338" i="5"/>
  <c r="Y338" i="5"/>
  <c r="AG338" i="5"/>
  <c r="AT337" i="5"/>
  <c r="AV337" i="5" s="1"/>
  <c r="AT342" i="5"/>
  <c r="AV342" i="5" s="1"/>
  <c r="AT346" i="5"/>
  <c r="AV346" i="5" s="1"/>
  <c r="AT357" i="5"/>
  <c r="AV357" i="5" s="1"/>
  <c r="AT219" i="5"/>
  <c r="AV219" i="5" s="1"/>
  <c r="G223" i="5"/>
  <c r="O223" i="5"/>
  <c r="W223" i="5"/>
  <c r="AE223" i="5"/>
  <c r="AN229" i="5"/>
  <c r="AT228" i="5"/>
  <c r="AV228" i="5" s="1"/>
  <c r="U247" i="5"/>
  <c r="AP300" i="5"/>
  <c r="AT272" i="5"/>
  <c r="AV272" i="5" s="1"/>
  <c r="AT276" i="5"/>
  <c r="AV276" i="5" s="1"/>
  <c r="AT280" i="5"/>
  <c r="AV280" i="5" s="1"/>
  <c r="AT284" i="5"/>
  <c r="AV284" i="5" s="1"/>
  <c r="AT288" i="5"/>
  <c r="AV288" i="5" s="1"/>
  <c r="AT292" i="5"/>
  <c r="AV292" i="5" s="1"/>
  <c r="AT296" i="5"/>
  <c r="AV296" i="5" s="1"/>
  <c r="AP307" i="5"/>
  <c r="AT309" i="5"/>
  <c r="AV309" i="5" s="1"/>
  <c r="AT313" i="5"/>
  <c r="AV313" i="5" s="1"/>
  <c r="AP317" i="5"/>
  <c r="AT319" i="5"/>
  <c r="AV319" i="5" s="1"/>
  <c r="AN325" i="5"/>
  <c r="O326" i="5"/>
  <c r="W326" i="5"/>
  <c r="AE326" i="5"/>
  <c r="AT329" i="5"/>
  <c r="AV329" i="5" s="1"/>
  <c r="AL331" i="5"/>
  <c r="AT332" i="5"/>
  <c r="AV332" i="5" s="1"/>
  <c r="AJ349" i="5"/>
  <c r="AR349" i="5"/>
  <c r="AN349" i="5"/>
  <c r="AT344" i="5"/>
  <c r="AV344" i="5" s="1"/>
  <c r="AR367" i="5"/>
  <c r="AT166" i="5"/>
  <c r="AV166" i="5" s="1"/>
  <c r="AP167" i="5"/>
  <c r="AR167" i="5"/>
  <c r="AN167" i="5"/>
  <c r="AT169" i="5"/>
  <c r="AV169" i="5" s="1"/>
  <c r="AT173" i="5"/>
  <c r="AV173" i="5" s="1"/>
  <c r="AT177" i="5"/>
  <c r="AV177" i="5" s="1"/>
  <c r="AT185" i="5"/>
  <c r="AV185" i="5" s="1"/>
  <c r="AR187" i="5"/>
  <c r="AT191" i="5"/>
  <c r="AV191" i="5" s="1"/>
  <c r="AT206" i="5"/>
  <c r="AV206" i="5" s="1"/>
  <c r="AJ207" i="5"/>
  <c r="AR207" i="5"/>
  <c r="AT209" i="5"/>
  <c r="AV209" i="5" s="1"/>
  <c r="AR211" i="5"/>
  <c r="AL211" i="5"/>
  <c r="AT212" i="5"/>
  <c r="AV212" i="5" s="1"/>
  <c r="AT216" i="5"/>
  <c r="AV216" i="5" s="1"/>
  <c r="AT220" i="5"/>
  <c r="AV220" i="5" s="1"/>
  <c r="AR222" i="5"/>
  <c r="Q223" i="5"/>
  <c r="Y223" i="5"/>
  <c r="AG223" i="5"/>
  <c r="AJ229" i="5"/>
  <c r="AR229" i="5"/>
  <c r="O247" i="5"/>
  <c r="AJ300" i="5"/>
  <c r="AR300" i="5"/>
  <c r="AT273" i="5"/>
  <c r="AV273" i="5" s="1"/>
  <c r="AT277" i="5"/>
  <c r="AV277" i="5" s="1"/>
  <c r="AT281" i="5"/>
  <c r="AV281" i="5" s="1"/>
  <c r="AT285" i="5"/>
  <c r="AV285" i="5" s="1"/>
  <c r="AT289" i="5"/>
  <c r="AV289" i="5" s="1"/>
  <c r="AT293" i="5"/>
  <c r="AV293" i="5" s="1"/>
  <c r="AT297" i="5"/>
  <c r="AV297" i="5" s="1"/>
  <c r="AN307" i="5"/>
  <c r="AT310" i="5"/>
  <c r="AV310" i="5" s="1"/>
  <c r="AT314" i="5"/>
  <c r="AV314" i="5" s="1"/>
  <c r="AN317" i="5"/>
  <c r="AT320" i="5"/>
  <c r="AV320" i="5" s="1"/>
  <c r="AR322" i="5"/>
  <c r="AT323" i="5"/>
  <c r="AV323" i="5" s="1"/>
  <c r="I326" i="5"/>
  <c r="Q326" i="5"/>
  <c r="Y326" i="5"/>
  <c r="AG326" i="5"/>
  <c r="AT330" i="5"/>
  <c r="AV330" i="5" s="1"/>
  <c r="AP331" i="5"/>
  <c r="AN331" i="5"/>
  <c r="AT333" i="5"/>
  <c r="AV333" i="5" s="1"/>
  <c r="AN336" i="5"/>
  <c r="O338" i="5"/>
  <c r="W338" i="5"/>
  <c r="AE338" i="5"/>
  <c r="AT341" i="5"/>
  <c r="AV341" i="5" s="1"/>
  <c r="AT345" i="5"/>
  <c r="AV345" i="5" s="1"/>
  <c r="E385" i="5"/>
  <c r="M385" i="5"/>
  <c r="U385" i="5"/>
  <c r="AC385" i="5"/>
  <c r="AT348" i="5"/>
  <c r="AV348" i="5" s="1"/>
  <c r="AR354" i="5"/>
  <c r="AT358" i="5"/>
  <c r="AV358" i="5" s="1"/>
  <c r="AT362" i="5"/>
  <c r="AV362" i="5" s="1"/>
  <c r="AP366" i="5"/>
  <c r="AP367" i="5" s="1"/>
  <c r="AT371" i="5"/>
  <c r="AV371" i="5" s="1"/>
  <c r="AP372" i="5"/>
  <c r="AN372" i="5"/>
  <c r="AT374" i="5"/>
  <c r="C385" i="5"/>
  <c r="K385" i="5"/>
  <c r="S385" i="5"/>
  <c r="AA385" i="5"/>
  <c r="AT377" i="5"/>
  <c r="AV377" i="5" s="1"/>
  <c r="AJ382" i="5"/>
  <c r="AJ390" i="5"/>
  <c r="AP394" i="5"/>
  <c r="AR394" i="5"/>
  <c r="AT397" i="5"/>
  <c r="AV397" i="5" s="1"/>
  <c r="AT401" i="5"/>
  <c r="AV401" i="5" s="1"/>
  <c r="AJ402" i="5"/>
  <c r="K403" i="5"/>
  <c r="S403" i="5"/>
  <c r="AA403" i="5"/>
  <c r="AJ413" i="5"/>
  <c r="AL413" i="5"/>
  <c r="AL416" i="5"/>
  <c r="AT419" i="5"/>
  <c r="AT423" i="5"/>
  <c r="AV423" i="5" s="1"/>
  <c r="AT427" i="5"/>
  <c r="AV427" i="5" s="1"/>
  <c r="AP431" i="5"/>
  <c r="AT435" i="5"/>
  <c r="AV435" i="5" s="1"/>
  <c r="AV436" i="5"/>
  <c r="AR437" i="5"/>
  <c r="AL437" i="5"/>
  <c r="AT438" i="5"/>
  <c r="AV438" i="5" s="1"/>
  <c r="E444" i="5"/>
  <c r="M444" i="5"/>
  <c r="U444" i="5"/>
  <c r="AC444" i="5"/>
  <c r="AT451" i="5"/>
  <c r="AV451" i="5" s="1"/>
  <c r="AR453" i="5"/>
  <c r="AL453" i="5"/>
  <c r="AT454" i="5"/>
  <c r="AV454" i="5" s="1"/>
  <c r="AN457" i="5"/>
  <c r="AL457" i="5"/>
  <c r="AJ461" i="5"/>
  <c r="AN461" i="5"/>
  <c r="AT464" i="5"/>
  <c r="AV464" i="5" s="1"/>
  <c r="AT468" i="5"/>
  <c r="AV468" i="5" s="1"/>
  <c r="AL479" i="5"/>
  <c r="AN511" i="5"/>
  <c r="AT509" i="5"/>
  <c r="AV509" i="5" s="1"/>
  <c r="AJ579" i="5"/>
  <c r="AJ582" i="5"/>
  <c r="K593" i="5"/>
  <c r="K602" i="5" s="1"/>
  <c r="AJ584" i="5"/>
  <c r="AN354" i="5"/>
  <c r="AT353" i="5"/>
  <c r="AV353" i="5" s="1"/>
  <c r="AT360" i="5"/>
  <c r="AV360" i="5" s="1"/>
  <c r="AT364" i="5"/>
  <c r="AV364" i="5" s="1"/>
  <c r="AJ372" i="5"/>
  <c r="AJ375" i="5"/>
  <c r="AN378" i="5"/>
  <c r="O385" i="5"/>
  <c r="W385" i="5"/>
  <c r="AE385" i="5"/>
  <c r="AT381" i="5"/>
  <c r="AV381" i="5" s="1"/>
  <c r="AP382" i="5"/>
  <c r="AN382" i="5"/>
  <c r="AT384" i="5"/>
  <c r="AV384" i="5" s="1"/>
  <c r="AT389" i="5"/>
  <c r="AV389" i="5" s="1"/>
  <c r="AP390" i="5"/>
  <c r="AN390" i="5"/>
  <c r="AT392" i="5"/>
  <c r="AV392" i="5" s="1"/>
  <c r="AT395" i="5"/>
  <c r="AV395" i="5" s="1"/>
  <c r="AT399" i="5"/>
  <c r="AV399" i="5" s="1"/>
  <c r="AT412" i="5"/>
  <c r="AV412" i="5" s="1"/>
  <c r="AT415" i="5"/>
  <c r="AV415" i="5" s="1"/>
  <c r="AT418" i="5"/>
  <c r="AV418" i="5" s="1"/>
  <c r="AT421" i="5"/>
  <c r="AV421" i="5" s="1"/>
  <c r="AT425" i="5"/>
  <c r="AV425" i="5" s="1"/>
  <c r="AT429" i="5"/>
  <c r="AV429" i="5" s="1"/>
  <c r="I432" i="5"/>
  <c r="Q432" i="5"/>
  <c r="Y432" i="5"/>
  <c r="AG432" i="5"/>
  <c r="AN437" i="5"/>
  <c r="AT440" i="5"/>
  <c r="AV440" i="5" s="1"/>
  <c r="AR442" i="5"/>
  <c r="Q444" i="5"/>
  <c r="Y444" i="5"/>
  <c r="AG444" i="5"/>
  <c r="AT443" i="5"/>
  <c r="AV443" i="5" s="1"/>
  <c r="AN453" i="5"/>
  <c r="AT456" i="5"/>
  <c r="AV456" i="5" s="1"/>
  <c r="AT459" i="5"/>
  <c r="AV459" i="5" s="1"/>
  <c r="AR461" i="5"/>
  <c r="AL461" i="5"/>
  <c r="AT462" i="5"/>
  <c r="AV462" i="5" s="1"/>
  <c r="AT466" i="5"/>
  <c r="AV466" i="5" s="1"/>
  <c r="AT470" i="5"/>
  <c r="AV470" i="5" s="1"/>
  <c r="AT478" i="5"/>
  <c r="AV478" i="5" s="1"/>
  <c r="AT499" i="5"/>
  <c r="AT500" i="5" s="1"/>
  <c r="AT502" i="5" s="1"/>
  <c r="AJ546" i="5"/>
  <c r="AJ583" i="5"/>
  <c r="AT361" i="5"/>
  <c r="AV361" i="5" s="1"/>
  <c r="AT365" i="5"/>
  <c r="AV365" i="5" s="1"/>
  <c r="AT370" i="5"/>
  <c r="AV370" i="5" s="1"/>
  <c r="AR372" i="5"/>
  <c r="AT373" i="5"/>
  <c r="AV373" i="5" s="1"/>
  <c r="AR375" i="5"/>
  <c r="AT376" i="5"/>
  <c r="AV376" i="5" s="1"/>
  <c r="I385" i="5"/>
  <c r="Q385" i="5"/>
  <c r="Y385" i="5"/>
  <c r="AG385" i="5"/>
  <c r="AT393" i="5"/>
  <c r="AV393" i="5" s="1"/>
  <c r="AT396" i="5"/>
  <c r="AV396" i="5" s="1"/>
  <c r="AT400" i="5"/>
  <c r="AV400" i="5" s="1"/>
  <c r="AR402" i="5"/>
  <c r="Q403" i="5"/>
  <c r="Y403" i="5"/>
  <c r="AG403" i="5"/>
  <c r="AP416" i="5"/>
  <c r="AR416" i="5"/>
  <c r="AT422" i="5"/>
  <c r="AV422" i="5" s="1"/>
  <c r="AT426" i="5"/>
  <c r="AV426" i="5" s="1"/>
  <c r="AT430" i="5"/>
  <c r="AV430" i="5" s="1"/>
  <c r="AT441" i="5"/>
  <c r="AV441" i="5" s="1"/>
  <c r="AP442" i="5"/>
  <c r="K444" i="5"/>
  <c r="S444" i="5"/>
  <c r="AA444" i="5"/>
  <c r="AP457" i="5"/>
  <c r="AT460" i="5"/>
  <c r="AV460" i="5" s="1"/>
  <c r="AP461" i="5"/>
  <c r="AT463" i="5"/>
  <c r="AV463" i="5" s="1"/>
  <c r="AT467" i="5"/>
  <c r="AV467" i="5" s="1"/>
  <c r="AT471" i="5"/>
  <c r="AV471" i="5" s="1"/>
  <c r="AJ479" i="5"/>
  <c r="AR479" i="5"/>
  <c r="AT508" i="5"/>
  <c r="AV508" i="5" s="1"/>
  <c r="I585" i="5"/>
  <c r="I593" i="5" s="1"/>
  <c r="I602" i="5" s="1"/>
  <c r="Q585" i="5"/>
  <c r="Q593" i="5" s="1"/>
  <c r="Q602" i="5" s="1"/>
  <c r="Y585" i="5"/>
  <c r="Y593" i="5" s="1"/>
  <c r="Y602" i="5" s="1"/>
  <c r="AG585" i="5"/>
  <c r="AG593" i="5" s="1"/>
  <c r="AG602" i="5" s="1"/>
  <c r="AJ599" i="5"/>
  <c r="J41" i="36"/>
  <c r="B466" i="33"/>
  <c r="B98" i="36"/>
  <c r="E284" i="36"/>
  <c r="J387" i="36"/>
  <c r="B422" i="36"/>
  <c r="D252" i="4"/>
  <c r="B367" i="33"/>
  <c r="J163" i="36"/>
  <c r="B172" i="36"/>
  <c r="B209" i="36" s="1"/>
  <c r="I284" i="36"/>
  <c r="O284" i="36"/>
  <c r="J396" i="36"/>
  <c r="J398" i="36" s="1"/>
  <c r="B518" i="33"/>
  <c r="J129" i="36"/>
  <c r="J172" i="36"/>
  <c r="J222" i="36"/>
  <c r="Q284" i="36"/>
  <c r="J433" i="36"/>
  <c r="Q35" i="3"/>
  <c r="U34" i="3"/>
  <c r="W34" i="3" s="1"/>
  <c r="N252" i="4"/>
  <c r="AV295" i="5"/>
  <c r="AV306" i="5"/>
  <c r="D148" i="4"/>
  <c r="D127" i="1"/>
  <c r="D130" i="1"/>
  <c r="Q14" i="3"/>
  <c r="Q37" i="3" s="1"/>
  <c r="Y21" i="4"/>
  <c r="AJ21" i="4"/>
  <c r="N74" i="4"/>
  <c r="V73" i="4"/>
  <c r="V74" i="4" s="1"/>
  <c r="J79" i="4"/>
  <c r="V313" i="4"/>
  <c r="AV51" i="5"/>
  <c r="AV63" i="5"/>
  <c r="AV374" i="5"/>
  <c r="O35" i="3"/>
  <c r="L307" i="4"/>
  <c r="AV58" i="5"/>
  <c r="AV64" i="5"/>
  <c r="AV88" i="5"/>
  <c r="U74" i="2"/>
  <c r="Q12" i="3"/>
  <c r="F158" i="4"/>
  <c r="AL45" i="5"/>
  <c r="AP83" i="5"/>
  <c r="E85" i="5"/>
  <c r="AC85" i="5"/>
  <c r="AJ96" i="5"/>
  <c r="AL113" i="5"/>
  <c r="AP123" i="5"/>
  <c r="AJ126" i="5"/>
  <c r="AT127" i="5"/>
  <c r="AC134" i="5"/>
  <c r="AJ153" i="5"/>
  <c r="AJ180" i="5"/>
  <c r="AR180" i="5"/>
  <c r="AJ187" i="5"/>
  <c r="AP192" i="5"/>
  <c r="AJ203" i="5"/>
  <c r="AJ211" i="5"/>
  <c r="AN222" i="5"/>
  <c r="I223" i="5"/>
  <c r="AL229" i="5"/>
  <c r="AJ254" i="5"/>
  <c r="AT259" i="5"/>
  <c r="AN322" i="5"/>
  <c r="AJ336" i="5"/>
  <c r="AR336" i="5"/>
  <c r="G338" i="5"/>
  <c r="AL349" i="5"/>
  <c r="AJ354" i="5"/>
  <c r="AP378" i="5"/>
  <c r="AL402" i="5"/>
  <c r="G403" i="5"/>
  <c r="O403" i="5"/>
  <c r="AN413" i="5"/>
  <c r="AJ431" i="5"/>
  <c r="AR431" i="5"/>
  <c r="AL442" i="5"/>
  <c r="I444" i="5"/>
  <c r="AJ457" i="5"/>
  <c r="I473" i="5"/>
  <c r="Q473" i="5"/>
  <c r="Y473" i="5"/>
  <c r="AG473" i="5"/>
  <c r="S33" i="3"/>
  <c r="S35" i="3" s="1"/>
  <c r="J159" i="4"/>
  <c r="J161" i="4" s="1"/>
  <c r="J164" i="4" s="1"/>
  <c r="AN164" i="4" s="1"/>
  <c r="AN14" i="4" s="1"/>
  <c r="N293" i="4"/>
  <c r="N45" i="1"/>
  <c r="N46" i="1" s="1"/>
  <c r="M77" i="2"/>
  <c r="M79" i="2" s="1"/>
  <c r="M88" i="2" s="1"/>
  <c r="U23" i="3"/>
  <c r="U33" i="3" s="1"/>
  <c r="Q30" i="3"/>
  <c r="D161" i="4"/>
  <c r="L294" i="4"/>
  <c r="P295" i="4"/>
  <c r="P306" i="4"/>
  <c r="V306" i="4" s="1"/>
  <c r="F313" i="4"/>
  <c r="AA317" i="4" s="1"/>
  <c r="AA16" i="4" s="1"/>
  <c r="AA12" i="4" s="1"/>
  <c r="AA21" i="4" s="1"/>
  <c r="AP62" i="5"/>
  <c r="AN68" i="5"/>
  <c r="AT84" i="5"/>
  <c r="AV84" i="5" s="1"/>
  <c r="AP145" i="5"/>
  <c r="AL153" i="5"/>
  <c r="G154" i="5"/>
  <c r="AP222" i="5"/>
  <c r="C223" i="5"/>
  <c r="AT240" i="5"/>
  <c r="AT241" i="5" s="1"/>
  <c r="AT247" i="5" s="1"/>
  <c r="AJ247" i="5"/>
  <c r="AT252" i="5"/>
  <c r="AJ307" i="5"/>
  <c r="AJ317" i="5"/>
  <c r="AP322" i="5"/>
  <c r="AJ325" i="5"/>
  <c r="AL336" i="5"/>
  <c r="AT352" i="5"/>
  <c r="AJ366" i="5"/>
  <c r="AJ378" i="5"/>
  <c r="AT379" i="5"/>
  <c r="AV379" i="5" s="1"/>
  <c r="AJ394" i="5"/>
  <c r="AN402" i="5"/>
  <c r="I403" i="5"/>
  <c r="AP413" i="5"/>
  <c r="AJ416" i="5"/>
  <c r="AL431" i="5"/>
  <c r="G432" i="5"/>
  <c r="AN442" i="5"/>
  <c r="C444" i="5"/>
  <c r="AT447" i="5"/>
  <c r="AT448" i="5" s="1"/>
  <c r="AJ448" i="5"/>
  <c r="C473" i="5"/>
  <c r="K473" i="5"/>
  <c r="S473" i="5"/>
  <c r="AA473" i="5"/>
  <c r="B77" i="10"/>
  <c r="A3" i="32"/>
  <c r="A3" i="29"/>
  <c r="A3" i="27"/>
  <c r="A3" i="26"/>
  <c r="A3" i="33"/>
  <c r="A3" i="34"/>
  <c r="A3" i="31"/>
  <c r="A3" i="30"/>
  <c r="A3" i="28"/>
  <c r="A3" i="36"/>
  <c r="A3" i="35"/>
  <c r="A3" i="25"/>
  <c r="A3" i="22"/>
  <c r="A3" i="21"/>
  <c r="A3" i="24"/>
  <c r="A3" i="23"/>
  <c r="A3" i="18"/>
  <c r="A3" i="17"/>
  <c r="A3" i="20"/>
  <c r="A3" i="19"/>
  <c r="A3" i="13"/>
  <c r="A3" i="12"/>
  <c r="A3" i="11"/>
  <c r="A3" i="9"/>
  <c r="A3" i="16"/>
  <c r="A3" i="15"/>
  <c r="A3" i="10"/>
  <c r="A3" i="14"/>
  <c r="A3" i="8"/>
  <c r="U27" i="3"/>
  <c r="N194" i="4"/>
  <c r="N196" i="4" s="1"/>
  <c r="R294" i="4"/>
  <c r="AL68" i="5"/>
  <c r="L48" i="1"/>
  <c r="L120" i="1"/>
  <c r="K12" i="3"/>
  <c r="K14" i="3" s="1"/>
  <c r="U24" i="3"/>
  <c r="D58" i="4"/>
  <c r="P293" i="4"/>
  <c r="T294" i="4"/>
  <c r="AP71" i="5"/>
  <c r="K72" i="5"/>
  <c r="G85" i="5"/>
  <c r="O85" i="5"/>
  <c r="AT90" i="5"/>
  <c r="I114" i="5"/>
  <c r="O134" i="5"/>
  <c r="AJ192" i="5"/>
  <c r="AT193" i="5"/>
  <c r="AV193" i="5" s="1"/>
  <c r="G194" i="5"/>
  <c r="O194" i="5"/>
  <c r="J49" i="1"/>
  <c r="J51" i="1" s="1"/>
  <c r="Q79" i="35"/>
  <c r="U75" i="2"/>
  <c r="U78" i="35"/>
  <c r="O77" i="2"/>
  <c r="A3" i="3"/>
  <c r="M11" i="3"/>
  <c r="M12" i="3"/>
  <c r="M13" i="3"/>
  <c r="U29" i="3"/>
  <c r="S30" i="3"/>
  <c r="M32" i="3"/>
  <c r="M35" i="3" s="1"/>
  <c r="U32" i="3"/>
  <c r="O33" i="3"/>
  <c r="AT18" i="4"/>
  <c r="AU18" i="4" s="1"/>
  <c r="F74" i="4"/>
  <c r="F77" i="4"/>
  <c r="D96" i="4"/>
  <c r="R293" i="4"/>
  <c r="N294" i="4"/>
  <c r="R295" i="4"/>
  <c r="V305" i="4"/>
  <c r="N307" i="4"/>
  <c r="A3" i="5"/>
  <c r="AJ52" i="5"/>
  <c r="AP68" i="5"/>
  <c r="AJ71" i="5"/>
  <c r="AT99" i="5"/>
  <c r="AT101" i="5" s="1"/>
  <c r="AP113" i="5"/>
  <c r="AP114" i="5" s="1"/>
  <c r="AN126" i="5"/>
  <c r="AJ132" i="5"/>
  <c r="AJ139" i="5"/>
  <c r="AT244" i="5"/>
  <c r="AT245" i="5" s="1"/>
  <c r="AL325" i="5"/>
  <c r="G326" i="5"/>
  <c r="C338" i="5"/>
  <c r="AL366" i="5"/>
  <c r="G367" i="5"/>
  <c r="AL378" i="5"/>
  <c r="G385" i="5"/>
  <c r="AP402" i="5"/>
  <c r="C403" i="5"/>
  <c r="AV469" i="5"/>
  <c r="E473" i="5"/>
  <c r="M473" i="5"/>
  <c r="U473" i="5"/>
  <c r="AC473" i="5"/>
  <c r="AV477" i="5"/>
  <c r="D194" i="4"/>
  <c r="N295" i="4"/>
  <c r="I72" i="5"/>
  <c r="U77" i="35"/>
  <c r="S12" i="3"/>
  <c r="U20" i="3"/>
  <c r="AO12" i="4"/>
  <c r="AO34" i="4" s="1"/>
  <c r="AJ101" i="5"/>
  <c r="AJ123" i="5"/>
  <c r="A3" i="2"/>
  <c r="S79" i="35"/>
  <c r="U76" i="35"/>
  <c r="U79" i="35" s="1"/>
  <c r="U76" i="2"/>
  <c r="Q77" i="2"/>
  <c r="O11" i="3"/>
  <c r="O14" i="3" s="1"/>
  <c r="O12" i="3"/>
  <c r="O13" i="3"/>
  <c r="U13" i="3" s="1"/>
  <c r="O25" i="3"/>
  <c r="K34" i="3"/>
  <c r="K35" i="3" s="1"/>
  <c r="AH12" i="4"/>
  <c r="AH21" i="4" s="1"/>
  <c r="T293" i="4"/>
  <c r="P294" i="4"/>
  <c r="L295" i="4"/>
  <c r="AL71" i="5"/>
  <c r="AP126" i="5"/>
  <c r="AP153" i="5"/>
  <c r="AP180" i="5"/>
  <c r="AL222" i="5"/>
  <c r="AT270" i="5"/>
  <c r="AT465" i="5"/>
  <c r="AV465" i="5" s="1"/>
  <c r="O473" i="5"/>
  <c r="W473" i="5"/>
  <c r="AE473" i="5"/>
  <c r="AJ502" i="5"/>
  <c r="B27" i="14"/>
  <c r="AP472" i="5"/>
  <c r="AT476" i="5"/>
  <c r="AL500" i="5"/>
  <c r="AL502" i="5" s="1"/>
  <c r="AJ511" i="5"/>
  <c r="AJ472" i="5"/>
  <c r="AR472" i="5"/>
  <c r="AT491" i="5"/>
  <c r="AT492" i="5" s="1"/>
  <c r="AT494" i="5" s="1"/>
  <c r="AJ492" i="5"/>
  <c r="AL511" i="5"/>
  <c r="C585" i="5"/>
  <c r="C593" i="5" s="1"/>
  <c r="C602" i="5" s="1"/>
  <c r="B85" i="15"/>
  <c r="B102" i="15"/>
  <c r="B105" i="15" s="1"/>
  <c r="B52" i="16"/>
  <c r="B104" i="16" s="1"/>
  <c r="B170" i="16"/>
  <c r="AL472" i="5"/>
  <c r="G473" i="5"/>
  <c r="L47" i="10"/>
  <c r="B105" i="17"/>
  <c r="B172" i="18"/>
  <c r="B41" i="17"/>
  <c r="B73" i="21"/>
  <c r="B125" i="22"/>
  <c r="B128" i="22" s="1"/>
  <c r="B74" i="22"/>
  <c r="B74" i="23"/>
  <c r="B128" i="24"/>
  <c r="B74" i="24"/>
  <c r="J15" i="31"/>
  <c r="L26" i="30"/>
  <c r="L33" i="30" s="1"/>
  <c r="J26" i="30"/>
  <c r="J33" i="30" s="1"/>
  <c r="B19" i="25"/>
  <c r="B22" i="25" s="1"/>
  <c r="F33" i="30"/>
  <c r="J11" i="32"/>
  <c r="J50" i="34"/>
  <c r="B25" i="34"/>
  <c r="B50" i="34" s="1"/>
  <c r="J367" i="33"/>
  <c r="M71" i="35"/>
  <c r="J111" i="36"/>
  <c r="B284" i="36"/>
  <c r="M72" i="35"/>
  <c r="C71" i="35"/>
  <c r="B30" i="36"/>
  <c r="J167" i="33"/>
  <c r="K33" i="35"/>
  <c r="K51" i="35"/>
  <c r="M67" i="35"/>
  <c r="K71" i="35"/>
  <c r="B41" i="36"/>
  <c r="B56" i="36"/>
  <c r="J284" i="36"/>
  <c r="B167" i="33"/>
  <c r="J518" i="33"/>
  <c r="M51" i="35"/>
  <c r="M70" i="35"/>
  <c r="J30" i="36"/>
  <c r="J78" i="36"/>
  <c r="J98" i="36"/>
  <c r="J209" i="36"/>
  <c r="K72" i="35"/>
  <c r="G79" i="35"/>
  <c r="B129" i="36"/>
  <c r="J147" i="36"/>
  <c r="B163" i="36"/>
  <c r="J301" i="36"/>
  <c r="B455" i="36"/>
  <c r="B525" i="36"/>
  <c r="B528" i="36" s="1"/>
  <c r="C70" i="35"/>
  <c r="K70" i="35"/>
  <c r="K73" i="35" s="1"/>
  <c r="K81" i="35" s="1"/>
  <c r="K90" i="35" s="1"/>
  <c r="C72" i="35"/>
  <c r="J56" i="36"/>
  <c r="B78" i="36"/>
  <c r="B147" i="36"/>
  <c r="J218" i="36"/>
  <c r="B301" i="36"/>
  <c r="J332" i="36"/>
  <c r="B433" i="36"/>
  <c r="B505" i="36"/>
  <c r="B516" i="36" s="1"/>
  <c r="J166" i="36"/>
  <c r="B218" i="36"/>
  <c r="M284" i="36"/>
  <c r="B332" i="36"/>
  <c r="J341" i="36"/>
  <c r="B387" i="36"/>
  <c r="J422" i="36"/>
  <c r="B341" i="36"/>
  <c r="J362" i="36"/>
  <c r="J455" i="36"/>
  <c r="B461" i="36"/>
  <c r="B464" i="36" s="1"/>
  <c r="J513" i="36"/>
  <c r="J516" i="36" s="1"/>
  <c r="B222" i="36"/>
  <c r="G284" i="36"/>
  <c r="B362" i="36"/>
  <c r="J287" i="36"/>
  <c r="J525" i="36"/>
  <c r="J528" i="36" s="1"/>
  <c r="W482" i="5" l="1"/>
  <c r="AV499" i="5"/>
  <c r="AV500" i="5"/>
  <c r="AL85" i="5"/>
  <c r="AV132" i="5"/>
  <c r="G232" i="5"/>
  <c r="AJ85" i="5"/>
  <c r="K232" i="5"/>
  <c r="U406" i="5"/>
  <c r="AT354" i="5"/>
  <c r="AJ444" i="5"/>
  <c r="AV502" i="5"/>
  <c r="AP444" i="5"/>
  <c r="AN403" i="5"/>
  <c r="Q482" i="5"/>
  <c r="AG157" i="5"/>
  <c r="AP154" i="5"/>
  <c r="AC232" i="5"/>
  <c r="AE482" i="5"/>
  <c r="AN134" i="5"/>
  <c r="AP194" i="5"/>
  <c r="AP223" i="5"/>
  <c r="Q232" i="5"/>
  <c r="AT479" i="5"/>
  <c r="AV479" i="5" s="1"/>
  <c r="C157" i="5"/>
  <c r="AN194" i="5"/>
  <c r="AL134" i="5"/>
  <c r="AT307" i="5"/>
  <c r="AV307" i="5" s="1"/>
  <c r="G482" i="5"/>
  <c r="AR403" i="5"/>
  <c r="K482" i="5"/>
  <c r="AT187" i="5"/>
  <c r="AV187" i="5" s="1"/>
  <c r="S232" i="5"/>
  <c r="AR194" i="5"/>
  <c r="AA157" i="5"/>
  <c r="AT120" i="5"/>
  <c r="AV120" i="5" s="1"/>
  <c r="AT52" i="5"/>
  <c r="AV52" i="5" s="1"/>
  <c r="AT203" i="5"/>
  <c r="AV203" i="5" s="1"/>
  <c r="AR326" i="5"/>
  <c r="AN85" i="5"/>
  <c r="M482" i="5"/>
  <c r="I232" i="5"/>
  <c r="AT375" i="5"/>
  <c r="AG232" i="5"/>
  <c r="AT211" i="5"/>
  <c r="AV211" i="5" s="1"/>
  <c r="W157" i="5"/>
  <c r="AR72" i="5"/>
  <c r="AG482" i="5"/>
  <c r="AP85" i="5"/>
  <c r="AT164" i="5"/>
  <c r="AV164" i="5" s="1"/>
  <c r="O232" i="5"/>
  <c r="AR181" i="5"/>
  <c r="AT45" i="5"/>
  <c r="AV45" i="5" s="1"/>
  <c r="W232" i="5"/>
  <c r="W235" i="5" s="1"/>
  <c r="AT390" i="5"/>
  <c r="AV390" i="5" s="1"/>
  <c r="U157" i="5"/>
  <c r="AC406" i="5"/>
  <c r="Y232" i="5"/>
  <c r="Y235" i="5" s="1"/>
  <c r="M157" i="5"/>
  <c r="O482" i="5"/>
  <c r="AP432" i="5"/>
  <c r="AP385" i="5"/>
  <c r="AR338" i="5"/>
  <c r="AR444" i="5"/>
  <c r="AE232" i="5"/>
  <c r="AR134" i="5"/>
  <c r="AC482" i="5"/>
  <c r="AT139" i="5"/>
  <c r="AV139" i="5" s="1"/>
  <c r="AN72" i="5"/>
  <c r="AN326" i="5"/>
  <c r="AT167" i="5"/>
  <c r="AV167" i="5" s="1"/>
  <c r="S157" i="5"/>
  <c r="I482" i="5"/>
  <c r="M406" i="5"/>
  <c r="M486" i="5" s="1"/>
  <c r="AN473" i="5"/>
  <c r="AT416" i="5"/>
  <c r="AV416" i="5" s="1"/>
  <c r="W406" i="5"/>
  <c r="W486" i="5" s="1"/>
  <c r="Q157" i="5"/>
  <c r="E406" i="5"/>
  <c r="Q406" i="5"/>
  <c r="Q486" i="5" s="1"/>
  <c r="AT453" i="5"/>
  <c r="AV453" i="5" s="1"/>
  <c r="K406" i="5"/>
  <c r="E232" i="5"/>
  <c r="AE406" i="5"/>
  <c r="AT229" i="5"/>
  <c r="AV229" i="5" s="1"/>
  <c r="AT207" i="5"/>
  <c r="AV207" i="5" s="1"/>
  <c r="AT413" i="5"/>
  <c r="AV413" i="5" s="1"/>
  <c r="AJ585" i="5"/>
  <c r="AJ593" i="5" s="1"/>
  <c r="AJ602" i="5" s="1"/>
  <c r="AT382" i="5"/>
  <c r="AV382" i="5" s="1"/>
  <c r="AT394" i="5"/>
  <c r="AV394" i="5" s="1"/>
  <c r="AT457" i="5"/>
  <c r="AV457" i="5" s="1"/>
  <c r="AP134" i="5"/>
  <c r="C482" i="5"/>
  <c r="C232" i="5"/>
  <c r="C235" i="5" s="1"/>
  <c r="AT62" i="5"/>
  <c r="AV62" i="5" s="1"/>
  <c r="AL181" i="5"/>
  <c r="AN338" i="5"/>
  <c r="AT331" i="5"/>
  <c r="AV331" i="5" s="1"/>
  <c r="AG406" i="5"/>
  <c r="AT317" i="5"/>
  <c r="AV317" i="5" s="1"/>
  <c r="AT78" i="5"/>
  <c r="AV78" i="5" s="1"/>
  <c r="AR154" i="5"/>
  <c r="AA482" i="5"/>
  <c r="I406" i="5"/>
  <c r="AR432" i="5"/>
  <c r="AV197" i="5"/>
  <c r="AT461" i="5"/>
  <c r="AV461" i="5" s="1"/>
  <c r="Y406" i="5"/>
  <c r="AV375" i="5"/>
  <c r="Y482" i="5"/>
  <c r="AT437" i="5"/>
  <c r="AV437" i="5" s="1"/>
  <c r="AN385" i="5"/>
  <c r="AA406" i="5"/>
  <c r="S406" i="5"/>
  <c r="AT372" i="5"/>
  <c r="AV372" i="5" s="1"/>
  <c r="U232" i="5"/>
  <c r="AT192" i="5"/>
  <c r="AV192" i="5" s="1"/>
  <c r="AT130" i="5"/>
  <c r="AV130" i="5" s="1"/>
  <c r="E157" i="5"/>
  <c r="AP181" i="5"/>
  <c r="E482" i="5"/>
  <c r="I157" i="5"/>
  <c r="S482" i="5"/>
  <c r="AP326" i="5"/>
  <c r="AV247" i="5"/>
  <c r="AT180" i="5"/>
  <c r="AV180" i="5" s="1"/>
  <c r="M232" i="5"/>
  <c r="AA232" i="5"/>
  <c r="AN181" i="5"/>
  <c r="AE157" i="5"/>
  <c r="D60" i="4"/>
  <c r="D116" i="4"/>
  <c r="N257" i="4"/>
  <c r="D317" i="4"/>
  <c r="D318" i="4" s="1"/>
  <c r="D257" i="4"/>
  <c r="D258" i="4" s="1"/>
  <c r="V76" i="4"/>
  <c r="V77" i="4" s="1"/>
  <c r="V79" i="4" s="1"/>
  <c r="N79" i="4"/>
  <c r="V307" i="4"/>
  <c r="AT96" i="5"/>
  <c r="AV96" i="5" s="1"/>
  <c r="K157" i="5"/>
  <c r="K235" i="5" s="1"/>
  <c r="O406" i="5"/>
  <c r="AV354" i="5"/>
  <c r="AR385" i="5"/>
  <c r="AN154" i="5"/>
  <c r="U482" i="5"/>
  <c r="C406" i="5"/>
  <c r="AT378" i="5"/>
  <c r="AT68" i="5"/>
  <c r="AV68" i="5" s="1"/>
  <c r="AN444" i="5"/>
  <c r="AT322" i="5"/>
  <c r="AV322" i="5" s="1"/>
  <c r="AT123" i="5"/>
  <c r="AT349" i="5"/>
  <c r="AV349" i="5" s="1"/>
  <c r="AR223" i="5"/>
  <c r="AP338" i="5"/>
  <c r="AT511" i="5"/>
  <c r="AV511" i="5" s="1"/>
  <c r="AP473" i="5"/>
  <c r="AR473" i="5"/>
  <c r="AP403" i="5"/>
  <c r="O157" i="5"/>
  <c r="AT254" i="5"/>
  <c r="AT256" i="5" s="1"/>
  <c r="AT145" i="5"/>
  <c r="AV145" i="5" s="1"/>
  <c r="AN223" i="5"/>
  <c r="AC157" i="5"/>
  <c r="J464" i="36"/>
  <c r="B392" i="33"/>
  <c r="B533" i="33" s="1"/>
  <c r="B166" i="36"/>
  <c r="B365" i="36"/>
  <c r="B390" i="36" s="1"/>
  <c r="B531" i="36" s="1"/>
  <c r="G57" i="35"/>
  <c r="H280" i="4"/>
  <c r="J54" i="4"/>
  <c r="O28" i="35"/>
  <c r="P221" i="4"/>
  <c r="Q30" i="35"/>
  <c r="R223" i="4"/>
  <c r="Q40" i="35"/>
  <c r="R265" i="4"/>
  <c r="F121" i="4"/>
  <c r="L103" i="1"/>
  <c r="L104" i="1" s="1"/>
  <c r="L106" i="1" s="1"/>
  <c r="F104" i="1"/>
  <c r="F106" i="1" s="1"/>
  <c r="J225" i="4"/>
  <c r="I32" i="35"/>
  <c r="P284" i="4"/>
  <c r="O70" i="2"/>
  <c r="O61" i="35"/>
  <c r="H271" i="4"/>
  <c r="G48" i="35"/>
  <c r="G41" i="35"/>
  <c r="H266" i="4"/>
  <c r="L83" i="1"/>
  <c r="N83" i="1" s="1"/>
  <c r="F100" i="4"/>
  <c r="G16" i="35"/>
  <c r="H209" i="4"/>
  <c r="R267" i="4"/>
  <c r="Q43" i="35"/>
  <c r="U43" i="35" s="1"/>
  <c r="F231" i="4"/>
  <c r="E86" i="35"/>
  <c r="C43" i="8"/>
  <c r="U43" i="8" s="1"/>
  <c r="G70" i="8" s="1"/>
  <c r="D60" i="10"/>
  <c r="J60" i="10" s="1"/>
  <c r="L60" i="10" s="1"/>
  <c r="J50" i="12"/>
  <c r="L50" i="12" s="1"/>
  <c r="F32" i="11"/>
  <c r="F32" i="10"/>
  <c r="F32" i="9"/>
  <c r="H24" i="9"/>
  <c r="H24" i="10"/>
  <c r="H24" i="11"/>
  <c r="J24" i="12"/>
  <c r="L24" i="12" s="1"/>
  <c r="F14" i="17"/>
  <c r="F14" i="16"/>
  <c r="H74" i="17"/>
  <c r="J74" i="17" s="1"/>
  <c r="L74" i="17" s="1"/>
  <c r="H74" i="16"/>
  <c r="J74" i="18"/>
  <c r="L74" i="18" s="1"/>
  <c r="H74" i="15"/>
  <c r="H136" i="18"/>
  <c r="H132" i="16"/>
  <c r="F15" i="16"/>
  <c r="F15" i="17"/>
  <c r="F15" i="15"/>
  <c r="D73" i="16"/>
  <c r="D73" i="17"/>
  <c r="D73" i="15"/>
  <c r="J143" i="18"/>
  <c r="L143" i="18" s="1"/>
  <c r="D144" i="16"/>
  <c r="H80" i="17"/>
  <c r="H80" i="15"/>
  <c r="H80" i="16"/>
  <c r="J80" i="16" s="1"/>
  <c r="L80" i="16" s="1"/>
  <c r="J80" i="18"/>
  <c r="L80" i="18" s="1"/>
  <c r="J81" i="18"/>
  <c r="L81" i="18" s="1"/>
  <c r="H81" i="17"/>
  <c r="H81" i="16"/>
  <c r="J81" i="16" s="1"/>
  <c r="L81" i="16" s="1"/>
  <c r="H81" i="15"/>
  <c r="Q33" i="2"/>
  <c r="R203" i="4"/>
  <c r="Q10" i="35"/>
  <c r="Q33" i="35" s="1"/>
  <c r="O40" i="35"/>
  <c r="P265" i="4"/>
  <c r="J95" i="4"/>
  <c r="H65" i="4"/>
  <c r="H66" i="4" s="1"/>
  <c r="H68" i="4" s="1"/>
  <c r="H38" i="1"/>
  <c r="H40" i="1" s="1"/>
  <c r="C16" i="8"/>
  <c r="E13" i="35"/>
  <c r="F206" i="4"/>
  <c r="H279" i="4"/>
  <c r="G56" i="35"/>
  <c r="Q12" i="35"/>
  <c r="R205" i="4"/>
  <c r="O38" i="35"/>
  <c r="P263" i="4"/>
  <c r="S63" i="35"/>
  <c r="T286" i="4"/>
  <c r="U61" i="2"/>
  <c r="E60" i="35"/>
  <c r="F283" i="4"/>
  <c r="H48" i="4"/>
  <c r="C22" i="8"/>
  <c r="F212" i="4"/>
  <c r="E19" i="35"/>
  <c r="J222" i="4"/>
  <c r="I29" i="35"/>
  <c r="E70" i="2"/>
  <c r="F284" i="4"/>
  <c r="E61" i="35"/>
  <c r="D35" i="9"/>
  <c r="D35" i="10"/>
  <c r="D35" i="11"/>
  <c r="H26" i="9"/>
  <c r="J26" i="9" s="1"/>
  <c r="L26" i="9" s="1"/>
  <c r="H26" i="10"/>
  <c r="H26" i="11"/>
  <c r="J26" i="12"/>
  <c r="L26" i="12" s="1"/>
  <c r="D37" i="9"/>
  <c r="F137" i="4" s="1"/>
  <c r="F176" i="4" s="1"/>
  <c r="D37" i="10"/>
  <c r="D37" i="11"/>
  <c r="F29" i="9"/>
  <c r="F29" i="10"/>
  <c r="J29" i="10" s="1"/>
  <c r="L29" i="10" s="1"/>
  <c r="F29" i="11"/>
  <c r="D19" i="15"/>
  <c r="D19" i="17"/>
  <c r="D19" i="16"/>
  <c r="F79" i="16"/>
  <c r="F79" i="15"/>
  <c r="F79" i="17"/>
  <c r="D20" i="17"/>
  <c r="D20" i="16"/>
  <c r="D20" i="15"/>
  <c r="H79" i="16"/>
  <c r="J79" i="18"/>
  <c r="L79" i="18" s="1"/>
  <c r="H79" i="17"/>
  <c r="H79" i="15"/>
  <c r="J160" i="18"/>
  <c r="L160" i="18" s="1"/>
  <c r="D161" i="16"/>
  <c r="J161" i="16" s="1"/>
  <c r="L161" i="16" s="1"/>
  <c r="F94" i="16"/>
  <c r="F95" i="17"/>
  <c r="D159" i="16"/>
  <c r="J159" i="16" s="1"/>
  <c r="L159" i="16" s="1"/>
  <c r="J158" i="18"/>
  <c r="L158" i="18" s="1"/>
  <c r="I20" i="35"/>
  <c r="J213" i="4"/>
  <c r="O69" i="2"/>
  <c r="O55" i="35"/>
  <c r="P278" i="4"/>
  <c r="P272" i="4"/>
  <c r="O49" i="35"/>
  <c r="H112" i="1"/>
  <c r="H114" i="1" s="1"/>
  <c r="P213" i="4"/>
  <c r="O20" i="35"/>
  <c r="J288" i="4"/>
  <c r="I65" i="35"/>
  <c r="P208" i="4"/>
  <c r="O15" i="35"/>
  <c r="S40" i="35"/>
  <c r="T265" i="4"/>
  <c r="U40" i="2"/>
  <c r="R262" i="4"/>
  <c r="Q37" i="35"/>
  <c r="Q51" i="35" s="1"/>
  <c r="E14" i="35"/>
  <c r="F207" i="4"/>
  <c r="C17" i="8"/>
  <c r="U17" i="8" s="1"/>
  <c r="W17" i="8" s="1"/>
  <c r="T288" i="4"/>
  <c r="U63" i="2"/>
  <c r="S65" i="35"/>
  <c r="C24" i="8"/>
  <c r="U24" i="8" s="1"/>
  <c r="W24" i="8" s="1"/>
  <c r="E21" i="35"/>
  <c r="F214" i="4"/>
  <c r="I70" i="2"/>
  <c r="I61" i="35"/>
  <c r="J284" i="4"/>
  <c r="E22" i="35"/>
  <c r="F215" i="4"/>
  <c r="C25" i="8"/>
  <c r="L10" i="1"/>
  <c r="N10" i="1" s="1"/>
  <c r="N12" i="1" s="1"/>
  <c r="F12" i="1"/>
  <c r="F38" i="4"/>
  <c r="F222" i="4"/>
  <c r="E29" i="35"/>
  <c r="U29" i="35" s="1"/>
  <c r="C34" i="8"/>
  <c r="U34" i="8" s="1"/>
  <c r="H22" i="1"/>
  <c r="H43" i="4"/>
  <c r="J109" i="4"/>
  <c r="J97" i="1"/>
  <c r="T210" i="4"/>
  <c r="S17" i="35"/>
  <c r="U17" i="2"/>
  <c r="Q28" i="35"/>
  <c r="R221" i="4"/>
  <c r="R268" i="4"/>
  <c r="Q44" i="35"/>
  <c r="Q58" i="35"/>
  <c r="R281" i="4"/>
  <c r="O86" i="35"/>
  <c r="P231" i="4"/>
  <c r="P261" i="4"/>
  <c r="O36" i="35"/>
  <c r="O49" i="2"/>
  <c r="H86" i="4"/>
  <c r="H69" i="1"/>
  <c r="S30" i="35"/>
  <c r="T223" i="4"/>
  <c r="U30" i="2"/>
  <c r="Q84" i="35"/>
  <c r="Q85" i="2"/>
  <c r="R229" i="4"/>
  <c r="L62" i="1"/>
  <c r="L64" i="1" s="1"/>
  <c r="F64" i="1"/>
  <c r="F134" i="4" s="1"/>
  <c r="F173" i="4" s="1"/>
  <c r="J206" i="4"/>
  <c r="I13" i="35"/>
  <c r="H217" i="4"/>
  <c r="G24" i="35"/>
  <c r="U39" i="2"/>
  <c r="S39" i="35"/>
  <c r="T264" i="4"/>
  <c r="I69" i="2"/>
  <c r="I55" i="35"/>
  <c r="J278" i="4"/>
  <c r="G66" i="35"/>
  <c r="U66" i="35" s="1"/>
  <c r="H289" i="4"/>
  <c r="J25" i="12"/>
  <c r="L25" i="12" s="1"/>
  <c r="H25" i="9"/>
  <c r="H25" i="10"/>
  <c r="H25" i="11"/>
  <c r="F15" i="9"/>
  <c r="F15" i="10"/>
  <c r="F15" i="11"/>
  <c r="D36" i="11"/>
  <c r="D36" i="9"/>
  <c r="D36" i="10"/>
  <c r="J66" i="12"/>
  <c r="L66" i="12" s="1"/>
  <c r="H27" i="10"/>
  <c r="H27" i="11"/>
  <c r="H27" i="9"/>
  <c r="J27" i="12"/>
  <c r="L27" i="12" s="1"/>
  <c r="F56" i="10"/>
  <c r="D18" i="9"/>
  <c r="D18" i="10"/>
  <c r="D18" i="11"/>
  <c r="D41" i="11" s="1"/>
  <c r="D44" i="11" s="1"/>
  <c r="H40" i="9"/>
  <c r="H40" i="10"/>
  <c r="H40" i="11"/>
  <c r="J40" i="12"/>
  <c r="L40" i="12" s="1"/>
  <c r="F11" i="13"/>
  <c r="H34" i="15"/>
  <c r="J34" i="18"/>
  <c r="L34" i="18" s="1"/>
  <c r="H34" i="17"/>
  <c r="H34" i="16"/>
  <c r="H65" i="15"/>
  <c r="H65" i="17"/>
  <c r="H65" i="16"/>
  <c r="H69" i="16" s="1"/>
  <c r="J65" i="18"/>
  <c r="L65" i="18" s="1"/>
  <c r="F93" i="17"/>
  <c r="F93" i="15"/>
  <c r="F92" i="16"/>
  <c r="J92" i="16" s="1"/>
  <c r="L92" i="16" s="1"/>
  <c r="F128" i="18"/>
  <c r="F124" i="16"/>
  <c r="F154" i="16"/>
  <c r="H35" i="17"/>
  <c r="H35" i="16"/>
  <c r="J35" i="18"/>
  <c r="L35" i="18" s="1"/>
  <c r="H35" i="15"/>
  <c r="H66" i="17"/>
  <c r="J66" i="17" s="1"/>
  <c r="L66" i="17" s="1"/>
  <c r="H66" i="16"/>
  <c r="J66" i="18"/>
  <c r="L66" i="18" s="1"/>
  <c r="H66" i="15"/>
  <c r="H93" i="17"/>
  <c r="J93" i="17" s="1"/>
  <c r="L93" i="17" s="1"/>
  <c r="H92" i="16"/>
  <c r="J92" i="18"/>
  <c r="L92" i="18" s="1"/>
  <c r="H93" i="15"/>
  <c r="D126" i="16"/>
  <c r="D129" i="16" s="1"/>
  <c r="J125" i="18"/>
  <c r="L125" i="18" s="1"/>
  <c r="D13" i="15"/>
  <c r="D13" i="17"/>
  <c r="D13" i="16"/>
  <c r="J13" i="16" s="1"/>
  <c r="L13" i="16" s="1"/>
  <c r="J67" i="18"/>
  <c r="L67" i="18" s="1"/>
  <c r="H67" i="16"/>
  <c r="H67" i="15"/>
  <c r="D132" i="16"/>
  <c r="D137" i="16" s="1"/>
  <c r="J131" i="18"/>
  <c r="D136" i="18"/>
  <c r="F13" i="15"/>
  <c r="F13" i="17"/>
  <c r="J13" i="17" s="1"/>
  <c r="L13" i="17" s="1"/>
  <c r="F13" i="16"/>
  <c r="D66" i="17"/>
  <c r="D66" i="16"/>
  <c r="D66" i="15"/>
  <c r="F136" i="18"/>
  <c r="F132" i="16"/>
  <c r="J57" i="4"/>
  <c r="H220" i="4"/>
  <c r="G27" i="35"/>
  <c r="C41" i="8"/>
  <c r="E85" i="2"/>
  <c r="F229" i="4"/>
  <c r="E84" i="35"/>
  <c r="J100" i="4"/>
  <c r="L20" i="1"/>
  <c r="N20" i="1" s="1"/>
  <c r="F48" i="4"/>
  <c r="Q20" i="35"/>
  <c r="R213" i="4"/>
  <c r="O48" i="35"/>
  <c r="P271" i="4"/>
  <c r="J94" i="4"/>
  <c r="J96" i="4" s="1"/>
  <c r="J79" i="1"/>
  <c r="L96" i="1"/>
  <c r="N96" i="1" s="1"/>
  <c r="F113" i="4"/>
  <c r="J43" i="4"/>
  <c r="J22" i="1"/>
  <c r="C32" i="8"/>
  <c r="E27" i="35"/>
  <c r="F220" i="4"/>
  <c r="G58" i="35"/>
  <c r="H281" i="4"/>
  <c r="F30" i="11"/>
  <c r="J30" i="11" s="1"/>
  <c r="L30" i="11" s="1"/>
  <c r="F30" i="10"/>
  <c r="F30" i="9"/>
  <c r="D20" i="9"/>
  <c r="D20" i="10"/>
  <c r="D20" i="11"/>
  <c r="J11" i="12"/>
  <c r="H41" i="12"/>
  <c r="H44" i="12" s="1"/>
  <c r="H11" i="9"/>
  <c r="J11" i="9" s="1"/>
  <c r="H11" i="10"/>
  <c r="H11" i="11"/>
  <c r="D62" i="10"/>
  <c r="F53" i="10"/>
  <c r="J53" i="10" s="1"/>
  <c r="L53" i="10" s="1"/>
  <c r="F39" i="17"/>
  <c r="F39" i="16"/>
  <c r="F39" i="15"/>
  <c r="D98" i="17"/>
  <c r="D97" i="16"/>
  <c r="D98" i="15"/>
  <c r="H162" i="16"/>
  <c r="F40" i="16"/>
  <c r="F40" i="17"/>
  <c r="F40" i="15"/>
  <c r="F97" i="16"/>
  <c r="F98" i="17"/>
  <c r="F98" i="15"/>
  <c r="F24" i="15"/>
  <c r="F24" i="17"/>
  <c r="F24" i="16"/>
  <c r="J144" i="18"/>
  <c r="L144" i="18" s="1"/>
  <c r="D145" i="16"/>
  <c r="J24" i="18"/>
  <c r="L24" i="18" s="1"/>
  <c r="H24" i="17"/>
  <c r="J24" i="17" s="1"/>
  <c r="L24" i="17" s="1"/>
  <c r="H24" i="15"/>
  <c r="H24" i="16"/>
  <c r="F145" i="16"/>
  <c r="J48" i="4"/>
  <c r="E40" i="35"/>
  <c r="F265" i="4"/>
  <c r="U46" i="2"/>
  <c r="T271" i="4"/>
  <c r="S48" i="35"/>
  <c r="L29" i="1"/>
  <c r="N29" i="1" s="1"/>
  <c r="F57" i="4"/>
  <c r="P216" i="4"/>
  <c r="O23" i="35"/>
  <c r="T273" i="4"/>
  <c r="S50" i="35"/>
  <c r="U48" i="2"/>
  <c r="Q14" i="35"/>
  <c r="R207" i="4"/>
  <c r="H207" i="4"/>
  <c r="G14" i="35"/>
  <c r="U14" i="35" s="1"/>
  <c r="E50" i="35"/>
  <c r="F273" i="4"/>
  <c r="J113" i="4"/>
  <c r="O46" i="35"/>
  <c r="O72" i="35" s="1"/>
  <c r="P270" i="4"/>
  <c r="F14" i="11"/>
  <c r="F14" i="10"/>
  <c r="F14" i="9"/>
  <c r="J14" i="9" s="1"/>
  <c r="L14" i="9" s="1"/>
  <c r="J65" i="12"/>
  <c r="L65" i="12" s="1"/>
  <c r="F16" i="11"/>
  <c r="F16" i="10"/>
  <c r="F16" i="9"/>
  <c r="H72" i="10"/>
  <c r="J67" i="12"/>
  <c r="L67" i="12" s="1"/>
  <c r="D58" i="10"/>
  <c r="J58" i="10" s="1"/>
  <c r="L58" i="10" s="1"/>
  <c r="H47" i="15"/>
  <c r="J47" i="15" s="1"/>
  <c r="L47" i="15" s="1"/>
  <c r="J47" i="18"/>
  <c r="L47" i="18" s="1"/>
  <c r="H47" i="16"/>
  <c r="H47" i="17"/>
  <c r="H111" i="16"/>
  <c r="H121" i="16" s="1"/>
  <c r="F18" i="20"/>
  <c r="F21" i="20" s="1"/>
  <c r="F15" i="19"/>
  <c r="H48" i="17"/>
  <c r="H48" i="16"/>
  <c r="J48" i="16" s="1"/>
  <c r="L48" i="16" s="1"/>
  <c r="J48" i="18"/>
  <c r="L48" i="18" s="1"/>
  <c r="H48" i="15"/>
  <c r="J109" i="18"/>
  <c r="L109" i="18" s="1"/>
  <c r="D110" i="16"/>
  <c r="J110" i="16" s="1"/>
  <c r="L110" i="16" s="1"/>
  <c r="F37" i="15"/>
  <c r="F37" i="17"/>
  <c r="F37" i="16"/>
  <c r="F161" i="16"/>
  <c r="H37" i="17"/>
  <c r="J37" i="18"/>
  <c r="L37" i="18" s="1"/>
  <c r="H37" i="15"/>
  <c r="H37" i="16"/>
  <c r="J37" i="16" s="1"/>
  <c r="L37" i="16" s="1"/>
  <c r="F95" i="16"/>
  <c r="F96" i="17"/>
  <c r="H95" i="4"/>
  <c r="Q13" i="35"/>
  <c r="R206" i="4"/>
  <c r="S70" i="2"/>
  <c r="S61" i="35"/>
  <c r="U61" i="35" s="1"/>
  <c r="U59" i="2"/>
  <c r="T284" i="4"/>
  <c r="F99" i="4"/>
  <c r="L82" i="1"/>
  <c r="N82" i="1" s="1"/>
  <c r="N89" i="1" s="1"/>
  <c r="F89" i="1"/>
  <c r="T218" i="4"/>
  <c r="S25" i="35"/>
  <c r="U25" i="2"/>
  <c r="S55" i="35"/>
  <c r="S69" i="2"/>
  <c r="U53" i="2"/>
  <c r="T278" i="4"/>
  <c r="R289" i="4"/>
  <c r="Q66" i="35"/>
  <c r="Q22" i="35"/>
  <c r="R215" i="4"/>
  <c r="T231" i="4"/>
  <c r="S86" i="35"/>
  <c r="U84" i="2"/>
  <c r="I23" i="35"/>
  <c r="U23" i="35" s="1"/>
  <c r="J216" i="4"/>
  <c r="E59" i="35"/>
  <c r="F282" i="4"/>
  <c r="J56" i="4"/>
  <c r="C11" i="8"/>
  <c r="E11" i="35"/>
  <c r="F204" i="4"/>
  <c r="I21" i="35"/>
  <c r="I33" i="35" s="1"/>
  <c r="J214" i="4"/>
  <c r="O37" i="35"/>
  <c r="P262" i="4"/>
  <c r="S49" i="35"/>
  <c r="T272" i="4"/>
  <c r="U47" i="2"/>
  <c r="I63" i="35"/>
  <c r="J286" i="4"/>
  <c r="D19" i="11"/>
  <c r="D19" i="10"/>
  <c r="D19" i="9"/>
  <c r="H68" i="12"/>
  <c r="H71" i="12" s="1"/>
  <c r="J49" i="12"/>
  <c r="F22" i="14"/>
  <c r="F24" i="14" s="1"/>
  <c r="F31" i="10"/>
  <c r="F31" i="11"/>
  <c r="F31" i="9"/>
  <c r="D61" i="10"/>
  <c r="J61" i="10" s="1"/>
  <c r="L61" i="10" s="1"/>
  <c r="D21" i="11"/>
  <c r="D21" i="10"/>
  <c r="D21" i="9"/>
  <c r="J51" i="12"/>
  <c r="L51" i="12" s="1"/>
  <c r="H51" i="10"/>
  <c r="F13" i="9"/>
  <c r="F13" i="10"/>
  <c r="F13" i="11"/>
  <c r="D34" i="11"/>
  <c r="D34" i="9"/>
  <c r="J34" i="9" s="1"/>
  <c r="L34" i="9" s="1"/>
  <c r="D34" i="10"/>
  <c r="J64" i="12"/>
  <c r="L64" i="12" s="1"/>
  <c r="J25" i="18"/>
  <c r="L25" i="18" s="1"/>
  <c r="H25" i="15"/>
  <c r="H25" i="16"/>
  <c r="H25" i="17"/>
  <c r="J56" i="18"/>
  <c r="L56" i="18" s="1"/>
  <c r="H56" i="16"/>
  <c r="J56" i="16" s="1"/>
  <c r="L56" i="16" s="1"/>
  <c r="H56" i="17"/>
  <c r="H56" i="15"/>
  <c r="D84" i="15"/>
  <c r="D84" i="17"/>
  <c r="D84" i="16"/>
  <c r="F116" i="16"/>
  <c r="H149" i="16"/>
  <c r="D20" i="19"/>
  <c r="D96" i="15" s="1"/>
  <c r="H26" i="16"/>
  <c r="H26" i="17"/>
  <c r="H26" i="15"/>
  <c r="J26" i="18"/>
  <c r="L26" i="18" s="1"/>
  <c r="D60" i="15"/>
  <c r="D60" i="17"/>
  <c r="D60" i="16"/>
  <c r="D69" i="18"/>
  <c r="F84" i="17"/>
  <c r="F84" i="15"/>
  <c r="F84" i="16"/>
  <c r="H116" i="16"/>
  <c r="F20" i="19"/>
  <c r="F96" i="15" s="1"/>
  <c r="D51" i="17"/>
  <c r="D51" i="16"/>
  <c r="D51" i="15"/>
  <c r="J51" i="15" s="1"/>
  <c r="L51" i="15" s="1"/>
  <c r="H113" i="16"/>
  <c r="H20" i="19"/>
  <c r="J16" i="20"/>
  <c r="L16" i="20" s="1"/>
  <c r="F51" i="17"/>
  <c r="F51" i="16"/>
  <c r="F51" i="15"/>
  <c r="H114" i="16"/>
  <c r="F18" i="19"/>
  <c r="D21" i="23"/>
  <c r="D21" i="22"/>
  <c r="D21" i="21"/>
  <c r="F13" i="21"/>
  <c r="F13" i="23"/>
  <c r="F13" i="22"/>
  <c r="F38" i="23"/>
  <c r="F38" i="21"/>
  <c r="F38" i="22"/>
  <c r="F35" i="22"/>
  <c r="F35" i="21"/>
  <c r="F35" i="23"/>
  <c r="F40" i="23" s="1"/>
  <c r="F32" i="23"/>
  <c r="F32" i="21"/>
  <c r="F40" i="24"/>
  <c r="F32" i="22"/>
  <c r="F40" i="22" s="1"/>
  <c r="F59" i="22"/>
  <c r="F59" i="21" s="1"/>
  <c r="F59" i="23"/>
  <c r="J91" i="24"/>
  <c r="L91" i="24" s="1"/>
  <c r="F12" i="25"/>
  <c r="J12" i="25" s="1"/>
  <c r="L12" i="25" s="1"/>
  <c r="P12" i="25" s="1"/>
  <c r="N28" i="36"/>
  <c r="N60" i="36"/>
  <c r="P86" i="36"/>
  <c r="L120" i="36"/>
  <c r="F151" i="36"/>
  <c r="H51" i="23"/>
  <c r="J51" i="24"/>
  <c r="L51" i="24" s="1"/>
  <c r="H51" i="22"/>
  <c r="H51" i="21" s="1"/>
  <c r="D82" i="22"/>
  <c r="D113" i="22"/>
  <c r="J113" i="22" s="1"/>
  <c r="L113" i="22" s="1"/>
  <c r="P46" i="36"/>
  <c r="F79" i="33"/>
  <c r="F62" i="36"/>
  <c r="N122" i="36"/>
  <c r="H48" i="23"/>
  <c r="J48" i="24"/>
  <c r="L48" i="24" s="1"/>
  <c r="H48" i="22"/>
  <c r="J81" i="24"/>
  <c r="L81" i="24" s="1"/>
  <c r="H81" i="22"/>
  <c r="F20" i="36"/>
  <c r="F92" i="36"/>
  <c r="D155" i="36"/>
  <c r="R156" i="33"/>
  <c r="D80" i="22"/>
  <c r="J80" i="22" s="1"/>
  <c r="L80" i="22" s="1"/>
  <c r="P14" i="36"/>
  <c r="N86" i="36"/>
  <c r="H142" i="36"/>
  <c r="N179" i="36"/>
  <c r="P237" i="36"/>
  <c r="H330" i="36"/>
  <c r="F359" i="36"/>
  <c r="N440" i="36"/>
  <c r="H522" i="36"/>
  <c r="H230" i="36"/>
  <c r="R338" i="33"/>
  <c r="D336" i="36"/>
  <c r="L509" i="36"/>
  <c r="N275" i="36"/>
  <c r="R412" i="33"/>
  <c r="D410" i="36"/>
  <c r="N195" i="36"/>
  <c r="F314" i="36"/>
  <c r="F446" i="36"/>
  <c r="P34" i="36"/>
  <c r="N97" i="36"/>
  <c r="D159" i="36"/>
  <c r="R160" i="33"/>
  <c r="N285" i="33"/>
  <c r="N223" i="36"/>
  <c r="H281" i="36"/>
  <c r="R344" i="33"/>
  <c r="D364" i="33"/>
  <c r="D342" i="36"/>
  <c r="P458" i="36"/>
  <c r="T189" i="4"/>
  <c r="T245" i="4" s="1"/>
  <c r="P463" i="33"/>
  <c r="P466" i="33" s="1"/>
  <c r="F186" i="36"/>
  <c r="F307" i="36"/>
  <c r="J39" i="4"/>
  <c r="O13" i="35"/>
  <c r="O33" i="35" s="1"/>
  <c r="P206" i="4"/>
  <c r="J264" i="4"/>
  <c r="I39" i="35"/>
  <c r="G70" i="2"/>
  <c r="G61" i="35"/>
  <c r="H284" i="4"/>
  <c r="H103" i="4"/>
  <c r="C35" i="8"/>
  <c r="F223" i="4"/>
  <c r="E30" i="35"/>
  <c r="G43" i="35"/>
  <c r="H267" i="4"/>
  <c r="F230" i="4"/>
  <c r="E85" i="35"/>
  <c r="C42" i="8"/>
  <c r="U42" i="8" s="1"/>
  <c r="G57" i="8" s="1"/>
  <c r="F105" i="4"/>
  <c r="L88" i="1"/>
  <c r="N88" i="1" s="1"/>
  <c r="G22" i="35"/>
  <c r="H215" i="4"/>
  <c r="U41" i="2"/>
  <c r="U49" i="2" s="1"/>
  <c r="S41" i="35"/>
  <c r="T266" i="4"/>
  <c r="F286" i="4"/>
  <c r="E63" i="35"/>
  <c r="L84" i="1"/>
  <c r="N84" i="1" s="1"/>
  <c r="F101" i="4"/>
  <c r="J217" i="4"/>
  <c r="I24" i="35"/>
  <c r="J277" i="4"/>
  <c r="I54" i="35"/>
  <c r="I65" i="2"/>
  <c r="I68" i="2"/>
  <c r="L19" i="1"/>
  <c r="N19" i="1" s="1"/>
  <c r="F47" i="4"/>
  <c r="S14" i="35"/>
  <c r="T207" i="4"/>
  <c r="U14" i="2"/>
  <c r="H225" i="4"/>
  <c r="H250" i="4" s="1"/>
  <c r="G32" i="35"/>
  <c r="P281" i="4"/>
  <c r="O58" i="35"/>
  <c r="F44" i="4"/>
  <c r="L16" i="1"/>
  <c r="N16" i="1" s="1"/>
  <c r="J68" i="1"/>
  <c r="J85" i="4"/>
  <c r="H110" i="4"/>
  <c r="G13" i="35"/>
  <c r="H206" i="4"/>
  <c r="J211" i="4"/>
  <c r="I18" i="35"/>
  <c r="C29" i="8"/>
  <c r="F217" i="4"/>
  <c r="E24" i="35"/>
  <c r="G29" i="35"/>
  <c r="H222" i="4"/>
  <c r="E39" i="35"/>
  <c r="E51" i="35" s="1"/>
  <c r="F264" i="4"/>
  <c r="H269" i="4"/>
  <c r="G45" i="35"/>
  <c r="E68" i="2"/>
  <c r="E71" i="2" s="1"/>
  <c r="E79" i="2" s="1"/>
  <c r="E88" i="2" s="1"/>
  <c r="F277" i="4"/>
  <c r="E54" i="35"/>
  <c r="E65" i="2"/>
  <c r="G59" i="35"/>
  <c r="G67" i="35" s="1"/>
  <c r="H282" i="4"/>
  <c r="J287" i="4"/>
  <c r="I64" i="35"/>
  <c r="J44" i="4"/>
  <c r="I16" i="35"/>
  <c r="J209" i="4"/>
  <c r="P273" i="4"/>
  <c r="O50" i="35"/>
  <c r="O70" i="35" s="1"/>
  <c r="F22" i="1"/>
  <c r="L15" i="1"/>
  <c r="F43" i="4"/>
  <c r="J112" i="1"/>
  <c r="J114" i="1" s="1"/>
  <c r="J148" i="4" s="1"/>
  <c r="J149" i="4" s="1"/>
  <c r="J151" i="4" s="1"/>
  <c r="J153" i="4" s="1"/>
  <c r="Q25" i="35"/>
  <c r="R218" i="4"/>
  <c r="O44" i="35"/>
  <c r="P268" i="4"/>
  <c r="S60" i="35"/>
  <c r="U58" i="2"/>
  <c r="T283" i="4"/>
  <c r="H44" i="4"/>
  <c r="N44" i="4" s="1"/>
  <c r="V44" i="4" s="1"/>
  <c r="H57" i="4"/>
  <c r="L86" i="1"/>
  <c r="N86" i="1" s="1"/>
  <c r="F103" i="4"/>
  <c r="Q11" i="35"/>
  <c r="U11" i="35" s="1"/>
  <c r="R204" i="4"/>
  <c r="S16" i="35"/>
  <c r="T209" i="4"/>
  <c r="U16" i="2"/>
  <c r="P215" i="4"/>
  <c r="O22" i="35"/>
  <c r="Q27" i="35"/>
  <c r="R220" i="4"/>
  <c r="E38" i="35"/>
  <c r="F263" i="4"/>
  <c r="G44" i="35"/>
  <c r="H268" i="4"/>
  <c r="J273" i="4"/>
  <c r="I50" i="35"/>
  <c r="U56" i="2"/>
  <c r="S58" i="35"/>
  <c r="S67" i="35" s="1"/>
  <c r="T281" i="4"/>
  <c r="O64" i="35"/>
  <c r="P287" i="4"/>
  <c r="R231" i="4"/>
  <c r="Q86" i="35"/>
  <c r="H21" i="9"/>
  <c r="J21" i="12"/>
  <c r="L21" i="12" s="1"/>
  <c r="H21" i="11"/>
  <c r="J21" i="11" s="1"/>
  <c r="L21" i="11" s="1"/>
  <c r="H21" i="10"/>
  <c r="D31" i="10"/>
  <c r="D31" i="11"/>
  <c r="D31" i="9"/>
  <c r="J61" i="12"/>
  <c r="L61" i="12" s="1"/>
  <c r="H62" i="10"/>
  <c r="F11" i="10"/>
  <c r="F11" i="11"/>
  <c r="J11" i="11" s="1"/>
  <c r="F11" i="9"/>
  <c r="F41" i="12"/>
  <c r="F44" i="12" s="1"/>
  <c r="H22" i="10"/>
  <c r="H22" i="9"/>
  <c r="J22" i="9" s="1"/>
  <c r="L22" i="9" s="1"/>
  <c r="J22" i="12"/>
  <c r="L22" i="12" s="1"/>
  <c r="H22" i="11"/>
  <c r="D32" i="9"/>
  <c r="D32" i="11"/>
  <c r="D32" i="10"/>
  <c r="D56" i="10"/>
  <c r="F12" i="11"/>
  <c r="F12" i="9"/>
  <c r="H129" i="4" s="1"/>
  <c r="H168" i="4" s="1"/>
  <c r="F12" i="10"/>
  <c r="H23" i="11"/>
  <c r="H23" i="10"/>
  <c r="J23" i="12"/>
  <c r="L23" i="12" s="1"/>
  <c r="H23" i="9"/>
  <c r="D33" i="10"/>
  <c r="D33" i="9"/>
  <c r="D33" i="11"/>
  <c r="J33" i="11" s="1"/>
  <c r="L33" i="11" s="1"/>
  <c r="J63" i="12"/>
  <c r="L63" i="12" s="1"/>
  <c r="H66" i="10"/>
  <c r="D14" i="10"/>
  <c r="D14" i="9"/>
  <c r="D14" i="11"/>
  <c r="F25" i="9"/>
  <c r="F25" i="11"/>
  <c r="F25" i="10"/>
  <c r="H36" i="10"/>
  <c r="H36" i="9"/>
  <c r="J36" i="12"/>
  <c r="L36" i="12" s="1"/>
  <c r="H36" i="11"/>
  <c r="J36" i="11" s="1"/>
  <c r="L36" i="11" s="1"/>
  <c r="D54" i="10"/>
  <c r="J54" i="10" s="1"/>
  <c r="L54" i="10" s="1"/>
  <c r="D15" i="15"/>
  <c r="D15" i="16"/>
  <c r="D15" i="17"/>
  <c r="J15" i="17" s="1"/>
  <c r="L15" i="17" s="1"/>
  <c r="F26" i="17"/>
  <c r="F26" i="15"/>
  <c r="F26" i="16"/>
  <c r="D40" i="16"/>
  <c r="D41" i="16" s="1"/>
  <c r="D40" i="17"/>
  <c r="D40" i="15"/>
  <c r="H61" i="17"/>
  <c r="H61" i="15"/>
  <c r="J61" i="15" s="1"/>
  <c r="L61" i="15" s="1"/>
  <c r="J61" i="18"/>
  <c r="L61" i="18" s="1"/>
  <c r="H61" i="16"/>
  <c r="F75" i="16"/>
  <c r="F75" i="17"/>
  <c r="J75" i="17" s="1"/>
  <c r="L75" i="17" s="1"/>
  <c r="F75" i="15"/>
  <c r="D80" i="17"/>
  <c r="D80" i="15"/>
  <c r="D80" i="16"/>
  <c r="D94" i="15"/>
  <c r="D94" i="17"/>
  <c r="D93" i="16"/>
  <c r="F112" i="16"/>
  <c r="J124" i="18"/>
  <c r="L124" i="18" s="1"/>
  <c r="D125" i="16"/>
  <c r="F142" i="16"/>
  <c r="H158" i="16"/>
  <c r="J158" i="16" s="1"/>
  <c r="H166" i="18"/>
  <c r="D16" i="19"/>
  <c r="F11" i="17"/>
  <c r="F11" i="16"/>
  <c r="J11" i="16" s="1"/>
  <c r="F11" i="15"/>
  <c r="F30" i="18"/>
  <c r="H22" i="17"/>
  <c r="H22" i="16"/>
  <c r="J22" i="16" s="1"/>
  <c r="L22" i="16" s="1"/>
  <c r="J22" i="18"/>
  <c r="L22" i="18" s="1"/>
  <c r="H22" i="15"/>
  <c r="F27" i="15"/>
  <c r="F27" i="16"/>
  <c r="F27" i="17"/>
  <c r="H44" i="17"/>
  <c r="H44" i="16"/>
  <c r="J44" i="18"/>
  <c r="J52" i="18" s="1"/>
  <c r="H44" i="15"/>
  <c r="H52" i="18"/>
  <c r="H62" i="15"/>
  <c r="H62" i="17"/>
  <c r="J62" i="17" s="1"/>
  <c r="L62" i="17" s="1"/>
  <c r="J62" i="18"/>
  <c r="L62" i="18" s="1"/>
  <c r="H62" i="16"/>
  <c r="J75" i="18"/>
  <c r="L75" i="18" s="1"/>
  <c r="H75" i="16"/>
  <c r="H85" i="16" s="1"/>
  <c r="H75" i="15"/>
  <c r="H75" i="17"/>
  <c r="J88" i="18"/>
  <c r="H88" i="16"/>
  <c r="J88" i="16" s="1"/>
  <c r="H101" i="18"/>
  <c r="H88" i="17"/>
  <c r="D98" i="16"/>
  <c r="D99" i="17"/>
  <c r="D99" i="15"/>
  <c r="F117" i="16"/>
  <c r="F151" i="16"/>
  <c r="H163" i="16"/>
  <c r="J32" i="20"/>
  <c r="L32" i="20" s="1"/>
  <c r="F28" i="15"/>
  <c r="F28" i="17"/>
  <c r="F28" i="16"/>
  <c r="F69" i="18"/>
  <c r="F60" i="16"/>
  <c r="F60" i="15"/>
  <c r="F60" i="17"/>
  <c r="F69" i="17" s="1"/>
  <c r="F73" i="16"/>
  <c r="F73" i="15"/>
  <c r="F73" i="17"/>
  <c r="F99" i="17"/>
  <c r="J99" i="17" s="1"/>
  <c r="L99" i="17" s="1"/>
  <c r="F98" i="16"/>
  <c r="F99" i="15"/>
  <c r="J135" i="18"/>
  <c r="L135" i="18" s="1"/>
  <c r="D136" i="16"/>
  <c r="J136" i="16" s="1"/>
  <c r="L136" i="16" s="1"/>
  <c r="F165" i="16"/>
  <c r="H28" i="15"/>
  <c r="H28" i="16"/>
  <c r="H28" i="17"/>
  <c r="J28" i="18"/>
  <c r="H69" i="18"/>
  <c r="J60" i="18"/>
  <c r="H60" i="15"/>
  <c r="J60" i="15" s="1"/>
  <c r="H60" i="17"/>
  <c r="H60" i="16"/>
  <c r="D88" i="16"/>
  <c r="D101" i="18"/>
  <c r="D104" i="18" s="1"/>
  <c r="D88" i="17"/>
  <c r="D25" i="15"/>
  <c r="D119" i="16"/>
  <c r="D25" i="17"/>
  <c r="J118" i="18"/>
  <c r="L118" i="18" s="1"/>
  <c r="D150" i="16"/>
  <c r="J149" i="18"/>
  <c r="L149" i="18" s="1"/>
  <c r="F27" i="20"/>
  <c r="F38" i="20" s="1"/>
  <c r="F41" i="20" s="1"/>
  <c r="F11" i="19"/>
  <c r="F12" i="19" s="1"/>
  <c r="D25" i="21"/>
  <c r="D25" i="23"/>
  <c r="D25" i="22"/>
  <c r="J25" i="22" s="1"/>
  <c r="L25" i="22" s="1"/>
  <c r="F17" i="23"/>
  <c r="F17" i="22"/>
  <c r="F17" i="21"/>
  <c r="F14" i="22"/>
  <c r="F14" i="21"/>
  <c r="F14" i="23"/>
  <c r="D12" i="22"/>
  <c r="D12" i="23"/>
  <c r="D29" i="23" s="1"/>
  <c r="D12" i="21"/>
  <c r="F131" i="4" s="1"/>
  <c r="F170" i="4" s="1"/>
  <c r="F36" i="21"/>
  <c r="F36" i="22"/>
  <c r="F36" i="23"/>
  <c r="J36" i="23" s="1"/>
  <c r="L36" i="23" s="1"/>
  <c r="J114" i="24"/>
  <c r="L114" i="24" s="1"/>
  <c r="D21" i="36"/>
  <c r="R21" i="33"/>
  <c r="P50" i="36"/>
  <c r="R50" i="36" s="1"/>
  <c r="F79" i="36"/>
  <c r="F99" i="33"/>
  <c r="F109" i="36"/>
  <c r="P155" i="36"/>
  <c r="J55" i="24"/>
  <c r="L55" i="24" s="1"/>
  <c r="H55" i="22"/>
  <c r="H55" i="23"/>
  <c r="D86" i="22"/>
  <c r="H121" i="24"/>
  <c r="J120" i="24"/>
  <c r="R36" i="33"/>
  <c r="D35" i="36"/>
  <c r="F68" i="36"/>
  <c r="P101" i="36"/>
  <c r="L162" i="36"/>
  <c r="D16" i="25"/>
  <c r="J16" i="25" s="1"/>
  <c r="L16" i="25" s="1"/>
  <c r="P16" i="25" s="1"/>
  <c r="J16" i="26"/>
  <c r="L16" i="26" s="1"/>
  <c r="D73" i="36"/>
  <c r="R74" i="33"/>
  <c r="P100" i="36"/>
  <c r="N162" i="36"/>
  <c r="D121" i="24"/>
  <c r="D120" i="22"/>
  <c r="R70" i="33"/>
  <c r="D69" i="36"/>
  <c r="H120" i="36"/>
  <c r="N186" i="36"/>
  <c r="L248" i="36"/>
  <c r="P309" i="36"/>
  <c r="D373" i="36"/>
  <c r="R374" i="33"/>
  <c r="F448" i="36"/>
  <c r="L242" i="36"/>
  <c r="H350" i="36"/>
  <c r="L291" i="36"/>
  <c r="H428" i="36"/>
  <c r="H211" i="36"/>
  <c r="D330" i="36"/>
  <c r="R332" i="33"/>
  <c r="P478" i="36"/>
  <c r="D57" i="33"/>
  <c r="R45" i="33"/>
  <c r="D44" i="36"/>
  <c r="L106" i="36"/>
  <c r="N173" i="33"/>
  <c r="N169" i="36"/>
  <c r="L260" i="36"/>
  <c r="F322" i="36"/>
  <c r="F351" i="36"/>
  <c r="P94" i="36"/>
  <c r="D418" i="36"/>
  <c r="R420" i="33"/>
  <c r="N25" i="23" s="1"/>
  <c r="H45" i="4"/>
  <c r="J89" i="1"/>
  <c r="J99" i="4"/>
  <c r="S15" i="35"/>
  <c r="S33" i="35" s="1"/>
  <c r="T208" i="4"/>
  <c r="U15" i="2"/>
  <c r="R219" i="4"/>
  <c r="Q26" i="35"/>
  <c r="U42" i="2"/>
  <c r="T267" i="4"/>
  <c r="S43" i="35"/>
  <c r="R287" i="4"/>
  <c r="Q64" i="35"/>
  <c r="H84" i="4"/>
  <c r="H67" i="1"/>
  <c r="H59" i="1"/>
  <c r="F109" i="4"/>
  <c r="F97" i="1"/>
  <c r="L92" i="1"/>
  <c r="H212" i="4"/>
  <c r="G19" i="35"/>
  <c r="Q32" i="35"/>
  <c r="R225" i="4"/>
  <c r="R250" i="4" s="1"/>
  <c r="E46" i="35"/>
  <c r="F270" i="4"/>
  <c r="R283" i="4"/>
  <c r="Q60" i="35"/>
  <c r="J45" i="4"/>
  <c r="H85" i="4"/>
  <c r="H68" i="1"/>
  <c r="H112" i="4"/>
  <c r="E17" i="35"/>
  <c r="F210" i="4"/>
  <c r="C20" i="8"/>
  <c r="U20" i="8" s="1"/>
  <c r="W20" i="8" s="1"/>
  <c r="O24" i="35"/>
  <c r="P217" i="4"/>
  <c r="U32" i="2"/>
  <c r="S32" i="35"/>
  <c r="T225" i="4"/>
  <c r="T250" i="4" s="1"/>
  <c r="F269" i="4"/>
  <c r="E45" i="35"/>
  <c r="I57" i="35"/>
  <c r="J280" i="4"/>
  <c r="H287" i="4"/>
  <c r="G64" i="35"/>
  <c r="F46" i="4"/>
  <c r="L18" i="1"/>
  <c r="N18" i="1" s="1"/>
  <c r="F112" i="4"/>
  <c r="L95" i="1"/>
  <c r="N95" i="1" s="1"/>
  <c r="H208" i="4"/>
  <c r="G15" i="35"/>
  <c r="C31" i="8"/>
  <c r="U31" i="8" s="1"/>
  <c r="E26" i="35"/>
  <c r="F219" i="4"/>
  <c r="F266" i="4"/>
  <c r="E41" i="35"/>
  <c r="Q56" i="35"/>
  <c r="R279" i="4"/>
  <c r="I66" i="35"/>
  <c r="J289" i="4"/>
  <c r="H55" i="4"/>
  <c r="H97" i="1"/>
  <c r="H109" i="4"/>
  <c r="P209" i="4"/>
  <c r="O16" i="35"/>
  <c r="E25" i="35"/>
  <c r="F218" i="4"/>
  <c r="C30" i="8"/>
  <c r="U30" i="8" s="1"/>
  <c r="Q49" i="2"/>
  <c r="R261" i="4"/>
  <c r="Q36" i="35"/>
  <c r="S46" i="35"/>
  <c r="U46" i="35" s="1"/>
  <c r="U45" i="2"/>
  <c r="T270" i="4"/>
  <c r="H283" i="4"/>
  <c r="G60" i="35"/>
  <c r="H12" i="1"/>
  <c r="H38" i="4"/>
  <c r="J46" i="4"/>
  <c r="J55" i="4"/>
  <c r="J86" i="4"/>
  <c r="J69" i="1"/>
  <c r="J104" i="4"/>
  <c r="J112" i="4"/>
  <c r="P204" i="4"/>
  <c r="O11" i="35"/>
  <c r="S13" i="35"/>
  <c r="T206" i="4"/>
  <c r="U13" i="2"/>
  <c r="Q16" i="35"/>
  <c r="R209" i="4"/>
  <c r="P212" i="4"/>
  <c r="O19" i="35"/>
  <c r="S21" i="35"/>
  <c r="T214" i="4"/>
  <c r="U21" i="2"/>
  <c r="Q24" i="35"/>
  <c r="R217" i="4"/>
  <c r="P220" i="4"/>
  <c r="O27" i="35"/>
  <c r="U27" i="35" s="1"/>
  <c r="S29" i="35"/>
  <c r="T222" i="4"/>
  <c r="U29" i="2"/>
  <c r="S49" i="2"/>
  <c r="S36" i="35"/>
  <c r="T261" i="4"/>
  <c r="U36" i="2"/>
  <c r="Q39" i="35"/>
  <c r="U39" i="35" s="1"/>
  <c r="R264" i="4"/>
  <c r="P267" i="4"/>
  <c r="O43" i="35"/>
  <c r="U44" i="2"/>
  <c r="U70" i="2" s="1"/>
  <c r="U98" i="2" s="1"/>
  <c r="C98" i="2" s="1"/>
  <c r="S45" i="35"/>
  <c r="T269" i="4"/>
  <c r="Q49" i="35"/>
  <c r="R272" i="4"/>
  <c r="Q65" i="2"/>
  <c r="R277" i="4"/>
  <c r="Q54" i="35"/>
  <c r="Q68" i="2"/>
  <c r="Q71" i="2" s="1"/>
  <c r="Q79" i="2" s="1"/>
  <c r="Q88" i="2" s="1"/>
  <c r="O57" i="35"/>
  <c r="P280" i="4"/>
  <c r="T282" i="4"/>
  <c r="S59" i="35"/>
  <c r="U59" i="35" s="1"/>
  <c r="U57" i="2"/>
  <c r="Q62" i="35"/>
  <c r="R285" i="4"/>
  <c r="P288" i="4"/>
  <c r="O65" i="35"/>
  <c r="T229" i="4"/>
  <c r="S84" i="35"/>
  <c r="S85" i="2"/>
  <c r="U82" i="2"/>
  <c r="J30" i="1"/>
  <c r="J53" i="4"/>
  <c r="F203" i="4"/>
  <c r="E10" i="35"/>
  <c r="E33" i="2"/>
  <c r="C10" i="8"/>
  <c r="Q18" i="35"/>
  <c r="U18" i="35" s="1"/>
  <c r="R211" i="4"/>
  <c r="S27" i="35"/>
  <c r="T220" i="4"/>
  <c r="U27" i="2"/>
  <c r="R266" i="4"/>
  <c r="Q41" i="35"/>
  <c r="F279" i="4"/>
  <c r="E56" i="35"/>
  <c r="U56" i="35" s="1"/>
  <c r="G65" i="35"/>
  <c r="H288" i="4"/>
  <c r="H46" i="4"/>
  <c r="H104" i="4"/>
  <c r="J204" i="4"/>
  <c r="I11" i="35"/>
  <c r="U18" i="2"/>
  <c r="T211" i="4"/>
  <c r="S18" i="35"/>
  <c r="I27" i="35"/>
  <c r="J220" i="4"/>
  <c r="G37" i="35"/>
  <c r="G51" i="35" s="1"/>
  <c r="H262" i="4"/>
  <c r="G46" i="35"/>
  <c r="H270" i="4"/>
  <c r="Q55" i="35"/>
  <c r="Q67" i="35" s="1"/>
  <c r="Q69" i="2"/>
  <c r="R278" i="4"/>
  <c r="R286" i="4"/>
  <c r="Q63" i="35"/>
  <c r="U63" i="35" s="1"/>
  <c r="J38" i="4"/>
  <c r="J12" i="1"/>
  <c r="F45" i="4"/>
  <c r="L17" i="1"/>
  <c r="N17" i="1" s="1"/>
  <c r="H53" i="4"/>
  <c r="H30" i="1"/>
  <c r="F38" i="1"/>
  <c r="F40" i="1" s="1"/>
  <c r="L37" i="1"/>
  <c r="N37" i="1" s="1"/>
  <c r="N38" i="1" s="1"/>
  <c r="N40" i="1" s="1"/>
  <c r="F65" i="4"/>
  <c r="F95" i="4"/>
  <c r="L78" i="1"/>
  <c r="N78" i="1" s="1"/>
  <c r="J105" i="4"/>
  <c r="L111" i="1"/>
  <c r="F112" i="1"/>
  <c r="F114" i="1" s="1"/>
  <c r="G12" i="35"/>
  <c r="H205" i="4"/>
  <c r="F208" i="4"/>
  <c r="E15" i="35"/>
  <c r="C18" i="8"/>
  <c r="U18" i="8" s="1"/>
  <c r="W18" i="8" s="1"/>
  <c r="J210" i="4"/>
  <c r="I17" i="35"/>
  <c r="G20" i="35"/>
  <c r="H213" i="4"/>
  <c r="C28" i="8"/>
  <c r="U28" i="8" s="1"/>
  <c r="E23" i="35"/>
  <c r="F216" i="4"/>
  <c r="J218" i="4"/>
  <c r="I25" i="35"/>
  <c r="U25" i="35" s="1"/>
  <c r="G28" i="35"/>
  <c r="H221" i="4"/>
  <c r="O32" i="35"/>
  <c r="P225" i="4"/>
  <c r="P250" i="4" s="1"/>
  <c r="R263" i="4"/>
  <c r="Q38" i="35"/>
  <c r="P266" i="4"/>
  <c r="O41" i="35"/>
  <c r="U41" i="35" s="1"/>
  <c r="T268" i="4"/>
  <c r="S44" i="35"/>
  <c r="U43" i="2"/>
  <c r="Q48" i="35"/>
  <c r="U48" i="35" s="1"/>
  <c r="R271" i="4"/>
  <c r="G68" i="2"/>
  <c r="H277" i="4"/>
  <c r="G65" i="2"/>
  <c r="G54" i="35"/>
  <c r="E57" i="35"/>
  <c r="F280" i="4"/>
  <c r="J282" i="4"/>
  <c r="I59" i="35"/>
  <c r="H285" i="4"/>
  <c r="G62" i="35"/>
  <c r="E65" i="35"/>
  <c r="F288" i="4"/>
  <c r="I85" i="2"/>
  <c r="J229" i="4"/>
  <c r="I84" i="35"/>
  <c r="I87" i="35" s="1"/>
  <c r="D11" i="11"/>
  <c r="D11" i="10"/>
  <c r="D41" i="12"/>
  <c r="D44" i="12" s="1"/>
  <c r="D11" i="9"/>
  <c r="D41" i="9" s="1"/>
  <c r="D44" i="9" s="1"/>
  <c r="J17" i="12"/>
  <c r="L17" i="12" s="1"/>
  <c r="H17" i="9"/>
  <c r="H17" i="10"/>
  <c r="H17" i="11"/>
  <c r="J17" i="11" s="1"/>
  <c r="L17" i="11" s="1"/>
  <c r="F22" i="11"/>
  <c r="F22" i="10"/>
  <c r="F22" i="9"/>
  <c r="D27" i="11"/>
  <c r="D27" i="10"/>
  <c r="D27" i="9"/>
  <c r="H33" i="9"/>
  <c r="H33" i="10"/>
  <c r="J33" i="10" s="1"/>
  <c r="L33" i="10" s="1"/>
  <c r="J33" i="12"/>
  <c r="L33" i="12" s="1"/>
  <c r="H33" i="11"/>
  <c r="F38" i="11"/>
  <c r="F38" i="10"/>
  <c r="F38" i="9"/>
  <c r="D51" i="10"/>
  <c r="H57" i="10"/>
  <c r="J57" i="12"/>
  <c r="L57" i="12" s="1"/>
  <c r="F65" i="10"/>
  <c r="D73" i="10"/>
  <c r="J73" i="10" s="1"/>
  <c r="L73" i="10" s="1"/>
  <c r="D12" i="9"/>
  <c r="F129" i="4" s="1"/>
  <c r="F168" i="4" s="1"/>
  <c r="D12" i="10"/>
  <c r="D41" i="10" s="1"/>
  <c r="D12" i="11"/>
  <c r="H18" i="9"/>
  <c r="H18" i="10"/>
  <c r="H18" i="11"/>
  <c r="J18" i="11" s="1"/>
  <c r="L18" i="11" s="1"/>
  <c r="J18" i="12"/>
  <c r="L18" i="12" s="1"/>
  <c r="F23" i="9"/>
  <c r="F23" i="10"/>
  <c r="F23" i="11"/>
  <c r="D28" i="9"/>
  <c r="D28" i="10"/>
  <c r="D28" i="11"/>
  <c r="H34" i="11"/>
  <c r="J34" i="11" s="1"/>
  <c r="L34" i="11" s="1"/>
  <c r="H34" i="10"/>
  <c r="J34" i="12"/>
  <c r="L34" i="12" s="1"/>
  <c r="H34" i="9"/>
  <c r="F39" i="10"/>
  <c r="J39" i="10" s="1"/>
  <c r="L39" i="10" s="1"/>
  <c r="F39" i="9"/>
  <c r="F39" i="11"/>
  <c r="L52" i="12"/>
  <c r="D52" i="10"/>
  <c r="J52" i="10" s="1"/>
  <c r="L52" i="10" s="1"/>
  <c r="J58" i="12"/>
  <c r="L58" i="12" s="1"/>
  <c r="F66" i="10"/>
  <c r="D10" i="13"/>
  <c r="J11" i="14"/>
  <c r="J13" i="14" s="1"/>
  <c r="J16" i="14" s="1"/>
  <c r="J27" i="14" s="1"/>
  <c r="D13" i="14"/>
  <c r="D16" i="14" s="1"/>
  <c r="D13" i="11"/>
  <c r="D13" i="10"/>
  <c r="D13" i="9"/>
  <c r="H19" i="10"/>
  <c r="H19" i="11"/>
  <c r="H19" i="9"/>
  <c r="J19" i="12"/>
  <c r="L19" i="12" s="1"/>
  <c r="F24" i="11"/>
  <c r="F24" i="10"/>
  <c r="F24" i="9"/>
  <c r="D29" i="11"/>
  <c r="D29" i="10"/>
  <c r="D29" i="9"/>
  <c r="H35" i="9"/>
  <c r="H35" i="11"/>
  <c r="J35" i="11" s="1"/>
  <c r="L35" i="11" s="1"/>
  <c r="H35" i="10"/>
  <c r="J35" i="12"/>
  <c r="L35" i="12" s="1"/>
  <c r="F40" i="11"/>
  <c r="F40" i="10"/>
  <c r="F40" i="9"/>
  <c r="D53" i="10"/>
  <c r="J59" i="12"/>
  <c r="L59" i="12" s="1"/>
  <c r="D11" i="13"/>
  <c r="J11" i="13" s="1"/>
  <c r="L11" i="13" s="1"/>
  <c r="J12" i="14"/>
  <c r="L12" i="14" s="1"/>
  <c r="H16" i="9"/>
  <c r="H16" i="10"/>
  <c r="H16" i="11"/>
  <c r="H41" i="11" s="1"/>
  <c r="H44" i="11" s="1"/>
  <c r="J16" i="12"/>
  <c r="L16" i="12" s="1"/>
  <c r="F21" i="9"/>
  <c r="F21" i="10"/>
  <c r="F21" i="11"/>
  <c r="D26" i="9"/>
  <c r="D26" i="10"/>
  <c r="D26" i="11"/>
  <c r="H32" i="9"/>
  <c r="J32" i="9" s="1"/>
  <c r="L32" i="9" s="1"/>
  <c r="H32" i="10"/>
  <c r="J32" i="10" s="1"/>
  <c r="L32" i="10" s="1"/>
  <c r="H32" i="11"/>
  <c r="J32" i="12"/>
  <c r="L32" i="12" s="1"/>
  <c r="F37" i="10"/>
  <c r="F37" i="9"/>
  <c r="H137" i="4" s="1"/>
  <c r="H176" i="4" s="1"/>
  <c r="F37" i="11"/>
  <c r="D50" i="10"/>
  <c r="J50" i="10" s="1"/>
  <c r="L50" i="10" s="1"/>
  <c r="H56" i="10"/>
  <c r="J56" i="10" s="1"/>
  <c r="L56" i="10" s="1"/>
  <c r="J56" i="12"/>
  <c r="L56" i="12" s="1"/>
  <c r="F62" i="10"/>
  <c r="D72" i="10"/>
  <c r="D11" i="16"/>
  <c r="D30" i="16" s="1"/>
  <c r="D11" i="17"/>
  <c r="D30" i="18"/>
  <c r="D11" i="15"/>
  <c r="H17" i="17"/>
  <c r="H30" i="17" s="1"/>
  <c r="H17" i="16"/>
  <c r="H17" i="15"/>
  <c r="J17" i="18"/>
  <c r="L17" i="18" s="1"/>
  <c r="F22" i="15"/>
  <c r="F22" i="17"/>
  <c r="F22" i="16"/>
  <c r="D27" i="15"/>
  <c r="D27" i="17"/>
  <c r="D27" i="16"/>
  <c r="D36" i="16"/>
  <c r="D36" i="15"/>
  <c r="D36" i="17"/>
  <c r="J36" i="17" s="1"/>
  <c r="L36" i="17" s="1"/>
  <c r="P36" i="17" s="1"/>
  <c r="F44" i="16"/>
  <c r="F44" i="17"/>
  <c r="F52" i="18"/>
  <c r="F44" i="15"/>
  <c r="D49" i="17"/>
  <c r="D49" i="15"/>
  <c r="D49" i="16"/>
  <c r="F62" i="16"/>
  <c r="F62" i="17"/>
  <c r="F62" i="15"/>
  <c r="D67" i="17"/>
  <c r="D67" i="15"/>
  <c r="D67" i="16"/>
  <c r="D76" i="15"/>
  <c r="D76" i="17"/>
  <c r="D76" i="16"/>
  <c r="J82" i="18"/>
  <c r="L82" i="18" s="1"/>
  <c r="H82" i="15"/>
  <c r="H82" i="17"/>
  <c r="H82" i="16"/>
  <c r="D89" i="15"/>
  <c r="D89" i="16"/>
  <c r="D89" i="17"/>
  <c r="H95" i="16"/>
  <c r="H96" i="17"/>
  <c r="J95" i="18"/>
  <c r="L95" i="18" s="1"/>
  <c r="F100" i="16"/>
  <c r="F101" i="17"/>
  <c r="F101" i="15"/>
  <c r="D113" i="16"/>
  <c r="J112" i="18"/>
  <c r="L112" i="18" s="1"/>
  <c r="F119" i="16"/>
  <c r="H127" i="16"/>
  <c r="D134" i="16"/>
  <c r="J133" i="18"/>
  <c r="L133" i="18" s="1"/>
  <c r="J142" i="18"/>
  <c r="L142" i="18" s="1"/>
  <c r="D143" i="16"/>
  <c r="D151" i="16"/>
  <c r="J150" i="18"/>
  <c r="L150" i="18" s="1"/>
  <c r="F159" i="16"/>
  <c r="F167" i="16" s="1"/>
  <c r="D164" i="16"/>
  <c r="J163" i="18"/>
  <c r="L163" i="18" s="1"/>
  <c r="H18" i="19"/>
  <c r="J14" i="20"/>
  <c r="L14" i="20" s="1"/>
  <c r="J31" i="20"/>
  <c r="L31" i="20" s="1"/>
  <c r="D12" i="17"/>
  <c r="D12" i="16"/>
  <c r="D12" i="15"/>
  <c r="D30" i="15" s="1"/>
  <c r="H18" i="16"/>
  <c r="H18" i="17"/>
  <c r="H18" i="15"/>
  <c r="J18" i="18"/>
  <c r="L18" i="18" s="1"/>
  <c r="F23" i="15"/>
  <c r="F23" i="17"/>
  <c r="F23" i="16"/>
  <c r="D28" i="17"/>
  <c r="D28" i="15"/>
  <c r="D28" i="16"/>
  <c r="D37" i="16"/>
  <c r="D37" i="17"/>
  <c r="D37" i="15"/>
  <c r="F45" i="16"/>
  <c r="F45" i="17"/>
  <c r="F45" i="15"/>
  <c r="J45" i="15" s="1"/>
  <c r="L45" i="15" s="1"/>
  <c r="D50" i="15"/>
  <c r="D50" i="17"/>
  <c r="D50" i="16"/>
  <c r="F63" i="15"/>
  <c r="F69" i="15" s="1"/>
  <c r="F63" i="16"/>
  <c r="F63" i="17"/>
  <c r="D68" i="15"/>
  <c r="D68" i="17"/>
  <c r="J68" i="17" s="1"/>
  <c r="L68" i="17" s="1"/>
  <c r="D68" i="16"/>
  <c r="F76" i="17"/>
  <c r="F76" i="15"/>
  <c r="F76" i="16"/>
  <c r="F85" i="16" s="1"/>
  <c r="D81" i="16"/>
  <c r="D81" i="15"/>
  <c r="D81" i="17"/>
  <c r="F89" i="15"/>
  <c r="F89" i="17"/>
  <c r="F89" i="16"/>
  <c r="D94" i="16"/>
  <c r="D95" i="17"/>
  <c r="J95" i="17" s="1"/>
  <c r="L95" i="17" s="1"/>
  <c r="P95" i="17" s="1"/>
  <c r="J100" i="18"/>
  <c r="L100" i="18" s="1"/>
  <c r="H100" i="16"/>
  <c r="H101" i="15"/>
  <c r="H101" i="17"/>
  <c r="F113" i="16"/>
  <c r="H119" i="16"/>
  <c r="D135" i="16"/>
  <c r="J135" i="16" s="1"/>
  <c r="L135" i="16" s="1"/>
  <c r="J134" i="18"/>
  <c r="L134" i="18" s="1"/>
  <c r="D152" i="16"/>
  <c r="J151" i="18"/>
  <c r="L151" i="18" s="1"/>
  <c r="H18" i="20"/>
  <c r="H21" i="20" s="1"/>
  <c r="H41" i="20" s="1"/>
  <c r="J11" i="20"/>
  <c r="H15" i="19"/>
  <c r="H88" i="15" s="1"/>
  <c r="J19" i="18"/>
  <c r="L19" i="18" s="1"/>
  <c r="H19" i="16"/>
  <c r="J19" i="16" s="1"/>
  <c r="L19" i="16" s="1"/>
  <c r="H19" i="17"/>
  <c r="H19" i="15"/>
  <c r="D29" i="15"/>
  <c r="D29" i="17"/>
  <c r="D29" i="16"/>
  <c r="F46" i="15"/>
  <c r="F46" i="17"/>
  <c r="F46" i="16"/>
  <c r="F52" i="16" s="1"/>
  <c r="D61" i="16"/>
  <c r="D61" i="15"/>
  <c r="D61" i="17"/>
  <c r="D74" i="15"/>
  <c r="D85" i="15" s="1"/>
  <c r="D74" i="17"/>
  <c r="D74" i="16"/>
  <c r="H89" i="15"/>
  <c r="J89" i="18"/>
  <c r="L89" i="18" s="1"/>
  <c r="H89" i="17"/>
  <c r="J89" i="17" s="1"/>
  <c r="L89" i="17" s="1"/>
  <c r="P89" i="17" s="1"/>
  <c r="H89" i="16"/>
  <c r="J89" i="16" s="1"/>
  <c r="L89" i="16" s="1"/>
  <c r="D100" i="17"/>
  <c r="D100" i="15"/>
  <c r="J100" i="15" s="1"/>
  <c r="L100" i="15" s="1"/>
  <c r="D99" i="16"/>
  <c r="H120" i="16"/>
  <c r="F145" i="18"/>
  <c r="F140" i="16"/>
  <c r="F146" i="16" s="1"/>
  <c r="F152" i="16"/>
  <c r="D166" i="16"/>
  <c r="J165" i="18"/>
  <c r="L165" i="18" s="1"/>
  <c r="D18" i="15"/>
  <c r="D18" i="16"/>
  <c r="D18" i="17"/>
  <c r="F29" i="16"/>
  <c r="F29" i="17"/>
  <c r="F29" i="15"/>
  <c r="H46" i="15"/>
  <c r="H46" i="16"/>
  <c r="H46" i="17"/>
  <c r="J46" i="17" s="1"/>
  <c r="L46" i="17" s="1"/>
  <c r="J46" i="18"/>
  <c r="L46" i="18" s="1"/>
  <c r="F61" i="17"/>
  <c r="F61" i="15"/>
  <c r="F61" i="16"/>
  <c r="F69" i="16" s="1"/>
  <c r="D75" i="16"/>
  <c r="D75" i="15"/>
  <c r="D75" i="17"/>
  <c r="H90" i="17"/>
  <c r="J90" i="18"/>
  <c r="L90" i="18" s="1"/>
  <c r="H90" i="16"/>
  <c r="D100" i="16"/>
  <c r="D101" i="15"/>
  <c r="D101" i="17"/>
  <c r="D124" i="16"/>
  <c r="J123" i="18"/>
  <c r="D128" i="18"/>
  <c r="H145" i="18"/>
  <c r="H67" i="17" s="1"/>
  <c r="H140" i="16"/>
  <c r="H152" i="16"/>
  <c r="H165" i="16"/>
  <c r="H35" i="20"/>
  <c r="J30" i="20"/>
  <c r="F16" i="22"/>
  <c r="F16" i="21"/>
  <c r="J16" i="21" s="1"/>
  <c r="L16" i="21" s="1"/>
  <c r="F16" i="23"/>
  <c r="H27" i="23"/>
  <c r="H27" i="22"/>
  <c r="H27" i="21"/>
  <c r="J27" i="21" s="1"/>
  <c r="L27" i="21" s="1"/>
  <c r="J27" i="24"/>
  <c r="L27" i="24" s="1"/>
  <c r="F39" i="23"/>
  <c r="F39" i="22"/>
  <c r="F39" i="21"/>
  <c r="J39" i="21" s="1"/>
  <c r="L39" i="21" s="1"/>
  <c r="D18" i="23"/>
  <c r="D18" i="21"/>
  <c r="D18" i="22"/>
  <c r="H33" i="21"/>
  <c r="J33" i="21" s="1"/>
  <c r="L33" i="21" s="1"/>
  <c r="H33" i="23"/>
  <c r="H33" i="22"/>
  <c r="J33" i="24"/>
  <c r="L33" i="24" s="1"/>
  <c r="D15" i="21"/>
  <c r="D15" i="23"/>
  <c r="D15" i="22"/>
  <c r="F26" i="23"/>
  <c r="F26" i="22"/>
  <c r="J26" i="22" s="1"/>
  <c r="L26" i="22" s="1"/>
  <c r="F26" i="21"/>
  <c r="H14" i="21"/>
  <c r="H14" i="22"/>
  <c r="J14" i="24"/>
  <c r="L14" i="24" s="1"/>
  <c r="H14" i="23"/>
  <c r="D24" i="23"/>
  <c r="D24" i="21"/>
  <c r="D24" i="22"/>
  <c r="D37" i="21"/>
  <c r="D37" i="23"/>
  <c r="D37" i="22"/>
  <c r="J54" i="24"/>
  <c r="L54" i="24" s="1"/>
  <c r="H54" i="22"/>
  <c r="H54" i="23"/>
  <c r="D64" i="22"/>
  <c r="D64" i="21" s="1"/>
  <c r="D64" i="23"/>
  <c r="D85" i="22"/>
  <c r="J85" i="22" s="1"/>
  <c r="L85" i="22" s="1"/>
  <c r="F18" i="25"/>
  <c r="L22" i="36"/>
  <c r="N37" i="36"/>
  <c r="F52" i="36"/>
  <c r="N67" i="36"/>
  <c r="P80" i="36"/>
  <c r="L97" i="36"/>
  <c r="P110" i="36"/>
  <c r="N126" i="36"/>
  <c r="H141" i="36"/>
  <c r="H157" i="36"/>
  <c r="P179" i="36"/>
  <c r="F56" i="23"/>
  <c r="F56" i="22"/>
  <c r="F69" i="23"/>
  <c r="F69" i="22"/>
  <c r="F68" i="21"/>
  <c r="J88" i="24"/>
  <c r="L88" i="24" s="1"/>
  <c r="H88" i="22"/>
  <c r="J88" i="22" s="1"/>
  <c r="L88" i="22" s="1"/>
  <c r="F108" i="22"/>
  <c r="H19" i="26"/>
  <c r="H22" i="26" s="1"/>
  <c r="H11" i="25"/>
  <c r="N21" i="36"/>
  <c r="N36" i="36"/>
  <c r="P52" i="36"/>
  <c r="P72" i="36"/>
  <c r="H106" i="36"/>
  <c r="L138" i="36"/>
  <c r="R138" i="36" s="1"/>
  <c r="P170" i="36"/>
  <c r="D58" i="22"/>
  <c r="D58" i="23"/>
  <c r="J58" i="23" s="1"/>
  <c r="L58" i="23" s="1"/>
  <c r="D91" i="22"/>
  <c r="J91" i="22" s="1"/>
  <c r="L91" i="22" s="1"/>
  <c r="J28" i="26"/>
  <c r="L28" i="26" s="1"/>
  <c r="P36" i="36"/>
  <c r="N77" i="36"/>
  <c r="L108" i="36"/>
  <c r="D139" i="36"/>
  <c r="R140" i="33"/>
  <c r="D175" i="36"/>
  <c r="R176" i="33"/>
  <c r="F58" i="22"/>
  <c r="F58" i="23"/>
  <c r="J13" i="26"/>
  <c r="L13" i="26" s="1"/>
  <c r="D13" i="25"/>
  <c r="H34" i="36"/>
  <c r="N73" i="36"/>
  <c r="L112" i="33"/>
  <c r="L99" i="36"/>
  <c r="F130" i="36"/>
  <c r="F148" i="33"/>
  <c r="N158" i="36"/>
  <c r="F191" i="36"/>
  <c r="N225" i="36"/>
  <c r="L254" i="36"/>
  <c r="F289" i="36"/>
  <c r="L317" i="36"/>
  <c r="D347" i="36"/>
  <c r="R349" i="33"/>
  <c r="N376" i="36"/>
  <c r="L421" i="36"/>
  <c r="P452" i="36"/>
  <c r="F499" i="36"/>
  <c r="D215" i="36"/>
  <c r="R216" i="33"/>
  <c r="N251" i="36"/>
  <c r="P305" i="36"/>
  <c r="P370" i="36"/>
  <c r="L476" i="36"/>
  <c r="L507" i="33"/>
  <c r="D195" i="36"/>
  <c r="R196" i="33"/>
  <c r="P250" i="36"/>
  <c r="D306" i="36"/>
  <c r="R307" i="33"/>
  <c r="L363" i="36"/>
  <c r="L450" i="36"/>
  <c r="D36" i="34"/>
  <c r="D39" i="34" s="1"/>
  <c r="R29" i="34"/>
  <c r="R226" i="33"/>
  <c r="D225" i="36"/>
  <c r="P288" i="33"/>
  <c r="P285" i="36"/>
  <c r="D348" i="36"/>
  <c r="R350" i="33"/>
  <c r="F415" i="36"/>
  <c r="R496" i="33"/>
  <c r="D494" i="36"/>
  <c r="H17" i="36"/>
  <c r="F50" i="36"/>
  <c r="F83" i="36"/>
  <c r="D113" i="36"/>
  <c r="R114" i="33"/>
  <c r="H143" i="36"/>
  <c r="N177" i="36"/>
  <c r="D205" i="36"/>
  <c r="R206" i="33"/>
  <c r="H237" i="36"/>
  <c r="N267" i="36"/>
  <c r="F299" i="36"/>
  <c r="H327" i="36"/>
  <c r="N356" i="36"/>
  <c r="F420" i="36"/>
  <c r="R21" i="34"/>
  <c r="N21" i="19" s="1"/>
  <c r="L122" i="36"/>
  <c r="L247" i="36"/>
  <c r="L13" i="36"/>
  <c r="H29" i="24"/>
  <c r="H74" i="24" s="1"/>
  <c r="H11" i="23"/>
  <c r="H11" i="22"/>
  <c r="H11" i="21"/>
  <c r="J11" i="24"/>
  <c r="J29" i="24" s="1"/>
  <c r="D34" i="22"/>
  <c r="D34" i="23"/>
  <c r="D34" i="21"/>
  <c r="J24" i="24"/>
  <c r="L24" i="24" s="1"/>
  <c r="H24" i="21"/>
  <c r="H24" i="22"/>
  <c r="H24" i="23"/>
  <c r="H21" i="22"/>
  <c r="J21" i="22" s="1"/>
  <c r="L21" i="22" s="1"/>
  <c r="H21" i="21"/>
  <c r="H21" i="23"/>
  <c r="J21" i="24"/>
  <c r="L21" i="24" s="1"/>
  <c r="F19" i="21"/>
  <c r="F19" i="23"/>
  <c r="F19" i="22"/>
  <c r="D48" i="22"/>
  <c r="D48" i="21" s="1"/>
  <c r="F130" i="4" s="1"/>
  <c r="F169" i="4" s="1"/>
  <c r="D48" i="23"/>
  <c r="D65" i="23" s="1"/>
  <c r="H110" i="22"/>
  <c r="J110" i="24"/>
  <c r="L110" i="24" s="1"/>
  <c r="H13" i="36"/>
  <c r="F46" i="36"/>
  <c r="P73" i="36"/>
  <c r="N104" i="36"/>
  <c r="P133" i="36"/>
  <c r="F170" i="36"/>
  <c r="D61" i="23"/>
  <c r="D61" i="22"/>
  <c r="F103" i="24"/>
  <c r="L15" i="36"/>
  <c r="N27" i="36"/>
  <c r="L90" i="36"/>
  <c r="P151" i="36"/>
  <c r="J112" i="24"/>
  <c r="L112" i="24" s="1"/>
  <c r="H112" i="22"/>
  <c r="P122" i="36"/>
  <c r="D47" i="23"/>
  <c r="D47" i="22"/>
  <c r="D47" i="21" s="1"/>
  <c r="D65" i="24"/>
  <c r="F110" i="22"/>
  <c r="N53" i="36"/>
  <c r="P112" i="36"/>
  <c r="P130" i="33"/>
  <c r="L206" i="36"/>
  <c r="P268" i="36"/>
  <c r="F302" i="36"/>
  <c r="F334" i="33"/>
  <c r="P424" i="33"/>
  <c r="P404" i="36"/>
  <c r="D487" i="36"/>
  <c r="R489" i="33"/>
  <c r="H199" i="36"/>
  <c r="F278" i="36"/>
  <c r="N420" i="36"/>
  <c r="P220" i="36"/>
  <c r="P222" i="36" s="1"/>
  <c r="P223" i="33"/>
  <c r="R333" i="33"/>
  <c r="D331" i="36"/>
  <c r="H492" i="36"/>
  <c r="L252" i="36"/>
  <c r="D376" i="36"/>
  <c r="R378" i="33"/>
  <c r="R68" i="33"/>
  <c r="D67" i="36"/>
  <c r="N127" i="36"/>
  <c r="H191" i="36"/>
  <c r="R252" i="33"/>
  <c r="D251" i="36"/>
  <c r="P313" i="36"/>
  <c r="R379" i="33"/>
  <c r="D377" i="36"/>
  <c r="F60" i="36"/>
  <c r="L356" i="36"/>
  <c r="L58" i="1"/>
  <c r="N58" i="1" s="1"/>
  <c r="F69" i="1"/>
  <c r="L69" i="1" s="1"/>
  <c r="N69" i="1" s="1"/>
  <c r="F86" i="4"/>
  <c r="S23" i="35"/>
  <c r="T216" i="4"/>
  <c r="U23" i="2"/>
  <c r="L27" i="1"/>
  <c r="N27" i="1" s="1"/>
  <c r="F55" i="4"/>
  <c r="P210" i="4"/>
  <c r="O17" i="35"/>
  <c r="J281" i="4"/>
  <c r="I58" i="35"/>
  <c r="J38" i="1"/>
  <c r="J40" i="1" s="1"/>
  <c r="J65" i="4"/>
  <c r="J66" i="4" s="1"/>
  <c r="J68" i="4" s="1"/>
  <c r="I15" i="35"/>
  <c r="J208" i="4"/>
  <c r="G30" i="35"/>
  <c r="H223" i="4"/>
  <c r="F278" i="4"/>
  <c r="E69" i="2"/>
  <c r="E55" i="35"/>
  <c r="E67" i="35" s="1"/>
  <c r="J231" i="4"/>
  <c r="I86" i="35"/>
  <c r="H204" i="4"/>
  <c r="G11" i="35"/>
  <c r="G33" i="35" s="1"/>
  <c r="S38" i="35"/>
  <c r="T263" i="4"/>
  <c r="U38" i="2"/>
  <c r="E64" i="35"/>
  <c r="F287" i="4"/>
  <c r="J103" i="4"/>
  <c r="U22" i="2"/>
  <c r="S22" i="35"/>
  <c r="U22" i="35" s="1"/>
  <c r="T215" i="4"/>
  <c r="I43" i="35"/>
  <c r="J267" i="4"/>
  <c r="H230" i="4"/>
  <c r="G85" i="35"/>
  <c r="F53" i="4"/>
  <c r="L25" i="1"/>
  <c r="F30" i="1"/>
  <c r="J101" i="4"/>
  <c r="I10" i="35"/>
  <c r="J203" i="4"/>
  <c r="I33" i="2"/>
  <c r="C19" i="8"/>
  <c r="F209" i="4"/>
  <c r="E16" i="35"/>
  <c r="G21" i="35"/>
  <c r="H214" i="4"/>
  <c r="J219" i="4"/>
  <c r="I26" i="35"/>
  <c r="G49" i="2"/>
  <c r="H261" i="4"/>
  <c r="G36" i="35"/>
  <c r="J266" i="4"/>
  <c r="I41" i="35"/>
  <c r="E49" i="35"/>
  <c r="F272" i="4"/>
  <c r="I56" i="35"/>
  <c r="J279" i="4"/>
  <c r="E62" i="35"/>
  <c r="F285" i="4"/>
  <c r="H229" i="4"/>
  <c r="G85" i="2"/>
  <c r="G84" i="35"/>
  <c r="H100" i="4"/>
  <c r="O25" i="35"/>
  <c r="P218" i="4"/>
  <c r="H263" i="4"/>
  <c r="G38" i="35"/>
  <c r="I62" i="35"/>
  <c r="J285" i="4"/>
  <c r="H101" i="4"/>
  <c r="N101" i="4" s="1"/>
  <c r="V101" i="4" s="1"/>
  <c r="R210" i="4"/>
  <c r="Q17" i="35"/>
  <c r="E49" i="2"/>
  <c r="F261" i="4"/>
  <c r="E36" i="35"/>
  <c r="O54" i="35"/>
  <c r="P277" i="4"/>
  <c r="O65" i="2"/>
  <c r="O68" i="2"/>
  <c r="T230" i="4"/>
  <c r="U83" i="2"/>
  <c r="U85" i="2" s="1"/>
  <c r="S85" i="35"/>
  <c r="F49" i="4"/>
  <c r="L21" i="1"/>
  <c r="N21" i="1" s="1"/>
  <c r="H79" i="1"/>
  <c r="H94" i="4"/>
  <c r="H121" i="4"/>
  <c r="H122" i="4" s="1"/>
  <c r="H124" i="4" s="1"/>
  <c r="H104" i="1"/>
  <c r="H106" i="1" s="1"/>
  <c r="P207" i="4"/>
  <c r="O14" i="35"/>
  <c r="R212" i="4"/>
  <c r="Q19" i="35"/>
  <c r="S24" i="35"/>
  <c r="U24" i="35" s="1"/>
  <c r="U24" i="2"/>
  <c r="T217" i="4"/>
  <c r="P223" i="4"/>
  <c r="O30" i="35"/>
  <c r="U30" i="35" s="1"/>
  <c r="I40" i="35"/>
  <c r="J265" i="4"/>
  <c r="F271" i="4"/>
  <c r="E48" i="35"/>
  <c r="O56" i="35"/>
  <c r="P279" i="4"/>
  <c r="Q61" i="35"/>
  <c r="Q70" i="2"/>
  <c r="R284" i="4"/>
  <c r="T289" i="4"/>
  <c r="S66" i="35"/>
  <c r="U64" i="2"/>
  <c r="U65" i="2" s="1"/>
  <c r="D15" i="10"/>
  <c r="D15" i="11"/>
  <c r="D15" i="9"/>
  <c r="F26" i="11"/>
  <c r="J26" i="11" s="1"/>
  <c r="L26" i="11" s="1"/>
  <c r="F26" i="9"/>
  <c r="F26" i="10"/>
  <c r="H37" i="10"/>
  <c r="H37" i="9"/>
  <c r="J137" i="4" s="1"/>
  <c r="J176" i="4" s="1"/>
  <c r="H37" i="11"/>
  <c r="J37" i="12"/>
  <c r="L37" i="12" s="1"/>
  <c r="D55" i="10"/>
  <c r="J55" i="10" s="1"/>
  <c r="L55" i="10" s="1"/>
  <c r="D16" i="10"/>
  <c r="J16" i="10" s="1"/>
  <c r="L16" i="10" s="1"/>
  <c r="D16" i="9"/>
  <c r="D16" i="11"/>
  <c r="F27" i="9"/>
  <c r="F27" i="11"/>
  <c r="J27" i="11" s="1"/>
  <c r="L27" i="11" s="1"/>
  <c r="F27" i="10"/>
  <c r="H38" i="10"/>
  <c r="H38" i="11"/>
  <c r="H38" i="9"/>
  <c r="J38" i="9" s="1"/>
  <c r="L38" i="9" s="1"/>
  <c r="J38" i="12"/>
  <c r="L38" i="12" s="1"/>
  <c r="F51" i="10"/>
  <c r="J62" i="12"/>
  <c r="L62" i="12" s="1"/>
  <c r="F72" i="10"/>
  <c r="J72" i="10" s="1"/>
  <c r="L72" i="10" s="1"/>
  <c r="D17" i="10"/>
  <c r="D17" i="11"/>
  <c r="D17" i="9"/>
  <c r="F28" i="11"/>
  <c r="F28" i="9"/>
  <c r="F28" i="10"/>
  <c r="H39" i="11"/>
  <c r="H39" i="9"/>
  <c r="J39" i="9" s="1"/>
  <c r="L39" i="9" s="1"/>
  <c r="J39" i="12"/>
  <c r="L39" i="12" s="1"/>
  <c r="H39" i="10"/>
  <c r="D57" i="10"/>
  <c r="F13" i="14"/>
  <c r="F16" i="14" s="1"/>
  <c r="F27" i="14" s="1"/>
  <c r="F10" i="13"/>
  <c r="F12" i="13" s="1"/>
  <c r="F15" i="13" s="1"/>
  <c r="H20" i="10"/>
  <c r="H20" i="9"/>
  <c r="J20" i="12"/>
  <c r="L20" i="12" s="1"/>
  <c r="H20" i="11"/>
  <c r="D30" i="10"/>
  <c r="D30" i="9"/>
  <c r="D30" i="11"/>
  <c r="F68" i="12"/>
  <c r="F71" i="12" s="1"/>
  <c r="J60" i="12"/>
  <c r="L60" i="12" s="1"/>
  <c r="J21" i="14"/>
  <c r="D22" i="14"/>
  <c r="D24" i="14" s="1"/>
  <c r="H21" i="16"/>
  <c r="H21" i="17"/>
  <c r="J21" i="18"/>
  <c r="L21" i="18" s="1"/>
  <c r="H21" i="15"/>
  <c r="F35" i="16"/>
  <c r="F35" i="17"/>
  <c r="F35" i="15"/>
  <c r="F48" i="16"/>
  <c r="F48" i="15"/>
  <c r="F48" i="17"/>
  <c r="F66" i="16"/>
  <c r="F66" i="15"/>
  <c r="J66" i="15" s="1"/>
  <c r="L66" i="15" s="1"/>
  <c r="F66" i="17"/>
  <c r="F88" i="15"/>
  <c r="F88" i="17"/>
  <c r="F88" i="16"/>
  <c r="F101" i="18"/>
  <c r="J99" i="18"/>
  <c r="L99" i="18" s="1"/>
  <c r="H100" i="15"/>
  <c r="H100" i="17"/>
  <c r="H99" i="16"/>
  <c r="D117" i="16"/>
  <c r="J116" i="18"/>
  <c r="L116" i="18" s="1"/>
  <c r="F133" i="16"/>
  <c r="F137" i="16" s="1"/>
  <c r="F150" i="16"/>
  <c r="J26" i="20"/>
  <c r="H27" i="20"/>
  <c r="H38" i="20" s="1"/>
  <c r="H11" i="19"/>
  <c r="H14" i="15" s="1"/>
  <c r="D16" i="16"/>
  <c r="D16" i="17"/>
  <c r="D16" i="15"/>
  <c r="F36" i="16"/>
  <c r="F36" i="17"/>
  <c r="F36" i="15"/>
  <c r="F49" i="16"/>
  <c r="F49" i="17"/>
  <c r="F49" i="15"/>
  <c r="F67" i="16"/>
  <c r="F67" i="17"/>
  <c r="F67" i="15"/>
  <c r="F80" i="15"/>
  <c r="F80" i="17"/>
  <c r="F80" i="16"/>
  <c r="F94" i="17"/>
  <c r="F102" i="17" s="1"/>
  <c r="F94" i="15"/>
  <c r="F93" i="16"/>
  <c r="H112" i="16"/>
  <c r="F135" i="16"/>
  <c r="F134" i="16"/>
  <c r="D165" i="16"/>
  <c r="J164" i="18"/>
  <c r="L164" i="18" s="1"/>
  <c r="D17" i="15"/>
  <c r="D17" i="16"/>
  <c r="D17" i="17"/>
  <c r="H45" i="15"/>
  <c r="H45" i="17"/>
  <c r="H52" i="17" s="1"/>
  <c r="H45" i="16"/>
  <c r="J45" i="18"/>
  <c r="L45" i="18" s="1"/>
  <c r="H84" i="15"/>
  <c r="J84" i="18"/>
  <c r="J84" i="15" s="1"/>
  <c r="H84" i="17"/>
  <c r="H84" i="16"/>
  <c r="J84" i="16" s="1"/>
  <c r="L84" i="16" s="1"/>
  <c r="H117" i="16"/>
  <c r="H151" i="16"/>
  <c r="J151" i="16" s="1"/>
  <c r="L151" i="16" s="1"/>
  <c r="F35" i="20"/>
  <c r="F17" i="17"/>
  <c r="F17" i="16"/>
  <c r="F17" i="15"/>
  <c r="J17" i="15" s="1"/>
  <c r="L17" i="15" s="1"/>
  <c r="D44" i="16"/>
  <c r="D44" i="15"/>
  <c r="D44" i="17"/>
  <c r="D52" i="18"/>
  <c r="F74" i="17"/>
  <c r="F74" i="16"/>
  <c r="F74" i="15"/>
  <c r="F100" i="17"/>
  <c r="F100" i="15"/>
  <c r="F99" i="16"/>
  <c r="J162" i="18"/>
  <c r="L162" i="18" s="1"/>
  <c r="H15" i="21"/>
  <c r="J15" i="24"/>
  <c r="L15" i="24" s="1"/>
  <c r="H15" i="23"/>
  <c r="H15" i="22"/>
  <c r="D38" i="21"/>
  <c r="D40" i="21" s="1"/>
  <c r="D38" i="22"/>
  <c r="D38" i="23"/>
  <c r="H28" i="22"/>
  <c r="H28" i="23"/>
  <c r="J28" i="24"/>
  <c r="L28" i="24" s="1"/>
  <c r="H28" i="21"/>
  <c r="H25" i="23"/>
  <c r="J25" i="24"/>
  <c r="L25" i="24" s="1"/>
  <c r="H25" i="22"/>
  <c r="H25" i="21"/>
  <c r="F23" i="23"/>
  <c r="F23" i="22"/>
  <c r="J23" i="22" s="1"/>
  <c r="L23" i="22" s="1"/>
  <c r="F23" i="21"/>
  <c r="D52" i="23"/>
  <c r="D52" i="22"/>
  <c r="D52" i="21" s="1"/>
  <c r="F132" i="4" s="1"/>
  <c r="F171" i="4" s="1"/>
  <c r="F63" i="23"/>
  <c r="J63" i="23" s="1"/>
  <c r="L63" i="23" s="1"/>
  <c r="F63" i="22"/>
  <c r="F63" i="21" s="1"/>
  <c r="J101" i="24"/>
  <c r="L101" i="24" s="1"/>
  <c r="H15" i="25"/>
  <c r="R37" i="33"/>
  <c r="N36" i="17" s="1"/>
  <c r="D36" i="36"/>
  <c r="F66" i="36"/>
  <c r="L94" i="36"/>
  <c r="D125" i="36"/>
  <c r="R126" i="33"/>
  <c r="H138" i="36"/>
  <c r="R179" i="33"/>
  <c r="D178" i="36"/>
  <c r="J68" i="24"/>
  <c r="H68" i="23"/>
  <c r="H71" i="24"/>
  <c r="H67" i="21"/>
  <c r="J135" i="4" s="1"/>
  <c r="J174" i="4" s="1"/>
  <c r="H68" i="22"/>
  <c r="J107" i="24"/>
  <c r="L107" i="24" s="1"/>
  <c r="R20" i="33"/>
  <c r="D20" i="36"/>
  <c r="H51" i="36"/>
  <c r="L132" i="36"/>
  <c r="D54" i="22"/>
  <c r="D54" i="21" s="1"/>
  <c r="D54" i="23"/>
  <c r="D87" i="22"/>
  <c r="H29" i="36"/>
  <c r="L134" i="36"/>
  <c r="F54" i="23"/>
  <c r="F54" i="22"/>
  <c r="F54" i="21" s="1"/>
  <c r="H22" i="36"/>
  <c r="F94" i="36"/>
  <c r="R155" i="33"/>
  <c r="D154" i="36"/>
  <c r="N217" i="36"/>
  <c r="R282" i="33"/>
  <c r="D281" i="36"/>
  <c r="L342" i="36"/>
  <c r="L364" i="33"/>
  <c r="L415" i="36"/>
  <c r="N494" i="36"/>
  <c r="L210" i="36"/>
  <c r="L219" i="33"/>
  <c r="P292" i="36"/>
  <c r="H445" i="36"/>
  <c r="D240" i="36"/>
  <c r="R241" i="33"/>
  <c r="P347" i="36"/>
  <c r="D520" i="36"/>
  <c r="R522" i="33"/>
  <c r="N36" i="11" s="1"/>
  <c r="D527" i="33"/>
  <c r="D530" i="33" s="1"/>
  <c r="P269" i="36"/>
  <c r="N424" i="33"/>
  <c r="N404" i="36"/>
  <c r="H11" i="36"/>
  <c r="F76" i="36"/>
  <c r="F137" i="36"/>
  <c r="P199" i="36"/>
  <c r="H231" i="36"/>
  <c r="H292" i="36"/>
  <c r="P408" i="36"/>
  <c r="H497" i="36"/>
  <c r="H220" i="36"/>
  <c r="H223" i="33"/>
  <c r="H49" i="4"/>
  <c r="L87" i="1"/>
  <c r="N87" i="1" s="1"/>
  <c r="F104" i="4"/>
  <c r="C21" i="8"/>
  <c r="F211" i="4"/>
  <c r="E18" i="35"/>
  <c r="P222" i="4"/>
  <c r="O29" i="35"/>
  <c r="Q46" i="35"/>
  <c r="R270" i="4"/>
  <c r="H231" i="4"/>
  <c r="G86" i="35"/>
  <c r="H64" i="1"/>
  <c r="H134" i="4" s="1"/>
  <c r="H173" i="4" s="1"/>
  <c r="T204" i="4"/>
  <c r="S11" i="35"/>
  <c r="U11" i="2"/>
  <c r="H216" i="4"/>
  <c r="G23" i="35"/>
  <c r="E37" i="35"/>
  <c r="F262" i="4"/>
  <c r="I49" i="35"/>
  <c r="J272" i="4"/>
  <c r="P286" i="4"/>
  <c r="O63" i="35"/>
  <c r="J49" i="4"/>
  <c r="J64" i="1"/>
  <c r="J134" i="4" s="1"/>
  <c r="J173" i="4" s="1"/>
  <c r="G33" i="2"/>
  <c r="G10" i="35"/>
  <c r="H203" i="4"/>
  <c r="J212" i="4"/>
  <c r="I19" i="35"/>
  <c r="G26" i="35"/>
  <c r="H219" i="4"/>
  <c r="T262" i="4"/>
  <c r="S37" i="35"/>
  <c r="U37" i="2"/>
  <c r="R269" i="4"/>
  <c r="Q45" i="35"/>
  <c r="Q59" i="35"/>
  <c r="R282" i="4"/>
  <c r="P289" i="4"/>
  <c r="O66" i="35"/>
  <c r="H54" i="4"/>
  <c r="J121" i="4"/>
  <c r="J122" i="4" s="1"/>
  <c r="J124" i="4" s="1"/>
  <c r="J104" i="1"/>
  <c r="J106" i="1" s="1"/>
  <c r="U19" i="2"/>
  <c r="S19" i="35"/>
  <c r="T212" i="4"/>
  <c r="I28" i="35"/>
  <c r="J221" i="4"/>
  <c r="P269" i="4"/>
  <c r="O45" i="35"/>
  <c r="O59" i="35"/>
  <c r="O71" i="35" s="1"/>
  <c r="P282" i="4"/>
  <c r="Q85" i="35"/>
  <c r="R230" i="4"/>
  <c r="J59" i="1"/>
  <c r="J67" i="1"/>
  <c r="J84" i="4"/>
  <c r="U10" i="2"/>
  <c r="S33" i="2"/>
  <c r="S10" i="35"/>
  <c r="T203" i="4"/>
  <c r="H211" i="4"/>
  <c r="G18" i="35"/>
  <c r="U26" i="2"/>
  <c r="T219" i="4"/>
  <c r="S26" i="35"/>
  <c r="I38" i="35"/>
  <c r="I71" i="35" s="1"/>
  <c r="J263" i="4"/>
  <c r="R273" i="4"/>
  <c r="Q50" i="35"/>
  <c r="P285" i="4"/>
  <c r="O62" i="35"/>
  <c r="F39" i="4"/>
  <c r="L11" i="1"/>
  <c r="N11" i="1" s="1"/>
  <c r="H47" i="4"/>
  <c r="H56" i="4"/>
  <c r="F94" i="4"/>
  <c r="L77" i="1"/>
  <c r="F79" i="1"/>
  <c r="F99" i="1" s="1"/>
  <c r="H105" i="4"/>
  <c r="H113" i="4"/>
  <c r="C15" i="8"/>
  <c r="E12" i="35"/>
  <c r="E33" i="35" s="1"/>
  <c r="F205" i="4"/>
  <c r="J207" i="4"/>
  <c r="I14" i="35"/>
  <c r="G17" i="35"/>
  <c r="U17" i="35" s="1"/>
  <c r="H210" i="4"/>
  <c r="C23" i="8"/>
  <c r="E20" i="35"/>
  <c r="F213" i="4"/>
  <c r="J215" i="4"/>
  <c r="I22" i="35"/>
  <c r="G25" i="35"/>
  <c r="H218" i="4"/>
  <c r="C33" i="8"/>
  <c r="U33" i="8" s="1"/>
  <c r="E28" i="35"/>
  <c r="F221" i="4"/>
  <c r="J223" i="4"/>
  <c r="I30" i="35"/>
  <c r="I37" i="35"/>
  <c r="J262" i="4"/>
  <c r="G40" i="35"/>
  <c r="H265" i="4"/>
  <c r="F268" i="4"/>
  <c r="E44" i="35"/>
  <c r="I46" i="35"/>
  <c r="J270" i="4"/>
  <c r="G50" i="35"/>
  <c r="H273" i="4"/>
  <c r="G69" i="2"/>
  <c r="G55" i="35"/>
  <c r="H278" i="4"/>
  <c r="E58" i="35"/>
  <c r="F281" i="4"/>
  <c r="J283" i="4"/>
  <c r="I60" i="35"/>
  <c r="G63" i="35"/>
  <c r="H286" i="4"/>
  <c r="F289" i="4"/>
  <c r="E66" i="35"/>
  <c r="I85" i="35"/>
  <c r="J230" i="4"/>
  <c r="F85" i="4"/>
  <c r="F68" i="1"/>
  <c r="I12" i="35"/>
  <c r="J205" i="4"/>
  <c r="O21" i="35"/>
  <c r="P214" i="4"/>
  <c r="C12" i="8"/>
  <c r="U12" i="8" s="1"/>
  <c r="F225" i="4"/>
  <c r="F250" i="4" s="1"/>
  <c r="E32" i="35"/>
  <c r="J268" i="4"/>
  <c r="I44" i="35"/>
  <c r="T280" i="4"/>
  <c r="S57" i="35"/>
  <c r="U55" i="2"/>
  <c r="O85" i="2"/>
  <c r="O84" i="35"/>
  <c r="O87" i="35" s="1"/>
  <c r="P229" i="4"/>
  <c r="F56" i="4"/>
  <c r="L28" i="1"/>
  <c r="N28" i="1" s="1"/>
  <c r="F110" i="4"/>
  <c r="L93" i="1"/>
  <c r="N93" i="1" s="1"/>
  <c r="P205" i="4"/>
  <c r="O12" i="35"/>
  <c r="Q21" i="35"/>
  <c r="U21" i="35" s="1"/>
  <c r="R214" i="4"/>
  <c r="Q29" i="35"/>
  <c r="R222" i="4"/>
  <c r="O39" i="35"/>
  <c r="P264" i="4"/>
  <c r="I48" i="35"/>
  <c r="J271" i="4"/>
  <c r="T279" i="4"/>
  <c r="V279" i="4" s="1"/>
  <c r="U54" i="2"/>
  <c r="S56" i="35"/>
  <c r="T287" i="4"/>
  <c r="S64" i="35"/>
  <c r="U64" i="35" s="1"/>
  <c r="U62" i="2"/>
  <c r="H39" i="4"/>
  <c r="J47" i="4"/>
  <c r="F54" i="4"/>
  <c r="L26" i="1"/>
  <c r="N26" i="1" s="1"/>
  <c r="F59" i="1"/>
  <c r="F67" i="1"/>
  <c r="L56" i="1"/>
  <c r="N56" i="1" s="1"/>
  <c r="N59" i="1" s="1"/>
  <c r="F84" i="4"/>
  <c r="F87" i="4" s="1"/>
  <c r="F89" i="4" s="1"/>
  <c r="H89" i="1"/>
  <c r="H99" i="4"/>
  <c r="J110" i="4"/>
  <c r="O10" i="35"/>
  <c r="P203" i="4"/>
  <c r="O33" i="2"/>
  <c r="U12" i="2"/>
  <c r="U33" i="2" s="1"/>
  <c r="T205" i="4"/>
  <c r="S12" i="35"/>
  <c r="Q15" i="35"/>
  <c r="R208" i="4"/>
  <c r="V208" i="4" s="1"/>
  <c r="P211" i="4"/>
  <c r="O18" i="35"/>
  <c r="U20" i="2"/>
  <c r="S20" i="35"/>
  <c r="U20" i="35" s="1"/>
  <c r="T213" i="4"/>
  <c r="Q23" i="35"/>
  <c r="R216" i="4"/>
  <c r="O26" i="35"/>
  <c r="P219" i="4"/>
  <c r="U28" i="2"/>
  <c r="T221" i="4"/>
  <c r="S28" i="35"/>
  <c r="U28" i="35" s="1"/>
  <c r="I49" i="2"/>
  <c r="I36" i="35"/>
  <c r="J261" i="4"/>
  <c r="G39" i="35"/>
  <c r="H264" i="4"/>
  <c r="F267" i="4"/>
  <c r="E43" i="35"/>
  <c r="I45" i="35"/>
  <c r="I72" i="35" s="1"/>
  <c r="J269" i="4"/>
  <c r="G49" i="35"/>
  <c r="H272" i="4"/>
  <c r="T277" i="4"/>
  <c r="V277" i="4" s="1"/>
  <c r="S54" i="35"/>
  <c r="S65" i="2"/>
  <c r="U52" i="2"/>
  <c r="S68" i="2"/>
  <c r="S71" i="2" s="1"/>
  <c r="S79" i="2" s="1"/>
  <c r="S88" i="2" s="1"/>
  <c r="Q57" i="35"/>
  <c r="R280" i="4"/>
  <c r="P283" i="4"/>
  <c r="O60" i="35"/>
  <c r="U60" i="35" s="1"/>
  <c r="T285" i="4"/>
  <c r="U60" i="2"/>
  <c r="S62" i="35"/>
  <c r="Q65" i="35"/>
  <c r="U65" i="35" s="1"/>
  <c r="R288" i="4"/>
  <c r="V288" i="4" s="1"/>
  <c r="O85" i="35"/>
  <c r="P230" i="4"/>
  <c r="H13" i="9"/>
  <c r="J13" i="9" s="1"/>
  <c r="L13" i="9" s="1"/>
  <c r="J13" i="12"/>
  <c r="L13" i="12" s="1"/>
  <c r="H13" i="11"/>
  <c r="H13" i="10"/>
  <c r="F18" i="11"/>
  <c r="F18" i="9"/>
  <c r="F18" i="10"/>
  <c r="D23" i="10"/>
  <c r="D23" i="11"/>
  <c r="D23" i="9"/>
  <c r="H29" i="9"/>
  <c r="J29" i="9" s="1"/>
  <c r="L29" i="9" s="1"/>
  <c r="J29" i="12"/>
  <c r="L29" i="12" s="1"/>
  <c r="H29" i="11"/>
  <c r="J29" i="11" s="1"/>
  <c r="L29" i="11" s="1"/>
  <c r="H29" i="10"/>
  <c r="F34" i="11"/>
  <c r="F34" i="9"/>
  <c r="F34" i="10"/>
  <c r="J34" i="10" s="1"/>
  <c r="L34" i="10" s="1"/>
  <c r="D39" i="10"/>
  <c r="D39" i="9"/>
  <c r="D39" i="11"/>
  <c r="J53" i="12"/>
  <c r="L53" i="12" s="1"/>
  <c r="H53" i="10"/>
  <c r="D66" i="10"/>
  <c r="H11" i="13"/>
  <c r="H14" i="10"/>
  <c r="H14" i="9"/>
  <c r="J14" i="12"/>
  <c r="L14" i="12" s="1"/>
  <c r="H14" i="11"/>
  <c r="F19" i="9"/>
  <c r="J19" i="9" s="1"/>
  <c r="L19" i="9" s="1"/>
  <c r="F19" i="11"/>
  <c r="F19" i="10"/>
  <c r="D24" i="10"/>
  <c r="D24" i="9"/>
  <c r="D24" i="11"/>
  <c r="H30" i="10"/>
  <c r="H30" i="9"/>
  <c r="J30" i="12"/>
  <c r="L30" i="12" s="1"/>
  <c r="H30" i="11"/>
  <c r="F35" i="10"/>
  <c r="F35" i="11"/>
  <c r="F35" i="9"/>
  <c r="D40" i="9"/>
  <c r="D40" i="11"/>
  <c r="D40" i="10"/>
  <c r="J54" i="12"/>
  <c r="L54" i="12" s="1"/>
  <c r="D67" i="10"/>
  <c r="J67" i="10" s="1"/>
  <c r="L67" i="10" s="1"/>
  <c r="H22" i="14"/>
  <c r="H24" i="14" s="1"/>
  <c r="H15" i="11"/>
  <c r="H15" i="10"/>
  <c r="J15" i="12"/>
  <c r="L15" i="12" s="1"/>
  <c r="H15" i="9"/>
  <c r="J15" i="9" s="1"/>
  <c r="L15" i="9" s="1"/>
  <c r="F20" i="11"/>
  <c r="F20" i="9"/>
  <c r="F20" i="10"/>
  <c r="D25" i="10"/>
  <c r="D25" i="11"/>
  <c r="D25" i="9"/>
  <c r="H31" i="11"/>
  <c r="H31" i="9"/>
  <c r="J31" i="12"/>
  <c r="H31" i="10"/>
  <c r="F36" i="11"/>
  <c r="F36" i="9"/>
  <c r="F36" i="10"/>
  <c r="D68" i="12"/>
  <c r="D71" i="12" s="1"/>
  <c r="D49" i="10"/>
  <c r="J55" i="12"/>
  <c r="L55" i="12" s="1"/>
  <c r="D68" i="10"/>
  <c r="J68" i="10" s="1"/>
  <c r="L68" i="10" s="1"/>
  <c r="H12" i="10"/>
  <c r="J12" i="10" s="1"/>
  <c r="L12" i="10" s="1"/>
  <c r="H12" i="9"/>
  <c r="J12" i="12"/>
  <c r="L12" i="12" s="1"/>
  <c r="H12" i="11"/>
  <c r="J12" i="11" s="1"/>
  <c r="L12" i="11" s="1"/>
  <c r="F17" i="9"/>
  <c r="J17" i="9" s="1"/>
  <c r="L17" i="9" s="1"/>
  <c r="F17" i="11"/>
  <c r="F17" i="10"/>
  <c r="D22" i="10"/>
  <c r="D22" i="9"/>
  <c r="D22" i="11"/>
  <c r="H28" i="10"/>
  <c r="J28" i="10" s="1"/>
  <c r="L28" i="10" s="1"/>
  <c r="H28" i="9"/>
  <c r="J28" i="12"/>
  <c r="L28" i="12" s="1"/>
  <c r="H28" i="11"/>
  <c r="F33" i="10"/>
  <c r="F33" i="11"/>
  <c r="F33" i="9"/>
  <c r="D38" i="9"/>
  <c r="D38" i="11"/>
  <c r="D38" i="10"/>
  <c r="J52" i="12"/>
  <c r="F57" i="10"/>
  <c r="D65" i="10"/>
  <c r="H13" i="14"/>
  <c r="H16" i="14" s="1"/>
  <c r="H27" i="14" s="1"/>
  <c r="H10" i="13"/>
  <c r="J10" i="13" s="1"/>
  <c r="H13" i="16"/>
  <c r="H13" i="17"/>
  <c r="J13" i="18"/>
  <c r="L13" i="18" s="1"/>
  <c r="H13" i="15"/>
  <c r="J13" i="15" s="1"/>
  <c r="L13" i="15" s="1"/>
  <c r="F18" i="17"/>
  <c r="F18" i="15"/>
  <c r="F18" i="16"/>
  <c r="D23" i="16"/>
  <c r="D23" i="15"/>
  <c r="D23" i="17"/>
  <c r="H29" i="15"/>
  <c r="J29" i="18"/>
  <c r="L29" i="18" s="1"/>
  <c r="L29" i="17" s="1"/>
  <c r="H29" i="17"/>
  <c r="H29" i="16"/>
  <c r="H38" i="17"/>
  <c r="H38" i="15"/>
  <c r="H41" i="15" s="1"/>
  <c r="H38" i="16"/>
  <c r="J38" i="18"/>
  <c r="L38" i="18" s="1"/>
  <c r="D45" i="15"/>
  <c r="D45" i="17"/>
  <c r="D45" i="16"/>
  <c r="J51" i="18"/>
  <c r="L51" i="18" s="1"/>
  <c r="H51" i="15"/>
  <c r="H51" i="17"/>
  <c r="J51" i="17" s="1"/>
  <c r="L51" i="17" s="1"/>
  <c r="H51" i="16"/>
  <c r="D63" i="16"/>
  <c r="D63" i="17"/>
  <c r="D63" i="15"/>
  <c r="D72" i="17"/>
  <c r="D72" i="15"/>
  <c r="D85" i="18"/>
  <c r="D72" i="16"/>
  <c r="D85" i="16" s="1"/>
  <c r="H78" i="16"/>
  <c r="H78" i="17"/>
  <c r="H78" i="15"/>
  <c r="J78" i="18"/>
  <c r="L78" i="18" s="1"/>
  <c r="F83" i="15"/>
  <c r="F83" i="17"/>
  <c r="F83" i="16"/>
  <c r="H92" i="17"/>
  <c r="J92" i="17" s="1"/>
  <c r="L92" i="17" s="1"/>
  <c r="H91" i="16"/>
  <c r="H92" i="15"/>
  <c r="J91" i="18"/>
  <c r="L91" i="18" s="1"/>
  <c r="F96" i="16"/>
  <c r="F97" i="17"/>
  <c r="D109" i="16"/>
  <c r="J108" i="18"/>
  <c r="L108" i="18" s="1"/>
  <c r="L120" i="18" s="1"/>
  <c r="D120" i="18"/>
  <c r="H115" i="16"/>
  <c r="J119" i="18"/>
  <c r="L119" i="18" s="1"/>
  <c r="D120" i="16"/>
  <c r="J120" i="16" s="1"/>
  <c r="L120" i="16" s="1"/>
  <c r="F128" i="16"/>
  <c r="H145" i="16"/>
  <c r="H153" i="16"/>
  <c r="J159" i="18"/>
  <c r="L159" i="18" s="1"/>
  <c r="D160" i="16"/>
  <c r="D91" i="15"/>
  <c r="D91" i="17"/>
  <c r="H166" i="16"/>
  <c r="F19" i="19"/>
  <c r="F95" i="15" s="1"/>
  <c r="F163" i="16"/>
  <c r="H14" i="17"/>
  <c r="H14" i="16"/>
  <c r="H30" i="16" s="1"/>
  <c r="J14" i="18"/>
  <c r="L14" i="18" s="1"/>
  <c r="F19" i="16"/>
  <c r="F19" i="15"/>
  <c r="J19" i="15" s="1"/>
  <c r="L19" i="15" s="1"/>
  <c r="F19" i="17"/>
  <c r="D24" i="16"/>
  <c r="D24" i="17"/>
  <c r="D24" i="15"/>
  <c r="J24" i="15" s="1"/>
  <c r="L24" i="15" s="1"/>
  <c r="D41" i="18"/>
  <c r="D33" i="16"/>
  <c r="D33" i="17"/>
  <c r="D33" i="15"/>
  <c r="J33" i="15" s="1"/>
  <c r="H39" i="16"/>
  <c r="J39" i="18"/>
  <c r="L39" i="18" s="1"/>
  <c r="H39" i="15"/>
  <c r="H39" i="17"/>
  <c r="J39" i="17" s="1"/>
  <c r="L39" i="17" s="1"/>
  <c r="D46" i="17"/>
  <c r="D46" i="15"/>
  <c r="D46" i="16"/>
  <c r="D55" i="15"/>
  <c r="D57" i="15" s="1"/>
  <c r="D55" i="17"/>
  <c r="D57" i="18"/>
  <c r="D55" i="16"/>
  <c r="D64" i="17"/>
  <c r="D69" i="17" s="1"/>
  <c r="D64" i="15"/>
  <c r="D64" i="16"/>
  <c r="F72" i="15"/>
  <c r="F72" i="17"/>
  <c r="J72" i="17" s="1"/>
  <c r="F72" i="16"/>
  <c r="F85" i="18"/>
  <c r="D77" i="16"/>
  <c r="D77" i="17"/>
  <c r="D85" i="17" s="1"/>
  <c r="D77" i="15"/>
  <c r="J83" i="18"/>
  <c r="H83" i="16"/>
  <c r="H83" i="17"/>
  <c r="H83" i="15"/>
  <c r="D90" i="17"/>
  <c r="D90" i="16"/>
  <c r="H96" i="16"/>
  <c r="J96" i="16" s="1"/>
  <c r="L96" i="16" s="1"/>
  <c r="J96" i="18"/>
  <c r="L96" i="18" s="1"/>
  <c r="H97" i="17"/>
  <c r="F120" i="18"/>
  <c r="F169" i="18" s="1"/>
  <c r="F109" i="16"/>
  <c r="J113" i="18"/>
  <c r="L113" i="18" s="1"/>
  <c r="D114" i="16"/>
  <c r="F125" i="16"/>
  <c r="F129" i="16" s="1"/>
  <c r="F143" i="16"/>
  <c r="F91" i="17"/>
  <c r="F160" i="16"/>
  <c r="F91" i="15"/>
  <c r="J15" i="20"/>
  <c r="L15" i="20" s="1"/>
  <c r="H19" i="19"/>
  <c r="F12" i="17"/>
  <c r="F12" i="15"/>
  <c r="F12" i="16"/>
  <c r="H23" i="16"/>
  <c r="J23" i="18"/>
  <c r="L23" i="18" s="1"/>
  <c r="H23" i="17"/>
  <c r="J23" i="17" s="1"/>
  <c r="L23" i="17" s="1"/>
  <c r="P23" i="17" s="1"/>
  <c r="H23" i="15"/>
  <c r="J23" i="15" s="1"/>
  <c r="L23" i="15" s="1"/>
  <c r="H36" i="17"/>
  <c r="H36" i="16"/>
  <c r="J36" i="18"/>
  <c r="L36" i="18" s="1"/>
  <c r="H36" i="15"/>
  <c r="J36" i="15" s="1"/>
  <c r="L36" i="15" s="1"/>
  <c r="F50" i="15"/>
  <c r="F50" i="17"/>
  <c r="F50" i="16"/>
  <c r="D65" i="17"/>
  <c r="D65" i="16"/>
  <c r="D65" i="15"/>
  <c r="D78" i="17"/>
  <c r="J78" i="17" s="1"/>
  <c r="L78" i="17" s="1"/>
  <c r="D78" i="16"/>
  <c r="D78" i="15"/>
  <c r="H94" i="17"/>
  <c r="H94" i="15"/>
  <c r="J94" i="15" s="1"/>
  <c r="L94" i="15" s="1"/>
  <c r="H93" i="16"/>
  <c r="J93" i="18"/>
  <c r="L93" i="18" s="1"/>
  <c r="J110" i="18"/>
  <c r="L110" i="18" s="1"/>
  <c r="D111" i="16"/>
  <c r="J111" i="16" s="1"/>
  <c r="L111" i="16" s="1"/>
  <c r="J126" i="18"/>
  <c r="L126" i="18" s="1"/>
  <c r="D127" i="16"/>
  <c r="F144" i="16"/>
  <c r="H91" i="17"/>
  <c r="J91" i="17" s="1"/>
  <c r="L91" i="17" s="1"/>
  <c r="P91" i="17" s="1"/>
  <c r="H160" i="16"/>
  <c r="H91" i="15"/>
  <c r="D18" i="19"/>
  <c r="H12" i="15"/>
  <c r="J12" i="15" s="1"/>
  <c r="L12" i="15" s="1"/>
  <c r="P12" i="15" s="1"/>
  <c r="H12" i="16"/>
  <c r="H12" i="17"/>
  <c r="J12" i="17" s="1"/>
  <c r="L12" i="17" s="1"/>
  <c r="J12" i="18"/>
  <c r="L12" i="18" s="1"/>
  <c r="D22" i="17"/>
  <c r="J22" i="17" s="1"/>
  <c r="L22" i="17" s="1"/>
  <c r="D22" i="15"/>
  <c r="D22" i="16"/>
  <c r="D35" i="17"/>
  <c r="D35" i="15"/>
  <c r="J35" i="15" s="1"/>
  <c r="L35" i="15" s="1"/>
  <c r="D35" i="16"/>
  <c r="H50" i="17"/>
  <c r="J50" i="17" s="1"/>
  <c r="L50" i="17" s="1"/>
  <c r="J50" i="18"/>
  <c r="L50" i="18" s="1"/>
  <c r="H50" i="15"/>
  <c r="J50" i="15" s="1"/>
  <c r="L50" i="15" s="1"/>
  <c r="P50" i="15" s="1"/>
  <c r="H50" i="16"/>
  <c r="F65" i="16"/>
  <c r="F65" i="17"/>
  <c r="F65" i="15"/>
  <c r="J65" i="15" s="1"/>
  <c r="L65" i="15" s="1"/>
  <c r="D79" i="17"/>
  <c r="D79" i="16"/>
  <c r="D79" i="15"/>
  <c r="H94" i="16"/>
  <c r="J94" i="16" s="1"/>
  <c r="L94" i="16" s="1"/>
  <c r="H95" i="15"/>
  <c r="H95" i="17"/>
  <c r="J94" i="18"/>
  <c r="L94" i="18" s="1"/>
  <c r="J111" i="18"/>
  <c r="L111" i="18" s="1"/>
  <c r="D112" i="16"/>
  <c r="D128" i="16"/>
  <c r="J127" i="18"/>
  <c r="L127" i="18" s="1"/>
  <c r="H144" i="16"/>
  <c r="J144" i="16" s="1"/>
  <c r="L144" i="16" s="1"/>
  <c r="F158" i="16"/>
  <c r="F166" i="18"/>
  <c r="H17" i="19"/>
  <c r="J13" i="20"/>
  <c r="L13" i="20" s="1"/>
  <c r="J34" i="20"/>
  <c r="L34" i="20" s="1"/>
  <c r="F20" i="23"/>
  <c r="F20" i="22"/>
  <c r="F20" i="21"/>
  <c r="J20" i="21" s="1"/>
  <c r="L20" i="21" s="1"/>
  <c r="F33" i="23"/>
  <c r="F33" i="22"/>
  <c r="F33" i="21"/>
  <c r="H12" i="22"/>
  <c r="H29" i="22" s="1"/>
  <c r="H12" i="23"/>
  <c r="J12" i="24"/>
  <c r="L12" i="24" s="1"/>
  <c r="H12" i="21"/>
  <c r="D22" i="22"/>
  <c r="D22" i="23"/>
  <c r="D22" i="21"/>
  <c r="H37" i="22"/>
  <c r="J37" i="24"/>
  <c r="L37" i="24" s="1"/>
  <c r="H37" i="21"/>
  <c r="H37" i="23"/>
  <c r="D19" i="23"/>
  <c r="D19" i="22"/>
  <c r="D29" i="22" s="1"/>
  <c r="D19" i="21"/>
  <c r="H34" i="21"/>
  <c r="H34" i="22"/>
  <c r="H34" i="23"/>
  <c r="H40" i="23" s="1"/>
  <c r="J34" i="24"/>
  <c r="L34" i="24" s="1"/>
  <c r="J18" i="24"/>
  <c r="L18" i="24" s="1"/>
  <c r="H18" i="23"/>
  <c r="H18" i="21"/>
  <c r="J18" i="21" s="1"/>
  <c r="L18" i="21" s="1"/>
  <c r="H18" i="22"/>
  <c r="D28" i="22"/>
  <c r="D28" i="23"/>
  <c r="D28" i="21"/>
  <c r="J28" i="21" s="1"/>
  <c r="L28" i="21" s="1"/>
  <c r="F65" i="24"/>
  <c r="F47" i="23"/>
  <c r="F47" i="22"/>
  <c r="J58" i="24"/>
  <c r="L58" i="24" s="1"/>
  <c r="H58" i="22"/>
  <c r="H58" i="23"/>
  <c r="H93" i="24"/>
  <c r="J79" i="24"/>
  <c r="J93" i="24" s="1"/>
  <c r="D89" i="22"/>
  <c r="J89" i="22" s="1"/>
  <c r="L89" i="22" s="1"/>
  <c r="D108" i="22"/>
  <c r="F19" i="26"/>
  <c r="F22" i="26" s="1"/>
  <c r="F11" i="25"/>
  <c r="F19" i="25" s="1"/>
  <c r="F22" i="25" s="1"/>
  <c r="H31" i="33"/>
  <c r="H10" i="36"/>
  <c r="D27" i="36"/>
  <c r="R28" i="33"/>
  <c r="N27" i="15" s="1"/>
  <c r="N44" i="36"/>
  <c r="N57" i="33"/>
  <c r="R61" i="33"/>
  <c r="F72" i="36"/>
  <c r="R72" i="36" s="1"/>
  <c r="H85" i="36"/>
  <c r="R104" i="33"/>
  <c r="D103" i="36"/>
  <c r="D119" i="36"/>
  <c r="R120" i="33"/>
  <c r="F132" i="36"/>
  <c r="N149" i="36"/>
  <c r="H165" i="36"/>
  <c r="D49" i="23"/>
  <c r="D49" i="22"/>
  <c r="F60" i="22"/>
  <c r="F60" i="21" s="1"/>
  <c r="F60" i="23"/>
  <c r="F81" i="22"/>
  <c r="H92" i="22"/>
  <c r="J92" i="24"/>
  <c r="F112" i="22"/>
  <c r="L12" i="36"/>
  <c r="F26" i="36"/>
  <c r="F45" i="36"/>
  <c r="P82" i="36"/>
  <c r="D118" i="36"/>
  <c r="R119" i="33"/>
  <c r="F146" i="36"/>
  <c r="N182" i="36"/>
  <c r="H69" i="23"/>
  <c r="J69" i="24"/>
  <c r="L69" i="24" s="1"/>
  <c r="H69" i="22"/>
  <c r="H68" i="21"/>
  <c r="J68" i="21" s="1"/>
  <c r="L68" i="21" s="1"/>
  <c r="H108" i="22"/>
  <c r="J108" i="24"/>
  <c r="L108" i="24" s="1"/>
  <c r="N15" i="36"/>
  <c r="D53" i="36"/>
  <c r="R54" i="33"/>
  <c r="N87" i="36"/>
  <c r="F118" i="36"/>
  <c r="P146" i="36"/>
  <c r="N185" i="36"/>
  <c r="D68" i="23"/>
  <c r="D67" i="21"/>
  <c r="D71" i="24"/>
  <c r="D74" i="24" s="1"/>
  <c r="D68" i="22"/>
  <c r="F117" i="24"/>
  <c r="F10" i="36"/>
  <c r="F31" i="33"/>
  <c r="D49" i="36"/>
  <c r="R50" i="33"/>
  <c r="D82" i="36"/>
  <c r="R83" i="33"/>
  <c r="D107" i="36"/>
  <c r="R108" i="33"/>
  <c r="P137" i="36"/>
  <c r="L210" i="33"/>
  <c r="L173" i="36"/>
  <c r="P198" i="36"/>
  <c r="F233" i="36"/>
  <c r="F264" i="36"/>
  <c r="P296" i="36"/>
  <c r="N325" i="36"/>
  <c r="N354" i="36"/>
  <c r="H384" i="36"/>
  <c r="F432" i="36"/>
  <c r="H479" i="36"/>
  <c r="P510" i="36"/>
  <c r="H193" i="36"/>
  <c r="P225" i="36"/>
  <c r="L267" i="36"/>
  <c r="R325" i="33"/>
  <c r="H405" i="36"/>
  <c r="J186" i="4"/>
  <c r="J243" i="4" s="1"/>
  <c r="F490" i="36"/>
  <c r="P208" i="36"/>
  <c r="R266" i="33"/>
  <c r="D265" i="36"/>
  <c r="P319" i="36"/>
  <c r="D385" i="36"/>
  <c r="R387" i="33"/>
  <c r="N100" i="15" s="1"/>
  <c r="N481" i="36"/>
  <c r="H180" i="36"/>
  <c r="P238" i="36"/>
  <c r="L303" i="36"/>
  <c r="P361" i="36"/>
  <c r="N431" i="36"/>
  <c r="F510" i="36"/>
  <c r="P25" i="36"/>
  <c r="P60" i="36"/>
  <c r="P90" i="36"/>
  <c r="F122" i="36"/>
  <c r="F152" i="36"/>
  <c r="H185" i="36"/>
  <c r="L215" i="36"/>
  <c r="P245" i="36"/>
  <c r="H275" i="36"/>
  <c r="L308" i="36"/>
  <c r="L335" i="36"/>
  <c r="L369" i="36"/>
  <c r="H443" i="36"/>
  <c r="L27" i="36"/>
  <c r="F156" i="36"/>
  <c r="H279" i="36"/>
  <c r="F121" i="36"/>
  <c r="H128" i="18"/>
  <c r="H124" i="16"/>
  <c r="H133" i="16"/>
  <c r="H142" i="16"/>
  <c r="H146" i="16" s="1"/>
  <c r="H150" i="16"/>
  <c r="H159" i="16"/>
  <c r="F164" i="16"/>
  <c r="D17" i="19"/>
  <c r="D90" i="15" s="1"/>
  <c r="D35" i="20"/>
  <c r="H11" i="17"/>
  <c r="H11" i="16"/>
  <c r="H11" i="15"/>
  <c r="J133" i="4" s="1"/>
  <c r="J172" i="4" s="1"/>
  <c r="J11" i="18"/>
  <c r="H30" i="18"/>
  <c r="F16" i="15"/>
  <c r="F16" i="17"/>
  <c r="F16" i="16"/>
  <c r="D21" i="15"/>
  <c r="D21" i="17"/>
  <c r="D21" i="16"/>
  <c r="J21" i="16" s="1"/>
  <c r="L21" i="16" s="1"/>
  <c r="H27" i="15"/>
  <c r="J27" i="18"/>
  <c r="L27" i="18" s="1"/>
  <c r="H27" i="17"/>
  <c r="H27" i="16"/>
  <c r="J27" i="16" s="1"/>
  <c r="L27" i="16" s="1"/>
  <c r="D34" i="17"/>
  <c r="D34" i="15"/>
  <c r="D34" i="16"/>
  <c r="H40" i="16"/>
  <c r="J40" i="16" s="1"/>
  <c r="L40" i="16" s="1"/>
  <c r="J40" i="18"/>
  <c r="L40" i="18" s="1"/>
  <c r="H40" i="17"/>
  <c r="J40" i="17" s="1"/>
  <c r="L40" i="17" s="1"/>
  <c r="H40" i="15"/>
  <c r="H49" i="17"/>
  <c r="H49" i="16"/>
  <c r="J49" i="16" s="1"/>
  <c r="L49" i="16" s="1"/>
  <c r="H49" i="15"/>
  <c r="J49" i="15" s="1"/>
  <c r="L49" i="15" s="1"/>
  <c r="J49" i="18"/>
  <c r="L49" i="18" s="1"/>
  <c r="D56" i="17"/>
  <c r="D56" i="16"/>
  <c r="D56" i="15"/>
  <c r="F138" i="4" s="1"/>
  <c r="F177" i="4" s="1"/>
  <c r="F64" i="15"/>
  <c r="F64" i="17"/>
  <c r="F64" i="16"/>
  <c r="H72" i="17"/>
  <c r="H72" i="15"/>
  <c r="J72" i="18"/>
  <c r="L72" i="18" s="1"/>
  <c r="H72" i="16"/>
  <c r="H85" i="18"/>
  <c r="F77" i="17"/>
  <c r="F77" i="16"/>
  <c r="F77" i="15"/>
  <c r="D82" i="15"/>
  <c r="D82" i="17"/>
  <c r="D82" i="16"/>
  <c r="D92" i="17"/>
  <c r="D92" i="15"/>
  <c r="D91" i="16"/>
  <c r="H98" i="15"/>
  <c r="J98" i="15" s="1"/>
  <c r="L98" i="15" s="1"/>
  <c r="J97" i="18"/>
  <c r="L97" i="18" s="1"/>
  <c r="H98" i="17"/>
  <c r="H97" i="16"/>
  <c r="J97" i="16" s="1"/>
  <c r="L97" i="16" s="1"/>
  <c r="F110" i="16"/>
  <c r="F121" i="16" s="1"/>
  <c r="J114" i="18"/>
  <c r="L114" i="18" s="1"/>
  <c r="D115" i="16"/>
  <c r="F126" i="16"/>
  <c r="F136" i="16"/>
  <c r="H143" i="16"/>
  <c r="J148" i="18"/>
  <c r="L148" i="18" s="1"/>
  <c r="D149" i="16"/>
  <c r="D166" i="18"/>
  <c r="D158" i="16"/>
  <c r="J157" i="18"/>
  <c r="H164" i="16"/>
  <c r="F17" i="19"/>
  <c r="F90" i="15" s="1"/>
  <c r="F102" i="15" s="1"/>
  <c r="D11" i="19"/>
  <c r="D12" i="19" s="1"/>
  <c r="D27" i="20"/>
  <c r="H16" i="17"/>
  <c r="J16" i="18"/>
  <c r="L16" i="18" s="1"/>
  <c r="H16" i="15"/>
  <c r="H16" i="16"/>
  <c r="F21" i="15"/>
  <c r="F21" i="17"/>
  <c r="J21" i="17" s="1"/>
  <c r="L21" i="17" s="1"/>
  <c r="P21" i="17" s="1"/>
  <c r="F21" i="16"/>
  <c r="D26" i="16"/>
  <c r="D26" i="15"/>
  <c r="D26" i="17"/>
  <c r="J26" i="17" s="1"/>
  <c r="L26" i="17" s="1"/>
  <c r="F34" i="15"/>
  <c r="F34" i="17"/>
  <c r="F34" i="16"/>
  <c r="D39" i="15"/>
  <c r="D39" i="16"/>
  <c r="D39" i="17"/>
  <c r="D48" i="17"/>
  <c r="D48" i="16"/>
  <c r="D52" i="16" s="1"/>
  <c r="D48" i="15"/>
  <c r="F56" i="17"/>
  <c r="F56" i="16"/>
  <c r="F56" i="15"/>
  <c r="H138" i="4" s="1"/>
  <c r="H177" i="4" s="1"/>
  <c r="H64" i="15"/>
  <c r="H64" i="16"/>
  <c r="J64" i="18"/>
  <c r="L64" i="18" s="1"/>
  <c r="H64" i="17"/>
  <c r="J64" i="17" s="1"/>
  <c r="L64" i="17" s="1"/>
  <c r="J73" i="18"/>
  <c r="L73" i="18" s="1"/>
  <c r="H73" i="17"/>
  <c r="H73" i="16"/>
  <c r="J73" i="16" s="1"/>
  <c r="L73" i="16" s="1"/>
  <c r="H73" i="15"/>
  <c r="J73" i="15" s="1"/>
  <c r="L73" i="15" s="1"/>
  <c r="F78" i="15"/>
  <c r="F78" i="17"/>
  <c r="F78" i="16"/>
  <c r="D83" i="15"/>
  <c r="D83" i="16"/>
  <c r="D83" i="17"/>
  <c r="D92" i="16"/>
  <c r="D93" i="15"/>
  <c r="J93" i="15" s="1"/>
  <c r="L93" i="15" s="1"/>
  <c r="D93" i="17"/>
  <c r="H99" i="17"/>
  <c r="J98" i="18"/>
  <c r="L98" i="18" s="1"/>
  <c r="H98" i="16"/>
  <c r="J98" i="16" s="1"/>
  <c r="L98" i="16" s="1"/>
  <c r="H99" i="15"/>
  <c r="F111" i="16"/>
  <c r="J115" i="18"/>
  <c r="L115" i="18" s="1"/>
  <c r="D116" i="16"/>
  <c r="J116" i="16" s="1"/>
  <c r="L116" i="16" s="1"/>
  <c r="F127" i="16"/>
  <c r="H136" i="16"/>
  <c r="J141" i="18"/>
  <c r="L141" i="18" s="1"/>
  <c r="D142" i="16"/>
  <c r="J142" i="16" s="1"/>
  <c r="L142" i="16" s="1"/>
  <c r="F149" i="16"/>
  <c r="D154" i="16"/>
  <c r="J153" i="18"/>
  <c r="L153" i="18" s="1"/>
  <c r="F162" i="16"/>
  <c r="D18" i="20"/>
  <c r="D21" i="20" s="1"/>
  <c r="D15" i="19"/>
  <c r="H21" i="19"/>
  <c r="J17" i="20"/>
  <c r="L17" i="20" s="1"/>
  <c r="D163" i="16"/>
  <c r="D13" i="23"/>
  <c r="D13" i="22"/>
  <c r="D13" i="21"/>
  <c r="H19" i="23"/>
  <c r="H19" i="22"/>
  <c r="H19" i="21"/>
  <c r="J19" i="24"/>
  <c r="L19" i="24" s="1"/>
  <c r="F24" i="22"/>
  <c r="F24" i="21"/>
  <c r="F24" i="23"/>
  <c r="H32" i="21"/>
  <c r="J32" i="21" s="1"/>
  <c r="H32" i="23"/>
  <c r="H40" i="24"/>
  <c r="J32" i="24"/>
  <c r="H32" i="22"/>
  <c r="H40" i="22" s="1"/>
  <c r="F37" i="22"/>
  <c r="F37" i="21"/>
  <c r="F37" i="23"/>
  <c r="F48" i="23"/>
  <c r="J48" i="23" s="1"/>
  <c r="L48" i="23" s="1"/>
  <c r="P48" i="23" s="1"/>
  <c r="F48" i="22"/>
  <c r="F48" i="21" s="1"/>
  <c r="H130" i="4" s="1"/>
  <c r="H169" i="4" s="1"/>
  <c r="J16" i="24"/>
  <c r="L16" i="24" s="1"/>
  <c r="H16" i="21"/>
  <c r="H16" i="22"/>
  <c r="J16" i="22" s="1"/>
  <c r="L16" i="22" s="1"/>
  <c r="H16" i="23"/>
  <c r="F21" i="21"/>
  <c r="F21" i="23"/>
  <c r="F21" i="22"/>
  <c r="D26" i="23"/>
  <c r="D26" i="21"/>
  <c r="D26" i="22"/>
  <c r="D35" i="23"/>
  <c r="D40" i="23" s="1"/>
  <c r="D35" i="22"/>
  <c r="D35" i="21"/>
  <c r="H13" i="22"/>
  <c r="H13" i="21"/>
  <c r="J13" i="21" s="1"/>
  <c r="L13" i="21" s="1"/>
  <c r="H13" i="23"/>
  <c r="J13" i="23" s="1"/>
  <c r="L13" i="23" s="1"/>
  <c r="J13" i="24"/>
  <c r="L13" i="24" s="1"/>
  <c r="F18" i="23"/>
  <c r="F18" i="22"/>
  <c r="F18" i="21"/>
  <c r="D23" i="21"/>
  <c r="D23" i="23"/>
  <c r="D23" i="22"/>
  <c r="D32" i="22"/>
  <c r="D32" i="23"/>
  <c r="D32" i="21"/>
  <c r="D40" i="24"/>
  <c r="F11" i="21"/>
  <c r="F11" i="23"/>
  <c r="F29" i="24"/>
  <c r="F11" i="22"/>
  <c r="F29" i="22" s="1"/>
  <c r="D16" i="23"/>
  <c r="D16" i="21"/>
  <c r="D16" i="22"/>
  <c r="H22" i="21"/>
  <c r="J22" i="21" s="1"/>
  <c r="L22" i="21" s="1"/>
  <c r="P22" i="21" s="1"/>
  <c r="H22" i="22"/>
  <c r="J22" i="24"/>
  <c r="L22" i="24" s="1"/>
  <c r="H22" i="23"/>
  <c r="F27" i="21"/>
  <c r="F27" i="23"/>
  <c r="F27" i="22"/>
  <c r="H35" i="21"/>
  <c r="J35" i="24"/>
  <c r="L35" i="24" s="1"/>
  <c r="H35" i="23"/>
  <c r="H35" i="22"/>
  <c r="H47" i="23"/>
  <c r="J47" i="24"/>
  <c r="J65" i="24" s="1"/>
  <c r="H65" i="24"/>
  <c r="H47" i="22"/>
  <c r="F51" i="23"/>
  <c r="F51" i="22"/>
  <c r="F51" i="21" s="1"/>
  <c r="D56" i="22"/>
  <c r="D56" i="23"/>
  <c r="H62" i="22"/>
  <c r="H62" i="23"/>
  <c r="J62" i="24"/>
  <c r="L62" i="24" s="1"/>
  <c r="D68" i="21"/>
  <c r="D69" i="23"/>
  <c r="D69" i="22"/>
  <c r="J83" i="24"/>
  <c r="L83" i="24" s="1"/>
  <c r="H83" i="22"/>
  <c r="F88" i="22"/>
  <c r="D103" i="24"/>
  <c r="D125" i="24" s="1"/>
  <c r="D128" i="24" s="1"/>
  <c r="D97" i="22"/>
  <c r="D112" i="22"/>
  <c r="F121" i="24"/>
  <c r="H14" i="25"/>
  <c r="H19" i="25" s="1"/>
  <c r="H22" i="25" s="1"/>
  <c r="J29" i="26"/>
  <c r="L29" i="26" s="1"/>
  <c r="L19" i="36"/>
  <c r="N25" i="36"/>
  <c r="L34" i="36"/>
  <c r="N40" i="36"/>
  <c r="F49" i="36"/>
  <c r="H55" i="36"/>
  <c r="N64" i="36"/>
  <c r="P70" i="36"/>
  <c r="P76" i="36"/>
  <c r="P83" i="36"/>
  <c r="H91" i="36"/>
  <c r="N101" i="36"/>
  <c r="N107" i="36"/>
  <c r="L117" i="36"/>
  <c r="N123" i="36"/>
  <c r="P148" i="33"/>
  <c r="P130" i="36"/>
  <c r="P136" i="36"/>
  <c r="F164" i="33"/>
  <c r="F148" i="36"/>
  <c r="F154" i="36"/>
  <c r="H160" i="36"/>
  <c r="N173" i="36"/>
  <c r="R173" i="36" s="1"/>
  <c r="N210" i="33"/>
  <c r="F184" i="36"/>
  <c r="D53" i="22"/>
  <c r="D53" i="21" s="1"/>
  <c r="D53" i="23"/>
  <c r="J59" i="24"/>
  <c r="L59" i="24" s="1"/>
  <c r="H59" i="22"/>
  <c r="H59" i="23"/>
  <c r="F64" i="23"/>
  <c r="J64" i="23" s="1"/>
  <c r="L64" i="23" s="1"/>
  <c r="F64" i="22"/>
  <c r="F64" i="21" s="1"/>
  <c r="J80" i="24"/>
  <c r="L80" i="24" s="1"/>
  <c r="D90" i="22"/>
  <c r="J90" i="22" s="1"/>
  <c r="L90" i="22" s="1"/>
  <c r="J102" i="24"/>
  <c r="L102" i="24" s="1"/>
  <c r="J111" i="24"/>
  <c r="L111" i="24" s="1"/>
  <c r="H111" i="22"/>
  <c r="F116" i="22"/>
  <c r="H18" i="25"/>
  <c r="L18" i="36"/>
  <c r="N24" i="36"/>
  <c r="N33" i="36"/>
  <c r="N42" i="33"/>
  <c r="N39" i="36"/>
  <c r="P49" i="36"/>
  <c r="D59" i="36"/>
  <c r="R60" i="33"/>
  <c r="N60" i="15" s="1"/>
  <c r="P66" i="36"/>
  <c r="H81" i="36"/>
  <c r="F100" i="36"/>
  <c r="L116" i="36"/>
  <c r="P128" i="36"/>
  <c r="N144" i="36"/>
  <c r="H159" i="36"/>
  <c r="L180" i="36"/>
  <c r="F53" i="23"/>
  <c r="F53" i="22"/>
  <c r="F53" i="21" s="1"/>
  <c r="H64" i="23"/>
  <c r="J64" i="24"/>
  <c r="L64" i="24" s="1"/>
  <c r="H64" i="22"/>
  <c r="D117" i="24"/>
  <c r="D106" i="22"/>
  <c r="D15" i="25"/>
  <c r="J15" i="25" s="1"/>
  <c r="L15" i="25" s="1"/>
  <c r="P15" i="25" s="1"/>
  <c r="J15" i="26"/>
  <c r="L15" i="26" s="1"/>
  <c r="F14" i="36"/>
  <c r="H26" i="36"/>
  <c r="L51" i="36"/>
  <c r="L71" i="36"/>
  <c r="R87" i="33"/>
  <c r="D86" i="36"/>
  <c r="H99" i="36"/>
  <c r="H112" i="33"/>
  <c r="P116" i="36"/>
  <c r="R134" i="33"/>
  <c r="D133" i="36"/>
  <c r="F145" i="36"/>
  <c r="D161" i="36"/>
  <c r="R162" i="33"/>
  <c r="P182" i="36"/>
  <c r="J53" i="24"/>
  <c r="L53" i="24" s="1"/>
  <c r="H53" i="22"/>
  <c r="H53" i="23"/>
  <c r="D63" i="23"/>
  <c r="D63" i="22"/>
  <c r="D63" i="21" s="1"/>
  <c r="J86" i="24"/>
  <c r="L86" i="24" s="1"/>
  <c r="H86" i="22"/>
  <c r="D39" i="21"/>
  <c r="D102" i="22"/>
  <c r="J102" i="22" s="1"/>
  <c r="L102" i="22" s="1"/>
  <c r="D39" i="23"/>
  <c r="D115" i="22"/>
  <c r="J115" i="22" s="1"/>
  <c r="L115" i="22" s="1"/>
  <c r="J26" i="26"/>
  <c r="L26" i="26" s="1"/>
  <c r="L33" i="26" s="1"/>
  <c r="H33" i="26"/>
  <c r="H35" i="26" s="1"/>
  <c r="P20" i="36"/>
  <c r="L47" i="36"/>
  <c r="L67" i="36"/>
  <c r="L80" i="36"/>
  <c r="P92" i="36"/>
  <c r="N105" i="36"/>
  <c r="P118" i="36"/>
  <c r="F136" i="36"/>
  <c r="L152" i="36"/>
  <c r="L171" i="36"/>
  <c r="R186" i="33"/>
  <c r="D185" i="36"/>
  <c r="H197" i="36"/>
  <c r="R217" i="33"/>
  <c r="D216" i="36"/>
  <c r="N231" i="36"/>
  <c r="H245" i="36"/>
  <c r="L262" i="36"/>
  <c r="L279" i="36"/>
  <c r="F295" i="36"/>
  <c r="H308" i="36"/>
  <c r="R326" i="33"/>
  <c r="D324" i="36"/>
  <c r="L340" i="36"/>
  <c r="F353" i="36"/>
  <c r="N370" i="36"/>
  <c r="P382" i="36"/>
  <c r="H412" i="36"/>
  <c r="N430" i="36"/>
  <c r="P446" i="36"/>
  <c r="H476" i="36"/>
  <c r="H507" i="33"/>
  <c r="R495" i="33"/>
  <c r="D493" i="36"/>
  <c r="H509" i="36"/>
  <c r="R17" i="34"/>
  <c r="N17" i="19" s="1"/>
  <c r="P191" i="36"/>
  <c r="L208" i="36"/>
  <c r="F224" i="36"/>
  <c r="D241" i="36"/>
  <c r="R242" i="33"/>
  <c r="L264" i="36"/>
  <c r="F291" i="36"/>
  <c r="N322" i="36"/>
  <c r="P348" i="36"/>
  <c r="L395" i="36"/>
  <c r="P192" i="4"/>
  <c r="J187" i="4"/>
  <c r="J244" i="4" s="1"/>
  <c r="H442" i="36"/>
  <c r="P488" i="36"/>
  <c r="F207" i="36"/>
  <c r="L238" i="36"/>
  <c r="F263" i="36"/>
  <c r="H288" i="36"/>
  <c r="H302" i="33"/>
  <c r="F318" i="36"/>
  <c r="H346" i="36"/>
  <c r="L383" i="36"/>
  <c r="H425" i="36"/>
  <c r="H435" i="33"/>
  <c r="F480" i="36"/>
  <c r="N511" i="36"/>
  <c r="P178" i="36"/>
  <c r="P207" i="36"/>
  <c r="F237" i="36"/>
  <c r="F268" i="36"/>
  <c r="D334" i="33"/>
  <c r="R303" i="33"/>
  <c r="D302" i="36"/>
  <c r="L328" i="36"/>
  <c r="F360" i="36"/>
  <c r="N394" i="36"/>
  <c r="N398" i="33"/>
  <c r="N400" i="33" s="1"/>
  <c r="D430" i="36"/>
  <c r="R432" i="33"/>
  <c r="H477" i="36"/>
  <c r="J190" i="4"/>
  <c r="J246" i="4" s="1"/>
  <c r="P508" i="36"/>
  <c r="P515" i="33"/>
  <c r="P518" i="33" s="1"/>
  <c r="L10" i="36"/>
  <c r="L31" i="33"/>
  <c r="D25" i="36"/>
  <c r="R26" i="33"/>
  <c r="N25" i="15" s="1"/>
  <c r="P40" i="36"/>
  <c r="R62" i="33"/>
  <c r="D60" i="36"/>
  <c r="L75" i="36"/>
  <c r="R91" i="33"/>
  <c r="D90" i="36"/>
  <c r="P105" i="36"/>
  <c r="L121" i="36"/>
  <c r="L136" i="36"/>
  <c r="H151" i="36"/>
  <c r="N165" i="36"/>
  <c r="L184" i="36"/>
  <c r="R200" i="33"/>
  <c r="D199" i="36"/>
  <c r="P214" i="36"/>
  <c r="L230" i="36"/>
  <c r="D245" i="36"/>
  <c r="R246" i="33"/>
  <c r="P259" i="36"/>
  <c r="L274" i="36"/>
  <c r="N291" i="36"/>
  <c r="P307" i="36"/>
  <c r="L321" i="36"/>
  <c r="P334" i="36"/>
  <c r="L350" i="36"/>
  <c r="N389" i="33"/>
  <c r="R184" i="4"/>
  <c r="R241" i="4" s="1"/>
  <c r="N368" i="36"/>
  <c r="L406" i="36"/>
  <c r="R443" i="33"/>
  <c r="D441" i="36"/>
  <c r="F494" i="36"/>
  <c r="N23" i="36"/>
  <c r="P91" i="36"/>
  <c r="H152" i="36"/>
  <c r="N215" i="36"/>
  <c r="F276" i="36"/>
  <c r="H404" i="36"/>
  <c r="H424" i="33"/>
  <c r="R111" i="33"/>
  <c r="D110" i="36"/>
  <c r="F120" i="16"/>
  <c r="H128" i="16"/>
  <c r="J139" i="18"/>
  <c r="J145" i="18" s="1"/>
  <c r="D145" i="18"/>
  <c r="D140" i="16"/>
  <c r="D148" i="16"/>
  <c r="D154" i="18"/>
  <c r="J147" i="18"/>
  <c r="H154" i="16"/>
  <c r="F16" i="19"/>
  <c r="D21" i="19"/>
  <c r="D97" i="15" s="1"/>
  <c r="H15" i="16"/>
  <c r="J15" i="16" s="1"/>
  <c r="L15" i="16" s="1"/>
  <c r="J15" i="18"/>
  <c r="L15" i="18" s="1"/>
  <c r="H15" i="17"/>
  <c r="H15" i="15"/>
  <c r="J15" i="15" s="1"/>
  <c r="L15" i="15" s="1"/>
  <c r="F20" i="17"/>
  <c r="F20" i="15"/>
  <c r="F20" i="16"/>
  <c r="D25" i="16"/>
  <c r="J25" i="16" s="1"/>
  <c r="L25" i="16" s="1"/>
  <c r="F41" i="18"/>
  <c r="F33" i="15"/>
  <c r="F33" i="16"/>
  <c r="F33" i="17"/>
  <c r="D38" i="15"/>
  <c r="D38" i="17"/>
  <c r="D38" i="16"/>
  <c r="D47" i="17"/>
  <c r="D47" i="16"/>
  <c r="D47" i="15"/>
  <c r="F57" i="18"/>
  <c r="F55" i="17"/>
  <c r="F55" i="16"/>
  <c r="F55" i="15"/>
  <c r="H63" i="16"/>
  <c r="J63" i="16" s="1"/>
  <c r="L63" i="16" s="1"/>
  <c r="H63" i="15"/>
  <c r="J63" i="15" s="1"/>
  <c r="L63" i="15" s="1"/>
  <c r="J63" i="18"/>
  <c r="L63" i="18" s="1"/>
  <c r="H63" i="17"/>
  <c r="J63" i="17" s="1"/>
  <c r="L63" i="17" s="1"/>
  <c r="F68" i="16"/>
  <c r="F68" i="15"/>
  <c r="F68" i="17"/>
  <c r="H76" i="16"/>
  <c r="J76" i="18"/>
  <c r="L76" i="18" s="1"/>
  <c r="H76" i="17"/>
  <c r="J76" i="17" s="1"/>
  <c r="L76" i="17" s="1"/>
  <c r="H76" i="15"/>
  <c r="J76" i="15" s="1"/>
  <c r="L76" i="15" s="1"/>
  <c r="F81" i="16"/>
  <c r="F81" i="15"/>
  <c r="F81" i="17"/>
  <c r="J81" i="17" s="1"/>
  <c r="L81" i="17" s="1"/>
  <c r="F90" i="17"/>
  <c r="F90" i="16"/>
  <c r="D95" i="16"/>
  <c r="D101" i="16" s="1"/>
  <c r="D96" i="17"/>
  <c r="H109" i="16"/>
  <c r="H120" i="18"/>
  <c r="F114" i="16"/>
  <c r="H125" i="16"/>
  <c r="H135" i="16"/>
  <c r="H134" i="16"/>
  <c r="J134" i="16" s="1"/>
  <c r="L134" i="16" s="1"/>
  <c r="J140" i="18"/>
  <c r="L140" i="18" s="1"/>
  <c r="D141" i="16"/>
  <c r="J141" i="16" s="1"/>
  <c r="L141" i="16" s="1"/>
  <c r="F154" i="18"/>
  <c r="F148" i="16"/>
  <c r="J148" i="16" s="1"/>
  <c r="J152" i="18"/>
  <c r="L152" i="18" s="1"/>
  <c r="D153" i="16"/>
  <c r="D162" i="16"/>
  <c r="J161" i="18"/>
  <c r="L161" i="18" s="1"/>
  <c r="H16" i="19"/>
  <c r="J16" i="19" s="1"/>
  <c r="L16" i="19" s="1"/>
  <c r="J12" i="20"/>
  <c r="L12" i="20" s="1"/>
  <c r="F21" i="19"/>
  <c r="F97" i="15" s="1"/>
  <c r="J33" i="20"/>
  <c r="L33" i="20" s="1"/>
  <c r="D14" i="17"/>
  <c r="D14" i="15"/>
  <c r="D14" i="16"/>
  <c r="H20" i="15"/>
  <c r="J20" i="15" s="1"/>
  <c r="L20" i="15" s="1"/>
  <c r="H20" i="16"/>
  <c r="H20" i="17"/>
  <c r="J20" i="18"/>
  <c r="L20" i="18" s="1"/>
  <c r="F25" i="17"/>
  <c r="J25" i="17" s="1"/>
  <c r="L25" i="17" s="1"/>
  <c r="F25" i="15"/>
  <c r="F25" i="16"/>
  <c r="H33" i="15"/>
  <c r="H33" i="17"/>
  <c r="H41" i="17" s="1"/>
  <c r="H33" i="16"/>
  <c r="H41" i="18"/>
  <c r="J33" i="18"/>
  <c r="F38" i="17"/>
  <c r="F38" i="16"/>
  <c r="F38" i="15"/>
  <c r="F47" i="15"/>
  <c r="F47" i="17"/>
  <c r="J47" i="17" s="1"/>
  <c r="L47" i="17" s="1"/>
  <c r="F47" i="16"/>
  <c r="H55" i="17"/>
  <c r="H57" i="17" s="1"/>
  <c r="J55" i="18"/>
  <c r="H55" i="16"/>
  <c r="H57" i="16" s="1"/>
  <c r="H57" i="18"/>
  <c r="H55" i="15"/>
  <c r="D62" i="16"/>
  <c r="D62" i="15"/>
  <c r="J62" i="15" s="1"/>
  <c r="L62" i="15" s="1"/>
  <c r="D62" i="17"/>
  <c r="J68" i="18"/>
  <c r="L68" i="18" s="1"/>
  <c r="H68" i="17"/>
  <c r="H68" i="15"/>
  <c r="J68" i="15" s="1"/>
  <c r="L68" i="15" s="1"/>
  <c r="H68" i="16"/>
  <c r="J68" i="16" s="1"/>
  <c r="L68" i="16" s="1"/>
  <c r="H77" i="16"/>
  <c r="H77" i="15"/>
  <c r="J77" i="18"/>
  <c r="L77" i="18" s="1"/>
  <c r="H77" i="17"/>
  <c r="F82" i="17"/>
  <c r="F82" i="16"/>
  <c r="F82" i="15"/>
  <c r="F85" i="15" s="1"/>
  <c r="F92" i="17"/>
  <c r="F92" i="15"/>
  <c r="F91" i="16"/>
  <c r="D97" i="17"/>
  <c r="J97" i="17" s="1"/>
  <c r="L97" i="17" s="1"/>
  <c r="D96" i="16"/>
  <c r="H110" i="16"/>
  <c r="F115" i="16"/>
  <c r="H126" i="16"/>
  <c r="D133" i="16"/>
  <c r="J132" i="18"/>
  <c r="L132" i="18" s="1"/>
  <c r="H154" i="18"/>
  <c r="H169" i="18" s="1"/>
  <c r="H172" i="18" s="1"/>
  <c r="H148" i="16"/>
  <c r="F153" i="16"/>
  <c r="H161" i="16"/>
  <c r="F166" i="16"/>
  <c r="J166" i="16" s="1"/>
  <c r="L166" i="16" s="1"/>
  <c r="D19" i="19"/>
  <c r="D95" i="15" s="1"/>
  <c r="F12" i="23"/>
  <c r="F12" i="22"/>
  <c r="F12" i="21"/>
  <c r="H131" i="4" s="1"/>
  <c r="H170" i="4" s="1"/>
  <c r="D17" i="21"/>
  <c r="D17" i="23"/>
  <c r="D17" i="22"/>
  <c r="H23" i="21"/>
  <c r="J23" i="21" s="1"/>
  <c r="L23" i="21" s="1"/>
  <c r="J23" i="24"/>
  <c r="L23" i="24" s="1"/>
  <c r="H23" i="23"/>
  <c r="H23" i="22"/>
  <c r="F28" i="23"/>
  <c r="F28" i="22"/>
  <c r="F28" i="21"/>
  <c r="J36" i="24"/>
  <c r="L36" i="24" s="1"/>
  <c r="H36" i="22"/>
  <c r="J36" i="22" s="1"/>
  <c r="L36" i="22" s="1"/>
  <c r="H36" i="23"/>
  <c r="H36" i="21"/>
  <c r="F44" i="24"/>
  <c r="F43" i="23"/>
  <c r="F44" i="23" s="1"/>
  <c r="F43" i="22"/>
  <c r="F44" i="22" s="1"/>
  <c r="F43" i="21"/>
  <c r="D14" i="22"/>
  <c r="D14" i="23"/>
  <c r="J14" i="23" s="1"/>
  <c r="L14" i="23" s="1"/>
  <c r="D14" i="21"/>
  <c r="H20" i="22"/>
  <c r="H20" i="23"/>
  <c r="J20" i="24"/>
  <c r="L20" i="24" s="1"/>
  <c r="H20" i="21"/>
  <c r="F25" i="23"/>
  <c r="F25" i="22"/>
  <c r="F25" i="21"/>
  <c r="J25" i="21" s="1"/>
  <c r="L25" i="21" s="1"/>
  <c r="F34" i="22"/>
  <c r="F34" i="23"/>
  <c r="F34" i="21"/>
  <c r="D29" i="24"/>
  <c r="D11" i="22"/>
  <c r="D11" i="21"/>
  <c r="D11" i="23"/>
  <c r="H17" i="23"/>
  <c r="J17" i="23" s="1"/>
  <c r="L17" i="23" s="1"/>
  <c r="J17" i="24"/>
  <c r="L17" i="24" s="1"/>
  <c r="H17" i="22"/>
  <c r="H17" i="21"/>
  <c r="F22" i="22"/>
  <c r="F22" i="21"/>
  <c r="F22" i="23"/>
  <c r="D27" i="23"/>
  <c r="D27" i="22"/>
  <c r="J27" i="22" s="1"/>
  <c r="L27" i="22" s="1"/>
  <c r="D27" i="21"/>
  <c r="D36" i="21"/>
  <c r="D36" i="22"/>
  <c r="D36" i="23"/>
  <c r="F15" i="23"/>
  <c r="F15" i="22"/>
  <c r="F15" i="21"/>
  <c r="D20" i="22"/>
  <c r="J20" i="22" s="1"/>
  <c r="L20" i="22" s="1"/>
  <c r="D20" i="23"/>
  <c r="D20" i="21"/>
  <c r="J26" i="24"/>
  <c r="L26" i="24" s="1"/>
  <c r="H26" i="23"/>
  <c r="J26" i="23" s="1"/>
  <c r="L26" i="23" s="1"/>
  <c r="H26" i="21"/>
  <c r="H26" i="22"/>
  <c r="D33" i="23"/>
  <c r="D33" i="22"/>
  <c r="J33" i="22" s="1"/>
  <c r="L33" i="22" s="1"/>
  <c r="D33" i="21"/>
  <c r="D43" i="21"/>
  <c r="D44" i="24"/>
  <c r="D43" i="23"/>
  <c r="D44" i="23" s="1"/>
  <c r="D43" i="22"/>
  <c r="D44" i="22" s="1"/>
  <c r="H50" i="23"/>
  <c r="J50" i="24"/>
  <c r="L50" i="24" s="1"/>
  <c r="H50" i="22"/>
  <c r="H50" i="21" s="1"/>
  <c r="F55" i="23"/>
  <c r="F55" i="22"/>
  <c r="D60" i="22"/>
  <c r="D60" i="23"/>
  <c r="F67" i="21"/>
  <c r="F68" i="22"/>
  <c r="F71" i="24"/>
  <c r="F68" i="23"/>
  <c r="F71" i="23" s="1"/>
  <c r="D81" i="22"/>
  <c r="H87" i="22"/>
  <c r="J87" i="24"/>
  <c r="L87" i="24" s="1"/>
  <c r="F92" i="22"/>
  <c r="J106" i="24"/>
  <c r="H117" i="24"/>
  <c r="F111" i="22"/>
  <c r="D116" i="22"/>
  <c r="H13" i="25"/>
  <c r="F109" i="22"/>
  <c r="L16" i="36"/>
  <c r="D24" i="36"/>
  <c r="R24" i="33"/>
  <c r="D33" i="36"/>
  <c r="R34" i="33"/>
  <c r="D42" i="33"/>
  <c r="D39" i="36"/>
  <c r="R40" i="33"/>
  <c r="N47" i="36"/>
  <c r="P53" i="36"/>
  <c r="D63" i="36"/>
  <c r="R64" i="33"/>
  <c r="F69" i="36"/>
  <c r="H75" i="36"/>
  <c r="F82" i="36"/>
  <c r="H88" i="36"/>
  <c r="D100" i="36"/>
  <c r="R101" i="33"/>
  <c r="F106" i="36"/>
  <c r="L114" i="36"/>
  <c r="D122" i="36"/>
  <c r="R123" i="33"/>
  <c r="F128" i="36"/>
  <c r="H135" i="36"/>
  <c r="L144" i="36"/>
  <c r="P152" i="36"/>
  <c r="P158" i="36"/>
  <c r="N171" i="36"/>
  <c r="R183" i="33"/>
  <c r="D182" i="36"/>
  <c r="F52" i="23"/>
  <c r="F52" i="22"/>
  <c r="F52" i="21" s="1"/>
  <c r="H132" i="4" s="1"/>
  <c r="H171" i="4" s="1"/>
  <c r="D57" i="23"/>
  <c r="D57" i="22"/>
  <c r="D57" i="21" s="1"/>
  <c r="H63" i="22"/>
  <c r="H63" i="23"/>
  <c r="J63" i="24"/>
  <c r="L63" i="24" s="1"/>
  <c r="D70" i="22"/>
  <c r="J70" i="22" s="1"/>
  <c r="L70" i="22" s="1"/>
  <c r="D70" i="23"/>
  <c r="D69" i="21"/>
  <c r="J84" i="24"/>
  <c r="L84" i="24" s="1"/>
  <c r="D98" i="22"/>
  <c r="J98" i="22" s="1"/>
  <c r="L98" i="22" s="1"/>
  <c r="J115" i="24"/>
  <c r="L115" i="24" s="1"/>
  <c r="J17" i="26"/>
  <c r="L17" i="26" s="1"/>
  <c r="D17" i="25"/>
  <c r="D17" i="36"/>
  <c r="R17" i="33"/>
  <c r="R23" i="33"/>
  <c r="D23" i="36"/>
  <c r="F29" i="36"/>
  <c r="F38" i="36"/>
  <c r="F48" i="36"/>
  <c r="H54" i="36"/>
  <c r="N63" i="36"/>
  <c r="H74" i="36"/>
  <c r="L93" i="36"/>
  <c r="H109" i="36"/>
  <c r="F124" i="36"/>
  <c r="R141" i="33"/>
  <c r="D140" i="36"/>
  <c r="H153" i="36"/>
  <c r="L174" i="36"/>
  <c r="F49" i="23"/>
  <c r="F49" i="22"/>
  <c r="F49" i="21" s="1"/>
  <c r="H60" i="22"/>
  <c r="H60" i="23"/>
  <c r="J60" i="23" s="1"/>
  <c r="L60" i="23" s="1"/>
  <c r="J60" i="24"/>
  <c r="L60" i="24" s="1"/>
  <c r="F82" i="22"/>
  <c r="H103" i="24"/>
  <c r="J97" i="24"/>
  <c r="L97" i="24" s="1"/>
  <c r="L103" i="24" s="1"/>
  <c r="J30" i="26"/>
  <c r="L30" i="26" s="1"/>
  <c r="P21" i="36"/>
  <c r="H38" i="36"/>
  <c r="H79" i="33"/>
  <c r="H62" i="36"/>
  <c r="L81" i="36"/>
  <c r="N93" i="36"/>
  <c r="F130" i="33"/>
  <c r="F112" i="36"/>
  <c r="H124" i="36"/>
  <c r="N140" i="36"/>
  <c r="L156" i="36"/>
  <c r="P176" i="36"/>
  <c r="H49" i="23"/>
  <c r="J49" i="24"/>
  <c r="L49" i="24" s="1"/>
  <c r="H49" i="22"/>
  <c r="J49" i="22" s="1"/>
  <c r="L49" i="22" s="1"/>
  <c r="D59" i="23"/>
  <c r="D59" i="22"/>
  <c r="D59" i="21" s="1"/>
  <c r="J82" i="24"/>
  <c r="L82" i="24" s="1"/>
  <c r="H82" i="22"/>
  <c r="H93" i="22" s="1"/>
  <c r="D92" i="22"/>
  <c r="D111" i="22"/>
  <c r="F14" i="25"/>
  <c r="F16" i="36"/>
  <c r="H37" i="36"/>
  <c r="D55" i="36"/>
  <c r="R56" i="33"/>
  <c r="D75" i="36"/>
  <c r="R76" i="33"/>
  <c r="F88" i="36"/>
  <c r="R102" i="33"/>
  <c r="D101" i="36"/>
  <c r="F114" i="36"/>
  <c r="N131" i="36"/>
  <c r="H145" i="36"/>
  <c r="F160" i="36"/>
  <c r="H181" i="36"/>
  <c r="P192" i="36"/>
  <c r="L211" i="36"/>
  <c r="D227" i="36"/>
  <c r="R228" i="33"/>
  <c r="H239" i="36"/>
  <c r="D256" i="36"/>
  <c r="R257" i="33"/>
  <c r="H270" i="36"/>
  <c r="N290" i="36"/>
  <c r="P303" i="36"/>
  <c r="L320" i="36"/>
  <c r="P331" i="36"/>
  <c r="N348" i="36"/>
  <c r="P360" i="36"/>
  <c r="F378" i="36"/>
  <c r="H406" i="36"/>
  <c r="D426" i="36"/>
  <c r="R428" i="33"/>
  <c r="N33" i="21" s="1"/>
  <c r="F442" i="36"/>
  <c r="H187" i="4"/>
  <c r="H244" i="4" s="1"/>
  <c r="H454" i="36"/>
  <c r="L488" i="36"/>
  <c r="P500" i="36"/>
  <c r="P523" i="36"/>
  <c r="R35" i="34"/>
  <c r="N18" i="25" s="1"/>
  <c r="L202" i="36"/>
  <c r="N216" i="36"/>
  <c r="H233" i="36"/>
  <c r="F253" i="36"/>
  <c r="N279" i="36"/>
  <c r="H307" i="36"/>
  <c r="N337" i="36"/>
  <c r="H373" i="36"/>
  <c r="H426" i="36"/>
  <c r="D478" i="36"/>
  <c r="R480" i="33"/>
  <c r="D511" i="36"/>
  <c r="R513" i="33"/>
  <c r="R515" i="33" s="1"/>
  <c r="L196" i="36"/>
  <c r="H285" i="33"/>
  <c r="H223" i="36"/>
  <c r="F252" i="36"/>
  <c r="F277" i="36"/>
  <c r="L307" i="36"/>
  <c r="N333" i="36"/>
  <c r="N343" i="33"/>
  <c r="H389" i="33"/>
  <c r="J184" i="4"/>
  <c r="H368" i="36"/>
  <c r="N411" i="36"/>
  <c r="D452" i="36"/>
  <c r="R454" i="33"/>
  <c r="H495" i="36"/>
  <c r="D197" i="36"/>
  <c r="R198" i="33"/>
  <c r="L226" i="36"/>
  <c r="L255" i="36"/>
  <c r="L290" i="36"/>
  <c r="P315" i="36"/>
  <c r="L349" i="36"/>
  <c r="N377" i="36"/>
  <c r="P416" i="36"/>
  <c r="N447" i="36"/>
  <c r="N495" i="36"/>
  <c r="N36" i="34"/>
  <c r="N39" i="34" s="1"/>
  <c r="F18" i="36"/>
  <c r="L35" i="36"/>
  <c r="N51" i="36"/>
  <c r="N68" i="36"/>
  <c r="P84" i="36"/>
  <c r="N112" i="33"/>
  <c r="N99" i="36"/>
  <c r="N114" i="36"/>
  <c r="H128" i="36"/>
  <c r="R145" i="33"/>
  <c r="D144" i="36"/>
  <c r="P159" i="36"/>
  <c r="L178" i="36"/>
  <c r="F192" i="36"/>
  <c r="N206" i="36"/>
  <c r="L224" i="36"/>
  <c r="F238" i="36"/>
  <c r="N252" i="36"/>
  <c r="L268" i="36"/>
  <c r="F282" i="36"/>
  <c r="D300" i="36"/>
  <c r="R301" i="33"/>
  <c r="N314" i="36"/>
  <c r="R330" i="33"/>
  <c r="D328" i="36"/>
  <c r="N343" i="36"/>
  <c r="H357" i="36"/>
  <c r="H379" i="36"/>
  <c r="L426" i="36"/>
  <c r="L468" i="36"/>
  <c r="L469" i="36" s="1"/>
  <c r="L472" i="36" s="1"/>
  <c r="L471" i="33"/>
  <c r="L474" i="33" s="1"/>
  <c r="P193" i="4"/>
  <c r="P251" i="4" s="1"/>
  <c r="R66" i="33"/>
  <c r="D65" i="36"/>
  <c r="F126" i="36"/>
  <c r="H189" i="36"/>
  <c r="L250" i="36"/>
  <c r="P311" i="36"/>
  <c r="P23" i="36"/>
  <c r="N417" i="36"/>
  <c r="P69" i="36"/>
  <c r="H77" i="36"/>
  <c r="H84" i="36"/>
  <c r="R96" i="33"/>
  <c r="D95" i="36"/>
  <c r="H103" i="36"/>
  <c r="L113" i="36"/>
  <c r="N119" i="36"/>
  <c r="N125" i="36"/>
  <c r="L135" i="36"/>
  <c r="N141" i="36"/>
  <c r="P164" i="33"/>
  <c r="P148" i="36"/>
  <c r="P154" i="36"/>
  <c r="L164" i="36"/>
  <c r="L176" i="36"/>
  <c r="H184" i="36"/>
  <c r="D50" i="23"/>
  <c r="D50" i="22"/>
  <c r="J56" i="24"/>
  <c r="L56" i="24" s="1"/>
  <c r="H56" i="22"/>
  <c r="H56" i="23"/>
  <c r="H65" i="23" s="1"/>
  <c r="F61" i="23"/>
  <c r="F61" i="22"/>
  <c r="F61" i="21" s="1"/>
  <c r="F70" i="23"/>
  <c r="F69" i="21"/>
  <c r="F70" i="22"/>
  <c r="D83" i="22"/>
  <c r="J89" i="24"/>
  <c r="L89" i="24" s="1"/>
  <c r="D114" i="22"/>
  <c r="J114" i="22" s="1"/>
  <c r="L114" i="22" s="1"/>
  <c r="H17" i="25"/>
  <c r="R11" i="33"/>
  <c r="D11" i="36"/>
  <c r="F17" i="36"/>
  <c r="H23" i="36"/>
  <c r="P42" i="33"/>
  <c r="P33" i="36"/>
  <c r="H45" i="36"/>
  <c r="L54" i="36"/>
  <c r="H65" i="36"/>
  <c r="L74" i="36"/>
  <c r="R84" i="33"/>
  <c r="D83" i="36"/>
  <c r="D89" i="36"/>
  <c r="R90" i="33"/>
  <c r="F95" i="36"/>
  <c r="H102" i="36"/>
  <c r="N113" i="36"/>
  <c r="P119" i="36"/>
  <c r="H127" i="36"/>
  <c r="R137" i="33"/>
  <c r="D136" i="36"/>
  <c r="F142" i="36"/>
  <c r="R142" i="36" s="1"/>
  <c r="L150" i="36"/>
  <c r="D158" i="36"/>
  <c r="R159" i="33"/>
  <c r="N164" i="36"/>
  <c r="R180" i="33"/>
  <c r="D179" i="36"/>
  <c r="H38" i="21"/>
  <c r="H38" i="22"/>
  <c r="J38" i="22" s="1"/>
  <c r="L38" i="22" s="1"/>
  <c r="H38" i="23"/>
  <c r="J38" i="23" s="1"/>
  <c r="L38" i="23" s="1"/>
  <c r="J38" i="24"/>
  <c r="L38" i="24" s="1"/>
  <c r="F50" i="23"/>
  <c r="F50" i="22"/>
  <c r="F50" i="21" s="1"/>
  <c r="D55" i="23"/>
  <c r="J55" i="23" s="1"/>
  <c r="L55" i="23" s="1"/>
  <c r="D55" i="22"/>
  <c r="H61" i="22"/>
  <c r="H61" i="23"/>
  <c r="J61" i="24"/>
  <c r="L61" i="24" s="1"/>
  <c r="H70" i="22"/>
  <c r="H70" i="23"/>
  <c r="J70" i="24"/>
  <c r="H69" i="21"/>
  <c r="J69" i="21" s="1"/>
  <c r="L69" i="21" s="1"/>
  <c r="F83" i="22"/>
  <c r="D88" i="22"/>
  <c r="J98" i="24"/>
  <c r="L98" i="24" s="1"/>
  <c r="D107" i="22"/>
  <c r="J107" i="22" s="1"/>
  <c r="L107" i="22" s="1"/>
  <c r="J113" i="24"/>
  <c r="L113" i="24" s="1"/>
  <c r="D11" i="25"/>
  <c r="J11" i="26"/>
  <c r="D19" i="26"/>
  <c r="D22" i="26" s="1"/>
  <c r="D35" i="26" s="1"/>
  <c r="F15" i="25"/>
  <c r="N11" i="36"/>
  <c r="P17" i="36"/>
  <c r="H25" i="36"/>
  <c r="L40" i="36"/>
  <c r="L50" i="36"/>
  <c r="H60" i="36"/>
  <c r="L70" i="36"/>
  <c r="N76" i="36"/>
  <c r="N83" i="36"/>
  <c r="N89" i="36"/>
  <c r="P95" i="36"/>
  <c r="L102" i="36"/>
  <c r="N108" i="36"/>
  <c r="P115" i="36"/>
  <c r="H123" i="36"/>
  <c r="F133" i="36"/>
  <c r="H139" i="36"/>
  <c r="L149" i="36"/>
  <c r="N155" i="36"/>
  <c r="N161" i="36"/>
  <c r="F175" i="36"/>
  <c r="N183" i="36"/>
  <c r="F188" i="36"/>
  <c r="F194" i="36"/>
  <c r="H200" i="36"/>
  <c r="D213" i="36"/>
  <c r="R214" i="33"/>
  <c r="L221" i="36"/>
  <c r="N228" i="36"/>
  <c r="P234" i="36"/>
  <c r="P240" i="36"/>
  <c r="L251" i="36"/>
  <c r="N257" i="36"/>
  <c r="P265" i="36"/>
  <c r="R265" i="36" s="1"/>
  <c r="H273" i="36"/>
  <c r="L282" i="36"/>
  <c r="F292" i="36"/>
  <c r="H298" i="36"/>
  <c r="F305" i="36"/>
  <c r="H311" i="36"/>
  <c r="R323" i="33"/>
  <c r="D322" i="36"/>
  <c r="D327" i="36"/>
  <c r="R329" i="33"/>
  <c r="H334" i="36"/>
  <c r="R346" i="33"/>
  <c r="D344" i="36"/>
  <c r="D350" i="36"/>
  <c r="R352" i="33"/>
  <c r="F356" i="36"/>
  <c r="H364" i="36"/>
  <c r="N372" i="36"/>
  <c r="P379" i="36"/>
  <c r="P385" i="36"/>
  <c r="P407" i="36"/>
  <c r="L418" i="36"/>
  <c r="N427" i="36"/>
  <c r="N437" i="36"/>
  <c r="N457" i="33"/>
  <c r="N443" i="36"/>
  <c r="P449" i="36"/>
  <c r="L463" i="33"/>
  <c r="P189" i="4"/>
  <c r="P245" i="4" s="1"/>
  <c r="L458" i="36"/>
  <c r="L482" i="36"/>
  <c r="R492" i="33"/>
  <c r="D490" i="36"/>
  <c r="F496" i="36"/>
  <c r="F502" i="36"/>
  <c r="H512" i="36"/>
  <c r="H11" i="34"/>
  <c r="R20" i="34"/>
  <c r="N20" i="19" s="1"/>
  <c r="P188" i="36"/>
  <c r="P194" i="36"/>
  <c r="L205" i="36"/>
  <c r="R213" i="33"/>
  <c r="D212" i="36"/>
  <c r="D219" i="36"/>
  <c r="R220" i="33"/>
  <c r="C105" i="2" s="1"/>
  <c r="C101" i="2" s="1"/>
  <c r="S22" i="8"/>
  <c r="S26" i="8" s="1"/>
  <c r="S38" i="8" s="1"/>
  <c r="H227" i="36"/>
  <c r="L236" i="36"/>
  <c r="N245" i="36"/>
  <c r="P257" i="36"/>
  <c r="R273" i="33"/>
  <c r="D272" i="36"/>
  <c r="R286" i="33"/>
  <c r="D288" i="33"/>
  <c r="D285" i="36"/>
  <c r="H297" i="36"/>
  <c r="L316" i="36"/>
  <c r="N327" i="36"/>
  <c r="N342" i="36"/>
  <c r="N364" i="33"/>
  <c r="N367" i="33" s="1"/>
  <c r="H356" i="36"/>
  <c r="H378" i="36"/>
  <c r="L414" i="36"/>
  <c r="H432" i="36"/>
  <c r="D453" i="36"/>
  <c r="R455" i="33"/>
  <c r="N482" i="36"/>
  <c r="P494" i="36"/>
  <c r="H524" i="36"/>
  <c r="R202" i="33"/>
  <c r="D201" i="36"/>
  <c r="P213" i="36"/>
  <c r="H229" i="36"/>
  <c r="N244" i="36"/>
  <c r="P256" i="36"/>
  <c r="N269" i="36"/>
  <c r="P281" i="36"/>
  <c r="L297" i="36"/>
  <c r="R313" i="33"/>
  <c r="D312" i="36"/>
  <c r="F338" i="36"/>
  <c r="L355" i="36"/>
  <c r="H374" i="36"/>
  <c r="D424" i="33"/>
  <c r="R406" i="33"/>
  <c r="D404" i="36"/>
  <c r="F416" i="36"/>
  <c r="H441" i="36"/>
  <c r="P460" i="36"/>
  <c r="F486" i="36"/>
  <c r="D503" i="36"/>
  <c r="R505" i="33"/>
  <c r="N524" i="36"/>
  <c r="H46" i="34"/>
  <c r="L189" i="36"/>
  <c r="N201" i="36"/>
  <c r="H217" i="36"/>
  <c r="D231" i="36"/>
  <c r="R232" i="33"/>
  <c r="H243" i="36"/>
  <c r="H260" i="36"/>
  <c r="H274" i="36"/>
  <c r="D295" i="36"/>
  <c r="R296" i="33"/>
  <c r="D308" i="36"/>
  <c r="R309" i="33"/>
  <c r="H320" i="36"/>
  <c r="H335" i="36"/>
  <c r="R356" i="33"/>
  <c r="D354" i="36"/>
  <c r="D370" i="36"/>
  <c r="R372" i="33"/>
  <c r="F382" i="36"/>
  <c r="F409" i="36"/>
  <c r="H421" i="36"/>
  <c r="D440" i="36"/>
  <c r="R442" i="33"/>
  <c r="N50" i="23" s="1"/>
  <c r="F452" i="36"/>
  <c r="L486" i="36"/>
  <c r="F500" i="36"/>
  <c r="R524" i="33"/>
  <c r="N38" i="11" s="1"/>
  <c r="D522" i="36"/>
  <c r="L46" i="34"/>
  <c r="N13" i="36"/>
  <c r="F21" i="36"/>
  <c r="R29" i="33"/>
  <c r="D28" i="36"/>
  <c r="P37" i="36"/>
  <c r="H46" i="36"/>
  <c r="P54" i="36"/>
  <c r="D64" i="36"/>
  <c r="R65" i="33"/>
  <c r="N71" i="36"/>
  <c r="H79" i="36"/>
  <c r="H99" i="33"/>
  <c r="R88" i="33"/>
  <c r="D87" i="36"/>
  <c r="D93" i="36"/>
  <c r="R94" i="33"/>
  <c r="P102" i="36"/>
  <c r="P108" i="36"/>
  <c r="N117" i="36"/>
  <c r="L124" i="36"/>
  <c r="N132" i="36"/>
  <c r="F140" i="36"/>
  <c r="H146" i="36"/>
  <c r="F155" i="36"/>
  <c r="D162" i="36"/>
  <c r="R163" i="33"/>
  <c r="R174" i="33"/>
  <c r="D173" i="36"/>
  <c r="D210" i="33"/>
  <c r="L181" i="36"/>
  <c r="N187" i="36"/>
  <c r="F195" i="36"/>
  <c r="D202" i="36"/>
  <c r="R203" i="33"/>
  <c r="F210" i="36"/>
  <c r="F219" i="33"/>
  <c r="P217" i="36"/>
  <c r="L227" i="36"/>
  <c r="N233" i="36"/>
  <c r="F241" i="36"/>
  <c r="D248" i="36"/>
  <c r="R249" i="33"/>
  <c r="N255" i="36"/>
  <c r="P262" i="36"/>
  <c r="L271" i="36"/>
  <c r="N277" i="36"/>
  <c r="F286" i="36"/>
  <c r="L295" i="36"/>
  <c r="F303" i="36"/>
  <c r="P310" i="36"/>
  <c r="N317" i="36"/>
  <c r="F324" i="36"/>
  <c r="L330" i="36"/>
  <c r="R330" i="36" s="1"/>
  <c r="P337" i="36"/>
  <c r="N346" i="36"/>
  <c r="L353" i="36"/>
  <c r="H360" i="36"/>
  <c r="L373" i="36"/>
  <c r="N384" i="36"/>
  <c r="N412" i="36"/>
  <c r="H430" i="36"/>
  <c r="R449" i="33"/>
  <c r="N57" i="23" s="1"/>
  <c r="D447" i="36"/>
  <c r="P479" i="36"/>
  <c r="F511" i="36"/>
  <c r="J32" i="26"/>
  <c r="L32" i="26" s="1"/>
  <c r="F44" i="36"/>
  <c r="F57" i="33"/>
  <c r="N75" i="36"/>
  <c r="L107" i="36"/>
  <c r="H137" i="36"/>
  <c r="L170" i="36"/>
  <c r="P200" i="36"/>
  <c r="D233" i="36"/>
  <c r="R234" i="33"/>
  <c r="L261" i="36"/>
  <c r="R292" i="33"/>
  <c r="D291" i="36"/>
  <c r="F325" i="36"/>
  <c r="D486" i="36"/>
  <c r="R488" i="33"/>
  <c r="L65" i="36"/>
  <c r="N176" i="36"/>
  <c r="F65" i="36"/>
  <c r="H71" i="36"/>
  <c r="P99" i="33"/>
  <c r="P79" i="36"/>
  <c r="H87" i="36"/>
  <c r="L96" i="36"/>
  <c r="P104" i="36"/>
  <c r="D115" i="36"/>
  <c r="R116" i="33"/>
  <c r="R122" i="33"/>
  <c r="D121" i="36"/>
  <c r="F127" i="36"/>
  <c r="D137" i="36"/>
  <c r="R138" i="33"/>
  <c r="D143" i="36"/>
  <c r="R144" i="33"/>
  <c r="F150" i="36"/>
  <c r="H156" i="36"/>
  <c r="F173" i="33"/>
  <c r="F169" i="36"/>
  <c r="F178" i="36"/>
  <c r="H43" i="21"/>
  <c r="J43" i="24"/>
  <c r="L43" i="24" s="1"/>
  <c r="L44" i="24" s="1"/>
  <c r="H43" i="23"/>
  <c r="H44" i="24"/>
  <c r="H43" i="22"/>
  <c r="J52" i="24"/>
  <c r="L52" i="24" s="1"/>
  <c r="H52" i="22"/>
  <c r="H52" i="23"/>
  <c r="J52" i="23" s="1"/>
  <c r="L52" i="23" s="1"/>
  <c r="F57" i="22"/>
  <c r="F57" i="23"/>
  <c r="J57" i="23" s="1"/>
  <c r="L57" i="23" s="1"/>
  <c r="P57" i="23" s="1"/>
  <c r="D62" i="22"/>
  <c r="D62" i="23"/>
  <c r="D93" i="24"/>
  <c r="D79" i="22"/>
  <c r="J79" i="22" s="1"/>
  <c r="J85" i="24"/>
  <c r="L85" i="24" s="1"/>
  <c r="D101" i="22"/>
  <c r="J101" i="22" s="1"/>
  <c r="L101" i="22" s="1"/>
  <c r="D110" i="22"/>
  <c r="J116" i="24"/>
  <c r="L116" i="24" s="1"/>
  <c r="H116" i="22"/>
  <c r="F33" i="26"/>
  <c r="F35" i="26" s="1"/>
  <c r="N12" i="36"/>
  <c r="P18" i="36"/>
  <c r="P24" i="36"/>
  <c r="H35" i="36"/>
  <c r="L48" i="36"/>
  <c r="H59" i="36"/>
  <c r="L68" i="36"/>
  <c r="D76" i="36"/>
  <c r="R77" i="33"/>
  <c r="L84" i="36"/>
  <c r="N90" i="36"/>
  <c r="P96" i="36"/>
  <c r="H105" i="36"/>
  <c r="R105" i="36" s="1"/>
  <c r="F115" i="36"/>
  <c r="H121" i="36"/>
  <c r="L131" i="36"/>
  <c r="N137" i="36"/>
  <c r="N143" i="36"/>
  <c r="L153" i="36"/>
  <c r="N159" i="36"/>
  <c r="H169" i="36"/>
  <c r="H173" i="33"/>
  <c r="R182" i="33"/>
  <c r="D181" i="36"/>
  <c r="H39" i="21"/>
  <c r="J39" i="24"/>
  <c r="L39" i="24" s="1"/>
  <c r="H39" i="23"/>
  <c r="H39" i="22"/>
  <c r="J39" i="22" s="1"/>
  <c r="L39" i="22" s="1"/>
  <c r="D51" i="22"/>
  <c r="D51" i="21" s="1"/>
  <c r="D51" i="23"/>
  <c r="J51" i="23" s="1"/>
  <c r="L51" i="23" s="1"/>
  <c r="J57" i="24"/>
  <c r="L57" i="24" s="1"/>
  <c r="H57" i="22"/>
  <c r="H57" i="23"/>
  <c r="F62" i="23"/>
  <c r="F62" i="22"/>
  <c r="F62" i="21" s="1"/>
  <c r="F93" i="24"/>
  <c r="D84" i="22"/>
  <c r="J84" i="22" s="1"/>
  <c r="L84" i="22" s="1"/>
  <c r="J90" i="24"/>
  <c r="L90" i="24" s="1"/>
  <c r="J109" i="24"/>
  <c r="L109" i="24" s="1"/>
  <c r="D12" i="25"/>
  <c r="J12" i="26"/>
  <c r="L12" i="26" s="1"/>
  <c r="F16" i="25"/>
  <c r="F13" i="36"/>
  <c r="H19" i="36"/>
  <c r="L28" i="36"/>
  <c r="L44" i="36"/>
  <c r="L57" i="33"/>
  <c r="R53" i="33"/>
  <c r="D52" i="36"/>
  <c r="L64" i="36"/>
  <c r="D72" i="36"/>
  <c r="R73" i="33"/>
  <c r="D79" i="36"/>
  <c r="R79" i="36" s="1"/>
  <c r="D99" i="33"/>
  <c r="R80" i="33"/>
  <c r="R86" i="33"/>
  <c r="D85" i="36"/>
  <c r="R85" i="36" s="1"/>
  <c r="F91" i="36"/>
  <c r="H97" i="36"/>
  <c r="R105" i="33"/>
  <c r="D104" i="36"/>
  <c r="F110" i="36"/>
  <c r="H117" i="36"/>
  <c r="L126" i="36"/>
  <c r="P134" i="36"/>
  <c r="P147" i="36" s="1"/>
  <c r="P140" i="36"/>
  <c r="D151" i="36"/>
  <c r="R152" i="33"/>
  <c r="D157" i="36"/>
  <c r="R158" i="33"/>
  <c r="F165" i="36"/>
  <c r="L177" i="36"/>
  <c r="F187" i="36"/>
  <c r="N189" i="36"/>
  <c r="P195" i="36"/>
  <c r="H203" i="36"/>
  <c r="L214" i="36"/>
  <c r="D224" i="36"/>
  <c r="R225" i="33"/>
  <c r="F230" i="36"/>
  <c r="F236" i="36"/>
  <c r="H242" i="36"/>
  <c r="R254" i="33"/>
  <c r="D253" i="36"/>
  <c r="H259" i="36"/>
  <c r="H267" i="36"/>
  <c r="L276" i="36"/>
  <c r="D286" i="36"/>
  <c r="R287" i="33"/>
  <c r="P293" i="36"/>
  <c r="P299" i="36"/>
  <c r="P306" i="36"/>
  <c r="H314" i="36"/>
  <c r="L323" i="36"/>
  <c r="N328" i="36"/>
  <c r="L337" i="36"/>
  <c r="L345" i="36"/>
  <c r="N351" i="36"/>
  <c r="P357" i="36"/>
  <c r="D369" i="36"/>
  <c r="R371" i="33"/>
  <c r="F375" i="36"/>
  <c r="F381" i="36"/>
  <c r="H395" i="36"/>
  <c r="J192" i="4"/>
  <c r="J248" i="4" s="1"/>
  <c r="H409" i="36"/>
  <c r="R422" i="33"/>
  <c r="D420" i="36"/>
  <c r="F429" i="36"/>
  <c r="D439" i="36"/>
  <c r="R441" i="33"/>
  <c r="F445" i="36"/>
  <c r="H451" i="36"/>
  <c r="D460" i="36"/>
  <c r="R462" i="33"/>
  <c r="L485" i="36"/>
  <c r="N491" i="36"/>
  <c r="N497" i="36"/>
  <c r="P503" i="36"/>
  <c r="P527" i="33"/>
  <c r="P530" i="33" s="1"/>
  <c r="P520" i="36"/>
  <c r="L22" i="34"/>
  <c r="L25" i="34" s="1"/>
  <c r="L50" i="34" s="1"/>
  <c r="F190" i="36"/>
  <c r="H196" i="36"/>
  <c r="D207" i="36"/>
  <c r="R208" i="33"/>
  <c r="N213" i="36"/>
  <c r="L223" i="33"/>
  <c r="L220" i="36"/>
  <c r="L222" i="36" s="1"/>
  <c r="P228" i="36"/>
  <c r="L239" i="36"/>
  <c r="R248" i="33"/>
  <c r="D247" i="36"/>
  <c r="N259" i="36"/>
  <c r="N273" i="36"/>
  <c r="N286" i="36"/>
  <c r="H300" i="36"/>
  <c r="D318" i="36"/>
  <c r="R319" i="33"/>
  <c r="F329" i="36"/>
  <c r="F344" i="36"/>
  <c r="L359" i="36"/>
  <c r="L381" i="36"/>
  <c r="D416" i="36"/>
  <c r="R418" i="33"/>
  <c r="P457" i="33"/>
  <c r="P437" i="36"/>
  <c r="L454" i="36"/>
  <c r="F484" i="36"/>
  <c r="H496" i="36"/>
  <c r="L11" i="34"/>
  <c r="H187" i="36"/>
  <c r="N202" i="36"/>
  <c r="H215" i="36"/>
  <c r="L232" i="36"/>
  <c r="F246" i="36"/>
  <c r="H258" i="36"/>
  <c r="D271" i="36"/>
  <c r="R272" i="33"/>
  <c r="H283" i="36"/>
  <c r="R300" i="33"/>
  <c r="D299" i="36"/>
  <c r="N313" i="36"/>
  <c r="P324" i="36"/>
  <c r="P339" i="36"/>
  <c r="L358" i="36"/>
  <c r="L377" i="36"/>
  <c r="L405" i="36"/>
  <c r="P186" i="4"/>
  <c r="P243" i="4" s="1"/>
  <c r="P417" i="36"/>
  <c r="L444" i="36"/>
  <c r="F193" i="4"/>
  <c r="F251" i="4" s="1"/>
  <c r="D468" i="36"/>
  <c r="D469" i="36" s="1"/>
  <c r="D472" i="36" s="1"/>
  <c r="D471" i="33"/>
  <c r="D474" i="33" s="1"/>
  <c r="R470" i="33"/>
  <c r="P487" i="36"/>
  <c r="L504" i="36"/>
  <c r="F174" i="36"/>
  <c r="D191" i="36"/>
  <c r="R192" i="33"/>
  <c r="F203" i="36"/>
  <c r="P219" i="36"/>
  <c r="N232" i="36"/>
  <c r="P244" i="36"/>
  <c r="H263" i="36"/>
  <c r="H277" i="36"/>
  <c r="N296" i="36"/>
  <c r="N309" i="36"/>
  <c r="P321" i="36"/>
  <c r="H338" i="36"/>
  <c r="N355" i="36"/>
  <c r="L371" i="36"/>
  <c r="P383" i="36"/>
  <c r="N410" i="36"/>
  <c r="L425" i="36"/>
  <c r="L435" i="33"/>
  <c r="N441" i="36"/>
  <c r="P453" i="36"/>
  <c r="L489" i="36"/>
  <c r="N501" i="36"/>
  <c r="N523" i="36"/>
  <c r="H14" i="36"/>
  <c r="P22" i="36"/>
  <c r="P28" i="36"/>
  <c r="L38" i="36"/>
  <c r="D47" i="36"/>
  <c r="R48" i="33"/>
  <c r="L55" i="36"/>
  <c r="P64" i="36"/>
  <c r="L72" i="36"/>
  <c r="F80" i="36"/>
  <c r="P87" i="36"/>
  <c r="N94" i="36"/>
  <c r="L103" i="36"/>
  <c r="N109" i="36"/>
  <c r="L118" i="36"/>
  <c r="H125" i="36"/>
  <c r="H133" i="36"/>
  <c r="R142" i="33"/>
  <c r="D141" i="36"/>
  <c r="H164" i="33"/>
  <c r="H148" i="36"/>
  <c r="P156" i="36"/>
  <c r="P162" i="36"/>
  <c r="N174" i="36"/>
  <c r="F182" i="36"/>
  <c r="H188" i="36"/>
  <c r="P196" i="36"/>
  <c r="P202" i="36"/>
  <c r="N211" i="36"/>
  <c r="H219" i="36"/>
  <c r="F228" i="36"/>
  <c r="H234" i="36"/>
  <c r="P242" i="36"/>
  <c r="P248" i="36"/>
  <c r="L256" i="36"/>
  <c r="N264" i="36"/>
  <c r="F272" i="36"/>
  <c r="H278" i="36"/>
  <c r="N302" i="33"/>
  <c r="N288" i="36"/>
  <c r="F296" i="36"/>
  <c r="N304" i="36"/>
  <c r="L311" i="36"/>
  <c r="H318" i="36"/>
  <c r="D325" i="36"/>
  <c r="R327" i="33"/>
  <c r="F331" i="36"/>
  <c r="N338" i="36"/>
  <c r="L347" i="36"/>
  <c r="H354" i="36"/>
  <c r="F361" i="36"/>
  <c r="F372" i="36"/>
  <c r="D394" i="36"/>
  <c r="D398" i="33"/>
  <c r="D400" i="33" s="1"/>
  <c r="N415" i="36"/>
  <c r="N432" i="36"/>
  <c r="N433" i="36" s="1"/>
  <c r="F450" i="36"/>
  <c r="P482" i="36"/>
  <c r="L522" i="36"/>
  <c r="R13" i="33"/>
  <c r="D13" i="36"/>
  <c r="H47" i="36"/>
  <c r="H80" i="36"/>
  <c r="L110" i="36"/>
  <c r="F141" i="36"/>
  <c r="P174" i="36"/>
  <c r="P203" i="36"/>
  <c r="R237" i="33"/>
  <c r="D236" i="36"/>
  <c r="P264" i="36"/>
  <c r="D294" i="36"/>
  <c r="R295" i="33"/>
  <c r="H364" i="33"/>
  <c r="H342" i="36"/>
  <c r="L500" i="36"/>
  <c r="P75" i="36"/>
  <c r="F221" i="36"/>
  <c r="N248" i="36"/>
  <c r="P254" i="36"/>
  <c r="D261" i="36"/>
  <c r="R262" i="33"/>
  <c r="D269" i="36"/>
  <c r="R270" i="33"/>
  <c r="D275" i="36"/>
  <c r="R276" i="33"/>
  <c r="F281" i="36"/>
  <c r="F302" i="33"/>
  <c r="F288" i="36"/>
  <c r="H294" i="36"/>
  <c r="P302" i="36"/>
  <c r="P334" i="33"/>
  <c r="H310" i="36"/>
  <c r="R310" i="36" s="1"/>
  <c r="L319" i="36"/>
  <c r="N324" i="36"/>
  <c r="D333" i="36"/>
  <c r="D343" i="33"/>
  <c r="R335" i="33"/>
  <c r="F339" i="36"/>
  <c r="P345" i="36"/>
  <c r="P351" i="36"/>
  <c r="L364" i="36"/>
  <c r="P372" i="36"/>
  <c r="L384" i="36"/>
  <c r="H408" i="36"/>
  <c r="L417" i="36"/>
  <c r="P427" i="36"/>
  <c r="H439" i="36"/>
  <c r="L448" i="36"/>
  <c r="R461" i="33"/>
  <c r="N69" i="23" s="1"/>
  <c r="D459" i="36"/>
  <c r="N479" i="36"/>
  <c r="N485" i="36"/>
  <c r="P491" i="36"/>
  <c r="H499" i="36"/>
  <c r="L512" i="36"/>
  <c r="R16" i="34"/>
  <c r="N16" i="19" s="1"/>
  <c r="N89" i="15" s="1"/>
  <c r="L190" i="36"/>
  <c r="R199" i="33"/>
  <c r="D198" i="36"/>
  <c r="F204" i="36"/>
  <c r="P210" i="36"/>
  <c r="P219" i="33"/>
  <c r="P216" i="36"/>
  <c r="P224" i="36"/>
  <c r="L235" i="36"/>
  <c r="N241" i="36"/>
  <c r="N247" i="36"/>
  <c r="P253" i="36"/>
  <c r="F260" i="36"/>
  <c r="L266" i="36"/>
  <c r="N272" i="36"/>
  <c r="P278" i="36"/>
  <c r="F288" i="33"/>
  <c r="F285" i="36"/>
  <c r="L294" i="36"/>
  <c r="N300" i="36"/>
  <c r="R310" i="33"/>
  <c r="D309" i="36"/>
  <c r="F315" i="36"/>
  <c r="F321" i="36"/>
  <c r="H326" i="36"/>
  <c r="F335" i="36"/>
  <c r="F343" i="36"/>
  <c r="H349" i="36"/>
  <c r="R362" i="33"/>
  <c r="D360" i="36"/>
  <c r="P369" i="36"/>
  <c r="L380" i="36"/>
  <c r="N386" i="36"/>
  <c r="D407" i="36"/>
  <c r="R409" i="33"/>
  <c r="F413" i="36"/>
  <c r="F419" i="36"/>
  <c r="L431" i="36"/>
  <c r="L447" i="36"/>
  <c r="N453" i="36"/>
  <c r="D477" i="36"/>
  <c r="R479" i="33"/>
  <c r="F190" i="4"/>
  <c r="F246" i="4" s="1"/>
  <c r="F483" i="36"/>
  <c r="H489" i="36"/>
  <c r="L498" i="36"/>
  <c r="L508" i="36"/>
  <c r="L515" i="33"/>
  <c r="L518" i="33" s="1"/>
  <c r="L521" i="36"/>
  <c r="P191" i="4"/>
  <c r="P247" i="4" s="1"/>
  <c r="P175" i="36"/>
  <c r="H183" i="36"/>
  <c r="L192" i="36"/>
  <c r="N198" i="36"/>
  <c r="P204" i="36"/>
  <c r="P212" i="36"/>
  <c r="R212" i="36" s="1"/>
  <c r="H221" i="36"/>
  <c r="R229" i="33"/>
  <c r="D228" i="36"/>
  <c r="F234" i="36"/>
  <c r="F240" i="36"/>
  <c r="H246" i="36"/>
  <c r="D257" i="36"/>
  <c r="R258" i="33"/>
  <c r="F265" i="36"/>
  <c r="H271" i="36"/>
  <c r="L280" i="36"/>
  <c r="D292" i="36"/>
  <c r="R293" i="33"/>
  <c r="D298" i="36"/>
  <c r="R299" i="33"/>
  <c r="D305" i="36"/>
  <c r="R306" i="33"/>
  <c r="F311" i="36"/>
  <c r="F317" i="36"/>
  <c r="H323" i="36"/>
  <c r="N331" i="36"/>
  <c r="L343" i="36"/>
  <c r="R353" i="33"/>
  <c r="D351" i="36"/>
  <c r="F357" i="36"/>
  <c r="P363" i="36"/>
  <c r="D372" i="36"/>
  <c r="R375" i="33"/>
  <c r="F379" i="36"/>
  <c r="F385" i="36"/>
  <c r="D406" i="36"/>
  <c r="R408" i="33"/>
  <c r="N13" i="23" s="1"/>
  <c r="P13" i="23" s="1"/>
  <c r="F412" i="36"/>
  <c r="H418" i="36"/>
  <c r="D427" i="36"/>
  <c r="R429" i="33"/>
  <c r="N34" i="23" s="1"/>
  <c r="D437" i="36"/>
  <c r="D457" i="33"/>
  <c r="R439" i="33"/>
  <c r="D443" i="36"/>
  <c r="R445" i="33"/>
  <c r="N53" i="21" s="1"/>
  <c r="F449" i="36"/>
  <c r="J189" i="4"/>
  <c r="J245" i="4" s="1"/>
  <c r="H458" i="36"/>
  <c r="H463" i="33"/>
  <c r="H480" i="36"/>
  <c r="R493" i="33"/>
  <c r="M59" i="8"/>
  <c r="D491" i="36"/>
  <c r="D497" i="36"/>
  <c r="R499" i="33"/>
  <c r="F503" i="36"/>
  <c r="P511" i="36"/>
  <c r="H22" i="34"/>
  <c r="R12" i="33"/>
  <c r="D12" i="36"/>
  <c r="D15" i="36"/>
  <c r="R15" i="33"/>
  <c r="N19" i="36"/>
  <c r="L23" i="36"/>
  <c r="L26" i="36"/>
  <c r="N29" i="36"/>
  <c r="F36" i="36"/>
  <c r="H39" i="36"/>
  <c r="R39" i="36" s="1"/>
  <c r="P44" i="36"/>
  <c r="P57" i="33"/>
  <c r="N48" i="36"/>
  <c r="L52" i="36"/>
  <c r="L59" i="36"/>
  <c r="L79" i="33"/>
  <c r="L62" i="36"/>
  <c r="N65" i="36"/>
  <c r="H69" i="36"/>
  <c r="F73" i="36"/>
  <c r="R78" i="33"/>
  <c r="D77" i="36"/>
  <c r="N81" i="36"/>
  <c r="L85" i="36"/>
  <c r="L88" i="36"/>
  <c r="N91" i="36"/>
  <c r="H95" i="36"/>
  <c r="L100" i="36"/>
  <c r="F104" i="36"/>
  <c r="H107" i="36"/>
  <c r="H110" i="36"/>
  <c r="H115" i="36"/>
  <c r="F119" i="36"/>
  <c r="D123" i="36"/>
  <c r="R124" i="33"/>
  <c r="R127" i="33"/>
  <c r="D126" i="36"/>
  <c r="H148" i="33"/>
  <c r="H130" i="36"/>
  <c r="F134" i="36"/>
  <c r="P138" i="36"/>
  <c r="P141" i="36"/>
  <c r="P144" i="36"/>
  <c r="R150" i="33"/>
  <c r="D149" i="36"/>
  <c r="N153" i="36"/>
  <c r="L157" i="36"/>
  <c r="L160" i="36"/>
  <c r="D164" i="36"/>
  <c r="R165" i="33"/>
  <c r="N67" i="17" s="1"/>
  <c r="H170" i="36"/>
  <c r="H175" i="36"/>
  <c r="F179" i="36"/>
  <c r="R184" i="33"/>
  <c r="D183" i="36"/>
  <c r="R187" i="33"/>
  <c r="D186" i="36"/>
  <c r="D189" i="36"/>
  <c r="R190" i="33"/>
  <c r="N193" i="36"/>
  <c r="L197" i="36"/>
  <c r="L200" i="36"/>
  <c r="N203" i="36"/>
  <c r="H207" i="36"/>
  <c r="L212" i="36"/>
  <c r="F216" i="36"/>
  <c r="F223" i="33"/>
  <c r="F220" i="36"/>
  <c r="F225" i="36"/>
  <c r="D229" i="36"/>
  <c r="R230" i="33"/>
  <c r="R233" i="33"/>
  <c r="D232" i="36"/>
  <c r="R236" i="33"/>
  <c r="D235" i="36"/>
  <c r="N239" i="36"/>
  <c r="L243" i="36"/>
  <c r="L246" i="36"/>
  <c r="N249" i="36"/>
  <c r="H253" i="36"/>
  <c r="F257" i="36"/>
  <c r="H261" i="36"/>
  <c r="H265" i="36"/>
  <c r="F269" i="36"/>
  <c r="D273" i="36"/>
  <c r="R274" i="33"/>
  <c r="D276" i="36"/>
  <c r="R277" i="33"/>
  <c r="R280" i="33"/>
  <c r="D279" i="36"/>
  <c r="N283" i="36"/>
  <c r="H289" i="36"/>
  <c r="F293" i="36"/>
  <c r="P297" i="36"/>
  <c r="P300" i="36"/>
  <c r="L305" i="36"/>
  <c r="F309" i="36"/>
  <c r="H312" i="36"/>
  <c r="H315" i="36"/>
  <c r="F319" i="36"/>
  <c r="P323" i="36"/>
  <c r="P325" i="36"/>
  <c r="P328" i="36"/>
  <c r="F333" i="36"/>
  <c r="F343" i="33"/>
  <c r="H336" i="36"/>
  <c r="H339" i="36"/>
  <c r="H344" i="36"/>
  <c r="F348" i="36"/>
  <c r="D352" i="36"/>
  <c r="R354" i="33"/>
  <c r="D355" i="36"/>
  <c r="R357" i="33"/>
  <c r="D358" i="36"/>
  <c r="R360" i="33"/>
  <c r="F363" i="36"/>
  <c r="F370" i="36"/>
  <c r="R376" i="33"/>
  <c r="D374" i="36"/>
  <c r="D380" i="36"/>
  <c r="R382" i="33"/>
  <c r="P398" i="33"/>
  <c r="P400" i="33" s="1"/>
  <c r="P394" i="36"/>
  <c r="L409" i="36"/>
  <c r="H416" i="36"/>
  <c r="F427" i="36"/>
  <c r="F437" i="36"/>
  <c r="F457" i="33"/>
  <c r="D444" i="36"/>
  <c r="R446" i="33"/>
  <c r="N54" i="21" s="1"/>
  <c r="N451" i="36"/>
  <c r="P507" i="33"/>
  <c r="P476" i="36"/>
  <c r="N486" i="36"/>
  <c r="H500" i="36"/>
  <c r="P11" i="34"/>
  <c r="D16" i="36"/>
  <c r="R16" i="33"/>
  <c r="N16" i="17" s="1"/>
  <c r="H33" i="36"/>
  <c r="H42" i="33"/>
  <c r="H50" i="36"/>
  <c r="D68" i="36"/>
  <c r="D78" i="36" s="1"/>
  <c r="R69" i="33"/>
  <c r="F84" i="36"/>
  <c r="D99" i="36"/>
  <c r="R100" i="33"/>
  <c r="D112" i="33"/>
  <c r="P114" i="36"/>
  <c r="L130" i="36"/>
  <c r="L148" i="33"/>
  <c r="D145" i="36"/>
  <c r="R146" i="33"/>
  <c r="P160" i="36"/>
  <c r="N178" i="36"/>
  <c r="H192" i="36"/>
  <c r="P206" i="36"/>
  <c r="H225" i="36"/>
  <c r="R240" i="33"/>
  <c r="D239" i="36"/>
  <c r="N253" i="36"/>
  <c r="N268" i="36"/>
  <c r="H282" i="36"/>
  <c r="N298" i="36"/>
  <c r="P314" i="36"/>
  <c r="P356" i="36"/>
  <c r="L440" i="36"/>
  <c r="F11" i="34"/>
  <c r="F25" i="34" s="1"/>
  <c r="F50" i="34" s="1"/>
  <c r="R39" i="33"/>
  <c r="D38" i="36"/>
  <c r="R89" i="33"/>
  <c r="D88" i="36"/>
  <c r="H132" i="36"/>
  <c r="D266" i="36"/>
  <c r="R267" i="33"/>
  <c r="L483" i="36"/>
  <c r="R245" i="33"/>
  <c r="D244" i="36"/>
  <c r="F250" i="36"/>
  <c r="F256" i="36"/>
  <c r="N262" i="36"/>
  <c r="L270" i="36"/>
  <c r="N276" i="36"/>
  <c r="P282" i="36"/>
  <c r="P289" i="36"/>
  <c r="P295" i="36"/>
  <c r="H304" i="36"/>
  <c r="H332" i="36" s="1"/>
  <c r="L313" i="36"/>
  <c r="D321" i="36"/>
  <c r="R322" i="33"/>
  <c r="F326" i="36"/>
  <c r="N334" i="36"/>
  <c r="N340" i="36"/>
  <c r="F347" i="36"/>
  <c r="H353" i="36"/>
  <c r="F369" i="36"/>
  <c r="H375" i="36"/>
  <c r="D386" i="36"/>
  <c r="R388" i="33"/>
  <c r="N101" i="15" s="1"/>
  <c r="L411" i="36"/>
  <c r="R421" i="33"/>
  <c r="D419" i="36"/>
  <c r="H429" i="36"/>
  <c r="P440" i="36"/>
  <c r="L451" i="36"/>
  <c r="N460" i="36"/>
  <c r="R483" i="33"/>
  <c r="D481" i="36"/>
  <c r="F487" i="36"/>
  <c r="H493" i="36"/>
  <c r="L502" i="36"/>
  <c r="H521" i="36"/>
  <c r="J191" i="4"/>
  <c r="J247" i="4" s="1"/>
  <c r="L193" i="36"/>
  <c r="N199" i="36"/>
  <c r="N205" i="36"/>
  <c r="F212" i="36"/>
  <c r="F219" i="36"/>
  <c r="H226" i="36"/>
  <c r="D237" i="36"/>
  <c r="R238" i="33"/>
  <c r="D243" i="36"/>
  <c r="R244" i="33"/>
  <c r="F249" i="36"/>
  <c r="H255" i="36"/>
  <c r="N261" i="36"/>
  <c r="D268" i="36"/>
  <c r="R269" i="33"/>
  <c r="F274" i="36"/>
  <c r="F280" i="36"/>
  <c r="P286" i="36"/>
  <c r="D296" i="36"/>
  <c r="R297" i="33"/>
  <c r="L304" i="36"/>
  <c r="N310" i="36"/>
  <c r="N316" i="36"/>
  <c r="P322" i="36"/>
  <c r="H329" i="36"/>
  <c r="N336" i="36"/>
  <c r="P344" i="36"/>
  <c r="H352" i="36"/>
  <c r="L361" i="36"/>
  <c r="H371" i="36"/>
  <c r="R384" i="33"/>
  <c r="N97" i="15" s="1"/>
  <c r="D382" i="36"/>
  <c r="L394" i="36"/>
  <c r="L396" i="36" s="1"/>
  <c r="L398" i="36" s="1"/>
  <c r="L398" i="33"/>
  <c r="L400" i="33" s="1"/>
  <c r="N408" i="36"/>
  <c r="N414" i="36"/>
  <c r="P420" i="36"/>
  <c r="H438" i="36"/>
  <c r="J185" i="4"/>
  <c r="J242" i="4" s="1"/>
  <c r="D449" i="36"/>
  <c r="R451" i="33"/>
  <c r="H459" i="36"/>
  <c r="N478" i="36"/>
  <c r="P484" i="36"/>
  <c r="P490" i="36"/>
  <c r="L501" i="36"/>
  <c r="D510" i="36"/>
  <c r="R512" i="33"/>
  <c r="D523" i="36"/>
  <c r="R525" i="33"/>
  <c r="H177" i="36"/>
  <c r="L186" i="36"/>
  <c r="D194" i="36"/>
  <c r="R195" i="33"/>
  <c r="F200" i="36"/>
  <c r="F206" i="36"/>
  <c r="H214" i="36"/>
  <c r="L223" i="36"/>
  <c r="L285" i="33"/>
  <c r="N229" i="36"/>
  <c r="N235" i="36"/>
  <c r="P241" i="36"/>
  <c r="H249" i="36"/>
  <c r="N258" i="36"/>
  <c r="P266" i="36"/>
  <c r="P272" i="36"/>
  <c r="L283" i="36"/>
  <c r="L293" i="36"/>
  <c r="N299" i="36"/>
  <c r="N306" i="36"/>
  <c r="N312" i="36"/>
  <c r="P318" i="36"/>
  <c r="H325" i="36"/>
  <c r="P343" i="33"/>
  <c r="P333" i="36"/>
  <c r="L346" i="36"/>
  <c r="N352" i="36"/>
  <c r="N358" i="36"/>
  <c r="L389" i="33"/>
  <c r="P184" i="4"/>
  <c r="L368" i="36"/>
  <c r="N374" i="36"/>
  <c r="N380" i="36"/>
  <c r="P386" i="36"/>
  <c r="N407" i="36"/>
  <c r="P413" i="36"/>
  <c r="P419" i="36"/>
  <c r="N428" i="36"/>
  <c r="L438" i="36"/>
  <c r="P185" i="4"/>
  <c r="P242" i="4" s="1"/>
  <c r="N444" i="36"/>
  <c r="P450" i="36"/>
  <c r="H468" i="36"/>
  <c r="H469" i="36" s="1"/>
  <c r="H472" i="36" s="1"/>
  <c r="H471" i="33"/>
  <c r="H474" i="33" s="1"/>
  <c r="J193" i="4"/>
  <c r="J251" i="4" s="1"/>
  <c r="H483" i="36"/>
  <c r="L492" i="36"/>
  <c r="N498" i="36"/>
  <c r="P504" i="36"/>
  <c r="N520" i="36"/>
  <c r="N527" i="33"/>
  <c r="N530" i="33" s="1"/>
  <c r="P12" i="36"/>
  <c r="N16" i="36"/>
  <c r="L20" i="36"/>
  <c r="F24" i="36"/>
  <c r="H27" i="36"/>
  <c r="F33" i="36"/>
  <c r="F42" i="33"/>
  <c r="D37" i="36"/>
  <c r="R38" i="33"/>
  <c r="N37" i="17" s="1"/>
  <c r="R41" i="33"/>
  <c r="N40" i="15" s="1"/>
  <c r="D40" i="36"/>
  <c r="N45" i="36"/>
  <c r="H49" i="36"/>
  <c r="H56" i="36" s="1"/>
  <c r="F53" i="36"/>
  <c r="H63" i="36"/>
  <c r="H66" i="36"/>
  <c r="F70" i="36"/>
  <c r="P74" i="36"/>
  <c r="P77" i="36"/>
  <c r="L82" i="36"/>
  <c r="F86" i="36"/>
  <c r="H89" i="36"/>
  <c r="H92" i="36"/>
  <c r="F96" i="36"/>
  <c r="F101" i="36"/>
  <c r="R106" i="33"/>
  <c r="D105" i="36"/>
  <c r="D108" i="36"/>
  <c r="R109" i="33"/>
  <c r="H130" i="33"/>
  <c r="H112" i="36"/>
  <c r="F116" i="36"/>
  <c r="P120" i="36"/>
  <c r="P123" i="36"/>
  <c r="P126" i="36"/>
  <c r="D131" i="36"/>
  <c r="R132" i="33"/>
  <c r="N135" i="36"/>
  <c r="L139" i="36"/>
  <c r="L142" i="36"/>
  <c r="N145" i="36"/>
  <c r="N150" i="36"/>
  <c r="L154" i="36"/>
  <c r="F158" i="36"/>
  <c r="H161" i="36"/>
  <c r="P164" i="36"/>
  <c r="D171" i="36"/>
  <c r="R172" i="33"/>
  <c r="F176" i="36"/>
  <c r="P180" i="36"/>
  <c r="P183" i="36"/>
  <c r="P186" i="36"/>
  <c r="N190" i="36"/>
  <c r="L194" i="36"/>
  <c r="F198" i="36"/>
  <c r="H201" i="36"/>
  <c r="H204" i="36"/>
  <c r="F208" i="36"/>
  <c r="F213" i="36"/>
  <c r="D217" i="36"/>
  <c r="R218" i="33"/>
  <c r="N221" i="36"/>
  <c r="P226" i="36"/>
  <c r="P229" i="36"/>
  <c r="P232" i="36"/>
  <c r="N236" i="36"/>
  <c r="L240" i="36"/>
  <c r="F244" i="36"/>
  <c r="H247" i="36"/>
  <c r="H250" i="36"/>
  <c r="F254" i="36"/>
  <c r="R260" i="33"/>
  <c r="D259" i="36"/>
  <c r="R263" i="33"/>
  <c r="D262" i="36"/>
  <c r="F266" i="36"/>
  <c r="P270" i="36"/>
  <c r="P273" i="36"/>
  <c r="P276" i="36"/>
  <c r="N280" i="36"/>
  <c r="L285" i="36"/>
  <c r="L287" i="36" s="1"/>
  <c r="L288" i="33"/>
  <c r="R291" i="33"/>
  <c r="D290" i="36"/>
  <c r="N294" i="36"/>
  <c r="L298" i="36"/>
  <c r="H302" i="36"/>
  <c r="H334" i="33"/>
  <c r="F306" i="36"/>
  <c r="D310" i="36"/>
  <c r="R311" i="33"/>
  <c r="D313" i="36"/>
  <c r="R314" i="33"/>
  <c r="R317" i="33"/>
  <c r="D316" i="36"/>
  <c r="N320" i="36"/>
  <c r="L326" i="36"/>
  <c r="N329" i="36"/>
  <c r="R336" i="33"/>
  <c r="D334" i="36"/>
  <c r="R339" i="33"/>
  <c r="D337" i="36"/>
  <c r="D340" i="36"/>
  <c r="R342" i="33"/>
  <c r="F345" i="36"/>
  <c r="R345" i="36" s="1"/>
  <c r="P349" i="36"/>
  <c r="P352" i="36"/>
  <c r="P355" i="36"/>
  <c r="N359" i="36"/>
  <c r="N364" i="36"/>
  <c r="P371" i="36"/>
  <c r="H376" i="36"/>
  <c r="F383" i="36"/>
  <c r="P405" i="36"/>
  <c r="T186" i="4"/>
  <c r="P411" i="36"/>
  <c r="L419" i="36"/>
  <c r="L429" i="36"/>
  <c r="F440" i="36"/>
  <c r="H446" i="36"/>
  <c r="P454" i="36"/>
  <c r="D479" i="36"/>
  <c r="R481" i="33"/>
  <c r="L490" i="36"/>
  <c r="F504" i="36"/>
  <c r="R18" i="34"/>
  <c r="N18" i="19" s="1"/>
  <c r="R19" i="33"/>
  <c r="D19" i="36"/>
  <c r="F37" i="36"/>
  <c r="F54" i="36"/>
  <c r="R72" i="33"/>
  <c r="D71" i="36"/>
  <c r="P88" i="36"/>
  <c r="N103" i="36"/>
  <c r="N118" i="36"/>
  <c r="N133" i="36"/>
  <c r="H149" i="36"/>
  <c r="D165" i="36"/>
  <c r="R166" i="33"/>
  <c r="L182" i="36"/>
  <c r="F196" i="36"/>
  <c r="R212" i="33"/>
  <c r="D211" i="36"/>
  <c r="F229" i="36"/>
  <c r="N243" i="36"/>
  <c r="H257" i="36"/>
  <c r="L272" i="36"/>
  <c r="D288" i="36"/>
  <c r="D302" i="33"/>
  <c r="R289" i="33"/>
  <c r="H303" i="36"/>
  <c r="P317" i="36"/>
  <c r="P375" i="36"/>
  <c r="F454" i="36"/>
  <c r="H12" i="25"/>
  <c r="P51" i="36"/>
  <c r="F112" i="33"/>
  <c r="F99" i="36"/>
  <c r="F143" i="36"/>
  <c r="F312" i="36"/>
  <c r="D482" i="36"/>
  <c r="R484" i="33"/>
  <c r="R487" i="33"/>
  <c r="D485" i="36"/>
  <c r="N489" i="36"/>
  <c r="L493" i="36"/>
  <c r="L496" i="36"/>
  <c r="N499" i="36"/>
  <c r="H503" i="36"/>
  <c r="L510" i="36"/>
  <c r="P521" i="36"/>
  <c r="T191" i="4"/>
  <c r="T247" i="4" s="1"/>
  <c r="P524" i="36"/>
  <c r="R30" i="34"/>
  <c r="N13" i="25" s="1"/>
  <c r="R33" i="34"/>
  <c r="N16" i="25" s="1"/>
  <c r="D109" i="22"/>
  <c r="F12" i="36"/>
  <c r="H15" i="36"/>
  <c r="H18" i="36"/>
  <c r="F22" i="36"/>
  <c r="P26" i="36"/>
  <c r="P29" i="36"/>
  <c r="L36" i="36"/>
  <c r="F40" i="36"/>
  <c r="L46" i="36"/>
  <c r="N49" i="36"/>
  <c r="H53" i="36"/>
  <c r="F64" i="36"/>
  <c r="H67" i="36"/>
  <c r="H70" i="36"/>
  <c r="F74" i="36"/>
  <c r="N79" i="36"/>
  <c r="N99" i="33"/>
  <c r="H83" i="36"/>
  <c r="F87" i="36"/>
  <c r="R92" i="33"/>
  <c r="D91" i="36"/>
  <c r="D94" i="36"/>
  <c r="R95" i="33"/>
  <c r="D97" i="36"/>
  <c r="R98" i="33"/>
  <c r="F102" i="36"/>
  <c r="P106" i="36"/>
  <c r="P109" i="36"/>
  <c r="D114" i="36"/>
  <c r="R115" i="33"/>
  <c r="R118" i="33"/>
  <c r="D117" i="36"/>
  <c r="N121" i="36"/>
  <c r="L125" i="36"/>
  <c r="L128" i="36"/>
  <c r="P132" i="36"/>
  <c r="N136" i="36"/>
  <c r="L140" i="36"/>
  <c r="F144" i="36"/>
  <c r="L164" i="33"/>
  <c r="L148" i="36"/>
  <c r="N151" i="36"/>
  <c r="H155" i="36"/>
  <c r="F159" i="36"/>
  <c r="F164" i="36"/>
  <c r="P169" i="36"/>
  <c r="P173" i="33"/>
  <c r="D174" i="36"/>
  <c r="R175" i="33"/>
  <c r="R178" i="33"/>
  <c r="D177" i="36"/>
  <c r="N181" i="36"/>
  <c r="L185" i="36"/>
  <c r="L188" i="36"/>
  <c r="N191" i="36"/>
  <c r="H195" i="36"/>
  <c r="F199" i="36"/>
  <c r="R204" i="33"/>
  <c r="D203" i="36"/>
  <c r="R207" i="33"/>
  <c r="D206" i="36"/>
  <c r="H210" i="36"/>
  <c r="H219" i="33"/>
  <c r="F214" i="36"/>
  <c r="N219" i="36"/>
  <c r="N224" i="36"/>
  <c r="L228" i="36"/>
  <c r="F232" i="36"/>
  <c r="H235" i="36"/>
  <c r="H238" i="36"/>
  <c r="F242" i="36"/>
  <c r="P246" i="36"/>
  <c r="P249" i="36"/>
  <c r="P252" i="36"/>
  <c r="N256" i="36"/>
  <c r="P260" i="36"/>
  <c r="D264" i="36"/>
  <c r="R265" i="33"/>
  <c r="R268" i="33"/>
  <c r="D267" i="36"/>
  <c r="N271" i="36"/>
  <c r="L275" i="36"/>
  <c r="L278" i="36"/>
  <c r="N281" i="36"/>
  <c r="H286" i="36"/>
  <c r="H287" i="36" s="1"/>
  <c r="H290" i="36"/>
  <c r="H293" i="36"/>
  <c r="F297" i="36"/>
  <c r="N302" i="36"/>
  <c r="N334" i="33"/>
  <c r="H306" i="36"/>
  <c r="F310" i="36"/>
  <c r="R315" i="33"/>
  <c r="D314" i="36"/>
  <c r="D317" i="36"/>
  <c r="R318" i="33"/>
  <c r="H322" i="36"/>
  <c r="D338" i="36"/>
  <c r="R340" i="33"/>
  <c r="P353" i="36"/>
  <c r="F371" i="36"/>
  <c r="N385" i="36"/>
  <c r="R417" i="33"/>
  <c r="D415" i="36"/>
  <c r="P432" i="36"/>
  <c r="H450" i="36"/>
  <c r="R485" i="33"/>
  <c r="D483" i="36"/>
  <c r="L497" i="36"/>
  <c r="H191" i="4"/>
  <c r="H247" i="4" s="1"/>
  <c r="F521" i="36"/>
  <c r="N31" i="33"/>
  <c r="N10" i="36"/>
  <c r="R10" i="36" s="1"/>
  <c r="L21" i="36"/>
  <c r="F35" i="36"/>
  <c r="L49" i="36"/>
  <c r="N62" i="36"/>
  <c r="R62" i="36" s="1"/>
  <c r="N79" i="33"/>
  <c r="L73" i="36"/>
  <c r="F85" i="36"/>
  <c r="D96" i="36"/>
  <c r="R96" i="36" s="1"/>
  <c r="R97" i="33"/>
  <c r="F107" i="36"/>
  <c r="H118" i="36"/>
  <c r="R131" i="33"/>
  <c r="D130" i="36"/>
  <c r="R130" i="36" s="1"/>
  <c r="D148" i="33"/>
  <c r="H140" i="36"/>
  <c r="N160" i="36"/>
  <c r="N208" i="36"/>
  <c r="R255" i="33"/>
  <c r="D254" i="36"/>
  <c r="L300" i="36"/>
  <c r="N345" i="36"/>
  <c r="P406" i="36"/>
  <c r="F459" i="36"/>
  <c r="D11" i="34"/>
  <c r="R10" i="34"/>
  <c r="R11" i="34" s="1"/>
  <c r="P374" i="36"/>
  <c r="P377" i="36"/>
  <c r="N381" i="36"/>
  <c r="L385" i="36"/>
  <c r="P395" i="36"/>
  <c r="T192" i="4"/>
  <c r="T248" i="4" s="1"/>
  <c r="F407" i="36"/>
  <c r="H410" i="36"/>
  <c r="H413" i="36"/>
  <c r="F417" i="36"/>
  <c r="P421" i="36"/>
  <c r="D428" i="36"/>
  <c r="R430" i="33"/>
  <c r="R433" i="33"/>
  <c r="D431" i="36"/>
  <c r="T185" i="4"/>
  <c r="P438" i="36"/>
  <c r="P441" i="36"/>
  <c r="P444" i="36"/>
  <c r="N448" i="36"/>
  <c r="L452" i="36"/>
  <c r="L459" i="36"/>
  <c r="L477" i="36"/>
  <c r="P190" i="4"/>
  <c r="P246" i="4" s="1"/>
  <c r="L480" i="36"/>
  <c r="N483" i="36"/>
  <c r="H487" i="36"/>
  <c r="F491" i="36"/>
  <c r="D495" i="36"/>
  <c r="R497" i="33"/>
  <c r="R500" i="33"/>
  <c r="D498" i="36"/>
  <c r="R503" i="33"/>
  <c r="D501" i="36"/>
  <c r="F508" i="36"/>
  <c r="F513" i="36" s="1"/>
  <c r="F515" i="33"/>
  <c r="F518" i="33" s="1"/>
  <c r="P512" i="36"/>
  <c r="F523" i="36"/>
  <c r="P22" i="34"/>
  <c r="P25" i="34" s="1"/>
  <c r="P46" i="34"/>
  <c r="P31" i="33"/>
  <c r="P10" i="36"/>
  <c r="P13" i="36"/>
  <c r="P16" i="36"/>
  <c r="N20" i="36"/>
  <c r="L24" i="36"/>
  <c r="F28" i="36"/>
  <c r="F34" i="36"/>
  <c r="P38" i="36"/>
  <c r="D45" i="36"/>
  <c r="R46" i="33"/>
  <c r="D48" i="36"/>
  <c r="R49" i="33"/>
  <c r="R52" i="33"/>
  <c r="D51" i="36"/>
  <c r="N55" i="36"/>
  <c r="P79" i="33"/>
  <c r="P62" i="36"/>
  <c r="P65" i="36"/>
  <c r="P68" i="36"/>
  <c r="N72" i="36"/>
  <c r="L76" i="36"/>
  <c r="D81" i="36"/>
  <c r="R82" i="33"/>
  <c r="N85" i="36"/>
  <c r="L89" i="36"/>
  <c r="L92" i="36"/>
  <c r="N95" i="36"/>
  <c r="N100" i="36"/>
  <c r="L104" i="36"/>
  <c r="F108" i="36"/>
  <c r="L112" i="36"/>
  <c r="L130" i="33"/>
  <c r="N115" i="36"/>
  <c r="H119" i="36"/>
  <c r="F123" i="36"/>
  <c r="R128" i="33"/>
  <c r="D127" i="36"/>
  <c r="H131" i="36"/>
  <c r="H134" i="36"/>
  <c r="F138" i="36"/>
  <c r="P142" i="36"/>
  <c r="P145" i="36"/>
  <c r="R151" i="33"/>
  <c r="D150" i="36"/>
  <c r="D153" i="36"/>
  <c r="R154" i="33"/>
  <c r="N157" i="36"/>
  <c r="L161" i="36"/>
  <c r="P165" i="36"/>
  <c r="H171" i="36"/>
  <c r="R171" i="36" s="1"/>
  <c r="N175" i="36"/>
  <c r="H179" i="36"/>
  <c r="F183" i="36"/>
  <c r="R188" i="33"/>
  <c r="D187" i="36"/>
  <c r="D190" i="36"/>
  <c r="R191" i="33"/>
  <c r="D193" i="36"/>
  <c r="R194" i="33"/>
  <c r="N197" i="36"/>
  <c r="L201" i="36"/>
  <c r="L204" i="36"/>
  <c r="N207" i="36"/>
  <c r="N212" i="36"/>
  <c r="L216" i="36"/>
  <c r="R222" i="33"/>
  <c r="D221" i="36"/>
  <c r="F226" i="36"/>
  <c r="P230" i="36"/>
  <c r="P233" i="36"/>
  <c r="P236" i="36"/>
  <c r="N240" i="36"/>
  <c r="L244" i="36"/>
  <c r="F248" i="36"/>
  <c r="H251" i="36"/>
  <c r="H254" i="36"/>
  <c r="F258" i="36"/>
  <c r="F262" i="36"/>
  <c r="N265" i="36"/>
  <c r="H269" i="36"/>
  <c r="F273" i="36"/>
  <c r="R278" i="33"/>
  <c r="D277" i="36"/>
  <c r="D280" i="36"/>
  <c r="R281" i="33"/>
  <c r="D283" i="36"/>
  <c r="R284" i="33"/>
  <c r="P288" i="36"/>
  <c r="P302" i="33"/>
  <c r="P291" i="36"/>
  <c r="N295" i="36"/>
  <c r="L299" i="36"/>
  <c r="D304" i="36"/>
  <c r="R305" i="33"/>
  <c r="R334" i="33" s="1"/>
  <c r="N308" i="36"/>
  <c r="L312" i="36"/>
  <c r="L315" i="36"/>
  <c r="N318" i="36"/>
  <c r="R331" i="33"/>
  <c r="D329" i="36"/>
  <c r="H345" i="36"/>
  <c r="P359" i="36"/>
  <c r="P378" i="36"/>
  <c r="F408" i="36"/>
  <c r="F425" i="36"/>
  <c r="F435" i="33"/>
  <c r="F444" i="36"/>
  <c r="N468" i="36"/>
  <c r="N469" i="36" s="1"/>
  <c r="N472" i="36" s="1"/>
  <c r="R193" i="4"/>
  <c r="R251" i="4" s="1"/>
  <c r="N471" i="33"/>
  <c r="N474" i="33" s="1"/>
  <c r="D489" i="36"/>
  <c r="R491" i="33"/>
  <c r="N503" i="36"/>
  <c r="F17" i="25"/>
  <c r="J17" i="25" s="1"/>
  <c r="L17" i="25" s="1"/>
  <c r="P17" i="25" s="1"/>
  <c r="P15" i="36"/>
  <c r="N26" i="36"/>
  <c r="H40" i="36"/>
  <c r="N54" i="36"/>
  <c r="P67" i="36"/>
  <c r="D80" i="36"/>
  <c r="R81" i="33"/>
  <c r="H90" i="36"/>
  <c r="R103" i="33"/>
  <c r="D102" i="36"/>
  <c r="F113" i="36"/>
  <c r="D124" i="36"/>
  <c r="R124" i="36" s="1"/>
  <c r="R125" i="33"/>
  <c r="F135" i="36"/>
  <c r="N146" i="36"/>
  <c r="L187" i="36"/>
  <c r="H232" i="36"/>
  <c r="H276" i="36"/>
  <c r="D323" i="36"/>
  <c r="R324" i="33"/>
  <c r="L370" i="36"/>
  <c r="P430" i="36"/>
  <c r="P493" i="36"/>
  <c r="L375" i="36"/>
  <c r="N378" i="36"/>
  <c r="H382" i="36"/>
  <c r="F386" i="36"/>
  <c r="F424" i="33"/>
  <c r="F404" i="36"/>
  <c r="D408" i="36"/>
  <c r="R410" i="33"/>
  <c r="R413" i="33"/>
  <c r="N18" i="23" s="1"/>
  <c r="D411" i="36"/>
  <c r="R416" i="33"/>
  <c r="D414" i="36"/>
  <c r="N418" i="36"/>
  <c r="P425" i="36"/>
  <c r="P435" i="33"/>
  <c r="P428" i="36"/>
  <c r="P431" i="36"/>
  <c r="L439" i="36"/>
  <c r="P187" i="4"/>
  <c r="P244" i="4" s="1"/>
  <c r="L442" i="36"/>
  <c r="N445" i="36"/>
  <c r="H449" i="36"/>
  <c r="F453" i="36"/>
  <c r="F460" i="36"/>
  <c r="F478" i="36"/>
  <c r="H481" i="36"/>
  <c r="H484" i="36"/>
  <c r="F488" i="36"/>
  <c r="P492" i="36"/>
  <c r="P495" i="36"/>
  <c r="P498" i="36"/>
  <c r="N502" i="36"/>
  <c r="N509" i="36"/>
  <c r="F527" i="33"/>
  <c r="F530" i="33" s="1"/>
  <c r="F520" i="36"/>
  <c r="D524" i="36"/>
  <c r="R526" i="33"/>
  <c r="H36" i="34"/>
  <c r="H39" i="34" s="1"/>
  <c r="D33" i="26"/>
  <c r="L11" i="36"/>
  <c r="L14" i="36"/>
  <c r="L30" i="36" s="1"/>
  <c r="N17" i="36"/>
  <c r="H21" i="36"/>
  <c r="F25" i="36"/>
  <c r="R30" i="33"/>
  <c r="N29" i="17" s="1"/>
  <c r="D29" i="36"/>
  <c r="N35" i="36"/>
  <c r="L39" i="36"/>
  <c r="P45" i="36"/>
  <c r="P48" i="36"/>
  <c r="N52" i="36"/>
  <c r="N59" i="36"/>
  <c r="L63" i="36"/>
  <c r="L66" i="36"/>
  <c r="N69" i="36"/>
  <c r="H73" i="36"/>
  <c r="F77" i="36"/>
  <c r="N82" i="36"/>
  <c r="L86" i="36"/>
  <c r="F90" i="36"/>
  <c r="H93" i="36"/>
  <c r="H96" i="36"/>
  <c r="H101" i="36"/>
  <c r="F105" i="36"/>
  <c r="R110" i="33"/>
  <c r="D109" i="36"/>
  <c r="H113" i="36"/>
  <c r="H116" i="36"/>
  <c r="F120" i="36"/>
  <c r="P124" i="36"/>
  <c r="P127" i="36"/>
  <c r="R133" i="33"/>
  <c r="D132" i="36"/>
  <c r="R132" i="36" s="1"/>
  <c r="R136" i="33"/>
  <c r="D135" i="36"/>
  <c r="N139" i="36"/>
  <c r="L143" i="36"/>
  <c r="L146" i="36"/>
  <c r="P150" i="36"/>
  <c r="N154" i="36"/>
  <c r="L158" i="36"/>
  <c r="R158" i="36" s="1"/>
  <c r="F162" i="36"/>
  <c r="D169" i="36"/>
  <c r="D173" i="33"/>
  <c r="R170" i="33"/>
  <c r="H173" i="36"/>
  <c r="H210" i="33"/>
  <c r="H176" i="36"/>
  <c r="F180" i="36"/>
  <c r="P184" i="36"/>
  <c r="P187" i="36"/>
  <c r="P190" i="36"/>
  <c r="N194" i="36"/>
  <c r="L198" i="36"/>
  <c r="F202" i="36"/>
  <c r="H205" i="36"/>
  <c r="H208" i="36"/>
  <c r="H213" i="36"/>
  <c r="F217" i="36"/>
  <c r="D223" i="36"/>
  <c r="R224" i="33"/>
  <c r="D285" i="33"/>
  <c r="N227" i="36"/>
  <c r="L231" i="36"/>
  <c r="L234" i="36"/>
  <c r="N237" i="36"/>
  <c r="H241" i="36"/>
  <c r="F245" i="36"/>
  <c r="D249" i="36"/>
  <c r="R250" i="33"/>
  <c r="D252" i="36"/>
  <c r="R253" i="33"/>
  <c r="R256" i="33"/>
  <c r="D255" i="36"/>
  <c r="F259" i="36"/>
  <c r="D263" i="36"/>
  <c r="R264" i="33"/>
  <c r="H266" i="36"/>
  <c r="F270" i="36"/>
  <c r="P274" i="36"/>
  <c r="P277" i="36"/>
  <c r="P280" i="36"/>
  <c r="N288" i="33"/>
  <c r="N285" i="36"/>
  <c r="L289" i="36"/>
  <c r="N292" i="36"/>
  <c r="H296" i="36"/>
  <c r="F300" i="36"/>
  <c r="N305" i="36"/>
  <c r="L309" i="36"/>
  <c r="F313" i="36"/>
  <c r="H316" i="36"/>
  <c r="N321" i="36"/>
  <c r="F334" i="36"/>
  <c r="F349" i="36"/>
  <c r="R366" i="33"/>
  <c r="D364" i="36"/>
  <c r="R364" i="36" s="1"/>
  <c r="P381" i="36"/>
  <c r="R414" i="33"/>
  <c r="D412" i="36"/>
  <c r="P429" i="36"/>
  <c r="P433" i="36" s="1"/>
  <c r="H447" i="36"/>
  <c r="F479" i="36"/>
  <c r="N493" i="36"/>
  <c r="N510" i="36"/>
  <c r="L36" i="34"/>
  <c r="L39" i="34" s="1"/>
  <c r="N18" i="36"/>
  <c r="L29" i="36"/>
  <c r="N46" i="36"/>
  <c r="N56" i="36" s="1"/>
  <c r="P59" i="36"/>
  <c r="N70" i="36"/>
  <c r="H82" i="36"/>
  <c r="F93" i="36"/>
  <c r="H104" i="36"/>
  <c r="D116" i="36"/>
  <c r="R117" i="33"/>
  <c r="H126" i="36"/>
  <c r="R139" i="33"/>
  <c r="D138" i="36"/>
  <c r="N152" i="36"/>
  <c r="P197" i="36"/>
  <c r="F243" i="36"/>
  <c r="N289" i="36"/>
  <c r="L334" i="36"/>
  <c r="P380" i="36"/>
  <c r="D446" i="36"/>
  <c r="R448" i="33"/>
  <c r="N504" i="36"/>
  <c r="L324" i="36"/>
  <c r="F328" i="36"/>
  <c r="L343" i="33"/>
  <c r="L333" i="36"/>
  <c r="F337" i="36"/>
  <c r="H340" i="36"/>
  <c r="N344" i="36"/>
  <c r="H348" i="36"/>
  <c r="F352" i="36"/>
  <c r="D356" i="36"/>
  <c r="R358" i="33"/>
  <c r="R361" i="33"/>
  <c r="D359" i="36"/>
  <c r="H363" i="36"/>
  <c r="H370" i="36"/>
  <c r="F374" i="36"/>
  <c r="R380" i="33"/>
  <c r="D378" i="36"/>
  <c r="R383" i="33"/>
  <c r="D381" i="36"/>
  <c r="D384" i="36"/>
  <c r="R386" i="33"/>
  <c r="H192" i="4"/>
  <c r="H248" i="4" s="1"/>
  <c r="F395" i="36"/>
  <c r="L407" i="36"/>
  <c r="F411" i="36"/>
  <c r="H414" i="36"/>
  <c r="H417" i="36"/>
  <c r="F421" i="36"/>
  <c r="F428" i="36"/>
  <c r="D432" i="36"/>
  <c r="R434" i="33"/>
  <c r="N439" i="36"/>
  <c r="L443" i="36"/>
  <c r="L446" i="36"/>
  <c r="N449" i="36"/>
  <c r="H453" i="36"/>
  <c r="L460" i="36"/>
  <c r="L478" i="36"/>
  <c r="F482" i="36"/>
  <c r="H485" i="36"/>
  <c r="H488" i="36"/>
  <c r="F492" i="36"/>
  <c r="P496" i="36"/>
  <c r="P499" i="36"/>
  <c r="P502" i="36"/>
  <c r="D509" i="36"/>
  <c r="R511" i="33"/>
  <c r="H520" i="36"/>
  <c r="H525" i="36" s="1"/>
  <c r="H528" i="36" s="1"/>
  <c r="H527" i="33"/>
  <c r="H530" i="33" s="1"/>
  <c r="F524" i="36"/>
  <c r="F46" i="34"/>
  <c r="H16" i="25"/>
  <c r="D10" i="36"/>
  <c r="D31" i="33"/>
  <c r="R10" i="33"/>
  <c r="H12" i="36"/>
  <c r="F15" i="36"/>
  <c r="D18" i="36"/>
  <c r="R18" i="33"/>
  <c r="H20" i="36"/>
  <c r="F23" i="36"/>
  <c r="R27" i="33"/>
  <c r="D26" i="36"/>
  <c r="H28" i="36"/>
  <c r="R28" i="36" s="1"/>
  <c r="N34" i="36"/>
  <c r="L37" i="36"/>
  <c r="P39" i="36"/>
  <c r="R47" i="33"/>
  <c r="N45" i="17" s="1"/>
  <c r="D46" i="36"/>
  <c r="H48" i="36"/>
  <c r="F51" i="36"/>
  <c r="D54" i="36"/>
  <c r="R54" i="36" s="1"/>
  <c r="R55" i="33"/>
  <c r="F59" i="36"/>
  <c r="D62" i="36"/>
  <c r="D79" i="33"/>
  <c r="R63" i="33"/>
  <c r="H64" i="36"/>
  <c r="F67" i="36"/>
  <c r="D70" i="36"/>
  <c r="R71" i="33"/>
  <c r="H72" i="36"/>
  <c r="F75" i="36"/>
  <c r="L99" i="33"/>
  <c r="L79" i="36"/>
  <c r="P81" i="36"/>
  <c r="N84" i="36"/>
  <c r="L87" i="36"/>
  <c r="P89" i="36"/>
  <c r="N92" i="36"/>
  <c r="L95" i="36"/>
  <c r="P97" i="36"/>
  <c r="L101" i="36"/>
  <c r="P103" i="36"/>
  <c r="N106" i="36"/>
  <c r="L109" i="36"/>
  <c r="N112" i="36"/>
  <c r="N130" i="33"/>
  <c r="L115" i="36"/>
  <c r="P117" i="36"/>
  <c r="R117" i="36" s="1"/>
  <c r="N120" i="36"/>
  <c r="L123" i="36"/>
  <c r="P125" i="36"/>
  <c r="N128" i="36"/>
  <c r="P131" i="36"/>
  <c r="N134" i="36"/>
  <c r="L137" i="36"/>
  <c r="P139" i="36"/>
  <c r="N142" i="36"/>
  <c r="L145" i="36"/>
  <c r="L151" i="36"/>
  <c r="P157" i="36"/>
  <c r="P210" i="33"/>
  <c r="P173" i="36"/>
  <c r="N184" i="36"/>
  <c r="L195" i="36"/>
  <c r="R195" i="36" s="1"/>
  <c r="P205" i="36"/>
  <c r="L217" i="36"/>
  <c r="R231" i="33"/>
  <c r="D230" i="36"/>
  <c r="R230" i="36" s="1"/>
  <c r="H240" i="36"/>
  <c r="F251" i="36"/>
  <c r="H262" i="36"/>
  <c r="R275" i="33"/>
  <c r="D274" i="36"/>
  <c r="H285" i="36"/>
  <c r="H288" i="33"/>
  <c r="N297" i="36"/>
  <c r="N301" i="36" s="1"/>
  <c r="H309" i="36"/>
  <c r="F320" i="36"/>
  <c r="F330" i="36"/>
  <c r="P342" i="36"/>
  <c r="P364" i="33"/>
  <c r="N353" i="36"/>
  <c r="P364" i="36"/>
  <c r="L378" i="36"/>
  <c r="L404" i="36"/>
  <c r="L424" i="33"/>
  <c r="P414" i="36"/>
  <c r="L428" i="36"/>
  <c r="L433" i="36" s="1"/>
  <c r="F443" i="36"/>
  <c r="R456" i="33"/>
  <c r="D454" i="36"/>
  <c r="N480" i="36"/>
  <c r="L491" i="36"/>
  <c r="P501" i="36"/>
  <c r="F522" i="36"/>
  <c r="H319" i="36"/>
  <c r="R319" i="36" s="1"/>
  <c r="F323" i="36"/>
  <c r="P326" i="36"/>
  <c r="N330" i="36"/>
  <c r="P335" i="36"/>
  <c r="P338" i="36"/>
  <c r="R345" i="33"/>
  <c r="D343" i="36"/>
  <c r="D346" i="36"/>
  <c r="R348" i="33"/>
  <c r="N350" i="36"/>
  <c r="L354" i="36"/>
  <c r="L357" i="36"/>
  <c r="N360" i="36"/>
  <c r="F184" i="4"/>
  <c r="D368" i="36"/>
  <c r="D389" i="33"/>
  <c r="R370" i="33"/>
  <c r="N373" i="36"/>
  <c r="L376" i="36"/>
  <c r="L379" i="36"/>
  <c r="N382" i="36"/>
  <c r="H386" i="36"/>
  <c r="H186" i="4"/>
  <c r="H243" i="4" s="1"/>
  <c r="F405" i="36"/>
  <c r="P409" i="36"/>
  <c r="P412" i="36"/>
  <c r="P415" i="36"/>
  <c r="N419" i="36"/>
  <c r="N426" i="36"/>
  <c r="L430" i="36"/>
  <c r="H437" i="36"/>
  <c r="H457" i="33"/>
  <c r="F441" i="36"/>
  <c r="R447" i="33"/>
  <c r="D445" i="36"/>
  <c r="D448" i="36"/>
  <c r="R450" i="33"/>
  <c r="D451" i="36"/>
  <c r="R453" i="33"/>
  <c r="H189" i="4"/>
  <c r="F463" i="33"/>
  <c r="F458" i="36"/>
  <c r="F507" i="33"/>
  <c r="F476" i="36"/>
  <c r="P480" i="36"/>
  <c r="P483" i="36"/>
  <c r="P486" i="36"/>
  <c r="N490" i="36"/>
  <c r="L494" i="36"/>
  <c r="F498" i="36"/>
  <c r="H501" i="36"/>
  <c r="H504" i="36"/>
  <c r="H511" i="36"/>
  <c r="N522" i="36"/>
  <c r="F22" i="34"/>
  <c r="F13" i="25"/>
  <c r="D18" i="25"/>
  <c r="J18" i="26"/>
  <c r="J31" i="26"/>
  <c r="L31" i="26" s="1"/>
  <c r="F11" i="36"/>
  <c r="D14" i="36"/>
  <c r="R14" i="33"/>
  <c r="H16" i="36"/>
  <c r="F19" i="36"/>
  <c r="D22" i="36"/>
  <c r="R22" i="33"/>
  <c r="H24" i="36"/>
  <c r="F27" i="36"/>
  <c r="L33" i="36"/>
  <c r="L42" i="33"/>
  <c r="P35" i="36"/>
  <c r="N38" i="36"/>
  <c r="H44" i="36"/>
  <c r="H57" i="33"/>
  <c r="F47" i="36"/>
  <c r="R51" i="33"/>
  <c r="N48" i="17" s="1"/>
  <c r="D50" i="36"/>
  <c r="H52" i="36"/>
  <c r="F55" i="36"/>
  <c r="F63" i="36"/>
  <c r="R67" i="33"/>
  <c r="D66" i="36"/>
  <c r="H68" i="36"/>
  <c r="F71" i="36"/>
  <c r="D74" i="36"/>
  <c r="R75" i="33"/>
  <c r="H76" i="36"/>
  <c r="N80" i="36"/>
  <c r="L83" i="36"/>
  <c r="P85" i="36"/>
  <c r="N88" i="36"/>
  <c r="L91" i="36"/>
  <c r="P93" i="36"/>
  <c r="N96" i="36"/>
  <c r="P99" i="36"/>
  <c r="P112" i="33"/>
  <c r="P167" i="33" s="1"/>
  <c r="N102" i="36"/>
  <c r="L105" i="36"/>
  <c r="P107" i="36"/>
  <c r="N110" i="36"/>
  <c r="P113" i="36"/>
  <c r="N116" i="36"/>
  <c r="L119" i="36"/>
  <c r="P121" i="36"/>
  <c r="N124" i="36"/>
  <c r="L127" i="36"/>
  <c r="N130" i="36"/>
  <c r="N148" i="33"/>
  <c r="L133" i="36"/>
  <c r="P135" i="36"/>
  <c r="N138" i="36"/>
  <c r="L141" i="36"/>
  <c r="P143" i="36"/>
  <c r="N164" i="33"/>
  <c r="N148" i="36"/>
  <c r="P153" i="36"/>
  <c r="H164" i="36"/>
  <c r="L179" i="36"/>
  <c r="P189" i="36"/>
  <c r="N200" i="36"/>
  <c r="P211" i="36"/>
  <c r="H224" i="36"/>
  <c r="F235" i="36"/>
  <c r="R247" i="33"/>
  <c r="D246" i="36"/>
  <c r="H256" i="36"/>
  <c r="H268" i="36"/>
  <c r="F279" i="36"/>
  <c r="L292" i="36"/>
  <c r="F304" i="36"/>
  <c r="R316" i="33"/>
  <c r="D315" i="36"/>
  <c r="R315" i="36" s="1"/>
  <c r="H324" i="36"/>
  <c r="P336" i="36"/>
  <c r="L348" i="36"/>
  <c r="P358" i="36"/>
  <c r="P373" i="36"/>
  <c r="N383" i="36"/>
  <c r="N409" i="36"/>
  <c r="L420" i="36"/>
  <c r="R420" i="36" s="1"/>
  <c r="F185" i="4"/>
  <c r="F242" i="4" s="1"/>
  <c r="R440" i="33"/>
  <c r="N48" i="21" s="1"/>
  <c r="D438" i="36"/>
  <c r="H448" i="36"/>
  <c r="T193" i="4"/>
  <c r="T251" i="4" s="1"/>
  <c r="P471" i="33"/>
  <c r="P474" i="33" s="1"/>
  <c r="P468" i="36"/>
  <c r="P469" i="36" s="1"/>
  <c r="P472" i="36" s="1"/>
  <c r="P485" i="36"/>
  <c r="N496" i="36"/>
  <c r="P509" i="36"/>
  <c r="D320" i="36"/>
  <c r="R321" i="33"/>
  <c r="L327" i="36"/>
  <c r="L331" i="36"/>
  <c r="L336" i="36"/>
  <c r="L339" i="36"/>
  <c r="L341" i="36" s="1"/>
  <c r="P343" i="36"/>
  <c r="N347" i="36"/>
  <c r="L351" i="36"/>
  <c r="F355" i="36"/>
  <c r="H358" i="36"/>
  <c r="H361" i="36"/>
  <c r="N369" i="36"/>
  <c r="L372" i="36"/>
  <c r="L387" i="36" s="1"/>
  <c r="F377" i="36"/>
  <c r="H380" i="36"/>
  <c r="H383" i="36"/>
  <c r="F394" i="36"/>
  <c r="F396" i="36" s="1"/>
  <c r="F398" i="36" s="1"/>
  <c r="F398" i="33"/>
  <c r="F400" i="33" s="1"/>
  <c r="N406" i="36"/>
  <c r="L410" i="36"/>
  <c r="L413" i="36"/>
  <c r="N416" i="36"/>
  <c r="H420" i="36"/>
  <c r="L427" i="36"/>
  <c r="F431" i="36"/>
  <c r="H185" i="4"/>
  <c r="H242" i="4" s="1"/>
  <c r="F438" i="36"/>
  <c r="T187" i="4"/>
  <c r="T244" i="4" s="1"/>
  <c r="P442" i="36"/>
  <c r="P445" i="36"/>
  <c r="P448" i="36"/>
  <c r="N452" i="36"/>
  <c r="N459" i="36"/>
  <c r="N477" i="36"/>
  <c r="R190" i="4"/>
  <c r="R246" i="4" s="1"/>
  <c r="L481" i="36"/>
  <c r="L484" i="36"/>
  <c r="N487" i="36"/>
  <c r="H491" i="36"/>
  <c r="F495" i="36"/>
  <c r="D499" i="36"/>
  <c r="R499" i="36" s="1"/>
  <c r="R501" i="33"/>
  <c r="D502" i="36"/>
  <c r="R504" i="33"/>
  <c r="H515" i="33"/>
  <c r="H518" i="33" s="1"/>
  <c r="H508" i="36"/>
  <c r="F512" i="36"/>
  <c r="L523" i="36"/>
  <c r="R31" i="34"/>
  <c r="N14" i="25" s="1"/>
  <c r="J14" i="26"/>
  <c r="L14" i="26" s="1"/>
  <c r="D14" i="25"/>
  <c r="J27" i="26"/>
  <c r="L27" i="26" s="1"/>
  <c r="H109" i="22"/>
  <c r="J109" i="22" s="1"/>
  <c r="L109" i="22" s="1"/>
  <c r="P11" i="36"/>
  <c r="N14" i="36"/>
  <c r="L17" i="36"/>
  <c r="P19" i="36"/>
  <c r="N22" i="36"/>
  <c r="L25" i="36"/>
  <c r="P27" i="36"/>
  <c r="R35" i="33"/>
  <c r="N34" i="15" s="1"/>
  <c r="D34" i="36"/>
  <c r="H36" i="36"/>
  <c r="F39" i="36"/>
  <c r="L45" i="36"/>
  <c r="P47" i="36"/>
  <c r="N50" i="36"/>
  <c r="L53" i="36"/>
  <c r="P55" i="36"/>
  <c r="L60" i="36"/>
  <c r="P63" i="36"/>
  <c r="N66" i="36"/>
  <c r="L69" i="36"/>
  <c r="P71" i="36"/>
  <c r="N74" i="36"/>
  <c r="L77" i="36"/>
  <c r="F81" i="36"/>
  <c r="F98" i="36" s="1"/>
  <c r="D84" i="36"/>
  <c r="R85" i="33"/>
  <c r="H86" i="36"/>
  <c r="F89" i="36"/>
  <c r="R89" i="36" s="1"/>
  <c r="R93" i="33"/>
  <c r="D92" i="36"/>
  <c r="H94" i="36"/>
  <c r="F97" i="36"/>
  <c r="H100" i="36"/>
  <c r="F103" i="36"/>
  <c r="R107" i="33"/>
  <c r="D106" i="36"/>
  <c r="R106" i="36" s="1"/>
  <c r="H108" i="36"/>
  <c r="D130" i="33"/>
  <c r="R113" i="33"/>
  <c r="D112" i="36"/>
  <c r="H114" i="36"/>
  <c r="F117" i="36"/>
  <c r="R121" i="33"/>
  <c r="D120" i="36"/>
  <c r="H122" i="36"/>
  <c r="F125" i="36"/>
  <c r="R129" i="33"/>
  <c r="D128" i="36"/>
  <c r="R128" i="36" s="1"/>
  <c r="F131" i="36"/>
  <c r="R135" i="33"/>
  <c r="D134" i="36"/>
  <c r="H136" i="36"/>
  <c r="F139" i="36"/>
  <c r="D142" i="36"/>
  <c r="R143" i="33"/>
  <c r="H144" i="36"/>
  <c r="R144" i="36" s="1"/>
  <c r="P149" i="36"/>
  <c r="L155" i="36"/>
  <c r="N170" i="36"/>
  <c r="P181" i="36"/>
  <c r="N192" i="36"/>
  <c r="L203" i="36"/>
  <c r="N214" i="36"/>
  <c r="F227" i="36"/>
  <c r="D238" i="36"/>
  <c r="R239" i="33"/>
  <c r="H248" i="36"/>
  <c r="R261" i="33"/>
  <c r="D260" i="36"/>
  <c r="F271" i="36"/>
  <c r="D282" i="36"/>
  <c r="R283" i="33"/>
  <c r="P294" i="36"/>
  <c r="D307" i="36"/>
  <c r="R308" i="33"/>
  <c r="H317" i="36"/>
  <c r="F327" i="36"/>
  <c r="N339" i="36"/>
  <c r="P350" i="36"/>
  <c r="N361" i="36"/>
  <c r="R361" i="36" s="1"/>
  <c r="N375" i="36"/>
  <c r="L386" i="36"/>
  <c r="L412" i="36"/>
  <c r="N435" i="33"/>
  <c r="N425" i="36"/>
  <c r="H440" i="36"/>
  <c r="F451" i="36"/>
  <c r="P477" i="36"/>
  <c r="P505" i="36" s="1"/>
  <c r="T190" i="4"/>
  <c r="T246" i="4" s="1"/>
  <c r="N488" i="36"/>
  <c r="L499" i="36"/>
  <c r="N512" i="36"/>
  <c r="R19" i="34"/>
  <c r="N19" i="19" s="1"/>
  <c r="N46" i="34"/>
  <c r="D146" i="36"/>
  <c r="R147" i="33"/>
  <c r="F149" i="36"/>
  <c r="D152" i="36"/>
  <c r="R153" i="33"/>
  <c r="H154" i="36"/>
  <c r="F157" i="36"/>
  <c r="R161" i="33"/>
  <c r="D160" i="36"/>
  <c r="H162" i="36"/>
  <c r="R162" i="36" s="1"/>
  <c r="D170" i="36"/>
  <c r="D172" i="36" s="1"/>
  <c r="R171" i="33"/>
  <c r="F173" i="36"/>
  <c r="F210" i="33"/>
  <c r="R177" i="33"/>
  <c r="D176" i="36"/>
  <c r="H178" i="36"/>
  <c r="F181" i="36"/>
  <c r="D184" i="36"/>
  <c r="R185" i="33"/>
  <c r="H186" i="36"/>
  <c r="R186" i="36" s="1"/>
  <c r="F189" i="36"/>
  <c r="R193" i="33"/>
  <c r="D192" i="36"/>
  <c r="H194" i="36"/>
  <c r="F197" i="36"/>
  <c r="D200" i="36"/>
  <c r="R201" i="33"/>
  <c r="H202" i="36"/>
  <c r="F205" i="36"/>
  <c r="R209" i="33"/>
  <c r="D208" i="36"/>
  <c r="F211" i="36"/>
  <c r="R215" i="33"/>
  <c r="D214" i="36"/>
  <c r="H216" i="36"/>
  <c r="N223" i="33"/>
  <c r="N220" i="36"/>
  <c r="N222" i="36" s="1"/>
  <c r="P223" i="36"/>
  <c r="P285" i="33"/>
  <c r="N226" i="36"/>
  <c r="L229" i="36"/>
  <c r="P231" i="36"/>
  <c r="N234" i="36"/>
  <c r="L237" i="36"/>
  <c r="P239" i="36"/>
  <c r="N242" i="36"/>
  <c r="L245" i="36"/>
  <c r="P247" i="36"/>
  <c r="N250" i="36"/>
  <c r="L253" i="36"/>
  <c r="P255" i="36"/>
  <c r="L259" i="36"/>
  <c r="P261" i="36"/>
  <c r="L265" i="36"/>
  <c r="P267" i="36"/>
  <c r="N270" i="36"/>
  <c r="L273" i="36"/>
  <c r="P275" i="36"/>
  <c r="N278" i="36"/>
  <c r="L281" i="36"/>
  <c r="P283" i="36"/>
  <c r="R290" i="33"/>
  <c r="D289" i="36"/>
  <c r="H291" i="36"/>
  <c r="F294" i="36"/>
  <c r="R294" i="36" s="1"/>
  <c r="D297" i="36"/>
  <c r="R298" i="33"/>
  <c r="H299" i="36"/>
  <c r="N303" i="36"/>
  <c r="L306" i="36"/>
  <c r="P308" i="36"/>
  <c r="N311" i="36"/>
  <c r="L314" i="36"/>
  <c r="P316" i="36"/>
  <c r="N319" i="36"/>
  <c r="L322" i="36"/>
  <c r="N326" i="36"/>
  <c r="L329" i="36"/>
  <c r="H343" i="33"/>
  <c r="H333" i="36"/>
  <c r="F336" i="36"/>
  <c r="F341" i="36" s="1"/>
  <c r="D339" i="36"/>
  <c r="R341" i="33"/>
  <c r="F364" i="33"/>
  <c r="F342" i="36"/>
  <c r="D345" i="36"/>
  <c r="R347" i="33"/>
  <c r="H347" i="36"/>
  <c r="F350" i="36"/>
  <c r="R350" i="36" s="1"/>
  <c r="R355" i="33"/>
  <c r="D353" i="36"/>
  <c r="H355" i="36"/>
  <c r="F358" i="36"/>
  <c r="D361" i="36"/>
  <c r="R363" i="33"/>
  <c r="F364" i="36"/>
  <c r="H369" i="36"/>
  <c r="F373" i="36"/>
  <c r="D375" i="36"/>
  <c r="R377" i="33"/>
  <c r="H377" i="36"/>
  <c r="F380" i="36"/>
  <c r="R385" i="33"/>
  <c r="D383" i="36"/>
  <c r="H385" i="36"/>
  <c r="R385" i="36" s="1"/>
  <c r="R192" i="4"/>
  <c r="R248" i="4" s="1"/>
  <c r="N395" i="36"/>
  <c r="F406" i="36"/>
  <c r="D409" i="36"/>
  <c r="D422" i="36" s="1"/>
  <c r="R411" i="33"/>
  <c r="H411" i="36"/>
  <c r="F414" i="36"/>
  <c r="R419" i="33"/>
  <c r="D417" i="36"/>
  <c r="H419" i="36"/>
  <c r="D425" i="36"/>
  <c r="R427" i="33"/>
  <c r="D435" i="33"/>
  <c r="H427" i="36"/>
  <c r="F430" i="36"/>
  <c r="L437" i="36"/>
  <c r="L457" i="33"/>
  <c r="P439" i="36"/>
  <c r="R187" i="4"/>
  <c r="R244" i="4" s="1"/>
  <c r="N442" i="36"/>
  <c r="R442" i="36" s="1"/>
  <c r="L445" i="36"/>
  <c r="P447" i="36"/>
  <c r="N450" i="36"/>
  <c r="L453" i="36"/>
  <c r="N458" i="36"/>
  <c r="R189" i="4"/>
  <c r="R245" i="4" s="1"/>
  <c r="N463" i="33"/>
  <c r="F471" i="33"/>
  <c r="F474" i="33" s="1"/>
  <c r="H193" i="4"/>
  <c r="H251" i="4" s="1"/>
  <c r="F468" i="36"/>
  <c r="F469" i="36" s="1"/>
  <c r="F472" i="36" s="1"/>
  <c r="H190" i="4"/>
  <c r="H246" i="4" s="1"/>
  <c r="F477" i="36"/>
  <c r="D480" i="36"/>
  <c r="R482" i="33"/>
  <c r="H482" i="36"/>
  <c r="F485" i="36"/>
  <c r="R485" i="36" s="1"/>
  <c r="R490" i="33"/>
  <c r="N19" i="11" s="1"/>
  <c r="D488" i="36"/>
  <c r="H490" i="36"/>
  <c r="F493" i="36"/>
  <c r="D496" i="36"/>
  <c r="R498" i="33"/>
  <c r="H498" i="36"/>
  <c r="F501" i="36"/>
  <c r="R501" i="36" s="1"/>
  <c r="R506" i="33"/>
  <c r="N35" i="9" s="1"/>
  <c r="D504" i="36"/>
  <c r="F509" i="36"/>
  <c r="R514" i="33"/>
  <c r="D512" i="36"/>
  <c r="R191" i="4"/>
  <c r="R247" i="4" s="1"/>
  <c r="N521" i="36"/>
  <c r="L524" i="36"/>
  <c r="N22" i="34"/>
  <c r="R43" i="34"/>
  <c r="D46" i="34"/>
  <c r="R149" i="33"/>
  <c r="R164" i="33" s="1"/>
  <c r="D164" i="33"/>
  <c r="D148" i="36"/>
  <c r="H150" i="36"/>
  <c r="F153" i="36"/>
  <c r="R153" i="36" s="1"/>
  <c r="D156" i="36"/>
  <c r="R157" i="33"/>
  <c r="H158" i="36"/>
  <c r="F161" i="36"/>
  <c r="L165" i="36"/>
  <c r="F171" i="36"/>
  <c r="H174" i="36"/>
  <c r="F177" i="36"/>
  <c r="R177" i="36" s="1"/>
  <c r="R181" i="33"/>
  <c r="D180" i="36"/>
  <c r="H182" i="36"/>
  <c r="F185" i="36"/>
  <c r="D188" i="36"/>
  <c r="R189" i="33"/>
  <c r="H190" i="36"/>
  <c r="F193" i="36"/>
  <c r="R197" i="33"/>
  <c r="D196" i="36"/>
  <c r="H198" i="36"/>
  <c r="F201" i="36"/>
  <c r="R201" i="36" s="1"/>
  <c r="D204" i="36"/>
  <c r="R205" i="33"/>
  <c r="H206" i="36"/>
  <c r="D219" i="33"/>
  <c r="R211" i="33"/>
  <c r="D210" i="36"/>
  <c r="H212" i="36"/>
  <c r="F215" i="36"/>
  <c r="F218" i="36" s="1"/>
  <c r="L219" i="36"/>
  <c r="P221" i="36"/>
  <c r="L225" i="36"/>
  <c r="P227" i="36"/>
  <c r="N230" i="36"/>
  <c r="L233" i="36"/>
  <c r="P235" i="36"/>
  <c r="N238" i="36"/>
  <c r="L241" i="36"/>
  <c r="P243" i="36"/>
  <c r="N246" i="36"/>
  <c r="L249" i="36"/>
  <c r="P251" i="36"/>
  <c r="N254" i="36"/>
  <c r="L257" i="36"/>
  <c r="N260" i="36"/>
  <c r="N263" i="36"/>
  <c r="N266" i="36"/>
  <c r="R266" i="36" s="1"/>
  <c r="L269" i="36"/>
  <c r="P271" i="36"/>
  <c r="N274" i="36"/>
  <c r="L277" i="36"/>
  <c r="P279" i="36"/>
  <c r="N282" i="36"/>
  <c r="L286" i="36"/>
  <c r="F290" i="36"/>
  <c r="D293" i="36"/>
  <c r="R294" i="33"/>
  <c r="H295" i="36"/>
  <c r="F298" i="36"/>
  <c r="L334" i="33"/>
  <c r="L302" i="36"/>
  <c r="L332" i="36" s="1"/>
  <c r="P304" i="36"/>
  <c r="N307" i="36"/>
  <c r="L310" i="36"/>
  <c r="P312" i="36"/>
  <c r="N315" i="36"/>
  <c r="L318" i="36"/>
  <c r="P320" i="36"/>
  <c r="N323" i="36"/>
  <c r="L325" i="36"/>
  <c r="P327" i="36"/>
  <c r="P330" i="36"/>
  <c r="R337" i="33"/>
  <c r="D335" i="36"/>
  <c r="H337" i="36"/>
  <c r="F340" i="36"/>
  <c r="H343" i="36"/>
  <c r="F346" i="36"/>
  <c r="R351" i="33"/>
  <c r="D349" i="36"/>
  <c r="H351" i="36"/>
  <c r="F354" i="36"/>
  <c r="D357" i="36"/>
  <c r="R359" i="33"/>
  <c r="H359" i="36"/>
  <c r="R365" i="33"/>
  <c r="N83" i="17" s="1"/>
  <c r="D363" i="36"/>
  <c r="H184" i="4"/>
  <c r="F389" i="33"/>
  <c r="F368" i="36"/>
  <c r="R373" i="33"/>
  <c r="D371" i="36"/>
  <c r="H372" i="36"/>
  <c r="F376" i="36"/>
  <c r="D379" i="36"/>
  <c r="R381" i="33"/>
  <c r="H381" i="36"/>
  <c r="F384" i="36"/>
  <c r="H398" i="33"/>
  <c r="H400" i="33" s="1"/>
  <c r="H394" i="36"/>
  <c r="H396" i="36" s="1"/>
  <c r="H398" i="36" s="1"/>
  <c r="R407" i="33"/>
  <c r="F186" i="4"/>
  <c r="F243" i="4" s="1"/>
  <c r="D405" i="36"/>
  <c r="H407" i="36"/>
  <c r="F410" i="36"/>
  <c r="R415" i="33"/>
  <c r="D413" i="36"/>
  <c r="H415" i="36"/>
  <c r="F418" i="36"/>
  <c r="D421" i="36"/>
  <c r="R423" i="33"/>
  <c r="F426" i="36"/>
  <c r="D429" i="36"/>
  <c r="R431" i="33"/>
  <c r="N36" i="23" s="1"/>
  <c r="H431" i="36"/>
  <c r="N438" i="36"/>
  <c r="R185" i="4"/>
  <c r="R242" i="4" s="1"/>
  <c r="L441" i="36"/>
  <c r="P443" i="36"/>
  <c r="N446" i="36"/>
  <c r="L449" i="36"/>
  <c r="P451" i="36"/>
  <c r="N454" i="36"/>
  <c r="P459" i="36"/>
  <c r="P461" i="36" s="1"/>
  <c r="D476" i="36"/>
  <c r="R478" i="33"/>
  <c r="N11" i="11" s="1"/>
  <c r="D507" i="33"/>
  <c r="H478" i="36"/>
  <c r="F481" i="36"/>
  <c r="R486" i="33"/>
  <c r="D484" i="36"/>
  <c r="H486" i="36"/>
  <c r="F489" i="36"/>
  <c r="D492" i="36"/>
  <c r="R494" i="33"/>
  <c r="H494" i="36"/>
  <c r="F497" i="36"/>
  <c r="R502" i="33"/>
  <c r="N31" i="9" s="1"/>
  <c r="D500" i="36"/>
  <c r="H502" i="36"/>
  <c r="D508" i="36"/>
  <c r="R508" i="36" s="1"/>
  <c r="R510" i="33"/>
  <c r="D515" i="33"/>
  <c r="D518" i="33" s="1"/>
  <c r="H510" i="36"/>
  <c r="L520" i="36"/>
  <c r="L527" i="33"/>
  <c r="L530" i="33" s="1"/>
  <c r="P522" i="36"/>
  <c r="N11" i="34"/>
  <c r="N25" i="34" s="1"/>
  <c r="N50" i="34" s="1"/>
  <c r="F36" i="34"/>
  <c r="F39" i="34" s="1"/>
  <c r="R32" i="34"/>
  <c r="N15" i="25" s="1"/>
  <c r="N156" i="36"/>
  <c r="L159" i="36"/>
  <c r="P161" i="36"/>
  <c r="L173" i="33"/>
  <c r="L169" i="36"/>
  <c r="L172" i="36" s="1"/>
  <c r="P171" i="36"/>
  <c r="L175" i="36"/>
  <c r="R175" i="36" s="1"/>
  <c r="P177" i="36"/>
  <c r="N180" i="36"/>
  <c r="L183" i="36"/>
  <c r="P185" i="36"/>
  <c r="N188" i="36"/>
  <c r="L191" i="36"/>
  <c r="P193" i="36"/>
  <c r="N196" i="36"/>
  <c r="L199" i="36"/>
  <c r="P201" i="36"/>
  <c r="N204" i="36"/>
  <c r="L207" i="36"/>
  <c r="N210" i="36"/>
  <c r="N219" i="33"/>
  <c r="L213" i="36"/>
  <c r="P215" i="36"/>
  <c r="R221" i="33"/>
  <c r="D223" i="33"/>
  <c r="D220" i="36"/>
  <c r="F223" i="36"/>
  <c r="F285" i="33"/>
  <c r="D226" i="36"/>
  <c r="R227" i="33"/>
  <c r="H228" i="36"/>
  <c r="R228" i="36" s="1"/>
  <c r="F231" i="36"/>
  <c r="R235" i="33"/>
  <c r="D234" i="36"/>
  <c r="H236" i="36"/>
  <c r="F239" i="36"/>
  <c r="D242" i="36"/>
  <c r="R243" i="33"/>
  <c r="H244" i="36"/>
  <c r="R244" i="36" s="1"/>
  <c r="F247" i="36"/>
  <c r="R251" i="33"/>
  <c r="D250" i="36"/>
  <c r="H252" i="36"/>
  <c r="F255" i="36"/>
  <c r="R259" i="33"/>
  <c r="R258" i="36" s="1"/>
  <c r="D258" i="36"/>
  <c r="F261" i="36"/>
  <c r="H264" i="36"/>
  <c r="F267" i="36"/>
  <c r="R271" i="33"/>
  <c r="D270" i="36"/>
  <c r="R270" i="36" s="1"/>
  <c r="H272" i="36"/>
  <c r="F275" i="36"/>
  <c r="D278" i="36"/>
  <c r="R279" i="33"/>
  <c r="H280" i="36"/>
  <c r="R280" i="36" s="1"/>
  <c r="F283" i="36"/>
  <c r="L288" i="36"/>
  <c r="L302" i="33"/>
  <c r="P290" i="36"/>
  <c r="N293" i="36"/>
  <c r="L296" i="36"/>
  <c r="P298" i="36"/>
  <c r="R304" i="33"/>
  <c r="D303" i="36"/>
  <c r="H305" i="36"/>
  <c r="F308" i="36"/>
  <c r="R312" i="33"/>
  <c r="D311" i="36"/>
  <c r="H313" i="36"/>
  <c r="F316" i="36"/>
  <c r="D319" i="36"/>
  <c r="R320" i="33"/>
  <c r="H321" i="36"/>
  <c r="D326" i="36"/>
  <c r="R328" i="33"/>
  <c r="H328" i="36"/>
  <c r="H331" i="36"/>
  <c r="N335" i="36"/>
  <c r="N341" i="36" s="1"/>
  <c r="L338" i="36"/>
  <c r="P340" i="36"/>
  <c r="R340" i="36" s="1"/>
  <c r="L344" i="36"/>
  <c r="P346" i="36"/>
  <c r="N349" i="36"/>
  <c r="L352" i="36"/>
  <c r="P354" i="36"/>
  <c r="N357" i="36"/>
  <c r="L360" i="36"/>
  <c r="N363" i="36"/>
  <c r="P368" i="36"/>
  <c r="T184" i="4"/>
  <c r="T241" i="4" s="1"/>
  <c r="P389" i="33"/>
  <c r="N371" i="36"/>
  <c r="L374" i="36"/>
  <c r="P376" i="36"/>
  <c r="N379" i="36"/>
  <c r="L382" i="36"/>
  <c r="P384" i="36"/>
  <c r="D395" i="36"/>
  <c r="R397" i="33"/>
  <c r="N56" i="17" s="1"/>
  <c r="N57" i="17" s="1"/>
  <c r="F192" i="4"/>
  <c r="F248" i="4" s="1"/>
  <c r="R186" i="4"/>
  <c r="R243" i="4" s="1"/>
  <c r="N405" i="36"/>
  <c r="L408" i="36"/>
  <c r="P410" i="36"/>
  <c r="N413" i="36"/>
  <c r="L416" i="36"/>
  <c r="R416" i="36" s="1"/>
  <c r="P418" i="36"/>
  <c r="N421" i="36"/>
  <c r="P426" i="36"/>
  <c r="N429" i="36"/>
  <c r="L432" i="36"/>
  <c r="F439" i="36"/>
  <c r="R444" i="33"/>
  <c r="F187" i="4"/>
  <c r="F244" i="4" s="1"/>
  <c r="D442" i="36"/>
  <c r="H444" i="36"/>
  <c r="F447" i="36"/>
  <c r="R452" i="33"/>
  <c r="N60" i="23" s="1"/>
  <c r="D450" i="36"/>
  <c r="H452" i="36"/>
  <c r="F189" i="4"/>
  <c r="F245" i="4" s="1"/>
  <c r="D458" i="36"/>
  <c r="R460" i="33"/>
  <c r="N67" i="21" s="1"/>
  <c r="D463" i="33"/>
  <c r="H460" i="36"/>
  <c r="N476" i="36"/>
  <c r="N507" i="33"/>
  <c r="L479" i="36"/>
  <c r="P481" i="36"/>
  <c r="N484" i="36"/>
  <c r="L487" i="36"/>
  <c r="P489" i="36"/>
  <c r="N492" i="36"/>
  <c r="L495" i="36"/>
  <c r="P497" i="36"/>
  <c r="N500" i="36"/>
  <c r="L503" i="36"/>
  <c r="N508" i="36"/>
  <c r="N515" i="33"/>
  <c r="N518" i="33" s="1"/>
  <c r="L511" i="36"/>
  <c r="R523" i="33"/>
  <c r="F191" i="4"/>
  <c r="F247" i="4" s="1"/>
  <c r="D521" i="36"/>
  <c r="H523" i="36"/>
  <c r="D22" i="34"/>
  <c r="D25" i="34" s="1"/>
  <c r="R15" i="34"/>
  <c r="P36" i="34"/>
  <c r="P39" i="34" s="1"/>
  <c r="AG21" i="4"/>
  <c r="AI21" i="4"/>
  <c r="AT17" i="4"/>
  <c r="AU17" i="4" s="1"/>
  <c r="J136" i="4"/>
  <c r="J175" i="4" s="1"/>
  <c r="K37" i="3"/>
  <c r="AJ473" i="5"/>
  <c r="U35" i="3"/>
  <c r="W32" i="3"/>
  <c r="AL444" i="5"/>
  <c r="AT442" i="5"/>
  <c r="AJ338" i="5"/>
  <c r="D133" i="1"/>
  <c r="N23" i="11"/>
  <c r="N23" i="9"/>
  <c r="N38" i="9"/>
  <c r="N14" i="23"/>
  <c r="N14" i="21"/>
  <c r="J241" i="4"/>
  <c r="R286" i="36"/>
  <c r="N35" i="17"/>
  <c r="N35" i="15"/>
  <c r="N20" i="17"/>
  <c r="N20" i="15"/>
  <c r="N36" i="15"/>
  <c r="P36" i="15" s="1"/>
  <c r="H125" i="24"/>
  <c r="J58" i="22"/>
  <c r="L58" i="22" s="1"/>
  <c r="H58" i="21"/>
  <c r="P26" i="23"/>
  <c r="L30" i="20"/>
  <c r="J60" i="16"/>
  <c r="J28" i="17"/>
  <c r="L28" i="18"/>
  <c r="L28" i="17" s="1"/>
  <c r="L157" i="18"/>
  <c r="L166" i="18" s="1"/>
  <c r="J44" i="15"/>
  <c r="L21" i="14"/>
  <c r="L22" i="14" s="1"/>
  <c r="L24" i="14" s="1"/>
  <c r="J22" i="14"/>
  <c r="J24" i="14" s="1"/>
  <c r="J30" i="10"/>
  <c r="L30" i="10" s="1"/>
  <c r="F41" i="10"/>
  <c r="J365" i="36"/>
  <c r="J390" i="36" s="1"/>
  <c r="J531" i="36" s="1"/>
  <c r="L11" i="32"/>
  <c r="L12" i="32" s="1"/>
  <c r="J12" i="32"/>
  <c r="O37" i="3"/>
  <c r="V295" i="4"/>
  <c r="M14" i="3"/>
  <c r="M37" i="3" s="1"/>
  <c r="P296" i="4"/>
  <c r="AV448" i="5"/>
  <c r="AJ326" i="5"/>
  <c r="W33" i="3"/>
  <c r="AJ256" i="5"/>
  <c r="AV127" i="5"/>
  <c r="AV352" i="5"/>
  <c r="AV99" i="5"/>
  <c r="AJ385" i="5"/>
  <c r="U25" i="3"/>
  <c r="AT126" i="5"/>
  <c r="AV126" i="5" s="1"/>
  <c r="AV90" i="5"/>
  <c r="R46" i="34"/>
  <c r="N11" i="13"/>
  <c r="N12" i="13" s="1"/>
  <c r="N15" i="13" s="1"/>
  <c r="N15" i="19"/>
  <c r="N35" i="11"/>
  <c r="N19" i="9"/>
  <c r="N11" i="9"/>
  <c r="R463" i="33"/>
  <c r="N68" i="23"/>
  <c r="N64" i="23"/>
  <c r="N64" i="21"/>
  <c r="N48" i="23"/>
  <c r="R208" i="36"/>
  <c r="N14" i="11"/>
  <c r="N14" i="9"/>
  <c r="N55" i="23"/>
  <c r="N22" i="23"/>
  <c r="N22" i="21"/>
  <c r="N96" i="17"/>
  <c r="N96" i="15"/>
  <c r="F241" i="4"/>
  <c r="N84" i="17"/>
  <c r="N84" i="15"/>
  <c r="L163" i="36"/>
  <c r="N46" i="17"/>
  <c r="N46" i="15"/>
  <c r="F525" i="36"/>
  <c r="F528" i="36" s="1"/>
  <c r="N26" i="11"/>
  <c r="N26" i="9"/>
  <c r="N15" i="23"/>
  <c r="N15" i="21"/>
  <c r="T243" i="4"/>
  <c r="N95" i="17"/>
  <c r="N95" i="15"/>
  <c r="N28" i="17"/>
  <c r="N28" i="15"/>
  <c r="N396" i="36"/>
  <c r="N398" i="36" s="1"/>
  <c r="P241" i="4"/>
  <c r="N12" i="25"/>
  <c r="N12" i="11"/>
  <c r="P12" i="11" s="1"/>
  <c r="N12" i="9"/>
  <c r="N59" i="23"/>
  <c r="N59" i="21"/>
  <c r="F287" i="36"/>
  <c r="D287" i="36"/>
  <c r="N70" i="23"/>
  <c r="N69" i="21"/>
  <c r="L461" i="36"/>
  <c r="N49" i="23"/>
  <c r="N49" i="21"/>
  <c r="N91" i="17"/>
  <c r="N91" i="15"/>
  <c r="N49" i="17"/>
  <c r="N49" i="15"/>
  <c r="P49" i="15" s="1"/>
  <c r="J11" i="25"/>
  <c r="H61" i="21"/>
  <c r="J61" i="22"/>
  <c r="L61" i="22" s="1"/>
  <c r="F58" i="21"/>
  <c r="J49" i="23"/>
  <c r="L49" i="23" s="1"/>
  <c r="J38" i="21"/>
  <c r="L38" i="21" s="1"/>
  <c r="N12" i="17"/>
  <c r="N12" i="15"/>
  <c r="H117" i="22"/>
  <c r="J108" i="22"/>
  <c r="L108" i="22" s="1"/>
  <c r="J60" i="22"/>
  <c r="L60" i="22" s="1"/>
  <c r="H60" i="21"/>
  <c r="F57" i="21"/>
  <c r="J43" i="21"/>
  <c r="H44" i="21"/>
  <c r="J139" i="4"/>
  <c r="J178" i="4" s="1"/>
  <c r="L120" i="24"/>
  <c r="L121" i="24" s="1"/>
  <c r="J121" i="24"/>
  <c r="F117" i="22"/>
  <c r="H59" i="21"/>
  <c r="J59" i="21" s="1"/>
  <c r="L59" i="21" s="1"/>
  <c r="P59" i="21" s="1"/>
  <c r="J59" i="22"/>
  <c r="L59" i="22" s="1"/>
  <c r="F56" i="21"/>
  <c r="D49" i="21"/>
  <c r="L79" i="24"/>
  <c r="F74" i="24"/>
  <c r="D56" i="21"/>
  <c r="J54" i="22"/>
  <c r="L54" i="22" s="1"/>
  <c r="H54" i="21"/>
  <c r="J54" i="21" s="1"/>
  <c r="L54" i="21" s="1"/>
  <c r="F65" i="23"/>
  <c r="J26" i="21"/>
  <c r="L26" i="21" s="1"/>
  <c r="J34" i="23"/>
  <c r="L34" i="23" s="1"/>
  <c r="J17" i="22"/>
  <c r="L17" i="22" s="1"/>
  <c r="D29" i="21"/>
  <c r="J37" i="21"/>
  <c r="L37" i="21" s="1"/>
  <c r="J40" i="24"/>
  <c r="L32" i="24"/>
  <c r="J23" i="23"/>
  <c r="L23" i="23" s="1"/>
  <c r="J19" i="21"/>
  <c r="L19" i="21" s="1"/>
  <c r="J15" i="23"/>
  <c r="L15" i="23" s="1"/>
  <c r="J11" i="21"/>
  <c r="J163" i="16"/>
  <c r="L163" i="16" s="1"/>
  <c r="L123" i="18"/>
  <c r="L128" i="18" s="1"/>
  <c r="J128" i="18"/>
  <c r="J64" i="15"/>
  <c r="L64" i="15" s="1"/>
  <c r="P16" i="19"/>
  <c r="D169" i="18"/>
  <c r="J80" i="17"/>
  <c r="L80" i="17" s="1"/>
  <c r="F57" i="17"/>
  <c r="F41" i="15"/>
  <c r="J165" i="16"/>
  <c r="L165" i="16" s="1"/>
  <c r="J100" i="16"/>
  <c r="L100" i="16" s="1"/>
  <c r="L88" i="18"/>
  <c r="L101" i="18" s="1"/>
  <c r="L83" i="18"/>
  <c r="J83" i="17"/>
  <c r="L83" i="17" s="1"/>
  <c r="J79" i="16"/>
  <c r="L79" i="16" s="1"/>
  <c r="D69" i="15"/>
  <c r="J48" i="17"/>
  <c r="L48" i="17" s="1"/>
  <c r="J44" i="16"/>
  <c r="H52" i="16"/>
  <c r="J44" i="17"/>
  <c r="J39" i="16"/>
  <c r="L39" i="16" s="1"/>
  <c r="J35" i="17"/>
  <c r="L35" i="17" s="1"/>
  <c r="P35" i="17" s="1"/>
  <c r="J26" i="16"/>
  <c r="L26" i="16" s="1"/>
  <c r="J18" i="16"/>
  <c r="L18" i="16" s="1"/>
  <c r="J14" i="17"/>
  <c r="L14" i="17" s="1"/>
  <c r="J27" i="20"/>
  <c r="L26" i="20"/>
  <c r="L27" i="20" s="1"/>
  <c r="J18" i="19"/>
  <c r="L18" i="19" s="1"/>
  <c r="P18" i="19" s="1"/>
  <c r="J117" i="16"/>
  <c r="L117" i="16" s="1"/>
  <c r="J113" i="16"/>
  <c r="L113" i="16" s="1"/>
  <c r="J109" i="16"/>
  <c r="H96" i="15"/>
  <c r="F104" i="18"/>
  <c r="J82" i="16"/>
  <c r="L82" i="16" s="1"/>
  <c r="J56" i="15"/>
  <c r="J138" i="4"/>
  <c r="J177" i="4" s="1"/>
  <c r="J51" i="16"/>
  <c r="L51" i="16" s="1"/>
  <c r="F52" i="15"/>
  <c r="J34" i="16"/>
  <c r="L34" i="16" s="1"/>
  <c r="J29" i="16"/>
  <c r="L29" i="16" s="1"/>
  <c r="J21" i="15"/>
  <c r="L21" i="15" s="1"/>
  <c r="F133" i="4"/>
  <c r="F172" i="4" s="1"/>
  <c r="H12" i="13"/>
  <c r="H15" i="13" s="1"/>
  <c r="J66" i="10"/>
  <c r="L66" i="10" s="1"/>
  <c r="J51" i="10"/>
  <c r="L51" i="10" s="1"/>
  <c r="J31" i="10"/>
  <c r="L31" i="10" s="1"/>
  <c r="D27" i="14"/>
  <c r="J22" i="11"/>
  <c r="L22" i="11" s="1"/>
  <c r="J14" i="11"/>
  <c r="L14" i="11" s="1"/>
  <c r="F74" i="12"/>
  <c r="L49" i="12"/>
  <c r="J68" i="12"/>
  <c r="J71" i="12" s="1"/>
  <c r="J25" i="11"/>
  <c r="L25" i="11" s="1"/>
  <c r="J21" i="10"/>
  <c r="L21" i="10" s="1"/>
  <c r="J13" i="10"/>
  <c r="L13" i="10" s="1"/>
  <c r="E72" i="35"/>
  <c r="U32" i="8"/>
  <c r="G32" i="8"/>
  <c r="U22" i="8"/>
  <c r="W22" i="8" s="1"/>
  <c r="U11" i="8"/>
  <c r="G11" i="8"/>
  <c r="G13" i="8" s="1"/>
  <c r="H99" i="1"/>
  <c r="F70" i="1"/>
  <c r="F72" i="1" s="1"/>
  <c r="L67" i="1"/>
  <c r="L38" i="1"/>
  <c r="L40" i="1" s="1"/>
  <c r="N15" i="1"/>
  <c r="L22" i="1"/>
  <c r="O51" i="35"/>
  <c r="S87" i="35"/>
  <c r="U84" i="35"/>
  <c r="U36" i="35"/>
  <c r="S51" i="35"/>
  <c r="G23" i="8"/>
  <c r="U23" i="8" s="1"/>
  <c r="X23" i="8" s="1"/>
  <c r="C26" i="8"/>
  <c r="U15" i="8"/>
  <c r="N121" i="4"/>
  <c r="F122" i="4"/>
  <c r="F124" i="4" s="1"/>
  <c r="U26" i="35"/>
  <c r="J87" i="4"/>
  <c r="J89" i="4" s="1"/>
  <c r="I71" i="2"/>
  <c r="I79" i="2" s="1"/>
  <c r="I88" i="2" s="1"/>
  <c r="E87" i="35"/>
  <c r="N92" i="1"/>
  <c r="N97" i="1" s="1"/>
  <c r="L97" i="1"/>
  <c r="AL326" i="5"/>
  <c r="AT325" i="5"/>
  <c r="AJ181" i="5"/>
  <c r="AJ134" i="5"/>
  <c r="N38" i="17"/>
  <c r="N38" i="15"/>
  <c r="N22" i="17"/>
  <c r="N22" i="15"/>
  <c r="N19" i="23"/>
  <c r="N19" i="21"/>
  <c r="N35" i="23"/>
  <c r="N35" i="21"/>
  <c r="N13" i="17"/>
  <c r="N13" i="15"/>
  <c r="N25" i="11"/>
  <c r="N25" i="9"/>
  <c r="D50" i="34"/>
  <c r="J81" i="22"/>
  <c r="L81" i="22" s="1"/>
  <c r="J64" i="22"/>
  <c r="L64" i="22" s="1"/>
  <c r="H64" i="21"/>
  <c r="J64" i="21" s="1"/>
  <c r="L64" i="21" s="1"/>
  <c r="H44" i="22"/>
  <c r="J43" i="22"/>
  <c r="N23" i="17"/>
  <c r="N23" i="15"/>
  <c r="P23" i="15" s="1"/>
  <c r="H71" i="23"/>
  <c r="N39" i="17"/>
  <c r="N39" i="15"/>
  <c r="N21" i="17"/>
  <c r="N21" i="15"/>
  <c r="F71" i="22"/>
  <c r="J24" i="21"/>
  <c r="L24" i="21" s="1"/>
  <c r="J11" i="22"/>
  <c r="H69" i="17"/>
  <c r="L33" i="18"/>
  <c r="J140" i="16"/>
  <c r="D69" i="16"/>
  <c r="H133" i="4"/>
  <c r="H172" i="4" s="1"/>
  <c r="J17" i="17"/>
  <c r="L17" i="17" s="1"/>
  <c r="L11" i="12"/>
  <c r="J22" i="10"/>
  <c r="L22" i="10" s="1"/>
  <c r="J14" i="10"/>
  <c r="L14" i="10" s="1"/>
  <c r="F66" i="4"/>
  <c r="F68" i="4" s="1"/>
  <c r="U69" i="2"/>
  <c r="U97" i="2" s="1"/>
  <c r="N77" i="1"/>
  <c r="N79" i="1" s="1"/>
  <c r="L79" i="1"/>
  <c r="H32" i="1"/>
  <c r="G16" i="8"/>
  <c r="M73" i="35"/>
  <c r="M81" i="35" s="1"/>
  <c r="M90" i="35" s="1"/>
  <c r="J392" i="33"/>
  <c r="J533" i="33" s="1"/>
  <c r="AL473" i="5"/>
  <c r="AT472" i="5"/>
  <c r="AT300" i="5"/>
  <c r="AV300" i="5" s="1"/>
  <c r="AV270" i="5"/>
  <c r="T296" i="4"/>
  <c r="V293" i="4"/>
  <c r="AV123" i="5"/>
  <c r="U12" i="3"/>
  <c r="AL367" i="5"/>
  <c r="AT366" i="5"/>
  <c r="AT367" i="5" s="1"/>
  <c r="AJ72" i="5"/>
  <c r="R296" i="4"/>
  <c r="F79" i="4"/>
  <c r="AJ194" i="5"/>
  <c r="AP72" i="5"/>
  <c r="G157" i="5"/>
  <c r="G235" i="5" s="1"/>
  <c r="G406" i="5"/>
  <c r="AJ154" i="5"/>
  <c r="AV241" i="5"/>
  <c r="AT83" i="5"/>
  <c r="AV83" i="5" s="1"/>
  <c r="S14" i="3"/>
  <c r="S37" i="3" s="1"/>
  <c r="AV240" i="5"/>
  <c r="AJ223" i="5"/>
  <c r="N11" i="19"/>
  <c r="N12" i="19" s="1"/>
  <c r="N27" i="11"/>
  <c r="N27" i="9"/>
  <c r="D505" i="36"/>
  <c r="N56" i="23"/>
  <c r="N56" i="21"/>
  <c r="N16" i="23"/>
  <c r="N16" i="21"/>
  <c r="R398" i="33"/>
  <c r="R400" i="33" s="1"/>
  <c r="N56" i="15"/>
  <c r="N57" i="15" s="1"/>
  <c r="R66" i="36"/>
  <c r="N33" i="11"/>
  <c r="N33" i="9"/>
  <c r="N20" i="11"/>
  <c r="N20" i="9"/>
  <c r="F461" i="36"/>
  <c r="N61" i="23"/>
  <c r="N61" i="21"/>
  <c r="N39" i="23"/>
  <c r="N39" i="21"/>
  <c r="N88" i="17"/>
  <c r="N88" i="15"/>
  <c r="R255" i="36"/>
  <c r="N29" i="15"/>
  <c r="N19" i="17"/>
  <c r="N19" i="15"/>
  <c r="N32" i="11"/>
  <c r="N32" i="9"/>
  <c r="N51" i="23"/>
  <c r="N51" i="21"/>
  <c r="N21" i="23"/>
  <c r="N21" i="21"/>
  <c r="N73" i="17"/>
  <c r="N73" i="15"/>
  <c r="N172" i="36"/>
  <c r="N28" i="11"/>
  <c r="N28" i="9"/>
  <c r="N50" i="21"/>
  <c r="N47" i="23"/>
  <c r="N47" i="21"/>
  <c r="N34" i="21"/>
  <c r="R452" i="36"/>
  <c r="R410" i="36"/>
  <c r="N17" i="23"/>
  <c r="N17" i="21"/>
  <c r="R309" i="36"/>
  <c r="N63" i="23"/>
  <c r="N63" i="21"/>
  <c r="R151" i="36"/>
  <c r="L11" i="26"/>
  <c r="L70" i="24"/>
  <c r="J70" i="23"/>
  <c r="L70" i="23" s="1"/>
  <c r="H53" i="21"/>
  <c r="J53" i="21" s="1"/>
  <c r="L53" i="21" s="1"/>
  <c r="J53" i="22"/>
  <c r="L53" i="22" s="1"/>
  <c r="J39" i="23"/>
  <c r="L39" i="23" s="1"/>
  <c r="J106" i="22"/>
  <c r="J56" i="23"/>
  <c r="L56" i="23" s="1"/>
  <c r="J52" i="22"/>
  <c r="L52" i="22" s="1"/>
  <c r="H52" i="21"/>
  <c r="J111" i="22"/>
  <c r="L111" i="22" s="1"/>
  <c r="L92" i="24"/>
  <c r="L92" i="22" s="1"/>
  <c r="J92" i="22"/>
  <c r="H71" i="22"/>
  <c r="J68" i="22"/>
  <c r="J51" i="22"/>
  <c r="L51" i="22" s="1"/>
  <c r="J110" i="22"/>
  <c r="L110" i="22" s="1"/>
  <c r="L106" i="24"/>
  <c r="J87" i="22"/>
  <c r="L87" i="22" s="1"/>
  <c r="F70" i="21"/>
  <c r="H135" i="4"/>
  <c r="H174" i="4" s="1"/>
  <c r="J62" i="22"/>
  <c r="L62" i="22" s="1"/>
  <c r="H62" i="21"/>
  <c r="J50" i="23"/>
  <c r="L50" i="23" s="1"/>
  <c r="J47" i="23"/>
  <c r="D44" i="21"/>
  <c r="F139" i="4"/>
  <c r="F178" i="4" s="1"/>
  <c r="J35" i="21"/>
  <c r="L35" i="21" s="1"/>
  <c r="J14" i="21"/>
  <c r="L14" i="21" s="1"/>
  <c r="P14" i="21" s="1"/>
  <c r="J34" i="21"/>
  <c r="L34" i="21" s="1"/>
  <c r="J25" i="23"/>
  <c r="L25" i="23" s="1"/>
  <c r="J13" i="22"/>
  <c r="L13" i="22" s="1"/>
  <c r="J37" i="22"/>
  <c r="L37" i="22" s="1"/>
  <c r="J28" i="22"/>
  <c r="L28" i="22" s="1"/>
  <c r="J12" i="22"/>
  <c r="L12" i="22" s="1"/>
  <c r="J32" i="23"/>
  <c r="H40" i="21"/>
  <c r="J27" i="23"/>
  <c r="L27" i="23" s="1"/>
  <c r="J19" i="23"/>
  <c r="L19" i="23" s="1"/>
  <c r="J15" i="21"/>
  <c r="L15" i="21" s="1"/>
  <c r="P15" i="21" s="1"/>
  <c r="J11" i="23"/>
  <c r="J154" i="16"/>
  <c r="L154" i="16" s="1"/>
  <c r="J150" i="16"/>
  <c r="L150" i="16" s="1"/>
  <c r="J128" i="16"/>
  <c r="L128" i="16" s="1"/>
  <c r="J124" i="16"/>
  <c r="J90" i="17"/>
  <c r="L90" i="17" s="1"/>
  <c r="J55" i="16"/>
  <c r="D52" i="17"/>
  <c r="J37" i="15"/>
  <c r="L37" i="15" s="1"/>
  <c r="J16" i="15"/>
  <c r="L16" i="15" s="1"/>
  <c r="D167" i="16"/>
  <c r="J136" i="18"/>
  <c r="L131" i="18"/>
  <c r="L136" i="18" s="1"/>
  <c r="J93" i="16"/>
  <c r="L93" i="16" s="1"/>
  <c r="J85" i="18"/>
  <c r="J49" i="17"/>
  <c r="L49" i="17" s="1"/>
  <c r="J27" i="15"/>
  <c r="L27" i="15" s="1"/>
  <c r="J11" i="17"/>
  <c r="J152" i="16"/>
  <c r="L152" i="16" s="1"/>
  <c r="D155" i="16"/>
  <c r="L139" i="18"/>
  <c r="L145" i="18" s="1"/>
  <c r="H101" i="16"/>
  <c r="J83" i="16"/>
  <c r="L83" i="16" s="1"/>
  <c r="F85" i="17"/>
  <c r="J66" i="16"/>
  <c r="L66" i="16" s="1"/>
  <c r="D57" i="17"/>
  <c r="J35" i="16"/>
  <c r="L35" i="16" s="1"/>
  <c r="J18" i="17"/>
  <c r="L18" i="17" s="1"/>
  <c r="J164" i="16"/>
  <c r="L164" i="16" s="1"/>
  <c r="J160" i="16"/>
  <c r="L160" i="16" s="1"/>
  <c r="J120" i="18"/>
  <c r="J92" i="15"/>
  <c r="L92" i="15" s="1"/>
  <c r="F101" i="16"/>
  <c r="J82" i="17"/>
  <c r="L82" i="17" s="1"/>
  <c r="J78" i="15"/>
  <c r="L78" i="15" s="1"/>
  <c r="J56" i="17"/>
  <c r="L56" i="17" s="1"/>
  <c r="J47" i="16"/>
  <c r="L47" i="16" s="1"/>
  <c r="J38" i="16"/>
  <c r="L38" i="16" s="1"/>
  <c r="J34" i="17"/>
  <c r="L34" i="17" s="1"/>
  <c r="J40" i="11"/>
  <c r="L40" i="11" s="1"/>
  <c r="J32" i="11"/>
  <c r="L32" i="11" s="1"/>
  <c r="J24" i="11"/>
  <c r="L24" i="11" s="1"/>
  <c r="J49" i="10"/>
  <c r="J35" i="10"/>
  <c r="L35" i="10" s="1"/>
  <c r="J31" i="9"/>
  <c r="L31" i="12"/>
  <c r="L31" i="9" s="1"/>
  <c r="J27" i="9"/>
  <c r="L27" i="9" s="1"/>
  <c r="P27" i="9" s="1"/>
  <c r="J11" i="10"/>
  <c r="H41" i="10"/>
  <c r="F41" i="9"/>
  <c r="F44" i="9" s="1"/>
  <c r="J62" i="10"/>
  <c r="L62" i="10" s="1"/>
  <c r="J37" i="11"/>
  <c r="L37" i="11" s="1"/>
  <c r="J25" i="10"/>
  <c r="L25" i="10" s="1"/>
  <c r="J17" i="10"/>
  <c r="L17" i="10" s="1"/>
  <c r="J13" i="11"/>
  <c r="L13" i="11" s="1"/>
  <c r="D74" i="12"/>
  <c r="C36" i="8"/>
  <c r="N111" i="1"/>
  <c r="N112" i="1" s="1"/>
  <c r="N114" i="1" s="1"/>
  <c r="L112" i="1"/>
  <c r="L114" i="1" s="1"/>
  <c r="V230" i="4"/>
  <c r="Q87" i="35"/>
  <c r="Q71" i="35"/>
  <c r="T232" i="4"/>
  <c r="S71" i="35"/>
  <c r="U40" i="35"/>
  <c r="G29" i="8"/>
  <c r="U29" i="8" s="1"/>
  <c r="G19" i="8"/>
  <c r="U19" i="8" s="1"/>
  <c r="X19" i="8" s="1"/>
  <c r="L89" i="1"/>
  <c r="L30" i="1"/>
  <c r="N25" i="1"/>
  <c r="N30" i="1" s="1"/>
  <c r="H40" i="4"/>
  <c r="U10" i="35"/>
  <c r="V271" i="4"/>
  <c r="G25" i="8"/>
  <c r="U25" i="8" s="1"/>
  <c r="X25" i="8" s="1"/>
  <c r="U19" i="35"/>
  <c r="U37" i="35"/>
  <c r="AJ494" i="5"/>
  <c r="AV494" i="5" s="1"/>
  <c r="AV492" i="5"/>
  <c r="N120" i="1"/>
  <c r="N123" i="1" s="1"/>
  <c r="L123" i="1"/>
  <c r="AL432" i="5"/>
  <c r="AT431" i="5"/>
  <c r="AJ367" i="5"/>
  <c r="N158" i="4"/>
  <c r="F161" i="4"/>
  <c r="F164" i="4" s="1"/>
  <c r="P307" i="4"/>
  <c r="AP19" i="4" s="1"/>
  <c r="AT19" i="4" s="1"/>
  <c r="AU19" i="4" s="1"/>
  <c r="N36" i="21"/>
  <c r="N28" i="23"/>
  <c r="N28" i="21"/>
  <c r="N26" i="17"/>
  <c r="N26" i="15"/>
  <c r="L18" i="26"/>
  <c r="J18" i="25"/>
  <c r="L18" i="25" s="1"/>
  <c r="P18" i="25" s="1"/>
  <c r="N38" i="23"/>
  <c r="P38" i="23" s="1"/>
  <c r="N38" i="21"/>
  <c r="N40" i="17"/>
  <c r="P40" i="17" s="1"/>
  <c r="N22" i="11"/>
  <c r="N22" i="9"/>
  <c r="N62" i="23"/>
  <c r="N62" i="21"/>
  <c r="N11" i="23"/>
  <c r="J48" i="22"/>
  <c r="L48" i="22" s="1"/>
  <c r="H48" i="21"/>
  <c r="L68" i="24"/>
  <c r="J71" i="24"/>
  <c r="H63" i="21"/>
  <c r="J63" i="21" s="1"/>
  <c r="L63" i="21" s="1"/>
  <c r="P63" i="21" s="1"/>
  <c r="J63" i="22"/>
  <c r="L63" i="22" s="1"/>
  <c r="F55" i="21"/>
  <c r="J55" i="15"/>
  <c r="H57" i="15"/>
  <c r="J15" i="19"/>
  <c r="H22" i="19"/>
  <c r="H129" i="16"/>
  <c r="H104" i="18"/>
  <c r="H136" i="4"/>
  <c r="H175" i="4" s="1"/>
  <c r="J78" i="16"/>
  <c r="L78" i="16" s="1"/>
  <c r="J29" i="15"/>
  <c r="L29" i="15" s="1"/>
  <c r="J18" i="9"/>
  <c r="L18" i="9" s="1"/>
  <c r="F148" i="4"/>
  <c r="U57" i="35"/>
  <c r="E70" i="35"/>
  <c r="I70" i="35"/>
  <c r="I67" i="35"/>
  <c r="U32" i="35"/>
  <c r="C73" i="35"/>
  <c r="C81" i="35" s="1"/>
  <c r="C90" i="35" s="1"/>
  <c r="B172" i="16"/>
  <c r="B174" i="16" s="1"/>
  <c r="AV476" i="5"/>
  <c r="AV491" i="5"/>
  <c r="AT222" i="5"/>
  <c r="AL223" i="5"/>
  <c r="AT71" i="5"/>
  <c r="AL72" i="5"/>
  <c r="AV101" i="5"/>
  <c r="U11" i="3"/>
  <c r="U14" i="3" s="1"/>
  <c r="U37" i="3" s="1"/>
  <c r="V294" i="4"/>
  <c r="L49" i="1"/>
  <c r="L51" i="1" s="1"/>
  <c r="N48" i="1"/>
  <c r="N49" i="1" s="1"/>
  <c r="N51" i="1" s="1"/>
  <c r="U30" i="3"/>
  <c r="AL338" i="5"/>
  <c r="AT336" i="5"/>
  <c r="AT153" i="5"/>
  <c r="AL154" i="5"/>
  <c r="L296" i="4"/>
  <c r="L317" i="4" s="1"/>
  <c r="N296" i="4"/>
  <c r="N317" i="4" s="1"/>
  <c r="AJ432" i="5"/>
  <c r="AL403" i="5"/>
  <c r="AT402" i="5"/>
  <c r="AV259" i="5"/>
  <c r="AT261" i="5"/>
  <c r="AL114" i="5"/>
  <c r="AT113" i="5"/>
  <c r="U77" i="2"/>
  <c r="U106" i="2"/>
  <c r="AN432" i="5"/>
  <c r="AV447" i="5"/>
  <c r="AJ403" i="5"/>
  <c r="AL385" i="5"/>
  <c r="AV252" i="5"/>
  <c r="N159" i="4"/>
  <c r="V159" i="4" s="1"/>
  <c r="D149" i="4"/>
  <c r="D151" i="4" s="1"/>
  <c r="D153" i="4" s="1"/>
  <c r="AO21" i="4"/>
  <c r="N31" i="11"/>
  <c r="N15" i="11"/>
  <c r="N15" i="9"/>
  <c r="P15" i="9" s="1"/>
  <c r="N60" i="21"/>
  <c r="N20" i="23"/>
  <c r="N20" i="21"/>
  <c r="N98" i="17"/>
  <c r="N98" i="15"/>
  <c r="N83" i="15"/>
  <c r="N18" i="17"/>
  <c r="N18" i="15"/>
  <c r="N30" i="11"/>
  <c r="N30" i="9"/>
  <c r="N58" i="23"/>
  <c r="N58" i="21"/>
  <c r="N99" i="17"/>
  <c r="N99" i="15"/>
  <c r="N287" i="36"/>
  <c r="N68" i="17"/>
  <c r="N68" i="15"/>
  <c r="P68" i="15" s="1"/>
  <c r="N16" i="11"/>
  <c r="N16" i="9"/>
  <c r="R414" i="36"/>
  <c r="N15" i="17"/>
  <c r="N15" i="15"/>
  <c r="R471" i="33"/>
  <c r="R474" i="33" s="1"/>
  <c r="N43" i="23"/>
  <c r="N44" i="23" s="1"/>
  <c r="N43" i="21"/>
  <c r="N44" i="21" s="1"/>
  <c r="V193" i="4"/>
  <c r="V251" i="4" s="1"/>
  <c r="N68" i="21"/>
  <c r="P68" i="21" s="1"/>
  <c r="N26" i="23"/>
  <c r="N26" i="21"/>
  <c r="N24" i="11"/>
  <c r="N24" i="9"/>
  <c r="L466" i="33"/>
  <c r="N27" i="23"/>
  <c r="N27" i="21"/>
  <c r="N47" i="17"/>
  <c r="N47" i="15"/>
  <c r="P47" i="15" s="1"/>
  <c r="D121" i="22"/>
  <c r="J120" i="22"/>
  <c r="F125" i="24"/>
  <c r="F128" i="24" s="1"/>
  <c r="D70" i="21"/>
  <c r="F135" i="4"/>
  <c r="F174" i="4" s="1"/>
  <c r="H57" i="21"/>
  <c r="J57" i="22"/>
  <c r="L57" i="22" s="1"/>
  <c r="H111" i="36"/>
  <c r="N50" i="17"/>
  <c r="P50" i="17" s="1"/>
  <c r="N50" i="15"/>
  <c r="D93" i="22"/>
  <c r="J56" i="22"/>
  <c r="L56" i="22" s="1"/>
  <c r="H56" i="21"/>
  <c r="J43" i="23"/>
  <c r="H44" i="23"/>
  <c r="F172" i="36"/>
  <c r="N17" i="17"/>
  <c r="N17" i="15"/>
  <c r="J67" i="21"/>
  <c r="D61" i="21"/>
  <c r="J59" i="23"/>
  <c r="L59" i="23" s="1"/>
  <c r="J55" i="22"/>
  <c r="L55" i="22" s="1"/>
  <c r="N24" i="17"/>
  <c r="N24" i="15"/>
  <c r="J54" i="23"/>
  <c r="L54" i="23" s="1"/>
  <c r="F47" i="21"/>
  <c r="H47" i="21"/>
  <c r="J35" i="22"/>
  <c r="L35" i="22" s="1"/>
  <c r="J22" i="23"/>
  <c r="L22" i="23" s="1"/>
  <c r="J18" i="22"/>
  <c r="L18" i="22" s="1"/>
  <c r="J17" i="21"/>
  <c r="L17" i="21" s="1"/>
  <c r="J37" i="23"/>
  <c r="L37" i="23" s="1"/>
  <c r="J24" i="23"/>
  <c r="L24" i="23" s="1"/>
  <c r="J16" i="23"/>
  <c r="L16" i="23" s="1"/>
  <c r="P16" i="23" s="1"/>
  <c r="J131" i="4"/>
  <c r="J170" i="4" s="1"/>
  <c r="F44" i="21"/>
  <c r="H139" i="4"/>
  <c r="H178" i="4" s="1"/>
  <c r="J36" i="21"/>
  <c r="L36" i="21" s="1"/>
  <c r="J32" i="22"/>
  <c r="J15" i="22"/>
  <c r="L15" i="22" s="1"/>
  <c r="L11" i="24"/>
  <c r="L29" i="24" s="1"/>
  <c r="J99" i="15"/>
  <c r="L99" i="15" s="1"/>
  <c r="P99" i="15" s="1"/>
  <c r="H90" i="15"/>
  <c r="D88" i="15"/>
  <c r="J77" i="15"/>
  <c r="L77" i="15" s="1"/>
  <c r="J73" i="17"/>
  <c r="L73" i="17" s="1"/>
  <c r="P73" i="17" s="1"/>
  <c r="J69" i="18"/>
  <c r="L60" i="18"/>
  <c r="L69" i="18" s="1"/>
  <c r="J57" i="18"/>
  <c r="J55" i="17"/>
  <c r="L55" i="18"/>
  <c r="L57" i="18" s="1"/>
  <c r="D52" i="15"/>
  <c r="J33" i="16"/>
  <c r="J33" i="17"/>
  <c r="J20" i="16"/>
  <c r="L20" i="16" s="1"/>
  <c r="J12" i="16"/>
  <c r="L12" i="16" s="1"/>
  <c r="J162" i="16"/>
  <c r="L162" i="16" s="1"/>
  <c r="J153" i="16"/>
  <c r="L153" i="16" s="1"/>
  <c r="J149" i="16"/>
  <c r="L149" i="16" s="1"/>
  <c r="J145" i="16"/>
  <c r="L145" i="16" s="1"/>
  <c r="J127" i="16"/>
  <c r="L127" i="16" s="1"/>
  <c r="J84" i="17"/>
  <c r="L84" i="17" s="1"/>
  <c r="P84" i="17" s="1"/>
  <c r="J72" i="15"/>
  <c r="H85" i="15"/>
  <c r="F57" i="16"/>
  <c r="J40" i="15"/>
  <c r="L40" i="15" s="1"/>
  <c r="F41" i="16"/>
  <c r="L11" i="18"/>
  <c r="L11" i="20"/>
  <c r="L147" i="18"/>
  <c r="L154" i="18" s="1"/>
  <c r="J154" i="18"/>
  <c r="J114" i="16"/>
  <c r="L114" i="16" s="1"/>
  <c r="J101" i="15"/>
  <c r="L101" i="15" s="1"/>
  <c r="J88" i="17"/>
  <c r="H102" i="17"/>
  <c r="J79" i="15"/>
  <c r="L79" i="15" s="1"/>
  <c r="J48" i="15"/>
  <c r="L48" i="15" s="1"/>
  <c r="J22" i="15"/>
  <c r="L22" i="15" s="1"/>
  <c r="P22" i="15" s="1"/>
  <c r="F22" i="19"/>
  <c r="F25" i="19" s="1"/>
  <c r="J143" i="16"/>
  <c r="L143" i="16" s="1"/>
  <c r="J99" i="16"/>
  <c r="L99" i="16" s="1"/>
  <c r="J96" i="17"/>
  <c r="L96" i="17" s="1"/>
  <c r="J91" i="16"/>
  <c r="L91" i="16" s="1"/>
  <c r="J82" i="15"/>
  <c r="L82" i="15" s="1"/>
  <c r="J74" i="16"/>
  <c r="L74" i="16" s="1"/>
  <c r="J65" i="17"/>
  <c r="L65" i="17" s="1"/>
  <c r="F52" i="17"/>
  <c r="J25" i="15"/>
  <c r="L25" i="15" s="1"/>
  <c r="J17" i="16"/>
  <c r="L17" i="16" s="1"/>
  <c r="D30" i="17"/>
  <c r="J28" i="9"/>
  <c r="L28" i="9" s="1"/>
  <c r="P28" i="9" s="1"/>
  <c r="J24" i="10"/>
  <c r="L24" i="10" s="1"/>
  <c r="J20" i="9"/>
  <c r="L20" i="9" s="1"/>
  <c r="J129" i="4"/>
  <c r="P35" i="11"/>
  <c r="J23" i="10"/>
  <c r="L23" i="10" s="1"/>
  <c r="J19" i="11"/>
  <c r="L19" i="11" s="1"/>
  <c r="J15" i="10"/>
  <c r="L15" i="10" s="1"/>
  <c r="L11" i="14"/>
  <c r="L13" i="14" s="1"/>
  <c r="L16" i="14" s="1"/>
  <c r="L27" i="14" s="1"/>
  <c r="J38" i="11"/>
  <c r="L38" i="11" s="1"/>
  <c r="J30" i="9"/>
  <c r="L30" i="9" s="1"/>
  <c r="J26" i="10"/>
  <c r="L26" i="10" s="1"/>
  <c r="J18" i="10"/>
  <c r="L18" i="10" s="1"/>
  <c r="F41" i="11"/>
  <c r="F44" i="11" s="1"/>
  <c r="J25" i="9"/>
  <c r="L25" i="9" s="1"/>
  <c r="P25" i="9" s="1"/>
  <c r="S70" i="35"/>
  <c r="U54" i="35"/>
  <c r="G70" i="35"/>
  <c r="J32" i="1"/>
  <c r="U85" i="35"/>
  <c r="O71" i="2"/>
  <c r="O79" i="2" s="1"/>
  <c r="O88" i="2" s="1"/>
  <c r="U101" i="2"/>
  <c r="U10" i="8"/>
  <c r="U13" i="8" s="1"/>
  <c r="C13" i="8"/>
  <c r="J99" i="1"/>
  <c r="U107" i="2"/>
  <c r="U102" i="2"/>
  <c r="F96" i="4"/>
  <c r="L12" i="1"/>
  <c r="L32" i="1" s="1"/>
  <c r="H148" i="4"/>
  <c r="H149" i="4" s="1"/>
  <c r="H151" i="4" s="1"/>
  <c r="H153" i="4" s="1"/>
  <c r="C44" i="8"/>
  <c r="U41" i="8"/>
  <c r="G21" i="8"/>
  <c r="U21" i="8" s="1"/>
  <c r="X21" i="8" s="1"/>
  <c r="AR406" i="5" l="1"/>
  <c r="U486" i="5"/>
  <c r="AG235" i="5"/>
  <c r="Q235" i="5"/>
  <c r="Q514" i="5" s="1"/>
  <c r="AE486" i="5"/>
  <c r="Y486" i="5"/>
  <c r="Y514" i="5" s="1"/>
  <c r="AC235" i="5"/>
  <c r="AN482" i="5"/>
  <c r="AP232" i="5"/>
  <c r="I486" i="5"/>
  <c r="U235" i="5"/>
  <c r="AT338" i="5"/>
  <c r="AV338" i="5" s="1"/>
  <c r="O486" i="5"/>
  <c r="AA486" i="5"/>
  <c r="AN157" i="5"/>
  <c r="E235" i="5"/>
  <c r="K486" i="5"/>
  <c r="S235" i="5"/>
  <c r="AR157" i="5"/>
  <c r="AV256" i="5"/>
  <c r="AT194" i="5"/>
  <c r="AV194" i="5" s="1"/>
  <c r="G486" i="5"/>
  <c r="G514" i="5" s="1"/>
  <c r="AN232" i="5"/>
  <c r="AN235" i="5" s="1"/>
  <c r="O235" i="5"/>
  <c r="AC486" i="5"/>
  <c r="AA235" i="5"/>
  <c r="AA514" i="5" s="1"/>
  <c r="S486" i="5"/>
  <c r="I235" i="5"/>
  <c r="AG486" i="5"/>
  <c r="AG514" i="5" s="1"/>
  <c r="AR232" i="5"/>
  <c r="AT385" i="5"/>
  <c r="AV385" i="5" s="1"/>
  <c r="AT473" i="5"/>
  <c r="AV473" i="5" s="1"/>
  <c r="K514" i="5"/>
  <c r="AV254" i="5"/>
  <c r="AV378" i="5"/>
  <c r="AE235" i="5"/>
  <c r="AE514" i="5" s="1"/>
  <c r="M235" i="5"/>
  <c r="M514" i="5" s="1"/>
  <c r="AT154" i="5"/>
  <c r="AV154" i="5" s="1"/>
  <c r="AL232" i="5"/>
  <c r="AT72" i="5"/>
  <c r="AV72" i="5" s="1"/>
  <c r="AP482" i="5"/>
  <c r="AT181" i="5"/>
  <c r="AV181" i="5" s="1"/>
  <c r="AT432" i="5"/>
  <c r="AV432" i="5" s="1"/>
  <c r="C486" i="5"/>
  <c r="C514" i="5" s="1"/>
  <c r="W514" i="5"/>
  <c r="E486" i="5"/>
  <c r="AN406" i="5"/>
  <c r="AT85" i="5"/>
  <c r="AV85" i="5" s="1"/>
  <c r="AP157" i="5"/>
  <c r="AP235" i="5" s="1"/>
  <c r="AR482" i="5"/>
  <c r="AR486" i="5" s="1"/>
  <c r="AP406" i="5"/>
  <c r="V285" i="4"/>
  <c r="R226" i="4"/>
  <c r="N56" i="4"/>
  <c r="V56" i="4" s="1"/>
  <c r="T274" i="4"/>
  <c r="N94" i="4"/>
  <c r="V261" i="4"/>
  <c r="J106" i="4"/>
  <c r="N57" i="4"/>
  <c r="V57" i="4" s="1"/>
  <c r="R274" i="4"/>
  <c r="J274" i="4"/>
  <c r="V223" i="4"/>
  <c r="V263" i="4"/>
  <c r="H290" i="4"/>
  <c r="V229" i="4"/>
  <c r="V268" i="4"/>
  <c r="N84" i="4"/>
  <c r="N54" i="4"/>
  <c r="V54" i="4" s="1"/>
  <c r="V280" i="4"/>
  <c r="J226" i="4"/>
  <c r="N47" i="4"/>
  <c r="V47" i="4" s="1"/>
  <c r="V269" i="4"/>
  <c r="V219" i="4"/>
  <c r="V203" i="4"/>
  <c r="P226" i="4"/>
  <c r="V210" i="4"/>
  <c r="V266" i="4"/>
  <c r="V270" i="4"/>
  <c r="F290" i="4"/>
  <c r="N53" i="4"/>
  <c r="V214" i="4"/>
  <c r="H114" i="4"/>
  <c r="V225" i="4"/>
  <c r="V250" i="4" s="1"/>
  <c r="V209" i="4"/>
  <c r="V283" i="4"/>
  <c r="N43" i="4"/>
  <c r="V43" i="4" s="1"/>
  <c r="N39" i="4"/>
  <c r="V39" i="4" s="1"/>
  <c r="V262" i="4"/>
  <c r="V204" i="4"/>
  <c r="N99" i="4"/>
  <c r="V99" i="4" s="1"/>
  <c r="V106" i="4" s="1"/>
  <c r="V207" i="4"/>
  <c r="V273" i="4"/>
  <c r="V265" i="4"/>
  <c r="F40" i="4"/>
  <c r="V284" i="4"/>
  <c r="N65" i="4"/>
  <c r="V282" i="4"/>
  <c r="N104" i="4"/>
  <c r="V104" i="4" s="1"/>
  <c r="F226" i="4"/>
  <c r="V272" i="4"/>
  <c r="V212" i="4"/>
  <c r="V206" i="4"/>
  <c r="N55" i="4"/>
  <c r="V55" i="4" s="1"/>
  <c r="N112" i="4"/>
  <c r="V112" i="4" s="1"/>
  <c r="F274" i="4"/>
  <c r="V217" i="4"/>
  <c r="V287" i="4"/>
  <c r="V231" i="4"/>
  <c r="V220" i="4"/>
  <c r="P274" i="4"/>
  <c r="J50" i="4"/>
  <c r="V281" i="4"/>
  <c r="H274" i="4"/>
  <c r="V215" i="4"/>
  <c r="V278" i="4"/>
  <c r="N110" i="4"/>
  <c r="V110" i="4" s="1"/>
  <c r="N49" i="4"/>
  <c r="V49" i="4" s="1"/>
  <c r="P290" i="4"/>
  <c r="J290" i="4"/>
  <c r="J317" i="4" s="1"/>
  <c r="AN317" i="4" s="1"/>
  <c r="AN16" i="4" s="1"/>
  <c r="N38" i="4"/>
  <c r="V222" i="4"/>
  <c r="V286" i="4"/>
  <c r="V218" i="4"/>
  <c r="V216" i="4"/>
  <c r="N100" i="4"/>
  <c r="V100" i="4" s="1"/>
  <c r="J58" i="4"/>
  <c r="N109" i="4"/>
  <c r="J40" i="4"/>
  <c r="N113" i="4"/>
  <c r="V113" i="4" s="1"/>
  <c r="N48" i="4"/>
  <c r="V48" i="4" s="1"/>
  <c r="F232" i="4"/>
  <c r="V264" i="4"/>
  <c r="N86" i="4"/>
  <c r="V86" i="4" s="1"/>
  <c r="P232" i="4"/>
  <c r="J114" i="4"/>
  <c r="AL157" i="5"/>
  <c r="AT326" i="5"/>
  <c r="AV326" i="5" s="1"/>
  <c r="P284" i="36"/>
  <c r="R185" i="36"/>
  <c r="L455" i="36"/>
  <c r="N24" i="21"/>
  <c r="N24" i="23"/>
  <c r="R261" i="36"/>
  <c r="R80" i="36"/>
  <c r="N98" i="36"/>
  <c r="F78" i="36"/>
  <c r="R63" i="36"/>
  <c r="F30" i="36"/>
  <c r="R448" i="36"/>
  <c r="P362" i="36"/>
  <c r="N94" i="17"/>
  <c r="N93" i="15"/>
  <c r="P93" i="15" s="1"/>
  <c r="R249" i="36"/>
  <c r="N513" i="36"/>
  <c r="R57" i="33"/>
  <c r="R210" i="33"/>
  <c r="N75" i="17" s="1"/>
  <c r="P75" i="17" s="1"/>
  <c r="H455" i="36"/>
  <c r="R352" i="36"/>
  <c r="H461" i="36"/>
  <c r="H464" i="36" s="1"/>
  <c r="N23" i="23"/>
  <c r="P23" i="23" s="1"/>
  <c r="N23" i="21"/>
  <c r="P525" i="36"/>
  <c r="P528" i="36" s="1"/>
  <c r="R157" i="36"/>
  <c r="N17" i="11"/>
  <c r="N41" i="11" s="1"/>
  <c r="N44" i="11" s="1"/>
  <c r="N17" i="9"/>
  <c r="N90" i="17"/>
  <c r="N90" i="15"/>
  <c r="R243" i="36"/>
  <c r="R441" i="36"/>
  <c r="N33" i="17"/>
  <c r="N33" i="15"/>
  <c r="N41" i="15" s="1"/>
  <c r="N387" i="36"/>
  <c r="H433" i="36"/>
  <c r="H505" i="36"/>
  <c r="R67" i="36"/>
  <c r="N129" i="36"/>
  <c r="N166" i="36" s="1"/>
  <c r="N422" i="36"/>
  <c r="D284" i="36"/>
  <c r="R20" i="36"/>
  <c r="N52" i="23"/>
  <c r="P52" i="23" s="1"/>
  <c r="N52" i="21"/>
  <c r="R404" i="36"/>
  <c r="N67" i="15"/>
  <c r="N101" i="17"/>
  <c r="N37" i="15"/>
  <c r="P54" i="21"/>
  <c r="N33" i="23"/>
  <c r="N54" i="23"/>
  <c r="J194" i="4"/>
  <c r="R194" i="4"/>
  <c r="R196" i="4" s="1"/>
  <c r="F284" i="36"/>
  <c r="N12" i="23"/>
  <c r="N12" i="21"/>
  <c r="R343" i="36"/>
  <c r="H362" i="36"/>
  <c r="N284" i="36"/>
  <c r="R435" i="33"/>
  <c r="N32" i="21"/>
  <c r="N40" i="21" s="1"/>
  <c r="H387" i="36"/>
  <c r="F362" i="36"/>
  <c r="N332" i="36"/>
  <c r="D129" i="36"/>
  <c r="R19" i="36"/>
  <c r="R476" i="36"/>
  <c r="F505" i="36"/>
  <c r="H245" i="4"/>
  <c r="H194" i="4"/>
  <c r="F422" i="36"/>
  <c r="R346" i="36"/>
  <c r="H30" i="36"/>
  <c r="L422" i="36"/>
  <c r="L464" i="36" s="1"/>
  <c r="R285" i="33"/>
  <c r="N72" i="15"/>
  <c r="R173" i="33"/>
  <c r="N74" i="15" s="1"/>
  <c r="P74" i="15" s="1"/>
  <c r="L78" i="36"/>
  <c r="N40" i="9"/>
  <c r="N40" i="11"/>
  <c r="R90" i="36"/>
  <c r="H98" i="36"/>
  <c r="P301" i="36"/>
  <c r="H129" i="36"/>
  <c r="R81" i="36"/>
  <c r="D56" i="36"/>
  <c r="R51" i="36"/>
  <c r="N29" i="11"/>
  <c r="N29" i="9"/>
  <c r="P29" i="9" s="1"/>
  <c r="H163" i="36"/>
  <c r="H166" i="36" s="1"/>
  <c r="P422" i="36"/>
  <c r="L284" i="36"/>
  <c r="N39" i="11"/>
  <c r="N39" i="9"/>
  <c r="P39" i="9" s="1"/>
  <c r="R459" i="36"/>
  <c r="R358" i="36"/>
  <c r="O59" i="8"/>
  <c r="M73" i="8"/>
  <c r="F301" i="36"/>
  <c r="R31" i="33"/>
  <c r="N14" i="17"/>
  <c r="R207" i="36"/>
  <c r="N34" i="11"/>
  <c r="N34" i="9"/>
  <c r="N21" i="11"/>
  <c r="P21" i="11" s="1"/>
  <c r="N21" i="9"/>
  <c r="P41" i="36"/>
  <c r="N51" i="17"/>
  <c r="N51" i="15"/>
  <c r="P51" i="15" s="1"/>
  <c r="N37" i="21"/>
  <c r="P37" i="21" s="1"/>
  <c r="N37" i="23"/>
  <c r="P248" i="4"/>
  <c r="V192" i="4"/>
  <c r="V248" i="4" s="1"/>
  <c r="H513" i="36"/>
  <c r="H516" i="36" s="1"/>
  <c r="P64" i="23"/>
  <c r="L41" i="36"/>
  <c r="F163" i="36"/>
  <c r="H422" i="36"/>
  <c r="P98" i="36"/>
  <c r="N36" i="9"/>
  <c r="R527" i="33"/>
  <c r="R530" i="33" s="1"/>
  <c r="N18" i="11"/>
  <c r="P18" i="11" s="1"/>
  <c r="N18" i="9"/>
  <c r="L505" i="36"/>
  <c r="P111" i="36"/>
  <c r="P36" i="21"/>
  <c r="R223" i="36"/>
  <c r="N37" i="11"/>
  <c r="N37" i="9"/>
  <c r="P387" i="36"/>
  <c r="N13" i="21"/>
  <c r="P13" i="21" s="1"/>
  <c r="N16" i="15"/>
  <c r="P32" i="11"/>
  <c r="P37" i="15"/>
  <c r="P30" i="36"/>
  <c r="P68" i="17"/>
  <c r="P34" i="11"/>
  <c r="D41" i="36"/>
  <c r="P15" i="17"/>
  <c r="P36" i="11"/>
  <c r="P22" i="9"/>
  <c r="D367" i="33"/>
  <c r="R336" i="36"/>
  <c r="R179" i="36"/>
  <c r="P20" i="9"/>
  <c r="P101" i="15"/>
  <c r="P24" i="23"/>
  <c r="P22" i="23"/>
  <c r="P54" i="23"/>
  <c r="P18" i="9"/>
  <c r="P56" i="17"/>
  <c r="V187" i="4"/>
  <c r="V244" i="4" s="1"/>
  <c r="R252" i="4"/>
  <c r="R523" i="36"/>
  <c r="D466" i="33"/>
  <c r="R382" i="36"/>
  <c r="L362" i="36"/>
  <c r="R331" i="36"/>
  <c r="R321" i="36"/>
  <c r="R288" i="36"/>
  <c r="R278" i="36"/>
  <c r="R250" i="36"/>
  <c r="R234" i="36"/>
  <c r="D222" i="36"/>
  <c r="L218" i="36"/>
  <c r="N455" i="36"/>
  <c r="F433" i="36"/>
  <c r="D387" i="36"/>
  <c r="V184" i="4"/>
  <c r="R202" i="36"/>
  <c r="N25" i="21"/>
  <c r="P56" i="23"/>
  <c r="P19" i="21"/>
  <c r="R488" i="36"/>
  <c r="R353" i="36"/>
  <c r="R176" i="36"/>
  <c r="R92" i="36"/>
  <c r="P17" i="21"/>
  <c r="F209" i="36"/>
  <c r="D341" i="36"/>
  <c r="P90" i="17"/>
  <c r="P34" i="21"/>
  <c r="P14" i="11"/>
  <c r="P252" i="4"/>
  <c r="R247" i="36"/>
  <c r="R219" i="33"/>
  <c r="R246" i="36"/>
  <c r="P367" i="33"/>
  <c r="P392" i="33" s="1"/>
  <c r="P533" i="33" s="1"/>
  <c r="R123" i="36"/>
  <c r="L129" i="36"/>
  <c r="R99" i="33"/>
  <c r="P78" i="36"/>
  <c r="R48" i="36"/>
  <c r="R491" i="36"/>
  <c r="T194" i="4"/>
  <c r="T196" i="4" s="1"/>
  <c r="R428" i="36"/>
  <c r="R314" i="36"/>
  <c r="H301" i="36"/>
  <c r="R252" i="36"/>
  <c r="R210" i="36"/>
  <c r="R94" i="36"/>
  <c r="N55" i="21"/>
  <c r="L513" i="36"/>
  <c r="N13" i="9"/>
  <c r="P13" i="9" s="1"/>
  <c r="F111" i="36"/>
  <c r="R302" i="33"/>
  <c r="R165" i="36"/>
  <c r="N111" i="36"/>
  <c r="R429" i="36"/>
  <c r="N163" i="36"/>
  <c r="N147" i="36"/>
  <c r="R53" i="36"/>
  <c r="F41" i="36"/>
  <c r="P341" i="36"/>
  <c r="R312" i="36"/>
  <c r="R200" i="36"/>
  <c r="N505" i="36"/>
  <c r="R237" i="36"/>
  <c r="R521" i="36"/>
  <c r="R481" i="36"/>
  <c r="R440" i="36"/>
  <c r="F387" i="36"/>
  <c r="P51" i="17"/>
  <c r="P17" i="9"/>
  <c r="P19" i="9"/>
  <c r="F147" i="36"/>
  <c r="P27" i="11"/>
  <c r="P26" i="11"/>
  <c r="N93" i="17"/>
  <c r="P93" i="17" s="1"/>
  <c r="R191" i="36"/>
  <c r="R389" i="33"/>
  <c r="F332" i="36"/>
  <c r="P129" i="36"/>
  <c r="F56" i="36"/>
  <c r="R348" i="36"/>
  <c r="R370" i="36"/>
  <c r="N41" i="36"/>
  <c r="P33" i="21"/>
  <c r="P46" i="17"/>
  <c r="P20" i="15"/>
  <c r="R88" i="36"/>
  <c r="R239" i="36"/>
  <c r="R145" i="36"/>
  <c r="R79" i="33"/>
  <c r="H41" i="36"/>
  <c r="R451" i="36"/>
  <c r="F455" i="36"/>
  <c r="P396" i="36"/>
  <c r="P398" i="36" s="1"/>
  <c r="R374" i="36"/>
  <c r="R364" i="33"/>
  <c r="R300" i="36"/>
  <c r="R276" i="36"/>
  <c r="R235" i="36"/>
  <c r="H172" i="36"/>
  <c r="H209" i="36" s="1"/>
  <c r="H147" i="36"/>
  <c r="H78" i="36"/>
  <c r="P56" i="36"/>
  <c r="R26" i="36"/>
  <c r="R15" i="36"/>
  <c r="P513" i="36"/>
  <c r="P516" i="36" s="1"/>
  <c r="H466" i="33"/>
  <c r="D455" i="36"/>
  <c r="R357" i="36"/>
  <c r="L525" i="36"/>
  <c r="L528" i="36" s="1"/>
  <c r="R326" i="36"/>
  <c r="P218" i="36"/>
  <c r="R343" i="33"/>
  <c r="D30" i="36"/>
  <c r="D396" i="36"/>
  <c r="D398" i="36" s="1"/>
  <c r="R325" i="36"/>
  <c r="N218" i="36"/>
  <c r="R148" i="36"/>
  <c r="L111" i="36"/>
  <c r="H341" i="36"/>
  <c r="R219" i="36"/>
  <c r="R299" i="36"/>
  <c r="R271" i="36"/>
  <c r="R460" i="36"/>
  <c r="R375" i="36"/>
  <c r="R293" i="36"/>
  <c r="R267" i="36"/>
  <c r="R224" i="36"/>
  <c r="R110" i="36"/>
  <c r="L56" i="36"/>
  <c r="P51" i="23"/>
  <c r="F129" i="36"/>
  <c r="L98" i="36"/>
  <c r="D301" i="36"/>
  <c r="R107" i="36"/>
  <c r="P332" i="36"/>
  <c r="D98" i="36"/>
  <c r="R308" i="36"/>
  <c r="N525" i="36"/>
  <c r="N528" i="36" s="1"/>
  <c r="R424" i="33"/>
  <c r="R229" i="36"/>
  <c r="R316" i="36"/>
  <c r="R288" i="33"/>
  <c r="R245" i="36"/>
  <c r="R490" i="36"/>
  <c r="D362" i="36"/>
  <c r="R327" i="36"/>
  <c r="R305" i="36"/>
  <c r="R273" i="36"/>
  <c r="P69" i="21"/>
  <c r="P55" i="23"/>
  <c r="L147" i="36"/>
  <c r="N362" i="36"/>
  <c r="R148" i="33"/>
  <c r="R35" i="36"/>
  <c r="R447" i="36"/>
  <c r="R320" i="36"/>
  <c r="R160" i="36"/>
  <c r="R101" i="36"/>
  <c r="P60" i="23"/>
  <c r="N78" i="36"/>
  <c r="P163" i="36"/>
  <c r="P166" i="36" s="1"/>
  <c r="R112" i="33"/>
  <c r="N63" i="15" s="1"/>
  <c r="P63" i="15" s="1"/>
  <c r="R24" i="36"/>
  <c r="P17" i="23"/>
  <c r="P25" i="21"/>
  <c r="P14" i="23"/>
  <c r="P23" i="21"/>
  <c r="P39" i="17"/>
  <c r="P19" i="15"/>
  <c r="P14" i="9"/>
  <c r="L209" i="36"/>
  <c r="F166" i="36"/>
  <c r="J51" i="21"/>
  <c r="L51" i="21" s="1"/>
  <c r="P29" i="17"/>
  <c r="H30" i="15"/>
  <c r="P97" i="15"/>
  <c r="L166" i="36"/>
  <c r="R359" i="36"/>
  <c r="R510" i="36"/>
  <c r="R296" i="36"/>
  <c r="R59" i="36"/>
  <c r="R143" i="36"/>
  <c r="R188" i="36"/>
  <c r="R29" i="36"/>
  <c r="R91" i="36"/>
  <c r="R281" i="36"/>
  <c r="R178" i="36"/>
  <c r="J28" i="23"/>
  <c r="L28" i="23" s="1"/>
  <c r="P28" i="23" s="1"/>
  <c r="U15" i="35"/>
  <c r="H87" i="4"/>
  <c r="H89" i="4" s="1"/>
  <c r="G35" i="8"/>
  <c r="U35" i="8" s="1"/>
  <c r="U36" i="8" s="1"/>
  <c r="U58" i="35"/>
  <c r="J37" i="9"/>
  <c r="P38" i="11"/>
  <c r="H41" i="9"/>
  <c r="H44" i="9" s="1"/>
  <c r="J38" i="15"/>
  <c r="L38" i="15" s="1"/>
  <c r="P38" i="15" s="1"/>
  <c r="P96" i="17"/>
  <c r="L18" i="20"/>
  <c r="L21" i="20" s="1"/>
  <c r="J11" i="15"/>
  <c r="L84" i="18"/>
  <c r="L84" i="15" s="1"/>
  <c r="P84" i="15" s="1"/>
  <c r="J90" i="15"/>
  <c r="L90" i="15" s="1"/>
  <c r="P90" i="15" s="1"/>
  <c r="H65" i="22"/>
  <c r="J50" i="22"/>
  <c r="L50" i="22" s="1"/>
  <c r="N27" i="17"/>
  <c r="P27" i="17" s="1"/>
  <c r="H55" i="21"/>
  <c r="H70" i="21"/>
  <c r="D65" i="22"/>
  <c r="N13" i="11"/>
  <c r="N100" i="17"/>
  <c r="P39" i="11"/>
  <c r="N53" i="23"/>
  <c r="N14" i="15"/>
  <c r="N72" i="17"/>
  <c r="H241" i="4"/>
  <c r="H252" i="4" s="1"/>
  <c r="D433" i="36"/>
  <c r="R368" i="36"/>
  <c r="S72" i="35"/>
  <c r="S73" i="35" s="1"/>
  <c r="S81" i="35" s="1"/>
  <c r="S90" i="35" s="1"/>
  <c r="G71" i="35"/>
  <c r="P29" i="15"/>
  <c r="L47" i="24"/>
  <c r="L65" i="24" s="1"/>
  <c r="N11" i="21"/>
  <c r="H50" i="4"/>
  <c r="U13" i="35"/>
  <c r="U55" i="35"/>
  <c r="U71" i="35" s="1"/>
  <c r="O67" i="35"/>
  <c r="N62" i="1"/>
  <c r="N64" i="1" s="1"/>
  <c r="P24" i="11"/>
  <c r="H167" i="16"/>
  <c r="J14" i="16"/>
  <c r="L14" i="16" s="1"/>
  <c r="J126" i="16"/>
  <c r="L126" i="16" s="1"/>
  <c r="F29" i="21"/>
  <c r="L117" i="24"/>
  <c r="P70" i="23"/>
  <c r="N97" i="17"/>
  <c r="P97" i="17" s="1"/>
  <c r="R457" i="33"/>
  <c r="P37" i="17"/>
  <c r="N92" i="17"/>
  <c r="P92" i="17" s="1"/>
  <c r="V185" i="4"/>
  <c r="V242" i="4" s="1"/>
  <c r="P32" i="9"/>
  <c r="R68" i="36"/>
  <c r="Q70" i="35"/>
  <c r="Q73" i="35" s="1"/>
  <c r="Q81" i="35" s="1"/>
  <c r="Q90" i="35" s="1"/>
  <c r="I51" i="35"/>
  <c r="F75" i="10"/>
  <c r="H137" i="16"/>
  <c r="D146" i="16"/>
  <c r="J41" i="18"/>
  <c r="J68" i="23"/>
  <c r="N60" i="17"/>
  <c r="R290" i="36"/>
  <c r="H226" i="4"/>
  <c r="E71" i="35"/>
  <c r="U50" i="35"/>
  <c r="T290" i="4"/>
  <c r="H75" i="10"/>
  <c r="J74" i="15"/>
  <c r="L74" i="15" s="1"/>
  <c r="D121" i="16"/>
  <c r="F30" i="17"/>
  <c r="F105" i="17" s="1"/>
  <c r="J101" i="18"/>
  <c r="H85" i="17"/>
  <c r="J132" i="16"/>
  <c r="P15" i="23"/>
  <c r="L40" i="24"/>
  <c r="J35" i="23"/>
  <c r="L35" i="23" s="1"/>
  <c r="R42" i="33"/>
  <c r="J60" i="21"/>
  <c r="L60" i="21" s="1"/>
  <c r="J33" i="26"/>
  <c r="P455" i="36"/>
  <c r="P464" i="36" s="1"/>
  <c r="H284" i="36"/>
  <c r="P194" i="4"/>
  <c r="P196" i="4" s="1"/>
  <c r="N25" i="17"/>
  <c r="P25" i="17" s="1"/>
  <c r="H218" i="36"/>
  <c r="N34" i="17"/>
  <c r="R220" i="36"/>
  <c r="R507" i="33"/>
  <c r="R518" i="33" s="1"/>
  <c r="R22" i="34"/>
  <c r="D12" i="13"/>
  <c r="D15" i="13" s="1"/>
  <c r="J35" i="20"/>
  <c r="J38" i="20" s="1"/>
  <c r="H49" i="21"/>
  <c r="J252" i="4"/>
  <c r="R335" i="36"/>
  <c r="D167" i="33"/>
  <c r="R512" i="36"/>
  <c r="R496" i="36"/>
  <c r="N461" i="36"/>
  <c r="R417" i="36"/>
  <c r="R339" i="36"/>
  <c r="R297" i="36"/>
  <c r="R242" i="36"/>
  <c r="R184" i="36"/>
  <c r="R238" i="36"/>
  <c r="R84" i="36"/>
  <c r="R34" i="36"/>
  <c r="R22" i="36"/>
  <c r="R14" i="36"/>
  <c r="F466" i="33"/>
  <c r="R274" i="36"/>
  <c r="R46" i="36"/>
  <c r="R378" i="36"/>
  <c r="R356" i="36"/>
  <c r="R489" i="36"/>
  <c r="R277" i="36"/>
  <c r="R221" i="36"/>
  <c r="R150" i="36"/>
  <c r="R495" i="36"/>
  <c r="R317" i="36"/>
  <c r="R203" i="36"/>
  <c r="R74" i="36"/>
  <c r="R211" i="36"/>
  <c r="R262" i="36"/>
  <c r="R198" i="36"/>
  <c r="R77" i="36"/>
  <c r="R206" i="36"/>
  <c r="R449" i="36"/>
  <c r="R380" i="36"/>
  <c r="R253" i="36"/>
  <c r="F222" i="36"/>
  <c r="R100" i="36"/>
  <c r="H25" i="34"/>
  <c r="H50" i="34" s="1"/>
  <c r="R311" i="36"/>
  <c r="R407" i="36"/>
  <c r="R360" i="36"/>
  <c r="R269" i="36"/>
  <c r="R47" i="36"/>
  <c r="R354" i="36"/>
  <c r="R355" i="36"/>
  <c r="J116" i="22"/>
  <c r="L116" i="22" s="1"/>
  <c r="D62" i="21"/>
  <c r="R115" i="36"/>
  <c r="R137" i="36"/>
  <c r="R146" i="36"/>
  <c r="R93" i="36"/>
  <c r="R522" i="36"/>
  <c r="R409" i="36"/>
  <c r="R231" i="36"/>
  <c r="R486" i="36"/>
  <c r="R418" i="36"/>
  <c r="R194" i="36"/>
  <c r="D55" i="21"/>
  <c r="R83" i="36"/>
  <c r="D50" i="21"/>
  <c r="J50" i="21" s="1"/>
  <c r="L50" i="21" s="1"/>
  <c r="P50" i="21" s="1"/>
  <c r="R164" i="36"/>
  <c r="R126" i="36"/>
  <c r="R112" i="36"/>
  <c r="H155" i="16"/>
  <c r="J77" i="17"/>
  <c r="L77" i="17" s="1"/>
  <c r="R23" i="36"/>
  <c r="R241" i="36"/>
  <c r="J97" i="22"/>
  <c r="D103" i="22"/>
  <c r="J22" i="22"/>
  <c r="L22" i="22" s="1"/>
  <c r="D71" i="22"/>
  <c r="J69" i="23"/>
  <c r="L69" i="23" s="1"/>
  <c r="P69" i="23" s="1"/>
  <c r="F93" i="22"/>
  <c r="F125" i="22" s="1"/>
  <c r="J12" i="23"/>
  <c r="L12" i="23" s="1"/>
  <c r="P12" i="23" s="1"/>
  <c r="J112" i="16"/>
  <c r="L112" i="16" s="1"/>
  <c r="J95" i="15"/>
  <c r="L95" i="15" s="1"/>
  <c r="P95" i="15" s="1"/>
  <c r="J50" i="16"/>
  <c r="L50" i="16" s="1"/>
  <c r="J83" i="15"/>
  <c r="L83" i="15" s="1"/>
  <c r="J28" i="11"/>
  <c r="L28" i="11" s="1"/>
  <c r="P28" i="11" s="1"/>
  <c r="J31" i="11"/>
  <c r="L31" i="11" s="1"/>
  <c r="V213" i="4"/>
  <c r="V205" i="4"/>
  <c r="J70" i="1"/>
  <c r="J72" i="1" s="1"/>
  <c r="J127" i="1" s="1"/>
  <c r="J130" i="1" s="1"/>
  <c r="J133" i="1" s="1"/>
  <c r="J137" i="1" s="1"/>
  <c r="R497" i="36"/>
  <c r="R240" i="36"/>
  <c r="J45" i="16"/>
  <c r="L45" i="16" s="1"/>
  <c r="J20" i="11"/>
  <c r="L20" i="11" s="1"/>
  <c r="H96" i="4"/>
  <c r="G87" i="35"/>
  <c r="R377" i="36"/>
  <c r="R492" i="36"/>
  <c r="J112" i="22"/>
  <c r="L112" i="22" s="1"/>
  <c r="J21" i="21"/>
  <c r="L21" i="21" s="1"/>
  <c r="P21" i="21" s="1"/>
  <c r="R122" i="36"/>
  <c r="R17" i="36"/>
  <c r="J13" i="25"/>
  <c r="L13" i="25" s="1"/>
  <c r="P13" i="25" s="1"/>
  <c r="J33" i="23"/>
  <c r="L33" i="23" s="1"/>
  <c r="J67" i="17"/>
  <c r="L67" i="17" s="1"/>
  <c r="J19" i="17"/>
  <c r="L19" i="17" s="1"/>
  <c r="P19" i="17" s="1"/>
  <c r="J101" i="17"/>
  <c r="L101" i="17" s="1"/>
  <c r="P101" i="17" s="1"/>
  <c r="J19" i="10"/>
  <c r="L19" i="10" s="1"/>
  <c r="J65" i="10"/>
  <c r="L65" i="10" s="1"/>
  <c r="H58" i="4"/>
  <c r="H60" i="4" s="1"/>
  <c r="U45" i="35"/>
  <c r="U72" i="35" s="1"/>
  <c r="R69" i="36"/>
  <c r="J75" i="15"/>
  <c r="L75" i="15" s="1"/>
  <c r="J36" i="10"/>
  <c r="L36" i="10" s="1"/>
  <c r="J23" i="9"/>
  <c r="L23" i="9" s="1"/>
  <c r="P23" i="9" s="1"/>
  <c r="G72" i="35"/>
  <c r="G73" i="35" s="1"/>
  <c r="G81" i="35" s="1"/>
  <c r="G90" i="35" s="1"/>
  <c r="R342" i="36"/>
  <c r="J37" i="17"/>
  <c r="L37" i="17" s="1"/>
  <c r="J40" i="9"/>
  <c r="L40" i="9" s="1"/>
  <c r="P40" i="9" s="1"/>
  <c r="J27" i="10"/>
  <c r="L27" i="10" s="1"/>
  <c r="F32" i="1"/>
  <c r="F127" i="1" s="1"/>
  <c r="F130" i="1" s="1"/>
  <c r="J79" i="17"/>
  <c r="L79" i="17" s="1"/>
  <c r="J81" i="15"/>
  <c r="L81" i="15" s="1"/>
  <c r="F14" i="15"/>
  <c r="F30" i="15" s="1"/>
  <c r="F105" i="15" s="1"/>
  <c r="J24" i="9"/>
  <c r="L24" i="9" s="1"/>
  <c r="P24" i="9" s="1"/>
  <c r="T317" i="4"/>
  <c r="N99" i="1"/>
  <c r="P24" i="21"/>
  <c r="P11" i="13"/>
  <c r="R197" i="36"/>
  <c r="P172" i="36"/>
  <c r="P209" i="36" s="1"/>
  <c r="R337" i="36"/>
  <c r="R437" i="36"/>
  <c r="R121" i="36"/>
  <c r="R233" i="36"/>
  <c r="R227" i="36"/>
  <c r="R478" i="36"/>
  <c r="R324" i="36"/>
  <c r="J62" i="23"/>
  <c r="L62" i="23" s="1"/>
  <c r="P62" i="23" s="1"/>
  <c r="R494" i="36"/>
  <c r="V211" i="4"/>
  <c r="N105" i="4"/>
  <c r="V105" i="4" s="1"/>
  <c r="F114" i="4"/>
  <c r="U38" i="35"/>
  <c r="F106" i="4"/>
  <c r="U68" i="2"/>
  <c r="P30" i="9"/>
  <c r="P19" i="11"/>
  <c r="J29" i="17"/>
  <c r="H12" i="19"/>
  <c r="D41" i="15"/>
  <c r="J30" i="18"/>
  <c r="P40" i="15"/>
  <c r="J12" i="21"/>
  <c r="J47" i="22"/>
  <c r="F65" i="22"/>
  <c r="F74" i="22" s="1"/>
  <c r="P24" i="17"/>
  <c r="J44" i="24"/>
  <c r="J82" i="22"/>
  <c r="L82" i="22" s="1"/>
  <c r="D332" i="36"/>
  <c r="N18" i="21"/>
  <c r="N57" i="21"/>
  <c r="N65" i="21" s="1"/>
  <c r="P83" i="15"/>
  <c r="P98" i="15"/>
  <c r="P31" i="11"/>
  <c r="J103" i="24"/>
  <c r="R468" i="36"/>
  <c r="R469" i="36" s="1"/>
  <c r="R472" i="36" s="1"/>
  <c r="N103" i="1"/>
  <c r="N104" i="1" s="1"/>
  <c r="N106" i="1" s="1"/>
  <c r="D41" i="17"/>
  <c r="D105" i="17" s="1"/>
  <c r="J19" i="22"/>
  <c r="L19" i="22" s="1"/>
  <c r="L71" i="24"/>
  <c r="V267" i="4"/>
  <c r="D75" i="10"/>
  <c r="J65" i="16"/>
  <c r="L65" i="16" s="1"/>
  <c r="L44" i="18"/>
  <c r="L52" i="18" s="1"/>
  <c r="J75" i="16"/>
  <c r="L75" i="16" s="1"/>
  <c r="F57" i="15"/>
  <c r="J72" i="16"/>
  <c r="H69" i="15"/>
  <c r="P19" i="23"/>
  <c r="D40" i="22"/>
  <c r="J62" i="21"/>
  <c r="L62" i="21" s="1"/>
  <c r="D117" i="22"/>
  <c r="L19" i="26"/>
  <c r="L22" i="26" s="1"/>
  <c r="L35" i="26" s="1"/>
  <c r="N209" i="36"/>
  <c r="N365" i="36" s="1"/>
  <c r="F516" i="36"/>
  <c r="N32" i="23"/>
  <c r="N40" i="23" s="1"/>
  <c r="V190" i="4"/>
  <c r="V246" i="4" s="1"/>
  <c r="F58" i="4"/>
  <c r="F50" i="4"/>
  <c r="F60" i="4" s="1"/>
  <c r="L59" i="1"/>
  <c r="J41" i="12"/>
  <c r="J44" i="12" s="1"/>
  <c r="J74" i="12" s="1"/>
  <c r="F155" i="16"/>
  <c r="J60" i="17"/>
  <c r="N94" i="15"/>
  <c r="P94" i="15" s="1"/>
  <c r="T226" i="4"/>
  <c r="R290" i="4"/>
  <c r="R317" i="4" s="1"/>
  <c r="N22" i="1"/>
  <c r="N32" i="1" s="1"/>
  <c r="L68" i="12"/>
  <c r="L71" i="12" s="1"/>
  <c r="J61" i="16"/>
  <c r="L61" i="16" s="1"/>
  <c r="D19" i="25"/>
  <c r="D22" i="25" s="1"/>
  <c r="N19" i="25"/>
  <c r="N22" i="25" s="1"/>
  <c r="V186" i="4"/>
  <c r="V243" i="4" s="1"/>
  <c r="R13" i="36"/>
  <c r="R169" i="36"/>
  <c r="F194" i="4"/>
  <c r="X196" i="4" s="1"/>
  <c r="X15" i="4" s="1"/>
  <c r="N45" i="15"/>
  <c r="P45" i="15" s="1"/>
  <c r="H52" i="15"/>
  <c r="J166" i="18"/>
  <c r="J169" i="18" s="1"/>
  <c r="J172" i="18" s="1"/>
  <c r="N48" i="15"/>
  <c r="P48" i="15" s="1"/>
  <c r="P50" i="34"/>
  <c r="R450" i="36"/>
  <c r="R379" i="36"/>
  <c r="R303" i="36"/>
  <c r="R500" i="36"/>
  <c r="R431" i="36"/>
  <c r="R413" i="36"/>
  <c r="R363" i="36"/>
  <c r="R349" i="36"/>
  <c r="R509" i="36"/>
  <c r="N466" i="33"/>
  <c r="R425" i="36"/>
  <c r="R412" i="36"/>
  <c r="R170" i="36"/>
  <c r="R134" i="36"/>
  <c r="R130" i="33"/>
  <c r="R438" i="36"/>
  <c r="R445" i="36"/>
  <c r="R454" i="36"/>
  <c r="H367" i="33"/>
  <c r="H392" i="33" s="1"/>
  <c r="R75" i="36"/>
  <c r="R381" i="36"/>
  <c r="R263" i="36"/>
  <c r="R40" i="36"/>
  <c r="R304" i="36"/>
  <c r="R487" i="36"/>
  <c r="N30" i="36"/>
  <c r="R114" i="36"/>
  <c r="R12" i="36"/>
  <c r="R482" i="36"/>
  <c r="R383" i="36"/>
  <c r="R49" i="36"/>
  <c r="R27" i="36"/>
  <c r="R306" i="36"/>
  <c r="R268" i="36"/>
  <c r="R226" i="36"/>
  <c r="R279" i="36"/>
  <c r="R189" i="36"/>
  <c r="R443" i="36"/>
  <c r="R351" i="36"/>
  <c r="R323" i="36"/>
  <c r="R183" i="36"/>
  <c r="R204" i="36"/>
  <c r="R275" i="36"/>
  <c r="R338" i="36"/>
  <c r="R318" i="36"/>
  <c r="H167" i="33"/>
  <c r="R64" i="36"/>
  <c r="R484" i="36"/>
  <c r="R344" i="36"/>
  <c r="R187" i="36"/>
  <c r="R104" i="36"/>
  <c r="R52" i="36"/>
  <c r="R71" i="36"/>
  <c r="R248" i="36"/>
  <c r="R432" i="36"/>
  <c r="R272" i="36"/>
  <c r="R322" i="36"/>
  <c r="R298" i="36"/>
  <c r="R213" i="36"/>
  <c r="J61" i="23"/>
  <c r="L61" i="23" s="1"/>
  <c r="P61" i="23" s="1"/>
  <c r="R11" i="36"/>
  <c r="R95" i="36"/>
  <c r="R328" i="36"/>
  <c r="R411" i="36"/>
  <c r="R256" i="36"/>
  <c r="R109" i="36"/>
  <c r="D60" i="21"/>
  <c r="J20" i="23"/>
  <c r="L20" i="23" s="1"/>
  <c r="R60" i="36"/>
  <c r="R25" i="36"/>
  <c r="R430" i="36"/>
  <c r="R395" i="36"/>
  <c r="R396" i="36" s="1"/>
  <c r="R398" i="36" s="1"/>
  <c r="R493" i="36"/>
  <c r="J86" i="22"/>
  <c r="L86" i="22" s="1"/>
  <c r="J53" i="23"/>
  <c r="L53" i="23" s="1"/>
  <c r="R86" i="36"/>
  <c r="J21" i="19"/>
  <c r="L21" i="19" s="1"/>
  <c r="P21" i="19" s="1"/>
  <c r="J16" i="17"/>
  <c r="L16" i="17" s="1"/>
  <c r="P16" i="17" s="1"/>
  <c r="J27" i="17"/>
  <c r="L27" i="17" s="1"/>
  <c r="R82" i="36"/>
  <c r="J69" i="22"/>
  <c r="L69" i="22" s="1"/>
  <c r="R149" i="36"/>
  <c r="J18" i="23"/>
  <c r="L18" i="23" s="1"/>
  <c r="P18" i="23" s="1"/>
  <c r="J34" i="22"/>
  <c r="L34" i="22" s="1"/>
  <c r="J17" i="19"/>
  <c r="L17" i="19" s="1"/>
  <c r="P17" i="19" s="1"/>
  <c r="J94" i="17"/>
  <c r="L94" i="17" s="1"/>
  <c r="J36" i="16"/>
  <c r="L36" i="16" s="1"/>
  <c r="H97" i="15"/>
  <c r="J97" i="15" s="1"/>
  <c r="L97" i="15" s="1"/>
  <c r="D57" i="16"/>
  <c r="J39" i="15"/>
  <c r="L39" i="15" s="1"/>
  <c r="P39" i="15" s="1"/>
  <c r="J38" i="17"/>
  <c r="L38" i="17" s="1"/>
  <c r="P38" i="17" s="1"/>
  <c r="J15" i="11"/>
  <c r="L15" i="11" s="1"/>
  <c r="P15" i="11" s="1"/>
  <c r="U62" i="35"/>
  <c r="V221" i="4"/>
  <c r="H106" i="4"/>
  <c r="J39" i="11"/>
  <c r="L39" i="11" s="1"/>
  <c r="J37" i="10"/>
  <c r="L37" i="10" s="1"/>
  <c r="Q72" i="35"/>
  <c r="H232" i="4"/>
  <c r="R127" i="36"/>
  <c r="R376" i="36"/>
  <c r="P287" i="36"/>
  <c r="F167" i="33"/>
  <c r="R36" i="36"/>
  <c r="D58" i="21"/>
  <c r="J14" i="22"/>
  <c r="L14" i="22" s="1"/>
  <c r="J46" i="16"/>
  <c r="L46" i="16" s="1"/>
  <c r="J89" i="15"/>
  <c r="L89" i="15" s="1"/>
  <c r="P89" i="15" s="1"/>
  <c r="J18" i="15"/>
  <c r="L18" i="15" s="1"/>
  <c r="P18" i="15" s="1"/>
  <c r="J35" i="9"/>
  <c r="L35" i="9" s="1"/>
  <c r="P35" i="9" s="1"/>
  <c r="J57" i="10"/>
  <c r="L57" i="10" s="1"/>
  <c r="J33" i="9"/>
  <c r="L33" i="9" s="1"/>
  <c r="P33" i="9" s="1"/>
  <c r="J232" i="4"/>
  <c r="N45" i="4"/>
  <c r="V45" i="4" s="1"/>
  <c r="H70" i="1"/>
  <c r="H72" i="1" s="1"/>
  <c r="H127" i="1" s="1"/>
  <c r="H130" i="1" s="1"/>
  <c r="H133" i="1" s="1"/>
  <c r="H137" i="1" s="1"/>
  <c r="R260" i="36"/>
  <c r="R44" i="36"/>
  <c r="J119" i="16"/>
  <c r="L119" i="16" s="1"/>
  <c r="J28" i="16"/>
  <c r="L28" i="16" s="1"/>
  <c r="J61" i="17"/>
  <c r="L61" i="17" s="1"/>
  <c r="N103" i="4"/>
  <c r="V103" i="4" s="1"/>
  <c r="R446" i="36"/>
  <c r="J26" i="15"/>
  <c r="L26" i="15" s="1"/>
  <c r="H74" i="12"/>
  <c r="J67" i="15"/>
  <c r="L67" i="15" s="1"/>
  <c r="R232" i="4"/>
  <c r="J80" i="15"/>
  <c r="L80" i="15" s="1"/>
  <c r="P34" i="17"/>
  <c r="R371" i="36"/>
  <c r="R283" i="36"/>
  <c r="R193" i="36"/>
  <c r="R477" i="36"/>
  <c r="R505" i="36" s="1"/>
  <c r="R236" i="36"/>
  <c r="R439" i="36"/>
  <c r="R21" i="36"/>
  <c r="R154" i="36"/>
  <c r="R16" i="36"/>
  <c r="R182" i="36"/>
  <c r="F41" i="17"/>
  <c r="R291" i="36"/>
  <c r="R216" i="36"/>
  <c r="R133" i="36"/>
  <c r="D525" i="36"/>
  <c r="D528" i="36" s="1"/>
  <c r="R520" i="36"/>
  <c r="J45" i="17"/>
  <c r="L45" i="17" s="1"/>
  <c r="P45" i="17" s="1"/>
  <c r="J100" i="17"/>
  <c r="L100" i="17" s="1"/>
  <c r="R205" i="36"/>
  <c r="R215" i="36"/>
  <c r="J95" i="16"/>
  <c r="L95" i="16" s="1"/>
  <c r="U49" i="35"/>
  <c r="J12" i="9"/>
  <c r="J11" i="19"/>
  <c r="J18" i="20"/>
  <c r="J21" i="20" s="1"/>
  <c r="J41" i="20" s="1"/>
  <c r="H41" i="16"/>
  <c r="D22" i="19"/>
  <c r="D25" i="19" s="1"/>
  <c r="P37" i="23"/>
  <c r="P15" i="15"/>
  <c r="P67" i="17"/>
  <c r="L301" i="36"/>
  <c r="L365" i="36" s="1"/>
  <c r="L390" i="36" s="1"/>
  <c r="P20" i="23"/>
  <c r="R33" i="36"/>
  <c r="V189" i="4"/>
  <c r="V245" i="4" s="1"/>
  <c r="P26" i="15"/>
  <c r="U12" i="35"/>
  <c r="U33" i="35" s="1"/>
  <c r="J16" i="11"/>
  <c r="L16" i="11" s="1"/>
  <c r="F30" i="16"/>
  <c r="H29" i="23"/>
  <c r="J117" i="24"/>
  <c r="J125" i="24" s="1"/>
  <c r="P39" i="23"/>
  <c r="J19" i="26"/>
  <c r="J22" i="26" s="1"/>
  <c r="P73" i="15"/>
  <c r="N92" i="15"/>
  <c r="P92" i="15" s="1"/>
  <c r="T242" i="4"/>
  <c r="T252" i="4" s="1"/>
  <c r="D111" i="36"/>
  <c r="P20" i="11"/>
  <c r="D461" i="36"/>
  <c r="D513" i="36"/>
  <c r="D516" i="36" s="1"/>
  <c r="L41" i="18"/>
  <c r="D102" i="17"/>
  <c r="P64" i="21"/>
  <c r="D147" i="36"/>
  <c r="J96" i="15"/>
  <c r="L96" i="15" s="1"/>
  <c r="P96" i="15" s="1"/>
  <c r="P48" i="17"/>
  <c r="H29" i="21"/>
  <c r="J61" i="21"/>
  <c r="L61" i="21" s="1"/>
  <c r="P61" i="21" s="1"/>
  <c r="R36" i="34"/>
  <c r="R39" i="34" s="1"/>
  <c r="D209" i="36"/>
  <c r="F252" i="4"/>
  <c r="N70" i="21"/>
  <c r="N22" i="19"/>
  <c r="L35" i="20"/>
  <c r="L38" i="20" s="1"/>
  <c r="V191" i="4"/>
  <c r="V247" i="4" s="1"/>
  <c r="R458" i="36"/>
  <c r="R461" i="36" s="1"/>
  <c r="R405" i="36"/>
  <c r="R264" i="36"/>
  <c r="F367" i="33"/>
  <c r="R223" i="33"/>
  <c r="R384" i="36"/>
  <c r="D218" i="36"/>
  <c r="R196" i="36"/>
  <c r="R180" i="36"/>
  <c r="D163" i="36"/>
  <c r="R504" i="36"/>
  <c r="R289" i="36"/>
  <c r="R192" i="36"/>
  <c r="R152" i="36"/>
  <c r="R307" i="36"/>
  <c r="R125" i="36"/>
  <c r="R103" i="36"/>
  <c r="J14" i="25"/>
  <c r="L14" i="25" s="1"/>
  <c r="P14" i="25" s="1"/>
  <c r="N167" i="33"/>
  <c r="N392" i="33" s="1"/>
  <c r="N533" i="33" s="1"/>
  <c r="R498" i="36"/>
  <c r="R386" i="36"/>
  <c r="R18" i="36"/>
  <c r="R524" i="36"/>
  <c r="R116" i="36"/>
  <c r="R70" i="36"/>
  <c r="R479" i="36"/>
  <c r="R259" i="36"/>
  <c r="R135" i="36"/>
  <c r="R113" i="36"/>
  <c r="R453" i="36"/>
  <c r="R408" i="36"/>
  <c r="R102" i="36"/>
  <c r="R190" i="36"/>
  <c r="R45" i="36"/>
  <c r="R254" i="36"/>
  <c r="R118" i="36"/>
  <c r="R483" i="36"/>
  <c r="R415" i="36"/>
  <c r="R174" i="36"/>
  <c r="L167" i="33"/>
  <c r="R97" i="36"/>
  <c r="R334" i="36"/>
  <c r="R341" i="36" s="1"/>
  <c r="R313" i="36"/>
  <c r="R217" i="36"/>
  <c r="R131" i="36"/>
  <c r="R108" i="36"/>
  <c r="R37" i="36"/>
  <c r="R214" i="36"/>
  <c r="R419" i="36"/>
  <c r="R38" i="36"/>
  <c r="R225" i="36"/>
  <c r="R99" i="36"/>
  <c r="R444" i="36"/>
  <c r="R257" i="36"/>
  <c r="R232" i="36"/>
  <c r="R119" i="36"/>
  <c r="R427" i="36"/>
  <c r="R406" i="36"/>
  <c r="R372" i="36"/>
  <c r="R333" i="36"/>
  <c r="R141" i="36"/>
  <c r="R87" i="36"/>
  <c r="R329" i="36"/>
  <c r="R369" i="36"/>
  <c r="R181" i="36"/>
  <c r="R159" i="36"/>
  <c r="R76" i="36"/>
  <c r="R65" i="36"/>
  <c r="R421" i="36"/>
  <c r="R295" i="36"/>
  <c r="R503" i="36"/>
  <c r="R285" i="36"/>
  <c r="R287" i="36" s="1"/>
  <c r="R502" i="36"/>
  <c r="R292" i="36"/>
  <c r="R136" i="36"/>
  <c r="R282" i="36"/>
  <c r="R511" i="36"/>
  <c r="R426" i="36"/>
  <c r="R55" i="36"/>
  <c r="R140" i="36"/>
  <c r="J133" i="16"/>
  <c r="L133" i="16" s="1"/>
  <c r="J77" i="16"/>
  <c r="L77" i="16" s="1"/>
  <c r="J20" i="17"/>
  <c r="L20" i="17" s="1"/>
  <c r="P20" i="17" s="1"/>
  <c r="J76" i="16"/>
  <c r="L76" i="16" s="1"/>
  <c r="R302" i="36"/>
  <c r="R480" i="36"/>
  <c r="R161" i="36"/>
  <c r="J83" i="22"/>
  <c r="L83" i="22" s="1"/>
  <c r="F29" i="23"/>
  <c r="J64" i="16"/>
  <c r="L64" i="16" s="1"/>
  <c r="J16" i="16"/>
  <c r="L16" i="16" s="1"/>
  <c r="D38" i="20"/>
  <c r="D41" i="20" s="1"/>
  <c r="J115" i="16"/>
  <c r="L115" i="16" s="1"/>
  <c r="J98" i="17"/>
  <c r="L98" i="17" s="1"/>
  <c r="P98" i="17" s="1"/>
  <c r="R156" i="36"/>
  <c r="D71" i="23"/>
  <c r="D74" i="23" s="1"/>
  <c r="J91" i="15"/>
  <c r="L91" i="15" s="1"/>
  <c r="P91" i="15" s="1"/>
  <c r="J23" i="16"/>
  <c r="L23" i="16" s="1"/>
  <c r="J19" i="19"/>
  <c r="L19" i="19" s="1"/>
  <c r="P19" i="19" s="1"/>
  <c r="L68" i="1"/>
  <c r="N68" i="1" s="1"/>
  <c r="H222" i="36"/>
  <c r="L367" i="33"/>
  <c r="L392" i="33" s="1"/>
  <c r="L533" i="33" s="1"/>
  <c r="J20" i="10"/>
  <c r="L20" i="10" s="1"/>
  <c r="J38" i="10"/>
  <c r="L38" i="10" s="1"/>
  <c r="V289" i="4"/>
  <c r="R251" i="36"/>
  <c r="R199" i="36"/>
  <c r="J21" i="23"/>
  <c r="L21" i="23" s="1"/>
  <c r="P21" i="23" s="1"/>
  <c r="J24" i="22"/>
  <c r="L24" i="22" s="1"/>
  <c r="R347" i="36"/>
  <c r="R139" i="36"/>
  <c r="J90" i="16"/>
  <c r="L90" i="16" s="1"/>
  <c r="J46" i="15"/>
  <c r="L46" i="15" s="1"/>
  <c r="P46" i="15" s="1"/>
  <c r="J16" i="9"/>
  <c r="L16" i="9" s="1"/>
  <c r="P16" i="9" s="1"/>
  <c r="G71" i="2"/>
  <c r="G79" i="2" s="1"/>
  <c r="G88" i="2" s="1"/>
  <c r="U44" i="35"/>
  <c r="N95" i="4"/>
  <c r="V95" i="4" s="1"/>
  <c r="N46" i="4"/>
  <c r="V46" i="4" s="1"/>
  <c r="R373" i="36"/>
  <c r="R120" i="36"/>
  <c r="R73" i="36"/>
  <c r="J28" i="15"/>
  <c r="L28" i="15" s="1"/>
  <c r="P28" i="15" s="1"/>
  <c r="J62" i="16"/>
  <c r="L62" i="16" s="1"/>
  <c r="J125" i="16"/>
  <c r="L125" i="16" s="1"/>
  <c r="J36" i="9"/>
  <c r="L36" i="9" s="1"/>
  <c r="P36" i="9" s="1"/>
  <c r="J23" i="11"/>
  <c r="L23" i="11" s="1"/>
  <c r="P23" i="11" s="1"/>
  <c r="J21" i="9"/>
  <c r="L21" i="9" s="1"/>
  <c r="U16" i="35"/>
  <c r="R155" i="36"/>
  <c r="F40" i="21"/>
  <c r="J20" i="19"/>
  <c r="L20" i="19" s="1"/>
  <c r="P20" i="19" s="1"/>
  <c r="U86" i="35"/>
  <c r="J24" i="16"/>
  <c r="L24" i="16" s="1"/>
  <c r="J67" i="16"/>
  <c r="L67" i="16" s="1"/>
  <c r="J34" i="15"/>
  <c r="L34" i="15" s="1"/>
  <c r="P34" i="15" s="1"/>
  <c r="J40" i="10"/>
  <c r="L40" i="10" s="1"/>
  <c r="D102" i="15"/>
  <c r="F136" i="4"/>
  <c r="F175" i="4" s="1"/>
  <c r="F179" i="4" s="1"/>
  <c r="J47" i="21"/>
  <c r="H65" i="21"/>
  <c r="AT114" i="5"/>
  <c r="AV114" i="5" s="1"/>
  <c r="AV113" i="5"/>
  <c r="L106" i="22"/>
  <c r="G58" i="8"/>
  <c r="G59" i="8" s="1"/>
  <c r="G61" i="8" s="1"/>
  <c r="G71" i="8"/>
  <c r="G72" i="8" s="1"/>
  <c r="G74" i="8" s="1"/>
  <c r="U44" i="8"/>
  <c r="U70" i="35"/>
  <c r="U67" i="35"/>
  <c r="L37" i="9"/>
  <c r="N137" i="4"/>
  <c r="N176" i="4" s="1"/>
  <c r="L12" i="9"/>
  <c r="N129" i="4"/>
  <c r="L11" i="19"/>
  <c r="J12" i="19"/>
  <c r="P35" i="15"/>
  <c r="L12" i="21"/>
  <c r="N131" i="4"/>
  <c r="N170" i="4" s="1"/>
  <c r="P28" i="21"/>
  <c r="L47" i="22"/>
  <c r="L65" i="22" s="1"/>
  <c r="J65" i="22"/>
  <c r="F74" i="23"/>
  <c r="J56" i="21"/>
  <c r="L56" i="21" s="1"/>
  <c r="P56" i="21" s="1"/>
  <c r="L79" i="22"/>
  <c r="J57" i="21"/>
  <c r="L57" i="21" s="1"/>
  <c r="N75" i="15"/>
  <c r="P75" i="15" s="1"/>
  <c r="N79" i="17"/>
  <c r="P79" i="17" s="1"/>
  <c r="N79" i="15"/>
  <c r="AJ406" i="5"/>
  <c r="AV431" i="5"/>
  <c r="I73" i="35"/>
  <c r="I81" i="35" s="1"/>
  <c r="I90" i="35" s="1"/>
  <c r="E73" i="35"/>
  <c r="E81" i="35" s="1"/>
  <c r="E90" i="35" s="1"/>
  <c r="J74" i="24"/>
  <c r="J128" i="24" s="1"/>
  <c r="J48" i="21"/>
  <c r="J130" i="4"/>
  <c r="J169" i="4" s="1"/>
  <c r="AV366" i="5"/>
  <c r="C38" i="8"/>
  <c r="C47" i="8" s="1"/>
  <c r="P38" i="9"/>
  <c r="H140" i="4"/>
  <c r="P16" i="11"/>
  <c r="P17" i="15"/>
  <c r="P100" i="15"/>
  <c r="P26" i="17"/>
  <c r="J155" i="16"/>
  <c r="L148" i="16"/>
  <c r="L155" i="16" s="1"/>
  <c r="L11" i="17"/>
  <c r="P16" i="15"/>
  <c r="P99" i="17"/>
  <c r="J40" i="21"/>
  <c r="L32" i="21"/>
  <c r="P62" i="21"/>
  <c r="P51" i="21"/>
  <c r="H74" i="22"/>
  <c r="D125" i="22"/>
  <c r="P53" i="21"/>
  <c r="AV153" i="5"/>
  <c r="G26" i="8"/>
  <c r="L99" i="1"/>
  <c r="L41" i="12"/>
  <c r="L44" i="12" s="1"/>
  <c r="L74" i="12" s="1"/>
  <c r="L11" i="22"/>
  <c r="J44" i="22"/>
  <c r="L43" i="22"/>
  <c r="L44" i="22" s="1"/>
  <c r="N122" i="4"/>
  <c r="N124" i="4" s="1"/>
  <c r="V121" i="4"/>
  <c r="V122" i="4" s="1"/>
  <c r="V124" i="4" s="1"/>
  <c r="U51" i="35"/>
  <c r="P33" i="11"/>
  <c r="P34" i="9"/>
  <c r="P47" i="17"/>
  <c r="J52" i="16"/>
  <c r="L44" i="16"/>
  <c r="L52" i="16" s="1"/>
  <c r="P83" i="17"/>
  <c r="D172" i="18"/>
  <c r="P18" i="21"/>
  <c r="P58" i="23"/>
  <c r="P63" i="23"/>
  <c r="N30" i="15"/>
  <c r="P39" i="21"/>
  <c r="L11" i="25"/>
  <c r="N77" i="17"/>
  <c r="P77" i="17" s="1"/>
  <c r="N77" i="15"/>
  <c r="P77" i="15" s="1"/>
  <c r="N66" i="17"/>
  <c r="N66" i="15"/>
  <c r="P66" i="15" s="1"/>
  <c r="V241" i="4"/>
  <c r="R25" i="34"/>
  <c r="L169" i="18"/>
  <c r="J69" i="16"/>
  <c r="L60" i="16"/>
  <c r="H128" i="24"/>
  <c r="J49" i="21"/>
  <c r="L49" i="21" s="1"/>
  <c r="P49" i="21" s="1"/>
  <c r="N74" i="17"/>
  <c r="P74" i="17" s="1"/>
  <c r="AT403" i="5"/>
  <c r="AV402" i="5"/>
  <c r="N148" i="4"/>
  <c r="F149" i="4"/>
  <c r="F151" i="4" s="1"/>
  <c r="F153" i="4" s="1"/>
  <c r="AC153" i="4" s="1"/>
  <c r="L74" i="24"/>
  <c r="X71" i="2"/>
  <c r="L85" i="18"/>
  <c r="L104" i="18" s="1"/>
  <c r="J52" i="21"/>
  <c r="J132" i="4"/>
  <c r="J171" i="4" s="1"/>
  <c r="N66" i="4"/>
  <c r="N68" i="4" s="1"/>
  <c r="V65" i="4"/>
  <c r="V66" i="4" s="1"/>
  <c r="V68" i="4" s="1"/>
  <c r="J69" i="17"/>
  <c r="L60" i="17"/>
  <c r="N80" i="17"/>
  <c r="P80" i="17" s="1"/>
  <c r="N80" i="15"/>
  <c r="P80" i="15" s="1"/>
  <c r="P22" i="17"/>
  <c r="L11" i="16"/>
  <c r="L30" i="16" s="1"/>
  <c r="P26" i="21"/>
  <c r="N81" i="17"/>
  <c r="P81" i="17" s="1"/>
  <c r="N81" i="15"/>
  <c r="AJ482" i="5"/>
  <c r="N96" i="4"/>
  <c r="V94" i="4"/>
  <c r="U105" i="2"/>
  <c r="U108" i="2" s="1"/>
  <c r="U71" i="2"/>
  <c r="U79" i="2" s="1"/>
  <c r="U88" i="2" s="1"/>
  <c r="U90" i="2" s="1"/>
  <c r="U96" i="2"/>
  <c r="P25" i="15"/>
  <c r="H105" i="17"/>
  <c r="L30" i="18"/>
  <c r="J41" i="16"/>
  <c r="L33" i="16"/>
  <c r="L41" i="16" s="1"/>
  <c r="P20" i="21"/>
  <c r="H73" i="21"/>
  <c r="J121" i="22"/>
  <c r="L120" i="22"/>
  <c r="L121" i="22" s="1"/>
  <c r="AL406" i="5"/>
  <c r="AT223" i="5"/>
  <c r="AV222" i="5"/>
  <c r="P26" i="9"/>
  <c r="H25" i="19"/>
  <c r="J57" i="15"/>
  <c r="L55" i="15"/>
  <c r="O73" i="35"/>
  <c r="O81" i="35" s="1"/>
  <c r="O90" i="35" s="1"/>
  <c r="P13" i="11"/>
  <c r="P29" i="11"/>
  <c r="J41" i="10"/>
  <c r="L11" i="10"/>
  <c r="L49" i="10"/>
  <c r="L75" i="10" s="1"/>
  <c r="J75" i="10"/>
  <c r="F104" i="16"/>
  <c r="P18" i="17"/>
  <c r="H104" i="16"/>
  <c r="P27" i="15"/>
  <c r="P49" i="17"/>
  <c r="J167" i="16"/>
  <c r="L158" i="16"/>
  <c r="L167" i="16" s="1"/>
  <c r="J129" i="16"/>
  <c r="L124" i="16"/>
  <c r="L129" i="16" s="1"/>
  <c r="L11" i="23"/>
  <c r="J29" i="23"/>
  <c r="P27" i="23"/>
  <c r="L32" i="23"/>
  <c r="J40" i="23"/>
  <c r="P35" i="21"/>
  <c r="L47" i="23"/>
  <c r="J65" i="23"/>
  <c r="N65" i="23"/>
  <c r="F464" i="36"/>
  <c r="N61" i="17"/>
  <c r="P61" i="17" s="1"/>
  <c r="N61" i="15"/>
  <c r="P61" i="15" s="1"/>
  <c r="V296" i="4"/>
  <c r="H317" i="4"/>
  <c r="AE317" i="4" s="1"/>
  <c r="AE16" i="4" s="1"/>
  <c r="P17" i="17"/>
  <c r="H74" i="23"/>
  <c r="W15" i="8"/>
  <c r="W26" i="8" s="1"/>
  <c r="P25" i="11"/>
  <c r="P22" i="11"/>
  <c r="J41" i="11"/>
  <c r="J44" i="11" s="1"/>
  <c r="L11" i="11"/>
  <c r="P13" i="15"/>
  <c r="J104" i="18"/>
  <c r="J85" i="17"/>
  <c r="L72" i="17"/>
  <c r="D104" i="16"/>
  <c r="J29" i="21"/>
  <c r="L11" i="21"/>
  <c r="P36" i="23"/>
  <c r="P35" i="23"/>
  <c r="P60" i="21"/>
  <c r="P49" i="23"/>
  <c r="N52" i="15"/>
  <c r="N76" i="17"/>
  <c r="P76" i="17" s="1"/>
  <c r="N76" i="15"/>
  <c r="P76" i="15" s="1"/>
  <c r="N71" i="23"/>
  <c r="N41" i="9"/>
  <c r="N44" i="9" s="1"/>
  <c r="AT134" i="5"/>
  <c r="AV134" i="5" s="1"/>
  <c r="AV325" i="5"/>
  <c r="AP317" i="4"/>
  <c r="AP16" i="4" s="1"/>
  <c r="P28" i="17"/>
  <c r="J58" i="21"/>
  <c r="L58" i="21" s="1"/>
  <c r="P58" i="21" s="1"/>
  <c r="AV336" i="5"/>
  <c r="AV472" i="5"/>
  <c r="J88" i="15"/>
  <c r="P79" i="15"/>
  <c r="N133" i="4"/>
  <c r="N172" i="4" s="1"/>
  <c r="L11" i="15"/>
  <c r="J57" i="17"/>
  <c r="L55" i="17"/>
  <c r="V38" i="4"/>
  <c r="L88" i="16"/>
  <c r="J69" i="15"/>
  <c r="L60" i="15"/>
  <c r="N62" i="17"/>
  <c r="P62" i="17" s="1"/>
  <c r="N62" i="15"/>
  <c r="P62" i="15" s="1"/>
  <c r="L516" i="36"/>
  <c r="C104" i="2"/>
  <c r="C107" i="2" s="1"/>
  <c r="C97" i="2"/>
  <c r="H77" i="10"/>
  <c r="J52" i="17"/>
  <c r="L44" i="17"/>
  <c r="P66" i="17"/>
  <c r="L33" i="15"/>
  <c r="J41" i="15"/>
  <c r="N41" i="17"/>
  <c r="V308" i="4"/>
  <c r="H102" i="15"/>
  <c r="H105" i="15" s="1"/>
  <c r="M72" i="8"/>
  <c r="M58" i="8"/>
  <c r="M60" i="8" s="1"/>
  <c r="O61" i="8" s="1"/>
  <c r="L11" i="9"/>
  <c r="J168" i="4"/>
  <c r="P13" i="17"/>
  <c r="L88" i="17"/>
  <c r="J85" i="15"/>
  <c r="L72" i="15"/>
  <c r="J41" i="17"/>
  <c r="L33" i="17"/>
  <c r="L32" i="22"/>
  <c r="L40" i="22" s="1"/>
  <c r="J40" i="22"/>
  <c r="F65" i="21"/>
  <c r="P59" i="23"/>
  <c r="J70" i="21"/>
  <c r="L67" i="21"/>
  <c r="N135" i="4"/>
  <c r="N174" i="4" s="1"/>
  <c r="L43" i="23"/>
  <c r="J44" i="23"/>
  <c r="N82" i="17"/>
  <c r="P82" i="17" s="1"/>
  <c r="N82" i="15"/>
  <c r="P82" i="15" s="1"/>
  <c r="N516" i="36"/>
  <c r="AT263" i="5"/>
  <c r="AV263" i="5" s="1"/>
  <c r="AV261" i="5"/>
  <c r="F140" i="4"/>
  <c r="L15" i="19"/>
  <c r="V158" i="4"/>
  <c r="V161" i="4" s="1"/>
  <c r="V164" i="4" s="1"/>
  <c r="N161" i="4"/>
  <c r="N164" i="4" s="1"/>
  <c r="AV367" i="5"/>
  <c r="G36" i="8"/>
  <c r="G38" i="8" s="1"/>
  <c r="V232" i="4"/>
  <c r="N134" i="4"/>
  <c r="N173" i="4" s="1"/>
  <c r="D134" i="4"/>
  <c r="V134" i="4"/>
  <c r="V173" i="4" s="1"/>
  <c r="P37" i="11"/>
  <c r="H179" i="4"/>
  <c r="P31" i="9"/>
  <c r="D77" i="10"/>
  <c r="P40" i="11"/>
  <c r="L72" i="16"/>
  <c r="D170" i="16"/>
  <c r="J57" i="16"/>
  <c r="L55" i="16"/>
  <c r="L57" i="16" s="1"/>
  <c r="P25" i="23"/>
  <c r="P50" i="23"/>
  <c r="F73" i="21"/>
  <c r="L68" i="22"/>
  <c r="L71" i="22" s="1"/>
  <c r="J71" i="22"/>
  <c r="AJ232" i="5"/>
  <c r="AJ157" i="5"/>
  <c r="AV71" i="5"/>
  <c r="AL482" i="5"/>
  <c r="U16" i="8"/>
  <c r="X16" i="8" s="1"/>
  <c r="X26" i="8" s="1"/>
  <c r="V53" i="4"/>
  <c r="F77" i="10"/>
  <c r="J146" i="16"/>
  <c r="L140" i="16"/>
  <c r="L146" i="16" s="1"/>
  <c r="F170" i="16"/>
  <c r="P16" i="21"/>
  <c r="L68" i="23"/>
  <c r="U87" i="35"/>
  <c r="L70" i="1"/>
  <c r="L72" i="1" s="1"/>
  <c r="L127" i="1" s="1"/>
  <c r="L130" i="1" s="1"/>
  <c r="N67" i="1"/>
  <c r="N70" i="1" s="1"/>
  <c r="N72" i="1" s="1"/>
  <c r="P30" i="11"/>
  <c r="P21" i="15"/>
  <c r="N138" i="4"/>
  <c r="N177" i="4" s="1"/>
  <c r="L56" i="15"/>
  <c r="L109" i="16"/>
  <c r="L121" i="16" s="1"/>
  <c r="P14" i="17"/>
  <c r="J137" i="16"/>
  <c r="L132" i="16"/>
  <c r="L137" i="16" s="1"/>
  <c r="F172" i="18"/>
  <c r="P27" i="21"/>
  <c r="P34" i="23"/>
  <c r="L93" i="24"/>
  <c r="L125" i="24" s="1"/>
  <c r="L128" i="24" s="1"/>
  <c r="J44" i="21"/>
  <c r="L43" i="21"/>
  <c r="N139" i="4"/>
  <c r="N178" i="4" s="1"/>
  <c r="H125" i="22"/>
  <c r="H128" i="22" s="1"/>
  <c r="P38" i="21"/>
  <c r="J35" i="26"/>
  <c r="R50" i="34"/>
  <c r="N52" i="17"/>
  <c r="N65" i="17"/>
  <c r="P65" i="17" s="1"/>
  <c r="N65" i="15"/>
  <c r="P65" i="15" s="1"/>
  <c r="R466" i="33"/>
  <c r="N25" i="19"/>
  <c r="P12" i="17"/>
  <c r="L10" i="13"/>
  <c r="J12" i="13"/>
  <c r="J15" i="13" s="1"/>
  <c r="J52" i="15"/>
  <c r="L44" i="15"/>
  <c r="C95" i="35"/>
  <c r="C93" i="2"/>
  <c r="D137" i="1"/>
  <c r="AT444" i="5"/>
  <c r="AV442" i="5"/>
  <c r="AL235" i="5" l="1"/>
  <c r="AN486" i="5"/>
  <c r="AC514" i="5"/>
  <c r="U514" i="5"/>
  <c r="I514" i="5"/>
  <c r="AR235" i="5"/>
  <c r="AR514" i="5" s="1"/>
  <c r="O514" i="5"/>
  <c r="E514" i="5"/>
  <c r="S514" i="5"/>
  <c r="AN514" i="5"/>
  <c r="AT232" i="5"/>
  <c r="AV232" i="5" s="1"/>
  <c r="AT406" i="5"/>
  <c r="AV406" i="5" s="1"/>
  <c r="AP486" i="5"/>
  <c r="AP514" i="5" s="1"/>
  <c r="F116" i="4"/>
  <c r="J116" i="4"/>
  <c r="N114" i="4"/>
  <c r="N87" i="4"/>
  <c r="N89" i="4" s="1"/>
  <c r="V58" i="4"/>
  <c r="V40" i="4"/>
  <c r="V84" i="4"/>
  <c r="V87" i="4" s="1"/>
  <c r="V89" i="4" s="1"/>
  <c r="V290" i="4"/>
  <c r="P317" i="4"/>
  <c r="V109" i="4"/>
  <c r="V114" i="4" s="1"/>
  <c r="N40" i="4"/>
  <c r="F317" i="4"/>
  <c r="X317" i="4" s="1"/>
  <c r="X16" i="4" s="1"/>
  <c r="AT16" i="4" s="1"/>
  <c r="AU16" i="4" s="1"/>
  <c r="V274" i="4"/>
  <c r="P257" i="4"/>
  <c r="J60" i="4"/>
  <c r="N58" i="4"/>
  <c r="F257" i="4"/>
  <c r="X257" i="4" s="1"/>
  <c r="J140" i="4"/>
  <c r="J257" i="4"/>
  <c r="AN257" i="4" s="1"/>
  <c r="AN12" i="4" s="1"/>
  <c r="H196" i="4"/>
  <c r="T257" i="4"/>
  <c r="V226" i="4"/>
  <c r="H257" i="4"/>
  <c r="AE257" i="4" s="1"/>
  <c r="AE12" i="4" s="1"/>
  <c r="J179" i="4"/>
  <c r="AN196" i="4" s="1"/>
  <c r="AN15" i="4" s="1"/>
  <c r="V96" i="4"/>
  <c r="V194" i="4"/>
  <c r="N106" i="4"/>
  <c r="N116" i="4" s="1"/>
  <c r="H116" i="4"/>
  <c r="H143" i="4" s="1"/>
  <c r="AE143" i="4" s="1"/>
  <c r="AE10" i="4" s="1"/>
  <c r="AL486" i="5"/>
  <c r="AL514" i="5" s="1"/>
  <c r="AV403" i="5"/>
  <c r="AV223" i="5"/>
  <c r="N78" i="17"/>
  <c r="P78" i="17" s="1"/>
  <c r="N78" i="15"/>
  <c r="P78" i="15" s="1"/>
  <c r="P17" i="11"/>
  <c r="H533" i="33"/>
  <c r="P33" i="23"/>
  <c r="N29" i="21"/>
  <c r="N29" i="23"/>
  <c r="M74" i="8"/>
  <c r="O75" i="8" s="1"/>
  <c r="N63" i="17"/>
  <c r="P63" i="17" s="1"/>
  <c r="F392" i="33"/>
  <c r="P100" i="17"/>
  <c r="R257" i="4"/>
  <c r="AP257" i="4" s="1"/>
  <c r="P365" i="36"/>
  <c r="P390" i="36" s="1"/>
  <c r="R163" i="36"/>
  <c r="R172" i="36"/>
  <c r="R362" i="36"/>
  <c r="F365" i="36"/>
  <c r="F390" i="36" s="1"/>
  <c r="R218" i="36"/>
  <c r="N464" i="36"/>
  <c r="R367" i="33"/>
  <c r="R433" i="36"/>
  <c r="D392" i="33"/>
  <c r="D533" i="33" s="1"/>
  <c r="N102" i="17"/>
  <c r="P21" i="9"/>
  <c r="R78" i="36"/>
  <c r="R284" i="36"/>
  <c r="P67" i="15"/>
  <c r="R513" i="36"/>
  <c r="R516" i="36" s="1"/>
  <c r="F533" i="33"/>
  <c r="R332" i="36"/>
  <c r="N390" i="36"/>
  <c r="N531" i="36" s="1"/>
  <c r="R422" i="36"/>
  <c r="R147" i="36"/>
  <c r="R525" i="36"/>
  <c r="R528" i="36" s="1"/>
  <c r="R209" i="36"/>
  <c r="R455" i="36"/>
  <c r="R30" i="36"/>
  <c r="D365" i="36"/>
  <c r="R129" i="36"/>
  <c r="H365" i="36"/>
  <c r="H390" i="36" s="1"/>
  <c r="R111" i="36"/>
  <c r="D464" i="36"/>
  <c r="R41" i="36"/>
  <c r="R222" i="36"/>
  <c r="R301" i="36"/>
  <c r="R98" i="36"/>
  <c r="F133" i="1"/>
  <c r="F137" i="1" s="1"/>
  <c r="AR164" i="4"/>
  <c r="AR319" i="4" s="1"/>
  <c r="X12" i="4"/>
  <c r="X21" i="4" s="1"/>
  <c r="X24" i="4" s="1"/>
  <c r="F128" i="22"/>
  <c r="R464" i="36"/>
  <c r="H170" i="16"/>
  <c r="H172" i="16" s="1"/>
  <c r="N127" i="1"/>
  <c r="N102" i="15"/>
  <c r="N105" i="15" s="1"/>
  <c r="J101" i="16"/>
  <c r="L41" i="10"/>
  <c r="P81" i="15"/>
  <c r="L69" i="16"/>
  <c r="J19" i="25"/>
  <c r="J22" i="25" s="1"/>
  <c r="L29" i="22"/>
  <c r="J30" i="17"/>
  <c r="L93" i="22"/>
  <c r="L117" i="22"/>
  <c r="D166" i="36"/>
  <c r="D390" i="36" s="1"/>
  <c r="D531" i="36" s="1"/>
  <c r="N64" i="15"/>
  <c r="P64" i="15" s="1"/>
  <c r="N64" i="17"/>
  <c r="P64" i="17" s="1"/>
  <c r="P53" i="23"/>
  <c r="J55" i="21"/>
  <c r="L55" i="21" s="1"/>
  <c r="P55" i="21" s="1"/>
  <c r="D65" i="21"/>
  <c r="D73" i="21" s="1"/>
  <c r="H531" i="36"/>
  <c r="L97" i="22"/>
  <c r="L103" i="22" s="1"/>
  <c r="J103" i="22"/>
  <c r="J121" i="16"/>
  <c r="F172" i="16"/>
  <c r="V50" i="4"/>
  <c r="V60" i="4" s="1"/>
  <c r="N73" i="21"/>
  <c r="L85" i="16"/>
  <c r="J41" i="9"/>
  <c r="J44" i="9" s="1"/>
  <c r="F143" i="4"/>
  <c r="AC143" i="4" s="1"/>
  <c r="AC10" i="4" s="1"/>
  <c r="J77" i="10"/>
  <c r="N30" i="17"/>
  <c r="J30" i="16"/>
  <c r="V252" i="4"/>
  <c r="P57" i="21"/>
  <c r="R56" i="36"/>
  <c r="R387" i="36"/>
  <c r="D74" i="22"/>
  <c r="R167" i="33"/>
  <c r="J14" i="15"/>
  <c r="J71" i="23"/>
  <c r="J74" i="23" s="1"/>
  <c r="N50" i="4"/>
  <c r="L74" i="22"/>
  <c r="J85" i="16"/>
  <c r="J22" i="19"/>
  <c r="J102" i="17"/>
  <c r="N69" i="15"/>
  <c r="L101" i="16"/>
  <c r="F531" i="36"/>
  <c r="L77" i="10"/>
  <c r="N85" i="15"/>
  <c r="J29" i="22"/>
  <c r="D128" i="22"/>
  <c r="J93" i="22"/>
  <c r="J117" i="22"/>
  <c r="L41" i="20"/>
  <c r="L133" i="1"/>
  <c r="L137" i="1" s="1"/>
  <c r="N130" i="1"/>
  <c r="N133" i="1" s="1"/>
  <c r="AT482" i="5"/>
  <c r="AT486" i="5" s="1"/>
  <c r="AV444" i="5"/>
  <c r="AJ235" i="5"/>
  <c r="L44" i="23"/>
  <c r="P43" i="23"/>
  <c r="P44" i="23" s="1"/>
  <c r="P33" i="15"/>
  <c r="P41" i="15" s="1"/>
  <c r="L41" i="15"/>
  <c r="J102" i="15"/>
  <c r="N136" i="4"/>
  <c r="N175" i="4" s="1"/>
  <c r="L88" i="15"/>
  <c r="L65" i="23"/>
  <c r="P47" i="23"/>
  <c r="U100" i="2"/>
  <c r="C99" i="2"/>
  <c r="L52" i="21"/>
  <c r="N132" i="4"/>
  <c r="N171" i="4" s="1"/>
  <c r="L19" i="25"/>
  <c r="L22" i="25" s="1"/>
  <c r="P11" i="25"/>
  <c r="P19" i="25" s="1"/>
  <c r="P22" i="25" s="1"/>
  <c r="P10" i="13"/>
  <c r="P12" i="13" s="1"/>
  <c r="P15" i="13" s="1"/>
  <c r="L12" i="13"/>
  <c r="L15" i="13" s="1"/>
  <c r="P56" i="15"/>
  <c r="V138" i="4"/>
  <c r="V177" i="4" s="1"/>
  <c r="F174" i="16"/>
  <c r="J74" i="22"/>
  <c r="D173" i="4"/>
  <c r="D179" i="4" s="1"/>
  <c r="D196" i="4" s="1"/>
  <c r="D197" i="4" s="1"/>
  <c r="D140" i="4"/>
  <c r="D143" i="4" s="1"/>
  <c r="D144" i="4" s="1"/>
  <c r="L85" i="15"/>
  <c r="P72" i="15"/>
  <c r="P85" i="15" s="1"/>
  <c r="J196" i="4"/>
  <c r="P60" i="15"/>
  <c r="P69" i="15" s="1"/>
  <c r="L69" i="15"/>
  <c r="L531" i="36"/>
  <c r="U26" i="8"/>
  <c r="O57" i="8" s="1"/>
  <c r="O62" i="8" s="1"/>
  <c r="O64" i="8" s="1"/>
  <c r="L40" i="23"/>
  <c r="P32" i="23"/>
  <c r="P40" i="23" s="1"/>
  <c r="P55" i="15"/>
  <c r="L57" i="15"/>
  <c r="AT157" i="5"/>
  <c r="AV157" i="5" s="1"/>
  <c r="V116" i="4"/>
  <c r="O71" i="8"/>
  <c r="U38" i="8"/>
  <c r="U47" i="8" s="1"/>
  <c r="AC11" i="4"/>
  <c r="L172" i="18"/>
  <c r="P12" i="9"/>
  <c r="V129" i="4"/>
  <c r="U73" i="35"/>
  <c r="U81" i="35" s="1"/>
  <c r="U90" i="35" s="1"/>
  <c r="U92" i="35" s="1"/>
  <c r="P44" i="15"/>
  <c r="P52" i="15" s="1"/>
  <c r="L52" i="15"/>
  <c r="P11" i="15"/>
  <c r="V133" i="4"/>
  <c r="V172" i="4" s="1"/>
  <c r="N149" i="4"/>
  <c r="N151" i="4" s="1"/>
  <c r="N153" i="4" s="1"/>
  <c r="V148" i="4"/>
  <c r="V149" i="4" s="1"/>
  <c r="V151" i="4" s="1"/>
  <c r="V153" i="4" s="1"/>
  <c r="L48" i="21"/>
  <c r="N130" i="4"/>
  <c r="N169" i="4" s="1"/>
  <c r="L71" i="23"/>
  <c r="P68" i="23"/>
  <c r="P71" i="23" s="1"/>
  <c r="J25" i="19"/>
  <c r="L41" i="17"/>
  <c r="P33" i="17"/>
  <c r="P41" i="17" s="1"/>
  <c r="P88" i="17"/>
  <c r="L102" i="17"/>
  <c r="L41" i="9"/>
  <c r="L44" i="9" s="1"/>
  <c r="P11" i="9"/>
  <c r="L104" i="16"/>
  <c r="L85" i="17"/>
  <c r="P72" i="17"/>
  <c r="P85" i="17" s="1"/>
  <c r="L170" i="16"/>
  <c r="L172" i="16" s="1"/>
  <c r="L79" i="10"/>
  <c r="AJ486" i="5"/>
  <c r="L69" i="17"/>
  <c r="P60" i="17"/>
  <c r="L12" i="19"/>
  <c r="P11" i="19"/>
  <c r="P12" i="19" s="1"/>
  <c r="P37" i="9"/>
  <c r="V137" i="4"/>
  <c r="V176" i="4" s="1"/>
  <c r="J125" i="22"/>
  <c r="J128" i="22" s="1"/>
  <c r="N85" i="17"/>
  <c r="H174" i="16"/>
  <c r="D105" i="15"/>
  <c r="D103" i="15"/>
  <c r="P43" i="21"/>
  <c r="P44" i="21" s="1"/>
  <c r="L44" i="21"/>
  <c r="V139" i="4"/>
  <c r="V178" i="4" s="1"/>
  <c r="P531" i="36"/>
  <c r="D172" i="16"/>
  <c r="D174" i="16" s="1"/>
  <c r="L22" i="19"/>
  <c r="P15" i="19"/>
  <c r="P22" i="19" s="1"/>
  <c r="P67" i="21"/>
  <c r="P70" i="21" s="1"/>
  <c r="L70" i="21"/>
  <c r="V135" i="4"/>
  <c r="V174" i="4" s="1"/>
  <c r="J105" i="17"/>
  <c r="P44" i="17"/>
  <c r="P52" i="17" s="1"/>
  <c r="L52" i="17"/>
  <c r="C100" i="2"/>
  <c r="C102" i="2" s="1"/>
  <c r="J104" i="16"/>
  <c r="P55" i="17"/>
  <c r="P57" i="17" s="1"/>
  <c r="L57" i="17"/>
  <c r="N74" i="23"/>
  <c r="P11" i="21"/>
  <c r="L29" i="21"/>
  <c r="P11" i="11"/>
  <c r="L41" i="11"/>
  <c r="L44" i="11" s="1"/>
  <c r="L29" i="23"/>
  <c r="P11" i="23"/>
  <c r="P29" i="23" s="1"/>
  <c r="J170" i="16"/>
  <c r="U111" i="2"/>
  <c r="U110" i="2"/>
  <c r="U112" i="2" s="1"/>
  <c r="U113" i="2" s="1"/>
  <c r="P32" i="21"/>
  <c r="P40" i="21" s="1"/>
  <c r="L40" i="21"/>
  <c r="L30" i="17"/>
  <c r="P11" i="17"/>
  <c r="P30" i="17" s="1"/>
  <c r="AC196" i="4"/>
  <c r="F196" i="4"/>
  <c r="P12" i="21"/>
  <c r="V131" i="4"/>
  <c r="V170" i="4" s="1"/>
  <c r="N168" i="4"/>
  <c r="L125" i="22"/>
  <c r="L128" i="22" s="1"/>
  <c r="J65" i="21"/>
  <c r="J73" i="21" s="1"/>
  <c r="L47" i="21"/>
  <c r="V317" i="4" l="1"/>
  <c r="AR14" i="4"/>
  <c r="AR21" i="4" s="1"/>
  <c r="AT317" i="4"/>
  <c r="X319" i="4"/>
  <c r="N60" i="4"/>
  <c r="N140" i="4"/>
  <c r="J143" i="4"/>
  <c r="AN143" i="4" s="1"/>
  <c r="AN10" i="4" s="1"/>
  <c r="V257" i="4"/>
  <c r="V259" i="4" s="1"/>
  <c r="AE21" i="4"/>
  <c r="AE24" i="4" s="1"/>
  <c r="AE319" i="4"/>
  <c r="N179" i="4"/>
  <c r="P41" i="11"/>
  <c r="P44" i="11" s="1"/>
  <c r="O76" i="8"/>
  <c r="O78" i="8" s="1"/>
  <c r="P57" i="15"/>
  <c r="N69" i="17"/>
  <c r="N105" i="17" s="1"/>
  <c r="P65" i="23"/>
  <c r="R392" i="33"/>
  <c r="R533" i="33" s="1"/>
  <c r="P69" i="17"/>
  <c r="P102" i="17"/>
  <c r="R365" i="36"/>
  <c r="R166" i="36"/>
  <c r="R390" i="36"/>
  <c r="R531" i="36" s="1"/>
  <c r="P41" i="9"/>
  <c r="P44" i="9" s="1"/>
  <c r="J172" i="16"/>
  <c r="J174" i="16" s="1"/>
  <c r="O80" i="8"/>
  <c r="L14" i="15"/>
  <c r="J30" i="15"/>
  <c r="J105" i="15" s="1"/>
  <c r="P74" i="23"/>
  <c r="AC15" i="4"/>
  <c r="AT15" i="4" s="1"/>
  <c r="AU15" i="4" s="1"/>
  <c r="AT196" i="4"/>
  <c r="L25" i="19"/>
  <c r="P105" i="17"/>
  <c r="AN153" i="4"/>
  <c r="N143" i="4"/>
  <c r="V118" i="4"/>
  <c r="AU317" i="4"/>
  <c r="V319" i="4"/>
  <c r="V318" i="4"/>
  <c r="AT10" i="4"/>
  <c r="AU10" i="4" s="1"/>
  <c r="P47" i="21"/>
  <c r="L65" i="21"/>
  <c r="V168" i="4"/>
  <c r="P29" i="21"/>
  <c r="AV482" i="5"/>
  <c r="L74" i="23"/>
  <c r="L73" i="21"/>
  <c r="AJ514" i="5"/>
  <c r="AV486" i="5"/>
  <c r="P48" i="21"/>
  <c r="V130" i="4"/>
  <c r="V169" i="4" s="1"/>
  <c r="P52" i="21"/>
  <c r="V132" i="4"/>
  <c r="V171" i="4" s="1"/>
  <c r="AT235" i="5"/>
  <c r="AV235" i="5" s="1"/>
  <c r="P25" i="19"/>
  <c r="AR24" i="4"/>
  <c r="AR26" i="4"/>
  <c r="L105" i="17"/>
  <c r="L174" i="16" s="1"/>
  <c r="AP12" i="4"/>
  <c r="AP319" i="4"/>
  <c r="AT257" i="4"/>
  <c r="L102" i="15"/>
  <c r="P88" i="15"/>
  <c r="P102" i="15" s="1"/>
  <c r="V136" i="4"/>
  <c r="V175" i="4" s="1"/>
  <c r="AC164" i="4"/>
  <c r="U95" i="35"/>
  <c r="U93" i="2"/>
  <c r="N137" i="1"/>
  <c r="AU257" i="4" l="1"/>
  <c r="V258" i="4"/>
  <c r="AT143" i="4"/>
  <c r="AU143" i="4" s="1"/>
  <c r="P14" i="15"/>
  <c r="P30" i="15" s="1"/>
  <c r="P105" i="15" s="1"/>
  <c r="L30" i="15"/>
  <c r="L105" i="15" s="1"/>
  <c r="V140" i="4"/>
  <c r="V143" i="4" s="1"/>
  <c r="V144" i="4" s="1"/>
  <c r="AT514" i="5"/>
  <c r="AV514" i="5" s="1"/>
  <c r="P65" i="21"/>
  <c r="P73" i="21" s="1"/>
  <c r="AP21" i="4"/>
  <c r="AP24" i="4" s="1"/>
  <c r="AT12" i="4"/>
  <c r="AU12" i="4" s="1"/>
  <c r="V179" i="4"/>
  <c r="V196" i="4" s="1"/>
  <c r="AN11" i="4"/>
  <c r="AN319" i="4"/>
  <c r="AT153" i="4"/>
  <c r="AU153" i="4" s="1"/>
  <c r="AT164" i="4"/>
  <c r="AU164" i="4" s="1"/>
  <c r="AC14" i="4"/>
  <c r="AC319" i="4"/>
  <c r="AT14" i="4" l="1"/>
  <c r="AU14" i="4" s="1"/>
  <c r="AC21" i="4"/>
  <c r="AC24" i="4" s="1"/>
  <c r="AN21" i="4"/>
  <c r="AT11" i="4"/>
  <c r="AU11" i="4" s="1"/>
  <c r="AU196" i="4"/>
  <c r="V197" i="4"/>
</calcChain>
</file>

<file path=xl/sharedStrings.xml><?xml version="1.0" encoding="utf-8"?>
<sst xmlns="http://schemas.openxmlformats.org/spreadsheetml/2006/main" count="6107" uniqueCount="3725">
  <si>
    <t>LOUISVILLE GAS &amp; ELECTRIC COMPANY</t>
  </si>
  <si>
    <t>SUMMARY OF UTILITY PLANT - REGULATORY ACCOUNTING</t>
  </si>
  <si>
    <t>Form 1/3</t>
  </si>
  <si>
    <t>Beginning</t>
  </si>
  <si>
    <t>Transfers/</t>
  </si>
  <si>
    <t>Ending</t>
  </si>
  <si>
    <t>Page</t>
  </si>
  <si>
    <t>Balance</t>
  </si>
  <si>
    <t>Additions</t>
  </si>
  <si>
    <t>Retirements</t>
  </si>
  <si>
    <t>Adjustments</t>
  </si>
  <si>
    <t>Net Additions</t>
  </si>
  <si>
    <t>UTILITY PLANT IN SERVICE</t>
  </si>
  <si>
    <t>Common</t>
  </si>
  <si>
    <t>Common General Plant</t>
  </si>
  <si>
    <t>Common Intangible Plant</t>
  </si>
  <si>
    <t>3h</t>
  </si>
  <si>
    <t>Electric</t>
  </si>
  <si>
    <t>Electric Distribution</t>
  </si>
  <si>
    <t>Electric General Plant</t>
  </si>
  <si>
    <t>Electric Hydro Production</t>
  </si>
  <si>
    <t>Electric Intangible Plant</t>
  </si>
  <si>
    <t>Electric Other Production</t>
  </si>
  <si>
    <t>Electric Steam Production</t>
  </si>
  <si>
    <t>Electric Transmission</t>
  </si>
  <si>
    <t>3c net w/102*</t>
  </si>
  <si>
    <t>Gas</t>
  </si>
  <si>
    <t>Gas Distribution</t>
  </si>
  <si>
    <t>Gas General Plant</t>
  </si>
  <si>
    <t>Gas Intangible Plant</t>
  </si>
  <si>
    <t>Gas Storage</t>
  </si>
  <si>
    <t>Gas Transmission</t>
  </si>
  <si>
    <t>3d</t>
  </si>
  <si>
    <t>Total 101 Accounts</t>
  </si>
  <si>
    <t>PROPERTY UNDER CAPITAL LEASES</t>
  </si>
  <si>
    <t>Capital Leased Property</t>
  </si>
  <si>
    <t>Total 101101</t>
  </si>
  <si>
    <t>Plant Purchased &amp; sold</t>
  </si>
  <si>
    <t>Total 102001</t>
  </si>
  <si>
    <t>*</t>
  </si>
  <si>
    <t>PLANT HELD FOR FUTURE USE</t>
  </si>
  <si>
    <t>Electric - 105001</t>
  </si>
  <si>
    <t>Electric - 105002</t>
  </si>
  <si>
    <t>10c</t>
  </si>
  <si>
    <t>Total 105</t>
  </si>
  <si>
    <t>COMPLETED CONSTRUCTION NOT CLASSIFIED</t>
  </si>
  <si>
    <t>6h</t>
  </si>
  <si>
    <t>6c</t>
  </si>
  <si>
    <t>6d</t>
  </si>
  <si>
    <t>Total 106 Accounts</t>
  </si>
  <si>
    <t>GAS STORED UNDERGROUND-NONCURRENT</t>
  </si>
  <si>
    <t>Gas Stored Nonrecoverable</t>
  </si>
  <si>
    <t>Total 117001</t>
  </si>
  <si>
    <t>NONUTILITY PROPERTY</t>
  </si>
  <si>
    <t>Non Utility Property</t>
  </si>
  <si>
    <t>Total 121001</t>
  </si>
  <si>
    <t>CONSTRUCTION WORK IN PROGRESS</t>
  </si>
  <si>
    <t>Construction Work in Progress</t>
  </si>
  <si>
    <t>11h</t>
  </si>
  <si>
    <t>11c</t>
  </si>
  <si>
    <t>11d</t>
  </si>
  <si>
    <t>Total Plant (Non-CWIP)</t>
  </si>
  <si>
    <t>Total Plant + CWIP</t>
  </si>
  <si>
    <t>Total Plant + CWIP - Non Utiltity (BS)</t>
  </si>
  <si>
    <t>- Gas Stored UG Noncurrent</t>
  </si>
  <si>
    <t>13b</t>
  </si>
  <si>
    <t>ARO</t>
  </si>
  <si>
    <t>RWIP</t>
  </si>
  <si>
    <t>Cost</t>
  </si>
  <si>
    <t>Other</t>
  </si>
  <si>
    <t>Accruals</t>
  </si>
  <si>
    <t>Settlements</t>
  </si>
  <si>
    <t>Transfers Out</t>
  </si>
  <si>
    <t>of Removal</t>
  </si>
  <si>
    <t>Salvage</t>
  </si>
  <si>
    <t>Credits</t>
  </si>
  <si>
    <t>LIFE RESERVE</t>
  </si>
  <si>
    <t>Common General Plant - ARO</t>
  </si>
  <si>
    <t>Electric Distribution - ARO</t>
  </si>
  <si>
    <t>Electric Hydro Production - ARO</t>
  </si>
  <si>
    <t>Electric Other Production - ARO</t>
  </si>
  <si>
    <t>Electric Steam Production - ARO</t>
  </si>
  <si>
    <t>Electric Transmission - ARO</t>
  </si>
  <si>
    <t>Gas Distribution - ARO</t>
  </si>
  <si>
    <t>Gas Storage - ARO</t>
  </si>
  <si>
    <t>Gas Transmission - ARO</t>
  </si>
  <si>
    <t>Non Utility Property (122)</t>
  </si>
  <si>
    <t>16a</t>
  </si>
  <si>
    <t>Non Utility Property (111)</t>
  </si>
  <si>
    <t>COST OF REMOVAL</t>
  </si>
  <si>
    <t>SALVAGE</t>
  </si>
  <si>
    <t>TOTAL RESERVES</t>
  </si>
  <si>
    <t>S/B 0 Net</t>
  </si>
  <si>
    <t>RETIREMENT WORK IN PROGRESS</t>
  </si>
  <si>
    <t>YTD ACTIVITY</t>
  </si>
  <si>
    <t>AMORTIZATION</t>
  </si>
  <si>
    <t>21 h</t>
  </si>
  <si>
    <t>21 c</t>
  </si>
  <si>
    <t>21 d</t>
  </si>
  <si>
    <t>AMORTIZATION TOTAL</t>
  </si>
  <si>
    <t>Depreciation &amp; Amortization Total</t>
  </si>
  <si>
    <t>Depr &amp; Amort - Nonutility for Balance Sheet</t>
  </si>
  <si>
    <t>Utility Plant at Original Cost Less Reserve for</t>
  </si>
  <si>
    <t xml:space="preserve">  Depreciation &amp; Amortization (Excl nonutility)</t>
  </si>
  <si>
    <t>Totals</t>
  </si>
  <si>
    <t>Σ = 16 - 16a</t>
  </si>
  <si>
    <t>18 h</t>
  </si>
  <si>
    <t>33 c</t>
  </si>
  <si>
    <t>Σ = 11</t>
  </si>
  <si>
    <t>33 d</t>
  </si>
  <si>
    <t>Σ = 14</t>
  </si>
  <si>
    <t>18 d</t>
  </si>
  <si>
    <t>33 h</t>
  </si>
  <si>
    <t xml:space="preserve">33 b total includes any Depr on Plant Held for Future Use.  </t>
  </si>
  <si>
    <t>Σ = row 18 on form</t>
  </si>
  <si>
    <t>18 b</t>
  </si>
  <si>
    <t>Depr - 1032 -- run only for Group 131105-Dist Drive - Future Use pg 200 ln 28c</t>
  </si>
  <si>
    <t>Σ = row 20 on form</t>
  </si>
  <si>
    <t>20 b</t>
  </si>
  <si>
    <t>22 b</t>
  </si>
  <si>
    <t>Σ = row 21 on form</t>
  </si>
  <si>
    <t>21 b</t>
  </si>
  <si>
    <t>P356.1</t>
  </si>
  <si>
    <t>28 c</t>
  </si>
  <si>
    <t>Reserve (Less non-utility)</t>
  </si>
  <si>
    <t>key in YTD amount - watch if need multiple years for Form 1</t>
  </si>
  <si>
    <t>18 c - net of Depr on Future Assets</t>
  </si>
  <si>
    <t>Amortization</t>
  </si>
  <si>
    <t>RWIP BY G/L ACCOUNT - REGULATORY ACCOUNTING</t>
  </si>
  <si>
    <t>RWIP ACCOUNT 108099</t>
  </si>
  <si>
    <t>RWIP ACCOUNT 108799</t>
  </si>
  <si>
    <t>RWIP ACCOUNT 108901</t>
  </si>
  <si>
    <t>TOTAL RWIP</t>
  </si>
  <si>
    <t>VARIANCE</t>
  </si>
  <si>
    <t>SUMMARY OF CHANGES FOR CASH FLOW STATEMENT - (REGULATORY)</t>
  </si>
  <si>
    <t>Non-Cash changes</t>
  </si>
  <si>
    <t>Cash Changes</t>
  </si>
  <si>
    <t>Beginning Balance</t>
  </si>
  <si>
    <t>Ending Balance</t>
  </si>
  <si>
    <t>Depreciation/ Amortization Expense (403)</t>
  </si>
  <si>
    <t>Depreciation/ Amortization Expense (403) (PA-Pension)</t>
  </si>
  <si>
    <t>ARO Depr Total Activity (403)</t>
  </si>
  <si>
    <t>ARO 254 Activity (Parent COR)</t>
  </si>
  <si>
    <t>ARO Accretion</t>
  </si>
  <si>
    <t>Unitizations</t>
  </si>
  <si>
    <t>Pension 107001 (PA)</t>
  </si>
  <si>
    <t>Retirements    (FIN BOOKS)</t>
  </si>
  <si>
    <t>Retirements    (PA BOOKS)</t>
  </si>
  <si>
    <t>Gains/(Losses)</t>
  </si>
  <si>
    <t>ARO Revaluation / Addition  (Gross)</t>
  </si>
  <si>
    <t>ARO Transfers</t>
  </si>
  <si>
    <t>Purchase Acct Netting  -  Net Book Value</t>
  </si>
  <si>
    <t xml:space="preserve">Other Transfers </t>
  </si>
  <si>
    <t>Other - Non Depr Exp/Change</t>
  </si>
  <si>
    <t>RWIP - CCR</t>
  </si>
  <si>
    <t>CWIP  Spend</t>
  </si>
  <si>
    <t>Net Change In Account</t>
  </si>
  <si>
    <t>Difference</t>
  </si>
  <si>
    <t>Property, plant and equipment:</t>
  </si>
  <si>
    <t xml:space="preserve"> </t>
  </si>
  <si>
    <t>Regulated utility plant - electric and gas</t>
  </si>
  <si>
    <t>Nonregulated plant</t>
  </si>
  <si>
    <t>Accumulated depreciation</t>
  </si>
  <si>
    <t>Accum depreciation - nonregulated plant</t>
  </si>
  <si>
    <t>CWIP</t>
  </si>
  <si>
    <t>Other long-term intangibles</t>
  </si>
  <si>
    <t>Accumulated cost of removal of utility plant</t>
  </si>
  <si>
    <t>Regulatory Assets-Noncurrent- ARO</t>
  </si>
  <si>
    <t>Current ARO Liability</t>
  </si>
  <si>
    <t>ARO Liability</t>
  </si>
  <si>
    <t>Check</t>
  </si>
  <si>
    <t>Note:</t>
  </si>
  <si>
    <t>Other long-term intangibles includes accounts beginning with 101, 108, and 111</t>
  </si>
  <si>
    <t>Current ARO Liability includes accounts 230022 and 230026.</t>
  </si>
  <si>
    <t>Other balance sheet accounts affected (per Recon Depr Exp to IS)</t>
  </si>
  <si>
    <t>Fuel (151060 &amp; 151061)</t>
  </si>
  <si>
    <t>Other current assets (184315)</t>
  </si>
  <si>
    <t>2540XX Regulatory Liability</t>
  </si>
  <si>
    <t>nets to zero (b/s to b/s entry)</t>
  </si>
  <si>
    <t>Total 105001</t>
  </si>
  <si>
    <t xml:space="preserve">Intangible Plant Detail - </t>
  </si>
  <si>
    <t>389.20</t>
  </si>
  <si>
    <t>Common Land Rights</t>
  </si>
  <si>
    <t>350.20</t>
  </si>
  <si>
    <t>Gas Land Rights</t>
  </si>
  <si>
    <t>374.22</t>
  </si>
  <si>
    <t>352.10</t>
  </si>
  <si>
    <t>360.10</t>
  </si>
  <si>
    <t>Land Rights</t>
  </si>
  <si>
    <t>Land Rights - 105002</t>
  </si>
  <si>
    <t>365.20</t>
  </si>
  <si>
    <t>350.10</t>
  </si>
  <si>
    <t>Electric Land Rights</t>
  </si>
  <si>
    <t>302.00</t>
  </si>
  <si>
    <t>Common Franch and Consents</t>
  </si>
  <si>
    <t>Electric Franch and Consent</t>
  </si>
  <si>
    <t>Gas Franch and Consent</t>
  </si>
  <si>
    <t>101 Balance</t>
  </si>
  <si>
    <t>Elect Land Rights</t>
  </si>
  <si>
    <t>108 Balance</t>
  </si>
  <si>
    <t>Other long-term intangibles (net of Depr)</t>
  </si>
  <si>
    <t>Non Utility Property (108)</t>
  </si>
  <si>
    <t>Plus:</t>
  </si>
  <si>
    <t>121.92</t>
  </si>
  <si>
    <t>Nonutility 108</t>
  </si>
  <si>
    <t>Nonutility 111</t>
  </si>
  <si>
    <t>Less:</t>
  </si>
  <si>
    <t>Regulatory Liability ARO</t>
  </si>
  <si>
    <t>Electic</t>
  </si>
  <si>
    <t>Addition</t>
  </si>
  <si>
    <t>DETAIL OF TRANSFERS - REGULATORY ACCOUNTING</t>
  </si>
  <si>
    <t>Adjustment</t>
  </si>
  <si>
    <t>Transfer</t>
  </si>
  <si>
    <t>N/A</t>
  </si>
  <si>
    <t>February</t>
  </si>
  <si>
    <t>MARCH</t>
  </si>
  <si>
    <t>APRIL (A)</t>
  </si>
  <si>
    <t>APRIL (B)</t>
  </si>
  <si>
    <t>JUNE</t>
  </si>
  <si>
    <t>JUNE (A)</t>
  </si>
  <si>
    <t>JUNE(B)</t>
  </si>
  <si>
    <t>JULY</t>
  </si>
  <si>
    <t>AUGUST</t>
  </si>
  <si>
    <t>SEPTEMBER (A)</t>
  </si>
  <si>
    <t>SEPTEMBER (B)</t>
  </si>
  <si>
    <t>SEPTEMBER (C)</t>
  </si>
  <si>
    <t>OCTOBER</t>
  </si>
  <si>
    <t>NOVEMBER</t>
  </si>
  <si>
    <t>DECEMBER (A)</t>
  </si>
  <si>
    <t>Total</t>
  </si>
  <si>
    <t>Summary</t>
  </si>
  <si>
    <t>FERC FORM 1 COLUMN CLASSIFICATION:</t>
  </si>
  <si>
    <t>C389.10-Land</t>
  </si>
  <si>
    <t>C389.20-Land Rights</t>
  </si>
  <si>
    <t>C390.10-Struct and Imp-Gen Offices</t>
  </si>
  <si>
    <t>C390.20-Struc and Imp-Transportatio</t>
  </si>
  <si>
    <t>C390.30-Struct and Imp - Stores</t>
  </si>
  <si>
    <t>C390.40-Struct and Imp - Shops</t>
  </si>
  <si>
    <t>C390.60-Struct and Imp - Microwave</t>
  </si>
  <si>
    <t>C391.10-Office Furniture</t>
  </si>
  <si>
    <t>C391.20-Office Equipment</t>
  </si>
  <si>
    <t>C391.30-Computer Equipment</t>
  </si>
  <si>
    <t>C391.31-Personal Computers</t>
  </si>
  <si>
    <t>C391.33 Computer Equip ECR 2006</t>
  </si>
  <si>
    <t>C391.40-Security Equipment</t>
  </si>
  <si>
    <t>C392.00-Cars and Light Trucks</t>
  </si>
  <si>
    <t>C392.10-Heavy Trucks and Other</t>
  </si>
  <si>
    <t xml:space="preserve">C392.20-Trans Equip-Trailers </t>
  </si>
  <si>
    <t>C393.00-Stores Equipment</t>
  </si>
  <si>
    <t>C394.00-Tools, Shop, Garage Equip</t>
  </si>
  <si>
    <t>C395.00-Laboratory Equipment</t>
  </si>
  <si>
    <t>C396.10-Power Op Equip-Hourly Rated</t>
  </si>
  <si>
    <t>C396.20-Power Op Equip - Other</t>
  </si>
  <si>
    <t>C397.00- Microwave, Fiber, Other</t>
  </si>
  <si>
    <t>C397.10-Comm Eq Radios, Telephone</t>
  </si>
  <si>
    <t>C398.00-Miscellaneous Equipment</t>
  </si>
  <si>
    <t>C399.15-ARO Cost Common (L/B)</t>
  </si>
  <si>
    <t>C301.00-Organization</t>
  </si>
  <si>
    <t>C302.00-Franchises and Consents</t>
  </si>
  <si>
    <t>C303.00-Misc Intang Plant-Software</t>
  </si>
  <si>
    <t>C303.10-CCS Software</t>
  </si>
  <si>
    <t>C303.20-Law Library</t>
  </si>
  <si>
    <t>Total Common 101</t>
  </si>
  <si>
    <t>Distribution</t>
  </si>
  <si>
    <t>E360.10-Land Rights</t>
  </si>
  <si>
    <t>E360.20-Land</t>
  </si>
  <si>
    <t>E360.00- Land and Land Rights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</si>
  <si>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</si>
  <si>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</si>
  <si>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</si>
  <si>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</si>
  <si>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</si>
  <si>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</si>
  <si>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</si>
  <si>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E369.10-Underground Services</t>
  </si>
  <si>
    <t>E369.20-Overhead Services</t>
  </si>
  <si>
    <t>E369 - UG/OH Services</t>
  </si>
  <si>
    <t>E370.00-Meters</t>
  </si>
  <si>
    <t>E370.20-Meters CT and PT</t>
  </si>
  <si>
    <t>E373.10-Overhead Street Lighting</t>
  </si>
  <si>
    <t>E373.20-Underground Street Lighting</t>
  </si>
  <si>
    <t>E373.40-Street Lighting Transformer</t>
  </si>
  <si>
    <t>E373 - Lighting</t>
  </si>
  <si>
    <t>E374.05-ARO Cost Elec Dist (L/B)</t>
  </si>
  <si>
    <t>E374.07-ARO Cost Elec Dist (Eqp)</t>
  </si>
  <si>
    <t>E374.00-ARO for Dist Plant</t>
  </si>
  <si>
    <t>Total Distribution</t>
  </si>
  <si>
    <t>General</t>
  </si>
  <si>
    <t>E392.00-Cars and Light Trucks</t>
  </si>
  <si>
    <t>E392.10-Transportation - Cars Truck</t>
  </si>
  <si>
    <t>E392.20-Transportation  - Trailers</t>
  </si>
  <si>
    <t>E392 - Transportation</t>
  </si>
  <si>
    <t>E394.00-Tools, Shop, and Garage Equ</t>
  </si>
  <si>
    <t>E395.00-Laboratory Equipment</t>
  </si>
  <si>
    <t>E396.10-Power Op Equip-Lg Mach</t>
  </si>
  <si>
    <t>E396.20-Power Op  Equip-Other</t>
  </si>
  <si>
    <t>E396 - Power Op Equip</t>
  </si>
  <si>
    <t>E397.20-DSM Communication Equipment</t>
  </si>
  <si>
    <t>Total General</t>
  </si>
  <si>
    <t>Hydro</t>
  </si>
  <si>
    <t>E330.20-Land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</si>
  <si>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</si>
  <si>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</si>
  <si>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</si>
  <si>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</si>
  <si>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</si>
  <si>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</si>
  <si>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</si>
  <si>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Total Hydro</t>
  </si>
  <si>
    <t>Intangible</t>
  </si>
  <si>
    <t>E301.00-Organization</t>
  </si>
  <si>
    <t>E302.00-Franchises and Consents</t>
  </si>
  <si>
    <t>Total Intangible</t>
  </si>
  <si>
    <t>Other Production</t>
  </si>
  <si>
    <t>E340.20-Land</t>
  </si>
  <si>
    <t>E341.00-Structures and Improvements</t>
  </si>
  <si>
    <t>E342.00-Fuel Holders, Producers, Ac</t>
  </si>
  <si>
    <t>E343.00-Prime Movers</t>
  </si>
  <si>
    <t>E344.00-Generators</t>
  </si>
  <si>
    <t>E345.00-Accessory Electric Equipmen</t>
  </si>
  <si>
    <t>E346.00-Misc Power Plant Equipment</t>
  </si>
  <si>
    <t>E347.05-ARO Cost Other Prod (L/B)</t>
  </si>
  <si>
    <t>E347.07-ARO Cost Other Prod (Eqp)</t>
  </si>
  <si>
    <t>E347 - ARO  Cost Other Prod</t>
  </si>
  <si>
    <t>Total Other Production</t>
  </si>
  <si>
    <t>Steam Production</t>
  </si>
  <si>
    <t>E310.20-Land</t>
  </si>
  <si>
    <t>E310.25-Land ECR 2005</t>
  </si>
  <si>
    <t>E310.26-Land ECR 2011</t>
  </si>
  <si>
    <t>E310 - Land</t>
  </si>
  <si>
    <t>E311.00-Structures and Improvements</t>
  </si>
  <si>
    <t xml:space="preserve">E311.01-AROP Structures and Improv </t>
  </si>
  <si>
    <t>E311 - Structures &amp; Improvements</t>
  </si>
  <si>
    <t>E312.00-Boiler Plant Equipment</t>
  </si>
  <si>
    <t>E312.01-AROP Boiler Plant Equipment</t>
  </si>
  <si>
    <t>E312 - Boiler Plant</t>
  </si>
  <si>
    <t>E314.00-Turbogenerator Units</t>
  </si>
  <si>
    <t>E315.00-Accessory Electric Equipmen</t>
  </si>
  <si>
    <t>E315.01-AROP Accessory Electric Equipmen</t>
  </si>
  <si>
    <t>E315 - Accessory Elec Equip</t>
  </si>
  <si>
    <t>E316.00-Misc Power Plant Equip</t>
  </si>
  <si>
    <t>E317.07-ARO Cost Steam (Eqp)</t>
  </si>
  <si>
    <t>E317.08-ARO Cost Steam (CCR)</t>
  </si>
  <si>
    <t>Total Steam Production</t>
  </si>
  <si>
    <t>E350.10-Land Rights</t>
  </si>
  <si>
    <t>E350.20-Land</t>
  </si>
  <si>
    <t>E350 - Land &amp; Land Rights</t>
  </si>
  <si>
    <t>E352.10-Struct &amp; Imp-Non Sys Contro</t>
  </si>
  <si>
    <t>E352.20-Struct &amp; Improve-System</t>
  </si>
  <si>
    <t>E353.10-Station Equipment - Non Sys</t>
  </si>
  <si>
    <t>E353.11-AROP Station Equip Non Sys</t>
  </si>
  <si>
    <t>E353.20-Station Equip-Sys Control</t>
  </si>
  <si>
    <t>E353 - Station Equip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</si>
  <si>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</si>
  <si>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</si>
  <si>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</si>
  <si>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</si>
  <si>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</si>
  <si>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</si>
  <si>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</si>
  <si>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E359 - ARO Cost Transm</t>
  </si>
  <si>
    <t>Total Electric Transmission</t>
  </si>
  <si>
    <t>Total Electric 101</t>
  </si>
  <si>
    <t>G374.12-Other Distribution Land</t>
  </si>
  <si>
    <t>G374.22-Other Distribution Land Rig</t>
  </si>
  <si>
    <t>G374 - Other Dist Land &amp; Land Rights</t>
  </si>
  <si>
    <t>G375.10-City Gate Check Station Str</t>
  </si>
  <si>
    <t>G375.20-Other Distribution Structur</t>
  </si>
  <si>
    <t>G375 - Other Distribution Station Structur</t>
  </si>
  <si>
    <t>G376.00-Mains</t>
  </si>
  <si>
    <t>G376.10-Mains</t>
  </si>
  <si>
    <t>G378.00-Meas and Reg Station-Genera</t>
  </si>
  <si>
    <t>G379.00-Meas &amp; Reg Station-City Gat</t>
  </si>
  <si>
    <t>G380.00-Services</t>
  </si>
  <si>
    <t>G380.10-Services</t>
  </si>
  <si>
    <t>G381.00-Meters</t>
  </si>
  <si>
    <t>G383.00-Regulators</t>
  </si>
  <si>
    <t>G385.00-Industrial Measuring and Re</t>
  </si>
  <si>
    <t>G387.00-Other Equipment</t>
  </si>
  <si>
    <t>G388.05-ARO Cost Gas Dist (L/B)</t>
  </si>
  <si>
    <t>G388.07-ARO Cost Gas Dist (Eqp)</t>
  </si>
  <si>
    <t>G388 - ARO Cost Gas Dist</t>
  </si>
  <si>
    <t>Total Gas Distribution</t>
  </si>
  <si>
    <t>G392.00-Cars and Light Trucks</t>
  </si>
  <si>
    <t>G392.10-Transportation Equip-Car/Tr</t>
  </si>
  <si>
    <t>G392.20-Transportation Equip-Traile</t>
  </si>
  <si>
    <t>G392 - Transportation</t>
  </si>
  <si>
    <t>G394.00-Tools, Shop, and Garage Equ</t>
  </si>
  <si>
    <t>G395.00-Laboratory Equipment</t>
  </si>
  <si>
    <t>G396.10-Power Op Equip-Hourly Rated</t>
  </si>
  <si>
    <t>G396.20-Power Op Equip - Other</t>
  </si>
  <si>
    <t>G396 - Power Op Equip</t>
  </si>
  <si>
    <t>G397.20-DSM Communication Equipment</t>
  </si>
  <si>
    <t>Total Gas General Plant</t>
  </si>
  <si>
    <t>G302.00-Franchises and Consents</t>
  </si>
  <si>
    <t>Total Gas Intangible Plant</t>
  </si>
  <si>
    <t>G350.10-Land</t>
  </si>
  <si>
    <t>G350.20-Land Rights</t>
  </si>
  <si>
    <t>G350 - Land &amp; Land Rights</t>
  </si>
  <si>
    <t>G351.20-Compressor Station Structur</t>
  </si>
  <si>
    <t>G351.30-Measuring and Regulat Stat</t>
  </si>
  <si>
    <t>G351.40-Other Structures</t>
  </si>
  <si>
    <t>G351 - Structures &amp; Improvements</t>
  </si>
  <si>
    <t>G352.40-Well Drilling</t>
  </si>
  <si>
    <t>G352.50-Well Equipment ARO</t>
  </si>
  <si>
    <t>G352.55-Well Equipment</t>
  </si>
  <si>
    <t>G352 - Wells</t>
  </si>
  <si>
    <t>G352.10-Storage Leaseholds and Righ</t>
  </si>
  <si>
    <t>G352.20-Reservoirs</t>
  </si>
  <si>
    <t>G352.30-Nonrecoverable Natural Gas</t>
  </si>
  <si>
    <t>G353.00-Lines</t>
  </si>
  <si>
    <t>G354.00-Compressor Station Equipmen</t>
  </si>
  <si>
    <t>G355.00-Measuring and Regulat Equip</t>
  </si>
  <si>
    <t>G356.00-Purification Equipment</t>
  </si>
  <si>
    <t>G357.00-Other Equipment</t>
  </si>
  <si>
    <t>G358.05-ARO Cost Gas UG Store (L/B)</t>
  </si>
  <si>
    <t>G358.07-ARO Cost Gas UG Store (Eqp)</t>
  </si>
  <si>
    <t>G358 - ARO Cost Gas UG Store</t>
  </si>
  <si>
    <t>Total Gas Storage</t>
  </si>
  <si>
    <t>G365.20-Rights of Way</t>
  </si>
  <si>
    <t>G367.00-Mains</t>
  </si>
  <si>
    <t>G372.07-ARO Gas Trans (Eqp)</t>
  </si>
  <si>
    <t>Total Gas Transmission</t>
  </si>
  <si>
    <t>Total Gas 101</t>
  </si>
  <si>
    <t>Plant Purchased &amp; Sold</t>
  </si>
  <si>
    <t>Total 105002</t>
  </si>
  <si>
    <t>C397.00-Communication Equipment</t>
  </si>
  <si>
    <t>C397.10-Communication Equip-Compute</t>
  </si>
  <si>
    <t>Total Common 106</t>
  </si>
  <si>
    <t>E396.10-Power Op Equip-Hourly Rtd</t>
  </si>
  <si>
    <t>E310.25-Land</t>
  </si>
  <si>
    <t>Total Electric 106</t>
  </si>
  <si>
    <t>G376.10-Mains GLT</t>
  </si>
  <si>
    <t>G380.10-Services GLT</t>
  </si>
  <si>
    <t>Total Gas 106</t>
  </si>
  <si>
    <t>Total 107</t>
  </si>
  <si>
    <t>TOTAL 101 + 102 + 106</t>
  </si>
  <si>
    <t xml:space="preserve">Non Utility Property </t>
  </si>
  <si>
    <t>Transfer between plant accounts.</t>
  </si>
  <si>
    <t>April-2017 (A)</t>
  </si>
  <si>
    <t>Revaluation of Cane Run Environmental Ponds</t>
  </si>
  <si>
    <t>April-2017 (B)</t>
  </si>
  <si>
    <t>Sale of LGE Vehicles</t>
  </si>
  <si>
    <t>Vehicle Retirement</t>
  </si>
  <si>
    <t>June-2017 (A)</t>
  </si>
  <si>
    <t>ARO Adjustments</t>
  </si>
  <si>
    <t>June-2017 (B)</t>
  </si>
  <si>
    <t>ARO Additions</t>
  </si>
  <si>
    <t>August (A)</t>
  </si>
  <si>
    <t>August (b)</t>
  </si>
  <si>
    <t xml:space="preserve">Transfer of Cane Run railcar gain to 151 </t>
  </si>
  <si>
    <t>September (A)</t>
  </si>
  <si>
    <t>September (B)</t>
  </si>
  <si>
    <t>ARO Positive Revaluation (Canal and CR6 ASB)</t>
  </si>
  <si>
    <t>September (C)</t>
  </si>
  <si>
    <t>ARO Negative Revaluation (CR 1-5 ASB)</t>
  </si>
  <si>
    <t>ARO Positive Revaluation (CR Floodwall &amp; Mag Asbestos)</t>
  </si>
  <si>
    <t>Dec-2017 (A)</t>
  </si>
  <si>
    <t>ARO reval related to CCR and non-CCR well AROs</t>
  </si>
  <si>
    <t>Louisville Gas &amp; Electric</t>
  </si>
  <si>
    <t>Land and Vehicle Retirements - 2017-REGULATORY ACCOUNTING</t>
  </si>
  <si>
    <t>Other +</t>
  </si>
  <si>
    <t>Unplanned</t>
  </si>
  <si>
    <t>Actual Cash</t>
  </si>
  <si>
    <t>Booked</t>
  </si>
  <si>
    <t>Vehicles NBV</t>
  </si>
  <si>
    <t>Land Cost</t>
  </si>
  <si>
    <t>Depreciation</t>
  </si>
  <si>
    <t>(Gain)/Loss</t>
  </si>
  <si>
    <t>Received</t>
  </si>
  <si>
    <t>to GL (Y/N)</t>
  </si>
  <si>
    <t>Apr-2017</t>
  </si>
  <si>
    <t>LGE Vehicle Auction (151994)</t>
  </si>
  <si>
    <t>Y</t>
  </si>
  <si>
    <t>Vehicle Retirement (151995)</t>
  </si>
  <si>
    <t>Vehicle Retirement (153170)</t>
  </si>
  <si>
    <t>Jun-2017</t>
  </si>
  <si>
    <t>Vehicle Retirement (151610)</t>
  </si>
  <si>
    <t>Oct-2017</t>
  </si>
  <si>
    <t>Vehicle Retirement (153656)</t>
  </si>
  <si>
    <t>CWIP SPEND - YTD - REGULATORY ACCOUNTING</t>
  </si>
  <si>
    <t>Project Number</t>
  </si>
  <si>
    <t>Project Description</t>
  </si>
  <si>
    <t>CWIP Spend</t>
  </si>
  <si>
    <t>00008FACL</t>
  </si>
  <si>
    <t>AOC LED LIGHTING</t>
  </si>
  <si>
    <t>00057FACL</t>
  </si>
  <si>
    <t>EOC FITNESS CENTER</t>
  </si>
  <si>
    <t>00058FACL</t>
  </si>
  <si>
    <t>AOC AERIAL LIFT</t>
  </si>
  <si>
    <t>00060FACL</t>
  </si>
  <si>
    <t>BOC PARKING LOT COUNTER</t>
  </si>
  <si>
    <t>00063FACL</t>
  </si>
  <si>
    <t>SSC EAST RENOVATION</t>
  </si>
  <si>
    <t>00069FACL</t>
  </si>
  <si>
    <t>EOC TRAINING ROOM RENO</t>
  </si>
  <si>
    <t>001LGE16</t>
  </si>
  <si>
    <t>Access Switch Rotation-LGE16</t>
  </si>
  <si>
    <t>004LGE14</t>
  </si>
  <si>
    <t>Call Center-Route&amp;Report-LGE14</t>
  </si>
  <si>
    <t>012LGE16</t>
  </si>
  <si>
    <t>CIP Compl Tools - Year 6-LGE16</t>
  </si>
  <si>
    <t>017LGE16</t>
  </si>
  <si>
    <t>Electric Insp Enhan-LGE16</t>
  </si>
  <si>
    <t>018LGE15</t>
  </si>
  <si>
    <t>Data Protection-LGE15</t>
  </si>
  <si>
    <t>019LGE15</t>
  </si>
  <si>
    <t>Design Tool Repl (WIM)-LGE15</t>
  </si>
  <si>
    <t>021LGE16</t>
  </si>
  <si>
    <t>Further app virt build-LGE16</t>
  </si>
  <si>
    <t>023LGE16</t>
  </si>
  <si>
    <t>IT Security Infrast-LGE16</t>
  </si>
  <si>
    <t>026LGE16</t>
  </si>
  <si>
    <t>Lville Racks &amp; Furn-LGE16</t>
  </si>
  <si>
    <t>031LGE16</t>
  </si>
  <si>
    <t>Mobile Infrastructure-LGE16</t>
  </si>
  <si>
    <t>032LGE16</t>
  </si>
  <si>
    <t>Mobile Radio-LGE16</t>
  </si>
  <si>
    <t>033LGE16</t>
  </si>
  <si>
    <t>Mble Rad Syst Replace-LGE16</t>
  </si>
  <si>
    <t>034LGE16</t>
  </si>
  <si>
    <t>Multi-Fun Dev Grow&amp;Ref-LGE16</t>
  </si>
  <si>
    <t>039LGE16</t>
  </si>
  <si>
    <t>Network Management-LGE16</t>
  </si>
  <si>
    <t>040LGE15</t>
  </si>
  <si>
    <t>Mobile Infrastructure-LGE15</t>
  </si>
  <si>
    <t>042LGE15</t>
  </si>
  <si>
    <t>Mble Rad Syst RepYr 1/2-LGE15</t>
  </si>
  <si>
    <t>043LGE16</t>
  </si>
  <si>
    <t>Original SW Upgrade-LGE16</t>
  </si>
  <si>
    <t>044LGE16</t>
  </si>
  <si>
    <t>Outside Cable Plant-LGE16</t>
  </si>
  <si>
    <t>047LGE16</t>
  </si>
  <si>
    <t>Phone Expan/Break Fix-LGE16</t>
  </si>
  <si>
    <t>063LGE16</t>
  </si>
  <si>
    <t>Simpsonville Elect Upg-LGE16</t>
  </si>
  <si>
    <t>064LGE16</t>
  </si>
  <si>
    <t>Simpson Furn&amp;Racks-LGE16</t>
  </si>
  <si>
    <t>067LGE16</t>
  </si>
  <si>
    <t>TeleRm Data Cent Y1/2-LGE16</t>
  </si>
  <si>
    <t>077LGE16</t>
  </si>
  <si>
    <t>Wireless Upgrade (WERUS)-LGE16</t>
  </si>
  <si>
    <t>080LGE14</t>
  </si>
  <si>
    <t>Lockout/Tagout (LOTO)-LGE14</t>
  </si>
  <si>
    <t>080LGE16</t>
  </si>
  <si>
    <t>Gas Nomination System-LGE16</t>
  </si>
  <si>
    <t>082LGE16</t>
  </si>
  <si>
    <t>Tech Ref desktop/laptops-LGE16</t>
  </si>
  <si>
    <t>093LGE16</t>
  </si>
  <si>
    <t>Server HW Refresh-LGE16</t>
  </si>
  <si>
    <t>100LGE15</t>
  </si>
  <si>
    <t>Replace Edge 95 units-LGE15</t>
  </si>
  <si>
    <t>109LGE16</t>
  </si>
  <si>
    <t>WallStreet Suite Upgr-LGE16</t>
  </si>
  <si>
    <t>110LGE16</t>
  </si>
  <si>
    <t>Monitoring Project-LGE16</t>
  </si>
  <si>
    <t>111LGE16</t>
  </si>
  <si>
    <t>Gas Tracking and Trace-LGE16</t>
  </si>
  <si>
    <t>113LGE16</t>
  </si>
  <si>
    <t>TOA Enhancements-LGE16</t>
  </si>
  <si>
    <t>117149</t>
  </si>
  <si>
    <t>Trimble County 2</t>
  </si>
  <si>
    <t>117361</t>
  </si>
  <si>
    <t>Accrued Labor - LGE</t>
  </si>
  <si>
    <t>117LGE16</t>
  </si>
  <si>
    <t>TRODS-LGE16</t>
  </si>
  <si>
    <t>119902</t>
  </si>
  <si>
    <t>Clear 12/04 A&amp;G</t>
  </si>
  <si>
    <t>120754</t>
  </si>
  <si>
    <t>Misc. A/R Uncollect - LGE Cap</t>
  </si>
  <si>
    <t>125LGE16</t>
  </si>
  <si>
    <t>EMS CIP-LGE16</t>
  </si>
  <si>
    <t>126LGE16</t>
  </si>
  <si>
    <t>Expand EMS Dev System-LGE16</t>
  </si>
  <si>
    <t>127091</t>
  </si>
  <si>
    <t>Ohio Falls Redev. #4</t>
  </si>
  <si>
    <t>127095</t>
  </si>
  <si>
    <t>Ohio Falls Redev. #8</t>
  </si>
  <si>
    <t>127135</t>
  </si>
  <si>
    <t>TC CCP LANDFILL PH1 RAV-LGE</t>
  </si>
  <si>
    <t>127202</t>
  </si>
  <si>
    <t>Ohio Falls Redev. #2</t>
  </si>
  <si>
    <t>127590</t>
  </si>
  <si>
    <t>MC4 Condenser</t>
  </si>
  <si>
    <t>129LGE16</t>
  </si>
  <si>
    <t>Implement SDE Replace-LGE16</t>
  </si>
  <si>
    <t>130875</t>
  </si>
  <si>
    <t>MC1&amp;2 FGD, MC1FF,</t>
  </si>
  <si>
    <t>130881</t>
  </si>
  <si>
    <t>MC3 FGD &amp; FABRIC FILTER</t>
  </si>
  <si>
    <t>130896</t>
  </si>
  <si>
    <t>TC1 FABRIC FILTER</t>
  </si>
  <si>
    <t>130LGE15</t>
  </si>
  <si>
    <t>Advanced Malware Detect-LGE15</t>
  </si>
  <si>
    <t>131314</t>
  </si>
  <si>
    <t>Lou Upgr-New Albany-Subs</t>
  </si>
  <si>
    <t>131852</t>
  </si>
  <si>
    <t>CIP-LGE-2017</t>
  </si>
  <si>
    <t>132000</t>
  </si>
  <si>
    <t>TC CT HGP Insp #1</t>
  </si>
  <si>
    <t>132001</t>
  </si>
  <si>
    <t>TC CT HGP Insp #2</t>
  </si>
  <si>
    <t>132002</t>
  </si>
  <si>
    <t>TC CT HGP Insp Unit 7</t>
  </si>
  <si>
    <t>132874</t>
  </si>
  <si>
    <t>Paddy's Run Demo</t>
  </si>
  <si>
    <t>132918</t>
  </si>
  <si>
    <t>MC2 Economizer</t>
  </si>
  <si>
    <t>132920</t>
  </si>
  <si>
    <t>MC3 Boiler Extended Arch</t>
  </si>
  <si>
    <t>132923</t>
  </si>
  <si>
    <t>MC4 Boiler Extended Arch</t>
  </si>
  <si>
    <t>132928</t>
  </si>
  <si>
    <t>GS CDM Aurora Mit LGE</t>
  </si>
  <si>
    <t>132957</t>
  </si>
  <si>
    <t>MC3 SCR Catalyst Layer 3</t>
  </si>
  <si>
    <t>132983</t>
  </si>
  <si>
    <t>MC1 Relays</t>
  </si>
  <si>
    <t>132995</t>
  </si>
  <si>
    <t>MC 3 &amp; 4 Field Instrumentation</t>
  </si>
  <si>
    <t>132999</t>
  </si>
  <si>
    <t>MC4 Relays</t>
  </si>
  <si>
    <t>133614</t>
  </si>
  <si>
    <t>MC4 FGD, FF</t>
  </si>
  <si>
    <t>133671</t>
  </si>
  <si>
    <t>EFFLUENT WATER STUDY-MC</t>
  </si>
  <si>
    <t>133679</t>
  </si>
  <si>
    <t>EFFLUENT WATER STUDY-TC LGE</t>
  </si>
  <si>
    <t>133712</t>
  </si>
  <si>
    <t>TC1 SCR CAT L3 RE-GEN</t>
  </si>
  <si>
    <t>134113LGE</t>
  </si>
  <si>
    <t>TC2 SCR L3 REPLACEMENT</t>
  </si>
  <si>
    <t>134362</t>
  </si>
  <si>
    <t>TC1 REPLACE AIR HEATER BASKETS</t>
  </si>
  <si>
    <t>134857</t>
  </si>
  <si>
    <t>DRKY FARM POT REMOVAL</t>
  </si>
  <si>
    <t>135245LGE</t>
  </si>
  <si>
    <t>TC2 PJFF B&amp;C</t>
  </si>
  <si>
    <t>135586</t>
  </si>
  <si>
    <t>REPLACE WESTERN KY YELLOW LINE</t>
  </si>
  <si>
    <t>135LGE16</t>
  </si>
  <si>
    <t>Rate Case 2016-LGE16</t>
  </si>
  <si>
    <t>136556</t>
  </si>
  <si>
    <t>GS SL Slfr Anlzr LGE</t>
  </si>
  <si>
    <t>136557</t>
  </si>
  <si>
    <t>GS SL Ion Chrmgrph</t>
  </si>
  <si>
    <t>136637</t>
  </si>
  <si>
    <t>MC4 SCR Catalyst Layer 2 2016</t>
  </si>
  <si>
    <t>136642</t>
  </si>
  <si>
    <t>MC2 FWTR HTRS Phase 1</t>
  </si>
  <si>
    <t>136651</t>
  </si>
  <si>
    <t>MC CH Railroad Track 2017</t>
  </si>
  <si>
    <t>136653</t>
  </si>
  <si>
    <t>MC Material Chutes 2017</t>
  </si>
  <si>
    <t>136654</t>
  </si>
  <si>
    <t>MC Road Paving 2017</t>
  </si>
  <si>
    <t>136659</t>
  </si>
  <si>
    <t>MC1 Expansion Joints 2017</t>
  </si>
  <si>
    <t>136666</t>
  </si>
  <si>
    <t>MC Shuttle Barge</t>
  </si>
  <si>
    <t>137003</t>
  </si>
  <si>
    <t>TC1 SCR CATALYST L1</t>
  </si>
  <si>
    <t>137491</t>
  </si>
  <si>
    <t>TC Landfill Add'l Land LGE</t>
  </si>
  <si>
    <t>137503</t>
  </si>
  <si>
    <t>CR AP &amp; LF Capping &amp; Closure</t>
  </si>
  <si>
    <t>137662LGE</t>
  </si>
  <si>
    <t>TC2 SUB SCRAPER CONVEYOR</t>
  </si>
  <si>
    <t>137797</t>
  </si>
  <si>
    <t>TC1 REPL 3 ROWS IP BUCKETS</t>
  </si>
  <si>
    <t>137799</t>
  </si>
  <si>
    <t>TC1 REPL LP GLAND PACKING</t>
  </si>
  <si>
    <t>137976</t>
  </si>
  <si>
    <t>REPL ALDYL-A PIPE CENT,SAV,CAN</t>
  </si>
  <si>
    <t>138002</t>
  </si>
  <si>
    <t>B-TOWN RD CITY GATE STA</t>
  </si>
  <si>
    <t>138019</t>
  </si>
  <si>
    <t>EMINENCE HIGH PR REG STA</t>
  </si>
  <si>
    <t>138137</t>
  </si>
  <si>
    <t>DSP MANSLICK CIRCUIT WORK</t>
  </si>
  <si>
    <t>138138</t>
  </si>
  <si>
    <t>DSP MANSLICK SUBST EXPAN</t>
  </si>
  <si>
    <t>138404</t>
  </si>
  <si>
    <t>TC1 STEAM COOLED SPACER REPL</t>
  </si>
  <si>
    <t>138408</t>
  </si>
  <si>
    <t>TC1 SH INLET HEADER CIRCUITS</t>
  </si>
  <si>
    <t>138409</t>
  </si>
  <si>
    <t>TC1 WW L SW STEP PANEL REPL</t>
  </si>
  <si>
    <t>138439</t>
  </si>
  <si>
    <t>DLC - LG&amp;E Electric</t>
  </si>
  <si>
    <t>138LGE16</t>
  </si>
  <si>
    <t>PowerPlant Module Upgr-LGE16</t>
  </si>
  <si>
    <t>139045</t>
  </si>
  <si>
    <t>TC2 DSI System - LGE</t>
  </si>
  <si>
    <t>139595</t>
  </si>
  <si>
    <t>GS GE DME Phase II LGE</t>
  </si>
  <si>
    <t>139598</t>
  </si>
  <si>
    <t>GS GE Aux Trans Prot LGE</t>
  </si>
  <si>
    <t>139654</t>
  </si>
  <si>
    <t>DOWNTOWN OHIO RVR BRIDGE ELEC</t>
  </si>
  <si>
    <t>139655</t>
  </si>
  <si>
    <t>DOWNTOWN OHIO RVR BRIDGE GAS</t>
  </si>
  <si>
    <t>139670</t>
  </si>
  <si>
    <t>GS CDM CIP Ver 6.0 LGE</t>
  </si>
  <si>
    <t>139717</t>
  </si>
  <si>
    <t>MC Limestone Barge</t>
  </si>
  <si>
    <t>139721</t>
  </si>
  <si>
    <t>MC 3C GSU Transformer</t>
  </si>
  <si>
    <t>139821</t>
  </si>
  <si>
    <t>MC3 SCR Catalyst L2</t>
  </si>
  <si>
    <t>139830</t>
  </si>
  <si>
    <t>MC4 SCR CATALYST L3 2018</t>
  </si>
  <si>
    <t>139880</t>
  </si>
  <si>
    <t>MC1 FDWTR HTRS Phase 1</t>
  </si>
  <si>
    <t>139884</t>
  </si>
  <si>
    <t>MC2 AIR HTR BASKETS</t>
  </si>
  <si>
    <t>139892</t>
  </si>
  <si>
    <t>MC3 FDWTR HTRS</t>
  </si>
  <si>
    <t>139895</t>
  </si>
  <si>
    <t>MC4 AIR HTR BASKETS</t>
  </si>
  <si>
    <t>139897</t>
  </si>
  <si>
    <t>MC4 FDWTR HTRS</t>
  </si>
  <si>
    <t>139LGE15</t>
  </si>
  <si>
    <t>CTS/AFB-Accting Enhance-LGE15</t>
  </si>
  <si>
    <t>139LGE16</t>
  </si>
  <si>
    <t>Central Firewall Mgmt-LGE16</t>
  </si>
  <si>
    <t>140034LGE</t>
  </si>
  <si>
    <t>TC PURCHASE FORKLIFT</t>
  </si>
  <si>
    <t>140048LGE</t>
  </si>
  <si>
    <t>TC2 TURBINE CONTROLS UPGRADE</t>
  </si>
  <si>
    <t>140107</t>
  </si>
  <si>
    <t>OF Station Gantry Crane</t>
  </si>
  <si>
    <t>140224</t>
  </si>
  <si>
    <t>FULL UPGRD EMS SWARE-LGE-2018</t>
  </si>
  <si>
    <t>140404LGE</t>
  </si>
  <si>
    <t>TC CT PIGGING IMPROVEMENT</t>
  </si>
  <si>
    <t>140409</t>
  </si>
  <si>
    <t>GS TRN PPD-Trans Trng Cntr</t>
  </si>
  <si>
    <t>140458</t>
  </si>
  <si>
    <t>INT CORR MAG FIELD PRESS MON</t>
  </si>
  <si>
    <t>140475</t>
  </si>
  <si>
    <t>2017 DRILL WELLS IN MAGN DEEP</t>
  </si>
  <si>
    <t>140502</t>
  </si>
  <si>
    <t>SCM MODIFY CANE RUN 14KV PLANT</t>
  </si>
  <si>
    <t>140568</t>
  </si>
  <si>
    <t>MT WASHI LEBANON JCTN</t>
  </si>
  <si>
    <t>140833</t>
  </si>
  <si>
    <t>MULD SUCTION DISCHARGE HEAD</t>
  </si>
  <si>
    <t>140856</t>
  </si>
  <si>
    <t>TRANS VALVES LEES AND KRAMERS</t>
  </si>
  <si>
    <t>140968</t>
  </si>
  <si>
    <t>BELTLINE SEPARATION</t>
  </si>
  <si>
    <t>141004</t>
  </si>
  <si>
    <t>ST HELEN FACILITY</t>
  </si>
  <si>
    <t>141392</t>
  </si>
  <si>
    <t>LGE FURNITURE PROJ</t>
  </si>
  <si>
    <t>141405</t>
  </si>
  <si>
    <t>INSTALL RTU DISPLAYS CG</t>
  </si>
  <si>
    <t>141419</t>
  </si>
  <si>
    <t>CARPET REPLACEMENT 2015</t>
  </si>
  <si>
    <t>141440</t>
  </si>
  <si>
    <t>LGE FURN/CHAIRS 2016</t>
  </si>
  <si>
    <t>142753LGE</t>
  </si>
  <si>
    <t>TC2 GAS IGNITE FUEL 2015</t>
  </si>
  <si>
    <t>143042</t>
  </si>
  <si>
    <t>Brown Solar Facility - LGE</t>
  </si>
  <si>
    <t>143577</t>
  </si>
  <si>
    <t>INT CORR MULD FIELD PRESS MON</t>
  </si>
  <si>
    <t>143604</t>
  </si>
  <si>
    <t>MC2 DCS 2020</t>
  </si>
  <si>
    <t>143614</t>
  </si>
  <si>
    <t>MC1 Fire Protection System</t>
  </si>
  <si>
    <t>143615</t>
  </si>
  <si>
    <t>MC3 Fire Protection System</t>
  </si>
  <si>
    <t>143629</t>
  </si>
  <si>
    <t>MC3 Waterwall Panels and TS</t>
  </si>
  <si>
    <t>143632</t>
  </si>
  <si>
    <t>MC Lab Compressed Air Tank</t>
  </si>
  <si>
    <t>143635</t>
  </si>
  <si>
    <t>MC2 Turb L-0/L-1 Buckets</t>
  </si>
  <si>
    <t>143640</t>
  </si>
  <si>
    <t>CR7 NGCC Inventory</t>
  </si>
  <si>
    <t>143864</t>
  </si>
  <si>
    <t>PR Gas Pipe Line</t>
  </si>
  <si>
    <t>144036</t>
  </si>
  <si>
    <t>KY61 PRESTON HWY GAS DIST</t>
  </si>
  <si>
    <t>144037</t>
  </si>
  <si>
    <t>KY61 PRESTON HWY ELECT DIST</t>
  </si>
  <si>
    <t>144110</t>
  </si>
  <si>
    <t>BACKUP CC V_WALL RPLC-LGE-2016</t>
  </si>
  <si>
    <t>144122</t>
  </si>
  <si>
    <t>MC2 Environmental Spares</t>
  </si>
  <si>
    <t>144123</t>
  </si>
  <si>
    <t>MC3 Environmental Spares</t>
  </si>
  <si>
    <t>144124</t>
  </si>
  <si>
    <t>MC4 Environmental Spares</t>
  </si>
  <si>
    <t>144126</t>
  </si>
  <si>
    <t>Rpl Mud Lane 6676 &amp; 3877 Brkrs</t>
  </si>
  <si>
    <t>144330</t>
  </si>
  <si>
    <t>New 69kV Bkr Station MC-CRSW</t>
  </si>
  <si>
    <t>144475</t>
  </si>
  <si>
    <t>GS GE CORS</t>
  </si>
  <si>
    <t>144811</t>
  </si>
  <si>
    <t>INT CORR CENTER FLD PRESS MON</t>
  </si>
  <si>
    <t>144827</t>
  </si>
  <si>
    <t>SCM2016 LGE CAP&amp;PIN INSUL UPGD</t>
  </si>
  <si>
    <t>144830</t>
  </si>
  <si>
    <t>SCM2016 LGE REPL AIR MAG BRKR</t>
  </si>
  <si>
    <t>144831</t>
  </si>
  <si>
    <t>SCM2016 LGE REPL SUB BATTERY</t>
  </si>
  <si>
    <t>144832</t>
  </si>
  <si>
    <t>SCM2016 LGE TR DIFF RELAY REPL</t>
  </si>
  <si>
    <t>144834</t>
  </si>
  <si>
    <t>SCM2016 LGE REPL LGCY RTU</t>
  </si>
  <si>
    <t>144848</t>
  </si>
  <si>
    <t>BACKUP GENERATOR</t>
  </si>
  <si>
    <t>144851</t>
  </si>
  <si>
    <t>BTEX FLARE</t>
  </si>
  <si>
    <t>144852</t>
  </si>
  <si>
    <t>REPL AERIAL COOLERS H2S</t>
  </si>
  <si>
    <t>144856</t>
  </si>
  <si>
    <t>CATHODIC PROTECTION SYS</t>
  </si>
  <si>
    <t>144869</t>
  </si>
  <si>
    <t>PRESTON CITY GATE STAT</t>
  </si>
  <si>
    <t>144892</t>
  </si>
  <si>
    <t>SCM2016 LGE OIL CONTAIN UPGRD</t>
  </si>
  <si>
    <t>144895</t>
  </si>
  <si>
    <t>SCM2016 LGE WILDLIFE PROTECT</t>
  </si>
  <si>
    <t>144920</t>
  </si>
  <si>
    <t>DIST CAPACITORS LGE - 2016</t>
  </si>
  <si>
    <t>144922</t>
  </si>
  <si>
    <t>LEO DWNTN NTWRK VAULT RPR 2016</t>
  </si>
  <si>
    <t>144934</t>
  </si>
  <si>
    <t>CENTER DEHYDRATOR RELOCATION</t>
  </si>
  <si>
    <t>144937</t>
  </si>
  <si>
    <t>ENGINE ROOM VENTILATION</t>
  </si>
  <si>
    <t>144980</t>
  </si>
  <si>
    <t>SMALL TOOLS 2016 - 004190</t>
  </si>
  <si>
    <t>144982</t>
  </si>
  <si>
    <t>SMALL TOOLS 2016 - 004060</t>
  </si>
  <si>
    <t>144995</t>
  </si>
  <si>
    <t>LGE FIRE SYSTEMS 2016</t>
  </si>
  <si>
    <t>144997</t>
  </si>
  <si>
    <t>LGE SECURITY EQUIPMENT 2016</t>
  </si>
  <si>
    <t>145008</t>
  </si>
  <si>
    <t>LGE CAMERAS 2017</t>
  </si>
  <si>
    <t>145012</t>
  </si>
  <si>
    <t>LGE FIRE SYSTEMS 2017</t>
  </si>
  <si>
    <t>145014</t>
  </si>
  <si>
    <t>LGE SECURITY EQUIPMENT 2017</t>
  </si>
  <si>
    <t>145404</t>
  </si>
  <si>
    <t>Adv Meter Sys LG&amp;E 2015</t>
  </si>
  <si>
    <t>146001LGE</t>
  </si>
  <si>
    <t>TC LAB EQUIPMENT 2016</t>
  </si>
  <si>
    <t>146002LGE</t>
  </si>
  <si>
    <t>TC LAB MONITORS 2016</t>
  </si>
  <si>
    <t>146005LGE</t>
  </si>
  <si>
    <t>TC SAFETY ERT EQUIP 2016</t>
  </si>
  <si>
    <t>146020</t>
  </si>
  <si>
    <t>WHISKEY ROW NETWORK VAULT</t>
  </si>
  <si>
    <t>146253</t>
  </si>
  <si>
    <t>FA 1215</t>
  </si>
  <si>
    <t>146709</t>
  </si>
  <si>
    <t>OUTERLOOP LANDFILL RELO</t>
  </si>
  <si>
    <t>146745</t>
  </si>
  <si>
    <t>HILLCREST CKT 1290 (HC1290)</t>
  </si>
  <si>
    <t>146747</t>
  </si>
  <si>
    <t>NACHAND CKT 1269 (NA1269)</t>
  </si>
  <si>
    <t>146749</t>
  </si>
  <si>
    <t>OXMOOR CKT 1273 (OX1273)</t>
  </si>
  <si>
    <t>146801</t>
  </si>
  <si>
    <t>KY22 AT BRIDGE HILL - GAS</t>
  </si>
  <si>
    <t>146819</t>
  </si>
  <si>
    <t>MAG 20" CUT OUTS</t>
  </si>
  <si>
    <t>146981</t>
  </si>
  <si>
    <t>HWY 44 RELO 2015</t>
  </si>
  <si>
    <t>147023</t>
  </si>
  <si>
    <t>MC Landfill 2016/2017</t>
  </si>
  <si>
    <t>147034</t>
  </si>
  <si>
    <t>MC4 Boiler Lower Slope</t>
  </si>
  <si>
    <t>147040</t>
  </si>
  <si>
    <t>MC3 LSSWP Strainers</t>
  </si>
  <si>
    <t>147041</t>
  </si>
  <si>
    <t>MC4 LSSWP Strainers</t>
  </si>
  <si>
    <t>147065</t>
  </si>
  <si>
    <t>MC Sewage Piping</t>
  </si>
  <si>
    <t>147081</t>
  </si>
  <si>
    <t>MC1 Voltage Regulator</t>
  </si>
  <si>
    <t>147086</t>
  </si>
  <si>
    <t>LGE NALCO ENGINEERING</t>
  </si>
  <si>
    <t>147091</t>
  </si>
  <si>
    <t>GS GE CORS ENG</t>
  </si>
  <si>
    <t>147118</t>
  </si>
  <si>
    <t>MC 4503 &amp; 4503-33 TIE Brkrs</t>
  </si>
  <si>
    <t>147126</t>
  </si>
  <si>
    <t>DOWNTOWN NETWORK SWITCHES PROJ</t>
  </si>
  <si>
    <t>147213</t>
  </si>
  <si>
    <t>KINDRED OFFICE BLDG VAULT</t>
  </si>
  <si>
    <t>147244</t>
  </si>
  <si>
    <t>TEP ETHEL-NACHAND 69kV-</t>
  </si>
  <si>
    <t>147308</t>
  </si>
  <si>
    <t>Lyndon S Potential Xfrmr Rpl</t>
  </si>
  <si>
    <t>147312</t>
  </si>
  <si>
    <t>Mill Creek 532 Line CCVT Rpl</t>
  </si>
  <si>
    <t>147328</t>
  </si>
  <si>
    <t>PR Trimble Co-Centerfield</t>
  </si>
  <si>
    <t>147352</t>
  </si>
  <si>
    <t>AJAX COMPRESSION</t>
  </si>
  <si>
    <t>147353</t>
  </si>
  <si>
    <t>Paddy's Run Bushings</t>
  </si>
  <si>
    <t>147357</t>
  </si>
  <si>
    <t>Mud Lane Insulator Rpl</t>
  </si>
  <si>
    <t>147787</t>
  </si>
  <si>
    <t>EMS APP ENHANCEMENTS-LGE-2017</t>
  </si>
  <si>
    <t>147942LGE</t>
  </si>
  <si>
    <t>BRCT5 C Insp &amp; Parts Recon LGE</t>
  </si>
  <si>
    <t>147972</t>
  </si>
  <si>
    <t>TC LGE CCR RULING NON MECH</t>
  </si>
  <si>
    <t>147997</t>
  </si>
  <si>
    <t>TEP-Rpl TC 345kV Switches</t>
  </si>
  <si>
    <t>147LGE16</t>
  </si>
  <si>
    <t>MV90 upgrade-LGE16</t>
  </si>
  <si>
    <t>148016</t>
  </si>
  <si>
    <t>CONSTRUCT ELEVATOR - AOC</t>
  </si>
  <si>
    <t>148018</t>
  </si>
  <si>
    <t>REPL AIR HANDLERS-BOC MAIN</t>
  </si>
  <si>
    <t>148022</t>
  </si>
  <si>
    <t>RESTROOM RENOVATIONS-BOC</t>
  </si>
  <si>
    <t>148028</t>
  </si>
  <si>
    <t>CARPET/FLOORING - LGE 2016</t>
  </si>
  <si>
    <t>148045</t>
  </si>
  <si>
    <t>RIVERPORT RENOVATIONS</t>
  </si>
  <si>
    <t>148081</t>
  </si>
  <si>
    <t>WASTE MANAGEMENT GAS RELO</t>
  </si>
  <si>
    <t>148082</t>
  </si>
  <si>
    <t>CR GT11 Control Room</t>
  </si>
  <si>
    <t>148092</t>
  </si>
  <si>
    <t>CR7 NGCC CI (2017)</t>
  </si>
  <si>
    <t>148496</t>
  </si>
  <si>
    <t>LGE SMAC 2016 PROJECT</t>
  </si>
  <si>
    <t>148497</t>
  </si>
  <si>
    <t>PILC 2016 LGE CABLE REPL</t>
  </si>
  <si>
    <t>148594</t>
  </si>
  <si>
    <t>SCM2016 LGE FPE TAPCH RPL REIN</t>
  </si>
  <si>
    <t>148597</t>
  </si>
  <si>
    <t>SCM2016 LGE REPL 34KV BRKR</t>
  </si>
  <si>
    <t>148633</t>
  </si>
  <si>
    <t>SCM2016 LGE REPL XFMR FANS</t>
  </si>
  <si>
    <t>148727</t>
  </si>
  <si>
    <t>LGE SMAC 2017 PROJECT</t>
  </si>
  <si>
    <t>148732</t>
  </si>
  <si>
    <t>DIST CAPACITORS LGE 2017</t>
  </si>
  <si>
    <t>148737</t>
  </si>
  <si>
    <t>DWNTWN NTWK VENT PRTCT  REPL17</t>
  </si>
  <si>
    <t>148738</t>
  </si>
  <si>
    <t>LEO DWNTWN NTWK VAULT RPR 2017</t>
  </si>
  <si>
    <t>148739</t>
  </si>
  <si>
    <t>PILC 2017 LGE CABLE REPL</t>
  </si>
  <si>
    <t>148749</t>
  </si>
  <si>
    <t>SCM2017 LGE CAP&amp;PIN INSUL UPGD</t>
  </si>
  <si>
    <t>148751</t>
  </si>
  <si>
    <t>SCM2017 LGE REPL 15KV DH BRKR</t>
  </si>
  <si>
    <t>148752</t>
  </si>
  <si>
    <t>SCM2017 LGE RPL SUB BATTERY</t>
  </si>
  <si>
    <t>148753</t>
  </si>
  <si>
    <t>SCM2017 LGE LEGACY RELAY REPL</t>
  </si>
  <si>
    <t>148754</t>
  </si>
  <si>
    <t>SCM2017 LGE LEGACY AIR MAG BRK</t>
  </si>
  <si>
    <t>148755</t>
  </si>
  <si>
    <t>SCM2017 LGE REPL LGCY OIL BRKR</t>
  </si>
  <si>
    <t>148756</t>
  </si>
  <si>
    <t>SCM2017 LGE REPL LEGACY RTU</t>
  </si>
  <si>
    <t>148777</t>
  </si>
  <si>
    <t>URD CABLE REPL/REJUV LGE 2017</t>
  </si>
  <si>
    <t>148801</t>
  </si>
  <si>
    <t>SCM2017 LGE LTC OIL FILT ADDS</t>
  </si>
  <si>
    <t>148802</t>
  </si>
  <si>
    <t>SCM2017 LGE MISC CAPITAL SUB</t>
  </si>
  <si>
    <t>148803</t>
  </si>
  <si>
    <t>SCM2017 LGE MISC NESC COMPL</t>
  </si>
  <si>
    <t>148804</t>
  </si>
  <si>
    <t>SCM2017 LGE OIL CONTAIN UPGRD</t>
  </si>
  <si>
    <t>148805</t>
  </si>
  <si>
    <t>SCM2017 LGE REPL XFMR FANS</t>
  </si>
  <si>
    <t>148806</t>
  </si>
  <si>
    <t>SCM2017 LGE REPL ABB VHK MECH</t>
  </si>
  <si>
    <t>148807</t>
  </si>
  <si>
    <t>SCM2017 LGE SUB BLDNG &amp; GND</t>
  </si>
  <si>
    <t>148808</t>
  </si>
  <si>
    <t>SCM2017 LGE WILDLIFE PROTECT</t>
  </si>
  <si>
    <t>148857</t>
  </si>
  <si>
    <t>Oxmoor Underground Repl</t>
  </si>
  <si>
    <t>148873</t>
  </si>
  <si>
    <t>LEO TOOLS &amp; EQUIPMENT 2017</t>
  </si>
  <si>
    <t>148877</t>
  </si>
  <si>
    <t>SCM2017 LGE TOOLS &amp; EQUIPMENT</t>
  </si>
  <si>
    <t>148988</t>
  </si>
  <si>
    <t>Blue Lick DFR</t>
  </si>
  <si>
    <t>148LGE16</t>
  </si>
  <si>
    <t>Implement Corp. SIEM-LGE16</t>
  </si>
  <si>
    <t>149028</t>
  </si>
  <si>
    <t>TEP-LGE DFR 2016</t>
  </si>
  <si>
    <t>149061</t>
  </si>
  <si>
    <t>LEO PADMOUNT SWITCHGEAR 2017</t>
  </si>
  <si>
    <t>149100</t>
  </si>
  <si>
    <t>GAS CONTROL &amp; STOR RENOV</t>
  </si>
  <si>
    <t>149146</t>
  </si>
  <si>
    <t>REPL DUMP TRUCK</t>
  </si>
  <si>
    <t>149147</t>
  </si>
  <si>
    <t>REPL KUBOTAS &amp; TRAILERS</t>
  </si>
  <si>
    <t>149151</t>
  </si>
  <si>
    <t>SMALL TOOLS 2017 004060</t>
  </si>
  <si>
    <t>149152</t>
  </si>
  <si>
    <t>SMALL TOOLS 2017 004190</t>
  </si>
  <si>
    <t>149154</t>
  </si>
  <si>
    <t>REPL KUBOTAS TRAILERS 2017</t>
  </si>
  <si>
    <t>149172</t>
  </si>
  <si>
    <t>INST CONTR VLVS WELLS</t>
  </si>
  <si>
    <t>149173</t>
  </si>
  <si>
    <t>CONV DR DEEP TO UPPER 2016</t>
  </si>
  <si>
    <t>149174</t>
  </si>
  <si>
    <t>CONV DR DEEP TO UPPER 2017</t>
  </si>
  <si>
    <t>149176</t>
  </si>
  <si>
    <t>MAGNOLIA FIELD STUDY</t>
  </si>
  <si>
    <t>149181</t>
  </si>
  <si>
    <t>DRILL WELLS CENTER 2017</t>
  </si>
  <si>
    <t>149182</t>
  </si>
  <si>
    <t>DRILL WELLS CENTER 2018</t>
  </si>
  <si>
    <t>149185</t>
  </si>
  <si>
    <t>DRILL WELLS MAG UPPER 2018</t>
  </si>
  <si>
    <t>149189</t>
  </si>
  <si>
    <t>WK A 16" WATTERSON CREEK</t>
  </si>
  <si>
    <t>149190</t>
  </si>
  <si>
    <t>WK A 22" KENDALL RD CRK XING</t>
  </si>
  <si>
    <t>149262</t>
  </si>
  <si>
    <t>MULD ENG &amp; COMP UPGR 2016</t>
  </si>
  <si>
    <t>149264</t>
  </si>
  <si>
    <t>MULD ENG &amp; COMP UPGR 2017</t>
  </si>
  <si>
    <t>149266</t>
  </si>
  <si>
    <t>MULD HEAT TRACE IMPROV 2017</t>
  </si>
  <si>
    <t>149273</t>
  </si>
  <si>
    <t>MULD INSULATION BLKTS 2017</t>
  </si>
  <si>
    <t>149275</t>
  </si>
  <si>
    <t>COMMON HEADER BTW 2 &amp; 3 BOILER</t>
  </si>
  <si>
    <t>149276</t>
  </si>
  <si>
    <t>REPL BOILER PUR PLANT #2</t>
  </si>
  <si>
    <t>149278</t>
  </si>
  <si>
    <t>MULD VLV INDIC TRANSMITTERS</t>
  </si>
  <si>
    <t>149284</t>
  </si>
  <si>
    <t>MULD SPECIAL WASTE STOR BLDG</t>
  </si>
  <si>
    <t>149287</t>
  </si>
  <si>
    <t>RADCLIFF GAS SYS REINFORCEMENT</t>
  </si>
  <si>
    <t>149289</t>
  </si>
  <si>
    <t>DR IN FLOW METER RVR CROSSING</t>
  </si>
  <si>
    <t>149295</t>
  </si>
  <si>
    <t>MULD UPGR STATN AIR COMPRESSOR</t>
  </si>
  <si>
    <t>149297</t>
  </si>
  <si>
    <t>MULD IM&amp;E STORAGE BLDG</t>
  </si>
  <si>
    <t>149300</t>
  </si>
  <si>
    <t>MULD REPL LAB BUILDING</t>
  </si>
  <si>
    <t>149301</t>
  </si>
  <si>
    <t>MAG REPL ENG ROOM PIP SUP</t>
  </si>
  <si>
    <t>149302</t>
  </si>
  <si>
    <t>MAG TIE IN STATN AIR W BOOSTER</t>
  </si>
  <si>
    <t>149304</t>
  </si>
  <si>
    <t>MAG STOR FLD BARRICADES</t>
  </si>
  <si>
    <t>149307</t>
  </si>
  <si>
    <t>FUEL GAS FLTR &amp; SECOND FEED</t>
  </si>
  <si>
    <t>149312</t>
  </si>
  <si>
    <t>COOLER HOUSING/SHROUDS</t>
  </si>
  <si>
    <t>149324</t>
  </si>
  <si>
    <t>GAS REG 2016 SMALL TOOLS</t>
  </si>
  <si>
    <t>149325</t>
  </si>
  <si>
    <t>MAG 2017 SMALL TOOLS</t>
  </si>
  <si>
    <t>149326</t>
  </si>
  <si>
    <t>GAS REG 2017 SMALL TOOLS</t>
  </si>
  <si>
    <t>149329</t>
  </si>
  <si>
    <t>UTILITY VEHICLE FOR CENTER</t>
  </si>
  <si>
    <t>149334</t>
  </si>
  <si>
    <t>MULD BACKHOE TRAILER</t>
  </si>
  <si>
    <t>149355</t>
  </si>
  <si>
    <t>MC 1/2 HG CONTROL INJECTION</t>
  </si>
  <si>
    <t>149356</t>
  </si>
  <si>
    <t>MC 3 HG CONTROL INJECTION</t>
  </si>
  <si>
    <t>149357</t>
  </si>
  <si>
    <t>MC 4 HG CONTROL INJECTION</t>
  </si>
  <si>
    <t>149358</t>
  </si>
  <si>
    <t>TC1 HG CONTROL INJECTION</t>
  </si>
  <si>
    <t>149393</t>
  </si>
  <si>
    <t>2018 H2S REMOVAL UNIT TOWER</t>
  </si>
  <si>
    <t>149394</t>
  </si>
  <si>
    <t>INST ADDTL FILTR IRON SULF REM</t>
  </si>
  <si>
    <t>149398</t>
  </si>
  <si>
    <t>H2S ANALYZER INLET TO MTR RUNS</t>
  </si>
  <si>
    <t>149407</t>
  </si>
  <si>
    <t>2016 PURCH ELEC RECORD GAUGE</t>
  </si>
  <si>
    <t>149408</t>
  </si>
  <si>
    <t>2017 PURCH ELEC RECORD GAUGES</t>
  </si>
  <si>
    <t>149410</t>
  </si>
  <si>
    <t>2016 UPG CG &amp; LRG REG STA RTU</t>
  </si>
  <si>
    <t>149411</t>
  </si>
  <si>
    <t>2017 UPG CG &amp; LRG REG STA RTU</t>
  </si>
  <si>
    <t>149413</t>
  </si>
  <si>
    <t>2016 UPG CG STA VLV ACTUATORS</t>
  </si>
  <si>
    <t>149418</t>
  </si>
  <si>
    <t>2017 UPG CG STA TRANSMITTERS</t>
  </si>
  <si>
    <t>149422</t>
  </si>
  <si>
    <t>SCADA HARDWARE RPLC</t>
  </si>
  <si>
    <t>149432</t>
  </si>
  <si>
    <t>UPGR MONROE CG FOR WINTER OPS</t>
  </si>
  <si>
    <t>149436</t>
  </si>
  <si>
    <t>2016 IM&amp;E SMALL TOOLS</t>
  </si>
  <si>
    <t>149437</t>
  </si>
  <si>
    <t>2017 IM&amp;E SMALL TOOLS</t>
  </si>
  <si>
    <t>149439</t>
  </si>
  <si>
    <t>2016 SR&amp;O SMALL TOOLS</t>
  </si>
  <si>
    <t>149440</t>
  </si>
  <si>
    <t>2017 SR&amp;O SMALL TOOLS</t>
  </si>
  <si>
    <t>149465</t>
  </si>
  <si>
    <t>LGE HW/SW 2016 ASSET MGMT</t>
  </si>
  <si>
    <t>149473</t>
  </si>
  <si>
    <t>LGE REPL FAILED EQP 2017</t>
  </si>
  <si>
    <t>149483</t>
  </si>
  <si>
    <t>LGE FURN &amp; CHAIR 2017</t>
  </si>
  <si>
    <t>149490</t>
  </si>
  <si>
    <t>CARPET/FLOORING - LGE 2017</t>
  </si>
  <si>
    <t>149492</t>
  </si>
  <si>
    <t>AV EQUIPMENT - LGE 2017</t>
  </si>
  <si>
    <t>149551</t>
  </si>
  <si>
    <t>MR 2016 FieldNet LG&amp;E</t>
  </si>
  <si>
    <t>149679</t>
  </si>
  <si>
    <t>Middletown CIP Security Upgrds</t>
  </si>
  <si>
    <t>149889</t>
  </si>
  <si>
    <t>El Veh Chg Station LG&amp;E 2015</t>
  </si>
  <si>
    <t>149948</t>
  </si>
  <si>
    <t>UNIVERSITY OF LOU STREETSCAPE</t>
  </si>
  <si>
    <t>149972</t>
  </si>
  <si>
    <t>GS GE ME Remote Vibr</t>
  </si>
  <si>
    <t>150005LGE</t>
  </si>
  <si>
    <t>TC2 REPL EXPOSED BUS PJFF</t>
  </si>
  <si>
    <t>150008LGE</t>
  </si>
  <si>
    <t>TC B COAL CONVEYOR SPARE MTR</t>
  </si>
  <si>
    <t>150022LGE</t>
  </si>
  <si>
    <t>TC COAL HAND CRUSHER BIN roof</t>
  </si>
  <si>
    <t>150027LGE</t>
  </si>
  <si>
    <t>TC DIGITAL RADIO CONVERSION</t>
  </si>
  <si>
    <t>150028</t>
  </si>
  <si>
    <t>CLAY TR2 TRANSFORMER</t>
  </si>
  <si>
    <t>150029</t>
  </si>
  <si>
    <t>HWY 44 RELO-BELLS MILL</t>
  </si>
  <si>
    <t>150046LGE</t>
  </si>
  <si>
    <t>TC MACH SHOP WELDING BOOTH</t>
  </si>
  <si>
    <t>150054LGE</t>
  </si>
  <si>
    <t>TC2 SSC CHAIN</t>
  </si>
  <si>
    <t>150071LGE</t>
  </si>
  <si>
    <t>TC LIGHTING UPGRADE</t>
  </si>
  <si>
    <t>150079</t>
  </si>
  <si>
    <t>GS GE ME Oil Skid</t>
  </si>
  <si>
    <t>150080</t>
  </si>
  <si>
    <t>GS GE BlackStart</t>
  </si>
  <si>
    <t>150096</t>
  </si>
  <si>
    <t>FUL UPGRD EMS SWARE-LGE-2016</t>
  </si>
  <si>
    <t>150222</t>
  </si>
  <si>
    <t>LGE Ky Wired Reimbursable</t>
  </si>
  <si>
    <t>150233</t>
  </si>
  <si>
    <t>MC1 LSSWP Strainers 2015</t>
  </si>
  <si>
    <t>150254</t>
  </si>
  <si>
    <t>Algonquin OCB Kit Install</t>
  </si>
  <si>
    <t>150284</t>
  </si>
  <si>
    <t>LGE PITP 2016</t>
  </si>
  <si>
    <t>150286</t>
  </si>
  <si>
    <t>CNG FILL STATION MAG 2015</t>
  </si>
  <si>
    <t>150332</t>
  </si>
  <si>
    <t>LGE FIBERTECH REIMBURSABLE</t>
  </si>
  <si>
    <t>150444</t>
  </si>
  <si>
    <t>TPPA2016 - TWC</t>
  </si>
  <si>
    <t>150445</t>
  </si>
  <si>
    <t>TPPA2016 - Fibertech</t>
  </si>
  <si>
    <t>150446</t>
  </si>
  <si>
    <t>TPPA2016 - CROWN CASTLE</t>
  </si>
  <si>
    <t>150447</t>
  </si>
  <si>
    <t>TPPA2016 - OTHER</t>
  </si>
  <si>
    <t>150467</t>
  </si>
  <si>
    <t>Comp-related Equip LGE 2016</t>
  </si>
  <si>
    <t>150637</t>
  </si>
  <si>
    <t>TEP-Middletown Brkr Rpl (3)</t>
  </si>
  <si>
    <t>150655</t>
  </si>
  <si>
    <t>Rebuild TT3311 MU1104 Ph4</t>
  </si>
  <si>
    <t>150681LGE</t>
  </si>
  <si>
    <t>TC2 EXPANSION JOINT REPLACE</t>
  </si>
  <si>
    <t>150734</t>
  </si>
  <si>
    <t>Middletown TR2 Bushing Rpl</t>
  </si>
  <si>
    <t>150768</t>
  </si>
  <si>
    <t>BRECKINRIDGE SIX MILE REG</t>
  </si>
  <si>
    <t>150769</t>
  </si>
  <si>
    <t>HWY 44 FISHER REG FACILITY</t>
  </si>
  <si>
    <t>150771</t>
  </si>
  <si>
    <t>US 31 CALVARY LINE RELO</t>
  </si>
  <si>
    <t>150784</t>
  </si>
  <si>
    <t>TA1106</t>
  </si>
  <si>
    <t>150804</t>
  </si>
  <si>
    <t>OATI Software Change - LGE</t>
  </si>
  <si>
    <t>150852</t>
  </si>
  <si>
    <t>Omni West 480V Vault</t>
  </si>
  <si>
    <t>150853</t>
  </si>
  <si>
    <t>Omni South/East 480V Vault</t>
  </si>
  <si>
    <t>150854</t>
  </si>
  <si>
    <t>Omni North/East 480V Vault</t>
  </si>
  <si>
    <t>150865</t>
  </si>
  <si>
    <t>MC1 &amp; MC2 CO Analyzers</t>
  </si>
  <si>
    <t>150866LGE</t>
  </si>
  <si>
    <t>TC FA COMBO MTR STARTERS</t>
  </si>
  <si>
    <t>150880</t>
  </si>
  <si>
    <t>BELLS LANE RETIREMENT</t>
  </si>
  <si>
    <t>151001</t>
  </si>
  <si>
    <t>TC1 DIGITAL ECS UPG</t>
  </si>
  <si>
    <t>151031</t>
  </si>
  <si>
    <t>TC1 REMOVE MAIN STOP VALVE</t>
  </si>
  <si>
    <t>151096</t>
  </si>
  <si>
    <t>Lynn Subst (LN0003) Exit Cable</t>
  </si>
  <si>
    <t>151115</t>
  </si>
  <si>
    <t>TC CCRT - BOTTOM ASH LGE</t>
  </si>
  <si>
    <t>151116</t>
  </si>
  <si>
    <t>TC CCRT - FLY ASH LGE</t>
  </si>
  <si>
    <t>151117</t>
  </si>
  <si>
    <t>TC CCRT - GYPSUM LGE</t>
  </si>
  <si>
    <t>151118</t>
  </si>
  <si>
    <t>TC CCRT - TRANSPORT LGE</t>
  </si>
  <si>
    <t>151119</t>
  </si>
  <si>
    <t>TC CCRT - LANDFILL LGE</t>
  </si>
  <si>
    <t>151126</t>
  </si>
  <si>
    <t>GS GE Black Start TC</t>
  </si>
  <si>
    <t>151160</t>
  </si>
  <si>
    <t>SIMP COMM CTR RECONF-LGE</t>
  </si>
  <si>
    <t>151176</t>
  </si>
  <si>
    <t>OF Land Purchase</t>
  </si>
  <si>
    <t>151191</t>
  </si>
  <si>
    <t>TC1 COAL MILL SPRING CANS</t>
  </si>
  <si>
    <t>151194LGE</t>
  </si>
  <si>
    <t>TC2 TURB SHAFT VOLT MONITOR</t>
  </si>
  <si>
    <t>151208</t>
  </si>
  <si>
    <t>Mill Creek 4533 Brk Rpl</t>
  </si>
  <si>
    <t>151250</t>
  </si>
  <si>
    <t>MC Screenhouse Roofing</t>
  </si>
  <si>
    <t>151253</t>
  </si>
  <si>
    <t>MC3 Sootblower Steam Source</t>
  </si>
  <si>
    <t>151254</t>
  </si>
  <si>
    <t>MC4 Sootblower Steam Source</t>
  </si>
  <si>
    <t>151256</t>
  </si>
  <si>
    <t>MC Fire Protection Coal Hndlg</t>
  </si>
  <si>
    <t>151257</t>
  </si>
  <si>
    <t>MC1 Field Instrumentation 2017</t>
  </si>
  <si>
    <t>151263</t>
  </si>
  <si>
    <t>MC Control Battery #2 2017</t>
  </si>
  <si>
    <t>151264</t>
  </si>
  <si>
    <t>MC Emergency Battery #2 2017</t>
  </si>
  <si>
    <t>151271</t>
  </si>
  <si>
    <t>MC4 Generator Brush Rigging</t>
  </si>
  <si>
    <t>151279</t>
  </si>
  <si>
    <t>MC4 Deepwell Pump</t>
  </si>
  <si>
    <t>151281</t>
  </si>
  <si>
    <t>MC Louvers 2017</t>
  </si>
  <si>
    <t>151282</t>
  </si>
  <si>
    <t>MC 1 &amp; 4 Roof Drainage</t>
  </si>
  <si>
    <t>151286</t>
  </si>
  <si>
    <t>MC 3B Coal Mill Gearbox</t>
  </si>
  <si>
    <t>151289</t>
  </si>
  <si>
    <t>GS GE Dam Impnd '16 TC</t>
  </si>
  <si>
    <t>151305</t>
  </si>
  <si>
    <t>Algonquin PT Rpl</t>
  </si>
  <si>
    <t>151306</t>
  </si>
  <si>
    <t>Paddys Run PT Rpl</t>
  </si>
  <si>
    <t>151307</t>
  </si>
  <si>
    <t>Clay 69kV BUS TIE Bush Rpl</t>
  </si>
  <si>
    <t>151331</t>
  </si>
  <si>
    <t>CR7 Station Buildings</t>
  </si>
  <si>
    <t>151448</t>
  </si>
  <si>
    <t>TC1 480V BREAKER UPGRADE</t>
  </si>
  <si>
    <t>151449LGE</t>
  </si>
  <si>
    <t>TC COMMON 480V BREAKER UPGRADE</t>
  </si>
  <si>
    <t>151467</t>
  </si>
  <si>
    <t>Cane Run SW CT Add</t>
  </si>
  <si>
    <t>151563</t>
  </si>
  <si>
    <t>GS GE Alarm Mgmt CR</t>
  </si>
  <si>
    <t>151581</t>
  </si>
  <si>
    <t>MC2 Sootblowers</t>
  </si>
  <si>
    <t>151583</t>
  </si>
  <si>
    <t>MC4 Coal Piping</t>
  </si>
  <si>
    <t>151601</t>
  </si>
  <si>
    <t>Louisville RFL9300 RPLS</t>
  </si>
  <si>
    <t>151750</t>
  </si>
  <si>
    <t>Spare 345/138 Transformer</t>
  </si>
  <si>
    <t>151778</t>
  </si>
  <si>
    <t>MC4 DCS Hardware 2017</t>
  </si>
  <si>
    <t>151817</t>
  </si>
  <si>
    <t>Homewood Suites Vault</t>
  </si>
  <si>
    <t>151912</t>
  </si>
  <si>
    <t>Gas Shop at EOC</t>
  </si>
  <si>
    <t>151953</t>
  </si>
  <si>
    <t>VLV REPL - MAG 16" HWY 1135</t>
  </si>
  <si>
    <t>151955LGE</t>
  </si>
  <si>
    <t>TC2 GENERATOR FIELD RWND</t>
  </si>
  <si>
    <t>151959LGE</t>
  </si>
  <si>
    <t>BRCT 6&amp;7 Auto Gas Shutoff LGE</t>
  </si>
  <si>
    <t>151975</t>
  </si>
  <si>
    <t>CR7 SEE Transformer</t>
  </si>
  <si>
    <t>151984</t>
  </si>
  <si>
    <t>OF Maintenance Shop</t>
  </si>
  <si>
    <t>151999</t>
  </si>
  <si>
    <t>PR Control Rm Upgrade</t>
  </si>
  <si>
    <t>152000LGE</t>
  </si>
  <si>
    <t>TC CT REPL GEN PROT RELAY</t>
  </si>
  <si>
    <t>152001</t>
  </si>
  <si>
    <t>PR Station Warehouse</t>
  </si>
  <si>
    <t>152038LGE</t>
  </si>
  <si>
    <t>TC CT SECURITY ST</t>
  </si>
  <si>
    <t>152044</t>
  </si>
  <si>
    <t>TC1 REAR WALL PANEL REPL</t>
  </si>
  <si>
    <t>152045</t>
  </si>
  <si>
    <t>TC1 REAR WW HANG TUBE</t>
  </si>
  <si>
    <t>152046</t>
  </si>
  <si>
    <t>TC1 BP FRONT WALL PANEL REPL</t>
  </si>
  <si>
    <t>152048</t>
  </si>
  <si>
    <t>TC1 COAL PIPING HANGERS</t>
  </si>
  <si>
    <t>152049LGE</t>
  </si>
  <si>
    <t>TC2 BOILER WATER WALL REPL</t>
  </si>
  <si>
    <t>152050</t>
  </si>
  <si>
    <t>CR7 Station Support Building</t>
  </si>
  <si>
    <t>152051</t>
  </si>
  <si>
    <t>CR7 DC Bus Arrangement</t>
  </si>
  <si>
    <t>152053</t>
  </si>
  <si>
    <t>CR7 Condition Monitoring</t>
  </si>
  <si>
    <t>152078</t>
  </si>
  <si>
    <t>TC1 DA HEATER UPGRADE</t>
  </si>
  <si>
    <t>152090LGE</t>
  </si>
  <si>
    <t>TC A BALL MILL LINER UPGD</t>
  </si>
  <si>
    <t>152094</t>
  </si>
  <si>
    <t>TC1 SCR NOX PLC UPGD</t>
  </si>
  <si>
    <t>152099LGE</t>
  </si>
  <si>
    <t>TC2 HP TURBINE BLADES LGE</t>
  </si>
  <si>
    <t>152101</t>
  </si>
  <si>
    <t>TC1 TURBINE OVERSPEED UPGD</t>
  </si>
  <si>
    <t>152102</t>
  </si>
  <si>
    <t>TC1 REPL CROSSOVER EXP JOINTS</t>
  </si>
  <si>
    <t>152103</t>
  </si>
  <si>
    <t>TC1 RECYC PUMP HEADER REPL</t>
  </si>
  <si>
    <t>152108</t>
  </si>
  <si>
    <t>REL-MT-TC Sw-CF Brkr Add</t>
  </si>
  <si>
    <t>152109</t>
  </si>
  <si>
    <t>REL-Smyrna 604 Brkr Add</t>
  </si>
  <si>
    <t>152133</t>
  </si>
  <si>
    <t>MC Limestone Gear box 2016</t>
  </si>
  <si>
    <t>152174</t>
  </si>
  <si>
    <t>PBR-Ashby 138kV Brkr Rpl</t>
  </si>
  <si>
    <t>152178</t>
  </si>
  <si>
    <t>PBR-Shively 69kV Brkr Rpl</t>
  </si>
  <si>
    <t>152187</t>
  </si>
  <si>
    <t>PBR-TC Sw 138kV Brk Rpl</t>
  </si>
  <si>
    <t>152218</t>
  </si>
  <si>
    <t>MC Synthetic Material Plant</t>
  </si>
  <si>
    <t>152221</t>
  </si>
  <si>
    <t>MC 4532 and 4504-60 TIE Brkr</t>
  </si>
  <si>
    <t>152222</t>
  </si>
  <si>
    <t>BL 345kV 4532-38 TIE Brkr Rpl</t>
  </si>
  <si>
    <t>152226</t>
  </si>
  <si>
    <t>Middletown (5) 345kV Brkr Rpl</t>
  </si>
  <si>
    <t>152265</t>
  </si>
  <si>
    <t>SCADA PRIVATE NTWK_LGE_2016</t>
  </si>
  <si>
    <t>152271LGE</t>
  </si>
  <si>
    <t>TC2 ID FAN REFURBISHMENT LGE</t>
  </si>
  <si>
    <t>152273LGE</t>
  </si>
  <si>
    <t>TC2 FD FAN REBUILD LGE</t>
  </si>
  <si>
    <t>152330</t>
  </si>
  <si>
    <t>MC Gypsum Dewatering Non-ECR</t>
  </si>
  <si>
    <t>152337</t>
  </si>
  <si>
    <t>BOC BREAKER REPLACEMENT 2017</t>
  </si>
  <si>
    <t>152353</t>
  </si>
  <si>
    <t>SEWAGE INJECTION PUMPS BOC</t>
  </si>
  <si>
    <t>152366</t>
  </si>
  <si>
    <t>BOC ROOF REPLACEMENT SECTION A</t>
  </si>
  <si>
    <t>152371</t>
  </si>
  <si>
    <t>FACILITIES SHOP SSC</t>
  </si>
  <si>
    <t>152375</t>
  </si>
  <si>
    <t>HVAC CONDENSING UNIT EOC</t>
  </si>
  <si>
    <t>152378</t>
  </si>
  <si>
    <t>PAVING SSC</t>
  </si>
  <si>
    <t>152381</t>
  </si>
  <si>
    <t>MC Process Water</t>
  </si>
  <si>
    <t>152384</t>
  </si>
  <si>
    <t>TC LGE Process Water</t>
  </si>
  <si>
    <t>152467</t>
  </si>
  <si>
    <t>REPL PROCCESSORS &amp; IO MODULES</t>
  </si>
  <si>
    <t>152468</t>
  </si>
  <si>
    <t>TANK LEVEL TRANSMITTERS</t>
  </si>
  <si>
    <t>152469</t>
  </si>
  <si>
    <t>PURCH ATTACH CONSTR EQUIP 2017</t>
  </si>
  <si>
    <t>152471</t>
  </si>
  <si>
    <t>SCENIC VIEW SHED</t>
  </si>
  <si>
    <t>152473</t>
  </si>
  <si>
    <t>WELD SHOP IMPROVEMENTS</t>
  </si>
  <si>
    <t>152474</t>
  </si>
  <si>
    <t>STORAGE FIELD VALVE REPL</t>
  </si>
  <si>
    <t>152476</t>
  </si>
  <si>
    <t>YARD COOLER AERIAL FAN REPL</t>
  </si>
  <si>
    <t>152477</t>
  </si>
  <si>
    <t>STATION PIPE REPL MULD</t>
  </si>
  <si>
    <t>152479</t>
  </si>
  <si>
    <t>COMPRESSOR ENGINE EQUIP 2017</t>
  </si>
  <si>
    <t>152481</t>
  </si>
  <si>
    <t>UPRG SCADA &amp; FT SYS DATA COMM</t>
  </si>
  <si>
    <t>152482</t>
  </si>
  <si>
    <t>UPGRADE FT SYS DATA COMM 2017</t>
  </si>
  <si>
    <t>152484</t>
  </si>
  <si>
    <t>ODORANT TANK LEVEL PROBES 2017</t>
  </si>
  <si>
    <t>152487</t>
  </si>
  <si>
    <t>SECURITY UPGRADE MAG CENTER</t>
  </si>
  <si>
    <t>152488</t>
  </si>
  <si>
    <t>MACHINERY STORAGE SHED</t>
  </si>
  <si>
    <t>152489</t>
  </si>
  <si>
    <t>STORM SHELTER CENTER</t>
  </si>
  <si>
    <t>152490</t>
  </si>
  <si>
    <t>BOILER FUEL TRAINS</t>
  </si>
  <si>
    <t>152491</t>
  </si>
  <si>
    <t>CNG TUBE TRAILER</t>
  </si>
  <si>
    <t>152492</t>
  </si>
  <si>
    <t>PAVING-MAGNOLIA</t>
  </si>
  <si>
    <t>152496</t>
  </si>
  <si>
    <t>MUL STATN &amp; FLD WASTE TANKS</t>
  </si>
  <si>
    <t>152510</t>
  </si>
  <si>
    <t>OFFICE BUILDING LACONIA</t>
  </si>
  <si>
    <t>152515</t>
  </si>
  <si>
    <t>PAD MOUNTED ELEC SERVICE</t>
  </si>
  <si>
    <t>152533</t>
  </si>
  <si>
    <t>DISTRIBUTION UPGRADE ETOWN</t>
  </si>
  <si>
    <t>152545</t>
  </si>
  <si>
    <t>BRIDGE RPL E PKWY &amp; BEARGRASS</t>
  </si>
  <si>
    <t>152546</t>
  </si>
  <si>
    <t>EAST END REINFORCEMENT</t>
  </si>
  <si>
    <t>152547</t>
  </si>
  <si>
    <t>PURCHASE DUMP TRUCK</t>
  </si>
  <si>
    <t>152561</t>
  </si>
  <si>
    <t>REPLACE PAD METERS</t>
  </si>
  <si>
    <t>152568</t>
  </si>
  <si>
    <t>Manhole Structural Rprs 2017</t>
  </si>
  <si>
    <t>152617</t>
  </si>
  <si>
    <t>2017 Spare 345 Brk-LGE</t>
  </si>
  <si>
    <t>152618</t>
  </si>
  <si>
    <t>LGE Spare 138/69 XTR</t>
  </si>
  <si>
    <t>152680</t>
  </si>
  <si>
    <t>TC1 COAL MILL SPRING CAN ASY</t>
  </si>
  <si>
    <t>152745</t>
  </si>
  <si>
    <t>BOC ROOF REPL - SECTION B MAIN</t>
  </si>
  <si>
    <t>152767</t>
  </si>
  <si>
    <t>Grady GR1466 Exit Circuit</t>
  </si>
  <si>
    <t>152901</t>
  </si>
  <si>
    <t>MC CCR New Construction</t>
  </si>
  <si>
    <t>152902</t>
  </si>
  <si>
    <t>TC CCR New Construction LGE</t>
  </si>
  <si>
    <t>152940</t>
  </si>
  <si>
    <t>MC Beneficial Reuse USG</t>
  </si>
  <si>
    <t>152974</t>
  </si>
  <si>
    <t>Spare Transformers LGE</t>
  </si>
  <si>
    <t>153004LGE</t>
  </si>
  <si>
    <t>TC2 A CEM DATALOG CHANGEOUT</t>
  </si>
  <si>
    <t>153005LGE</t>
  </si>
  <si>
    <t>TC2 B CEM DATA LOG CHANGEOUT</t>
  </si>
  <si>
    <t>153006LGE</t>
  </si>
  <si>
    <t>TCCT CEM DATA LOG CHANGEOUT</t>
  </si>
  <si>
    <t>153008</t>
  </si>
  <si>
    <t>TC1 CEM PROBE CHANGEOUT</t>
  </si>
  <si>
    <t>153015LGE</t>
  </si>
  <si>
    <t>TC2 A CEM PM CHANGOUT</t>
  </si>
  <si>
    <t>153016LGE</t>
  </si>
  <si>
    <t>TC2 B CEM PM CHANGEOUT</t>
  </si>
  <si>
    <t>153051</t>
  </si>
  <si>
    <t>TC1 NATURAL GAS CONVERSION</t>
  </si>
  <si>
    <t>153053LGE</t>
  </si>
  <si>
    <t>TC2 GEN EXCITATION REPL</t>
  </si>
  <si>
    <t>153069LGE</t>
  </si>
  <si>
    <t>TC REPL B CHILLER</t>
  </si>
  <si>
    <t>153073LGE</t>
  </si>
  <si>
    <t>TC FUEL HANDLING DOZER-17</t>
  </si>
  <si>
    <t>153075</t>
  </si>
  <si>
    <t>Volt/VAR Optimization Non-DSM</t>
  </si>
  <si>
    <t>153093</t>
  </si>
  <si>
    <t>Purchase Garage Equip 17 BP</t>
  </si>
  <si>
    <t>153097LGE</t>
  </si>
  <si>
    <t>TC CT 5 REBUILD EXH EXP JNTS</t>
  </si>
  <si>
    <t>153106</t>
  </si>
  <si>
    <t>MC1 O2 Probe Grid</t>
  </si>
  <si>
    <t>153110</t>
  </si>
  <si>
    <t>MC2 O2 Probe Grid</t>
  </si>
  <si>
    <t>153206</t>
  </si>
  <si>
    <t>MC Video Conference System</t>
  </si>
  <si>
    <t>153233</t>
  </si>
  <si>
    <t>LACONIA GAS PAVING</t>
  </si>
  <si>
    <t>153234</t>
  </si>
  <si>
    <t>CENTER GAS PAVING</t>
  </si>
  <si>
    <t>153235</t>
  </si>
  <si>
    <t>BARDSTOWN GAS PAVING</t>
  </si>
  <si>
    <t>153255</t>
  </si>
  <si>
    <t>Bristol Louisville on Main</t>
  </si>
  <si>
    <t>153280</t>
  </si>
  <si>
    <t>ROR-LGE SPARE CCVT-2016</t>
  </si>
  <si>
    <t>153285</t>
  </si>
  <si>
    <t>HWY 53 MAIN RELOCATION</t>
  </si>
  <si>
    <t>153326</t>
  </si>
  <si>
    <t>MC2 Closed Cooling Wtr Piping</t>
  </si>
  <si>
    <t>153330</t>
  </si>
  <si>
    <t>MC Mechanical Exhauster 2016</t>
  </si>
  <si>
    <t>153350</t>
  </si>
  <si>
    <t>PR Cloverport-Tip Top</t>
  </si>
  <si>
    <t>153365</t>
  </si>
  <si>
    <t>LGE Relay Rpl-2017</t>
  </si>
  <si>
    <t>153391LGE</t>
  </si>
  <si>
    <t>TC CATHODIC PROTECT 2016</t>
  </si>
  <si>
    <t>153393</t>
  </si>
  <si>
    <t>TRAILER &amp; EXCAVATOR</t>
  </si>
  <si>
    <t>153407</t>
  </si>
  <si>
    <t>BOC 1 ATRIUM WINDOWS</t>
  </si>
  <si>
    <t>153408</t>
  </si>
  <si>
    <t>BOC SIDEWALK</t>
  </si>
  <si>
    <t>153415</t>
  </si>
  <si>
    <t>MULDRAUGH BLDGING AT GATE</t>
  </si>
  <si>
    <t>153419</t>
  </si>
  <si>
    <t>PGG-Cane Run SW GG Iso</t>
  </si>
  <si>
    <t>153472</t>
  </si>
  <si>
    <t>CR7 Chemical Storage Tank</t>
  </si>
  <si>
    <t>153478</t>
  </si>
  <si>
    <t>IN1291 Ckt Hardening</t>
  </si>
  <si>
    <t>153479</t>
  </si>
  <si>
    <t>HC1293 Ckt Hardening</t>
  </si>
  <si>
    <t>153480</t>
  </si>
  <si>
    <t>AB 1205 Ckt Hardening</t>
  </si>
  <si>
    <t>153481</t>
  </si>
  <si>
    <t>HK1234 Ckt Hardening</t>
  </si>
  <si>
    <t>153483</t>
  </si>
  <si>
    <t>TA1106 Ckt Hardening</t>
  </si>
  <si>
    <t>153484</t>
  </si>
  <si>
    <t>HK1243 CIFI</t>
  </si>
  <si>
    <t>153486</t>
  </si>
  <si>
    <t>LY1111 CIFI</t>
  </si>
  <si>
    <t>153487</t>
  </si>
  <si>
    <t>FM1257 CIFI</t>
  </si>
  <si>
    <t>153489</t>
  </si>
  <si>
    <t>DA1240 CIFI</t>
  </si>
  <si>
    <t>153490</t>
  </si>
  <si>
    <t>PV1252 CIFI</t>
  </si>
  <si>
    <t>153497</t>
  </si>
  <si>
    <t>CIP IP Connectivity - LGE</t>
  </si>
  <si>
    <t>153498</t>
  </si>
  <si>
    <t>RFN-Shively Fence Rpl</t>
  </si>
  <si>
    <t>153526</t>
  </si>
  <si>
    <t>FILL PIPELINE CASINGS WITH WAX</t>
  </si>
  <si>
    <t>153537</t>
  </si>
  <si>
    <t>OMN-Ashbottom TR2 Monitor</t>
  </si>
  <si>
    <t>153538</t>
  </si>
  <si>
    <t>OMN-Mill Creek TR5 Monitor</t>
  </si>
  <si>
    <t>153561</t>
  </si>
  <si>
    <t>DCC ENHANCEMENT LGE</t>
  </si>
  <si>
    <t>153572</t>
  </si>
  <si>
    <t>LGE Pole Inspection 2017</t>
  </si>
  <si>
    <t>153586</t>
  </si>
  <si>
    <t>N1DT Highland Sub Upgrade</t>
  </si>
  <si>
    <t>153587</t>
  </si>
  <si>
    <t>N1DT Highland Sub CW</t>
  </si>
  <si>
    <t>153588</t>
  </si>
  <si>
    <t>TIP TOP RTU Reimbursable</t>
  </si>
  <si>
    <t>153591</t>
  </si>
  <si>
    <t>FTR-Beargrass T01 Xfmr Rpl</t>
  </si>
  <si>
    <t>153627</t>
  </si>
  <si>
    <t>SIMPSONVILLE CRAC TRANS LGE</t>
  </si>
  <si>
    <t>153629</t>
  </si>
  <si>
    <t>SIMSPONVILLE CRAC IT LGE</t>
  </si>
  <si>
    <t>153638LGE</t>
  </si>
  <si>
    <t>TC RESIDENT OFFICE CONSTRUCT</t>
  </si>
  <si>
    <t>153640LGE</t>
  </si>
  <si>
    <t>TC I/E MAINT SHOP OFFICE SPACE</t>
  </si>
  <si>
    <t>153647</t>
  </si>
  <si>
    <t>MC2 Turbine CV Studs</t>
  </si>
  <si>
    <t>153660</t>
  </si>
  <si>
    <t>RADCLIFF VINE GROVE REINF</t>
  </si>
  <si>
    <t>153662</t>
  </si>
  <si>
    <t>BULLITT CO SYSTEM REINFORCE</t>
  </si>
  <si>
    <t>153665</t>
  </si>
  <si>
    <t>TC1 ELECTRO MECH RELAY 2017</t>
  </si>
  <si>
    <t>153667</t>
  </si>
  <si>
    <t>POR-Cane Run Sw Insulator/C&amp;P</t>
  </si>
  <si>
    <t>153671</t>
  </si>
  <si>
    <t>Kenwood 1155 CIFI 2017</t>
  </si>
  <si>
    <t>153672</t>
  </si>
  <si>
    <t>Fairmount 1262 CEMI</t>
  </si>
  <si>
    <t>153673</t>
  </si>
  <si>
    <t>Locust 1192 CIFI 2017</t>
  </si>
  <si>
    <t>153681</t>
  </si>
  <si>
    <t>GAS CONTROL CREW ROOM RENO</t>
  </si>
  <si>
    <t>153683</t>
  </si>
  <si>
    <t>GS CDM SUBSTATION CALLBOX</t>
  </si>
  <si>
    <t>153686</t>
  </si>
  <si>
    <t>GS CDM CALLBOX OTH PROD</t>
  </si>
  <si>
    <t>153689</t>
  </si>
  <si>
    <t>TC1 FINAL SH DMW TUBE REPL</t>
  </si>
  <si>
    <t>153690</t>
  </si>
  <si>
    <t>Gas Monitoring Cameras LGE</t>
  </si>
  <si>
    <t>153698</t>
  </si>
  <si>
    <t>TPPA-TWC 2017</t>
  </si>
  <si>
    <t>153699</t>
  </si>
  <si>
    <t>TPPA-Fibertech 2017</t>
  </si>
  <si>
    <t>153700</t>
  </si>
  <si>
    <t>TPPA-Crown Castle 2017</t>
  </si>
  <si>
    <t>153701</t>
  </si>
  <si>
    <t>TPPA-Other 2017</t>
  </si>
  <si>
    <t>153703</t>
  </si>
  <si>
    <t>GS GE Alloy Analyzer 2016 LGE</t>
  </si>
  <si>
    <t>153718</t>
  </si>
  <si>
    <t>MC2 Gen HV Bushings T1 &amp; T6</t>
  </si>
  <si>
    <t>153726</t>
  </si>
  <si>
    <t>CIP Intrusion Detect Trans LGE</t>
  </si>
  <si>
    <t>153728</t>
  </si>
  <si>
    <t>CIP Intrusion Detect IT LGE</t>
  </si>
  <si>
    <t>153740</t>
  </si>
  <si>
    <t>EMERGENCY RESPONSE TRAILER</t>
  </si>
  <si>
    <t>153748LGE</t>
  </si>
  <si>
    <t>TC2 ID FAN OVERHAUL - 2017</t>
  </si>
  <si>
    <t>153750</t>
  </si>
  <si>
    <t>TC1 EXPANSION JOINTS 2017</t>
  </si>
  <si>
    <t>153755</t>
  </si>
  <si>
    <t>XFRM FROM KU</t>
  </si>
  <si>
    <t>153765LGE</t>
  </si>
  <si>
    <t>TC2 MS BYPASS VALVE OVERHAUL*</t>
  </si>
  <si>
    <t>153782</t>
  </si>
  <si>
    <t>S30 Floor Sweeper</t>
  </si>
  <si>
    <t>153812</t>
  </si>
  <si>
    <t>HB1148 Exit Cable</t>
  </si>
  <si>
    <t>153820</t>
  </si>
  <si>
    <t>SCM2017 TRANS TOOLS &amp; EQUIP</t>
  </si>
  <si>
    <t>153826</t>
  </si>
  <si>
    <t>LGE Tech Trng Center</t>
  </si>
  <si>
    <t>153829</t>
  </si>
  <si>
    <t>AMS SAP Security LG&amp;E</t>
  </si>
  <si>
    <t>153840</t>
  </si>
  <si>
    <t>MC1 Closed Clg Water Piping</t>
  </si>
  <si>
    <t>153841</t>
  </si>
  <si>
    <t>MC Drum Crusher</t>
  </si>
  <si>
    <t>153858</t>
  </si>
  <si>
    <t>LGE HW/SW ASSET MGMT 2017</t>
  </si>
  <si>
    <t>153871</t>
  </si>
  <si>
    <t>PIPELINE EXPOSURE HWY 61</t>
  </si>
  <si>
    <t>153872</t>
  </si>
  <si>
    <t>AOC BATHROOM</t>
  </si>
  <si>
    <t>153916</t>
  </si>
  <si>
    <t>REPL AIR HANDLERS-BOC 2017</t>
  </si>
  <si>
    <t>153919</t>
  </si>
  <si>
    <t>TL Comp-Rel Hardware-LG&amp;E</t>
  </si>
  <si>
    <t>153925</t>
  </si>
  <si>
    <t>UPS CENTENNIAL HUB EXP</t>
  </si>
  <si>
    <t>153926</t>
  </si>
  <si>
    <t>UPS CENTENNIAL HUB EXP SUB</t>
  </si>
  <si>
    <t>153927</t>
  </si>
  <si>
    <t>Sub Exit Cable LN0001</t>
  </si>
  <si>
    <t>153928</t>
  </si>
  <si>
    <t>Sub Exit Cable LN0004</t>
  </si>
  <si>
    <t>153947</t>
  </si>
  <si>
    <t>AOC RR &amp; CONFERENCE ROOM UPG</t>
  </si>
  <si>
    <t>153961</t>
  </si>
  <si>
    <t>SSC POLEYARD</t>
  </si>
  <si>
    <t>153962LGE</t>
  </si>
  <si>
    <t>TC SAFETY &amp; ERT 2017</t>
  </si>
  <si>
    <t>153964LGE</t>
  </si>
  <si>
    <t>TC1 &amp; COMM 480V BREAK UPD 2017</t>
  </si>
  <si>
    <t>153969</t>
  </si>
  <si>
    <t>LGE CTR 23 CONF CTR AV LGE</t>
  </si>
  <si>
    <t>153971</t>
  </si>
  <si>
    <t>TC1 REPL HYD LIME DRYERS 2017</t>
  </si>
  <si>
    <t>153975</t>
  </si>
  <si>
    <t>FACILTIES CAPACITY FURN LGE</t>
  </si>
  <si>
    <t>153978</t>
  </si>
  <si>
    <t>Sub Exit Cable AL1443</t>
  </si>
  <si>
    <t>153998LGE</t>
  </si>
  <si>
    <t>TC LAB EQUIPMENT- 2017</t>
  </si>
  <si>
    <t>153LGE16</t>
  </si>
  <si>
    <t>Tertiary Data Domain-LGE16</t>
  </si>
  <si>
    <t>154001LGE</t>
  </si>
  <si>
    <t>TC LAB MONITORS- 2017</t>
  </si>
  <si>
    <t>154003LGE</t>
  </si>
  <si>
    <t>TC PREDICTIVE MAINT DEV- 2017</t>
  </si>
  <si>
    <t>154013</t>
  </si>
  <si>
    <t>AMS MAM System 2017 LG&amp;E</t>
  </si>
  <si>
    <t>154035</t>
  </si>
  <si>
    <t>AMS Device Management 2017 LGE</t>
  </si>
  <si>
    <t>154046</t>
  </si>
  <si>
    <t>PAR-Algonquin Ground Grid Rpl</t>
  </si>
  <si>
    <t>154047</t>
  </si>
  <si>
    <t>PAR-Canal Ground Grid Rpl</t>
  </si>
  <si>
    <t>154049</t>
  </si>
  <si>
    <t>EXIT CABLE AL1376</t>
  </si>
  <si>
    <t>154050</t>
  </si>
  <si>
    <t>EXIT CIRCUITS AL1440</t>
  </si>
  <si>
    <t>154052</t>
  </si>
  <si>
    <t>EXIT CIRCUIT AL1441</t>
  </si>
  <si>
    <t>154053LGE</t>
  </si>
  <si>
    <t>TC2 COAL FLOW ANALYZERS- 2017</t>
  </si>
  <si>
    <t>154055LGE</t>
  </si>
  <si>
    <t>TC SITE PAVING- 2017</t>
  </si>
  <si>
    <t>154061</t>
  </si>
  <si>
    <t>EXIT CIRCUITS AL1444</t>
  </si>
  <si>
    <t>154062LGE</t>
  </si>
  <si>
    <t>TC2 COOLING TOWER MAKE-UP</t>
  </si>
  <si>
    <t>154064LGE</t>
  </si>
  <si>
    <t>TC DCS ROOM RENOVATION-</t>
  </si>
  <si>
    <t>154066</t>
  </si>
  <si>
    <t>TC1 DESP CONTROLS UPGRADE</t>
  </si>
  <si>
    <t>154067LGE</t>
  </si>
  <si>
    <t>TC MOORING CELL REFURBISHMENT-</t>
  </si>
  <si>
    <t>154071LGE</t>
  </si>
  <si>
    <t>TC -3 PHASE TEST SET</t>
  </si>
  <si>
    <t>154073LGE</t>
  </si>
  <si>
    <t>TC CT SPARE TURNING GEAR MTR-</t>
  </si>
  <si>
    <t>154084</t>
  </si>
  <si>
    <t>MC4 Final Superheat Tubing</t>
  </si>
  <si>
    <t>154088LGE</t>
  </si>
  <si>
    <t>TC OVATION SECURITY CTR- 2017</t>
  </si>
  <si>
    <t>154090</t>
  </si>
  <si>
    <t>Dixie 1224 New Circuit Phase 1</t>
  </si>
  <si>
    <t>154091</t>
  </si>
  <si>
    <t>Dixie 1224 New Circuit Phase 2</t>
  </si>
  <si>
    <t>154092</t>
  </si>
  <si>
    <t>Distribution Auto LGE 2017</t>
  </si>
  <si>
    <t>154095</t>
  </si>
  <si>
    <t>IT Distrbution Automation LGE</t>
  </si>
  <si>
    <t>154120</t>
  </si>
  <si>
    <t>Bus Duct Magazine Sub</t>
  </si>
  <si>
    <t>154121</t>
  </si>
  <si>
    <t>Bus Duct Clifton Sub</t>
  </si>
  <si>
    <t>154122</t>
  </si>
  <si>
    <t>Spare Transformer Magazine Sub</t>
  </si>
  <si>
    <t>154145</t>
  </si>
  <si>
    <t>TC1 STACK LINER IMPROVE 2017</t>
  </si>
  <si>
    <t>154148</t>
  </si>
  <si>
    <t>RFN-Eastwood Fence Rpl</t>
  </si>
  <si>
    <t>154150</t>
  </si>
  <si>
    <t>RFN-Cloverport Fence Rpl</t>
  </si>
  <si>
    <t>154151</t>
  </si>
  <si>
    <t>RFN-Northside Fence Rpl</t>
  </si>
  <si>
    <t>154154</t>
  </si>
  <si>
    <t>UPS Worldport Sectionalizing</t>
  </si>
  <si>
    <t>154156LGE</t>
  </si>
  <si>
    <t>TC2 EXCITE TRANSFORM REPL-2017</t>
  </si>
  <si>
    <t>154159LGE</t>
  </si>
  <si>
    <t>TC CT OVAT SECURITY CENTER-</t>
  </si>
  <si>
    <t>154165</t>
  </si>
  <si>
    <t>REPLACE FLOOR LGE CTR 12 LGE</t>
  </si>
  <si>
    <t>154197</t>
  </si>
  <si>
    <t>Partial Discharge Monitor</t>
  </si>
  <si>
    <t>154198</t>
  </si>
  <si>
    <t>LRAA GAS PIPELINE RELOCATION</t>
  </si>
  <si>
    <t>154201</t>
  </si>
  <si>
    <t>MC3 Econ Inlet Check Valve</t>
  </si>
  <si>
    <t>154202</t>
  </si>
  <si>
    <t>MC4 Econ Inlet Check Valve</t>
  </si>
  <si>
    <t>154204</t>
  </si>
  <si>
    <t>BOC 1 DIRECTORS OFFICES LGE</t>
  </si>
  <si>
    <t>154210LGE</t>
  </si>
  <si>
    <t>TC2 2B ID FAN DE BLADE Repl</t>
  </si>
  <si>
    <t>154212</t>
  </si>
  <si>
    <t>OF Trash Racks (2017)</t>
  </si>
  <si>
    <t>154217</t>
  </si>
  <si>
    <t>MC Parking Lot Lighting Grid</t>
  </si>
  <si>
    <t>154218</t>
  </si>
  <si>
    <t>MC Forklift For Mill Area</t>
  </si>
  <si>
    <t>154222</t>
  </si>
  <si>
    <t>Oxmoor-Aiken Starbucks Relo</t>
  </si>
  <si>
    <t>154223</t>
  </si>
  <si>
    <t>MS LG&amp;E Gas 2017 Provers</t>
  </si>
  <si>
    <t>154225</t>
  </si>
  <si>
    <t>TC1 SCR STRUCT STEEL BP 2017</t>
  </si>
  <si>
    <t>154228</t>
  </si>
  <si>
    <t>TC1 BCWP OVERHAUL 2017</t>
  </si>
  <si>
    <t>154229LGE</t>
  </si>
  <si>
    <t>TC COAL H BUILD ROOF RPL 2017</t>
  </si>
  <si>
    <t>154231</t>
  </si>
  <si>
    <t>ALPHA WAY</t>
  </si>
  <si>
    <t>154243</t>
  </si>
  <si>
    <t>COOLER HANDRAIL/PLATFORMS 2017</t>
  </si>
  <si>
    <t>154267</t>
  </si>
  <si>
    <t>TRIPSAVER ETLCP</t>
  </si>
  <si>
    <t>154269</t>
  </si>
  <si>
    <t>UG FCI Harrods Creek</t>
  </si>
  <si>
    <t>154288LGE</t>
  </si>
  <si>
    <t>TC2 ID FAN VIBRATION PROBES-</t>
  </si>
  <si>
    <t>154292</t>
  </si>
  <si>
    <t>BOC ELEVATION PLANTER WALL</t>
  </si>
  <si>
    <t>154294</t>
  </si>
  <si>
    <t>MAGNOLIA PAVING 2017</t>
  </si>
  <si>
    <t>154300</t>
  </si>
  <si>
    <t>Trans Test Lab Equip-LG&amp;E</t>
  </si>
  <si>
    <t>154303LGE</t>
  </si>
  <si>
    <t>TC2 COAL MILL EXPANSION JTS-</t>
  </si>
  <si>
    <t>154305LGE</t>
  </si>
  <si>
    <t>TC2 PENTHOUSE PLATFORM INST</t>
  </si>
  <si>
    <t>154307LGE</t>
  </si>
  <si>
    <t>TC LAB TANK REFURBISHMENT-</t>
  </si>
  <si>
    <t>154311</t>
  </si>
  <si>
    <t>MC D1 Coal Conv Belt 2017</t>
  </si>
  <si>
    <t>154314</t>
  </si>
  <si>
    <t>MC1 GSU Xfmr Heat Detectors</t>
  </si>
  <si>
    <t>154315</t>
  </si>
  <si>
    <t>MC2 GSU Xfmr Heat Detectors</t>
  </si>
  <si>
    <t>154317</t>
  </si>
  <si>
    <t>Auburndale Pipe Racks-LGE17</t>
  </si>
  <si>
    <t>154322</t>
  </si>
  <si>
    <t>CR7 Bypass Valve Upgrade</t>
  </si>
  <si>
    <t>154339</t>
  </si>
  <si>
    <t>MC4 Attemperator Spray Valve</t>
  </si>
  <si>
    <t>154340</t>
  </si>
  <si>
    <t>MC4 Coal Feeder Controls</t>
  </si>
  <si>
    <t>154346</t>
  </si>
  <si>
    <t>RIVERPORT 8" CUT OUT</t>
  </si>
  <si>
    <t>154348</t>
  </si>
  <si>
    <t>GS Gen Eng Degas Analyzer MC</t>
  </si>
  <si>
    <t>154351</t>
  </si>
  <si>
    <t>GS Gen Eng Air Sieve TC</t>
  </si>
  <si>
    <t>154361</t>
  </si>
  <si>
    <t>MC Warehouse Tube Racks</t>
  </si>
  <si>
    <t>154370</t>
  </si>
  <si>
    <t>MC1 Turbine Bolts 2017</t>
  </si>
  <si>
    <t>154419LGE</t>
  </si>
  <si>
    <t>TC2 COAL MILL WATCH SYSTEM-</t>
  </si>
  <si>
    <t>154434</t>
  </si>
  <si>
    <t>AL1443 Ckt Hardening</t>
  </si>
  <si>
    <t>154435</t>
  </si>
  <si>
    <t>SM1397 Ckt Hardening</t>
  </si>
  <si>
    <t>154436</t>
  </si>
  <si>
    <t>MC EHC Filtration Skid</t>
  </si>
  <si>
    <t>154437</t>
  </si>
  <si>
    <t>MC Security Gate Watson Ln</t>
  </si>
  <si>
    <t>154472</t>
  </si>
  <si>
    <t>4TH ST APTS VAULT</t>
  </si>
  <si>
    <t>154476LGE</t>
  </si>
  <si>
    <t>TC STATION AIR SYSTEM REFURB-</t>
  </si>
  <si>
    <t>154507</t>
  </si>
  <si>
    <t>UPS BATTERY REPL - LGE 2017</t>
  </si>
  <si>
    <t>154513</t>
  </si>
  <si>
    <t>EOC CONF A SPLIT HVAC UNIT</t>
  </si>
  <si>
    <t>154515</t>
  </si>
  <si>
    <t>EOC WELDER PLUGS</t>
  </si>
  <si>
    <t>154536</t>
  </si>
  <si>
    <t>LOADING DOCK SECURITY</t>
  </si>
  <si>
    <t>154537</t>
  </si>
  <si>
    <t>CR7 Contractor Parking</t>
  </si>
  <si>
    <t>154539</t>
  </si>
  <si>
    <t>AOC GAS DISPATCH WORKSTATION</t>
  </si>
  <si>
    <t>154565</t>
  </si>
  <si>
    <t>FUSE UNFUSED TAPS</t>
  </si>
  <si>
    <t>154567</t>
  </si>
  <si>
    <t>CR7 T3K ENHANCE</t>
  </si>
  <si>
    <t>154569</t>
  </si>
  <si>
    <t>PR13 T3K ENHANCE</t>
  </si>
  <si>
    <t>154571</t>
  </si>
  <si>
    <t>UPS CENTENNIAL HUB - REIMB</t>
  </si>
  <si>
    <t>154574</t>
  </si>
  <si>
    <t>MC CCR Rule Addl Land</t>
  </si>
  <si>
    <t>154575LGE</t>
  </si>
  <si>
    <t>TC BAP/GSP IMPROVEMENTS 2017-</t>
  </si>
  <si>
    <t>154579</t>
  </si>
  <si>
    <t>TC1 CORNER TUBE REPLACE</t>
  </si>
  <si>
    <t>154581LGE</t>
  </si>
  <si>
    <t>TC SKID STEER LOADER-</t>
  </si>
  <si>
    <t>154583LGE</t>
  </si>
  <si>
    <t>TC CONVEYOR BELT 2017-</t>
  </si>
  <si>
    <t>154586</t>
  </si>
  <si>
    <t>REPLACE LYNDON SOUTH TR 5</t>
  </si>
  <si>
    <t>154589</t>
  </si>
  <si>
    <t>UPGRADE PARKING LOT</t>
  </si>
  <si>
    <t>154591</t>
  </si>
  <si>
    <t>TC 345kV 4511 Breaker</t>
  </si>
  <si>
    <t>154592</t>
  </si>
  <si>
    <t>MADISON 14KV UPGRADE</t>
  </si>
  <si>
    <t>154602</t>
  </si>
  <si>
    <t>TIP TOP TR 1 LTC UPGRADE</t>
  </si>
  <si>
    <t>154604</t>
  </si>
  <si>
    <t>GRAND TR 1 LTC REPLACEMENT</t>
  </si>
  <si>
    <t>154619</t>
  </si>
  <si>
    <t>MC 1B BCP OVERHAUL 2017</t>
  </si>
  <si>
    <t>154620</t>
  </si>
  <si>
    <t>MC 1B CWP OVERHAUL 2017</t>
  </si>
  <si>
    <t>154621</t>
  </si>
  <si>
    <t>MC 4A CTP OVERHAUL 2017</t>
  </si>
  <si>
    <t>154622</t>
  </si>
  <si>
    <t>MC 1B BFP OVERHAUL 2017</t>
  </si>
  <si>
    <t>154628LGE</t>
  </si>
  <si>
    <t>TC UPGD CONFERENCE ROOMS-</t>
  </si>
  <si>
    <t>154645</t>
  </si>
  <si>
    <t>MC 3A CTP OVERHAUL 2019</t>
  </si>
  <si>
    <t>154653</t>
  </si>
  <si>
    <t>MC 4C Recyc Pump OVERHAUL 2018</t>
  </si>
  <si>
    <t>154655</t>
  </si>
  <si>
    <t>MC 4B Recyc Pump OVERHAUL 2018</t>
  </si>
  <si>
    <t>154672</t>
  </si>
  <si>
    <t>CR7 Backwash Strainer</t>
  </si>
  <si>
    <t>154674</t>
  </si>
  <si>
    <t>ANNEX CHILLER REPLACE-2017</t>
  </si>
  <si>
    <t>154676</t>
  </si>
  <si>
    <t>TA1106-Phase3</t>
  </si>
  <si>
    <t>154694</t>
  </si>
  <si>
    <t>Madison 69kV Cap &amp; Pin Rpl</t>
  </si>
  <si>
    <t>154711LGE</t>
  </si>
  <si>
    <t>TC2 ACOUSTIC MONITORS-</t>
  </si>
  <si>
    <t>154786LGE</t>
  </si>
  <si>
    <t>TC2 COND POLISHER RESIN UPG-</t>
  </si>
  <si>
    <t>154812</t>
  </si>
  <si>
    <t>CSS Metric Tools</t>
  </si>
  <si>
    <t>154817</t>
  </si>
  <si>
    <t>RIVERPORT FURNITURE LGE</t>
  </si>
  <si>
    <t>154843</t>
  </si>
  <si>
    <t>Trimble Co TCT 7-10</t>
  </si>
  <si>
    <t>155051</t>
  </si>
  <si>
    <t>UPS CENTENNIAL SUB-REIMB</t>
  </si>
  <si>
    <t>155063</t>
  </si>
  <si>
    <t>CSSLathe</t>
  </si>
  <si>
    <t>155080</t>
  </si>
  <si>
    <t>AOC Forklift (12k lbs)</t>
  </si>
  <si>
    <t>155139</t>
  </si>
  <si>
    <t>MC 4A Low Press Htr Drn Pump</t>
  </si>
  <si>
    <t>155140</t>
  </si>
  <si>
    <t>MC 4A Absorber Recycle Pump</t>
  </si>
  <si>
    <t>155142</t>
  </si>
  <si>
    <t>MC 3F Cooling Tower Fan GB</t>
  </si>
  <si>
    <t>155143</t>
  </si>
  <si>
    <t>MC Control House #1 HVAC</t>
  </si>
  <si>
    <t>155176</t>
  </si>
  <si>
    <t>GS GenEng Insight CM-LGE</t>
  </si>
  <si>
    <t>155179</t>
  </si>
  <si>
    <t>GS GenEng RDI Camera LGE</t>
  </si>
  <si>
    <t>155180</t>
  </si>
  <si>
    <t>GS GenEng Insight CM CR7</t>
  </si>
  <si>
    <t>155193LGE</t>
  </si>
  <si>
    <t>TC2 Hydrojet Strainer-</t>
  </si>
  <si>
    <t>155195LGE</t>
  </si>
  <si>
    <t>TC2 Turbine OH Cart-</t>
  </si>
  <si>
    <t>155197</t>
  </si>
  <si>
    <t>TC1 GSU Blast Wall</t>
  </si>
  <si>
    <t>155201</t>
  </si>
  <si>
    <t>Luckett &amp; Farley Vault</t>
  </si>
  <si>
    <t>155215</t>
  </si>
  <si>
    <t>RFN-Beargrass Fence</t>
  </si>
  <si>
    <t>155232</t>
  </si>
  <si>
    <t>AMS MAM System LG&amp;E Meter</t>
  </si>
  <si>
    <t>155235</t>
  </si>
  <si>
    <t>UPS Underground Replacement</t>
  </si>
  <si>
    <t>155247</t>
  </si>
  <si>
    <t>MC 4A Ash Water Pump Motor</t>
  </si>
  <si>
    <t>155251</t>
  </si>
  <si>
    <t>CS Monitors 2017 LG&amp;E</t>
  </si>
  <si>
    <t>155297</t>
  </si>
  <si>
    <t>WIDE FORMAT PRINTER LGE</t>
  </si>
  <si>
    <t>155300</t>
  </si>
  <si>
    <t>GS SL Mercury Analyzers 17</t>
  </si>
  <si>
    <t>155374</t>
  </si>
  <si>
    <t>CSS 24' Overhead Fan</t>
  </si>
  <si>
    <t>155378</t>
  </si>
  <si>
    <t>GS GenEng CR7 RO</t>
  </si>
  <si>
    <t>155397</t>
  </si>
  <si>
    <t>BOC 3C CONF RM RENOVATION</t>
  </si>
  <si>
    <t>155430</t>
  </si>
  <si>
    <t>TA1173 CIFI 2017</t>
  </si>
  <si>
    <t>155431</t>
  </si>
  <si>
    <t>Convention Center Vault</t>
  </si>
  <si>
    <t>155434LGE</t>
  </si>
  <si>
    <t>TC F1 COAL CRUSHER MTR RWD-</t>
  </si>
  <si>
    <t>155460</t>
  </si>
  <si>
    <t>GS GenEng MetLab Storage</t>
  </si>
  <si>
    <t>155465</t>
  </si>
  <si>
    <t>Lynn 15KV Exit Circuit</t>
  </si>
  <si>
    <t>155513</t>
  </si>
  <si>
    <t>TC CCR New Const Proces Pd LGE</t>
  </si>
  <si>
    <t>155526</t>
  </si>
  <si>
    <t>FOR-Bishop Brk Rpl</t>
  </si>
  <si>
    <t>155528</t>
  </si>
  <si>
    <t>FOR-Ethel TR4 Brk Rpl</t>
  </si>
  <si>
    <t>155538</t>
  </si>
  <si>
    <t>GLab Washer Ext</t>
  </si>
  <si>
    <t>155580</t>
  </si>
  <si>
    <t>CORR CON SMALL TOOLS 2017</t>
  </si>
  <si>
    <t>155589</t>
  </si>
  <si>
    <t>BOC MAILROOM IMPROVEMENTS</t>
  </si>
  <si>
    <t>155595</t>
  </si>
  <si>
    <t>GL Dielectic Tester</t>
  </si>
  <si>
    <t>155677</t>
  </si>
  <si>
    <t>Calvary Ell Replacement</t>
  </si>
  <si>
    <t>155680</t>
  </si>
  <si>
    <t>CR1421 Exit Circuit</t>
  </si>
  <si>
    <t>155681</t>
  </si>
  <si>
    <t>CR1422 Exit Circuit</t>
  </si>
  <si>
    <t>155682</t>
  </si>
  <si>
    <t>POR BLUE LICK 345kV CCVT</t>
  </si>
  <si>
    <t>155694LGE</t>
  </si>
  <si>
    <t>TC LAB UTILITY VEHICLE-</t>
  </si>
  <si>
    <t>155696</t>
  </si>
  <si>
    <t>TC1 HP INNER CASING FASTNERS</t>
  </si>
  <si>
    <t>155698</t>
  </si>
  <si>
    <t>SPIR Grade Lane-Fern Valley</t>
  </si>
  <si>
    <t>155699</t>
  </si>
  <si>
    <t>SPIR Ashbottom-Grade Lane</t>
  </si>
  <si>
    <t>155700</t>
  </si>
  <si>
    <t>SPIR International Tap</t>
  </si>
  <si>
    <t>155705</t>
  </si>
  <si>
    <t>OHIO FALLS U7 REWIND</t>
  </si>
  <si>
    <t>155718</t>
  </si>
  <si>
    <t>STT-Safety Office</t>
  </si>
  <si>
    <t>155738</t>
  </si>
  <si>
    <t>Purchase Cable Hog-2017</t>
  </si>
  <si>
    <t>155745</t>
  </si>
  <si>
    <t>UPGRADE PADDYS RUN SERVICE</t>
  </si>
  <si>
    <t>155749</t>
  </si>
  <si>
    <t>Auburndale Pole Racks-LGE17</t>
  </si>
  <si>
    <t>155759</t>
  </si>
  <si>
    <t>CR7 HEPA Filter Replacement</t>
  </si>
  <si>
    <t>155761</t>
  </si>
  <si>
    <t>MULD &amp; MAG CYBER SECURITY</t>
  </si>
  <si>
    <t>155763</t>
  </si>
  <si>
    <t>HAULING &amp; SMALL BACKHOE TRL</t>
  </si>
  <si>
    <t>155810</t>
  </si>
  <si>
    <t>SK1128 Skyline Enhancement</t>
  </si>
  <si>
    <t>155821</t>
  </si>
  <si>
    <t>CR7 CCI Valve Outage Work</t>
  </si>
  <si>
    <t>155828</t>
  </si>
  <si>
    <t>MC2 Cooling Twr Chem Feed Tank</t>
  </si>
  <si>
    <t>155831</t>
  </si>
  <si>
    <t>CSS Induction Heater</t>
  </si>
  <si>
    <t>155835</t>
  </si>
  <si>
    <t>Dixie 1224 New Circuit Phase 3</t>
  </si>
  <si>
    <t>155837</t>
  </si>
  <si>
    <t>FENCE AT AOC 2017</t>
  </si>
  <si>
    <t>155848</t>
  </si>
  <si>
    <t>GS CDM TRIPWIRE TC</t>
  </si>
  <si>
    <t>155851</t>
  </si>
  <si>
    <t>GS CDM TRIPWIRE TC CT</t>
  </si>
  <si>
    <t>155855</t>
  </si>
  <si>
    <t>Ballardsville Pipeline Repairs</t>
  </si>
  <si>
    <t>155860</t>
  </si>
  <si>
    <t>TPPA-Other 2018</t>
  </si>
  <si>
    <t>155862</t>
  </si>
  <si>
    <t>TPPA-TWC 2018</t>
  </si>
  <si>
    <t>155878</t>
  </si>
  <si>
    <t>MC S/R Boom Belt 2017</t>
  </si>
  <si>
    <t>155879LGE</t>
  </si>
  <si>
    <t>TC2 PJFF COMPRESSOR REPL-</t>
  </si>
  <si>
    <t>155882</t>
  </si>
  <si>
    <t>CSS CNC FB Lathe</t>
  </si>
  <si>
    <t>155884</t>
  </si>
  <si>
    <t>LGE BRANDING</t>
  </si>
  <si>
    <t>155901</t>
  </si>
  <si>
    <t>CSS Vehicle</t>
  </si>
  <si>
    <t>155902LGE</t>
  </si>
  <si>
    <t>BOC SUPPLY CHAIN FLOORING LGE</t>
  </si>
  <si>
    <t>155906</t>
  </si>
  <si>
    <t>Emissions Tst Trailer&amp;Equi-LGE</t>
  </si>
  <si>
    <t>155908LGE</t>
  </si>
  <si>
    <t>BOC DATA CENTER FLOORING LGE</t>
  </si>
  <si>
    <t>155911LGE</t>
  </si>
  <si>
    <t>BOC DIRECTORS FLOORING LGE</t>
  </si>
  <si>
    <t>155923LGE</t>
  </si>
  <si>
    <t>BRCT5 Inlet Coils Repl LGE</t>
  </si>
  <si>
    <t>155926</t>
  </si>
  <si>
    <t>BOs Safe for BOC 2017</t>
  </si>
  <si>
    <t>155943</t>
  </si>
  <si>
    <t>SSC Racking-LGE17</t>
  </si>
  <si>
    <t>155947</t>
  </si>
  <si>
    <t>SSC STORAGE BLDG POLEBARN</t>
  </si>
  <si>
    <t>155950</t>
  </si>
  <si>
    <t>MC4 Service Water Valve #26</t>
  </si>
  <si>
    <t>155954</t>
  </si>
  <si>
    <t>GS GenEng Videoscope</t>
  </si>
  <si>
    <t>155958</t>
  </si>
  <si>
    <t>GS SL Oil and Grs Anlyzer</t>
  </si>
  <si>
    <t>155966</t>
  </si>
  <si>
    <t>2017 PE VEHICLES LGE</t>
  </si>
  <si>
    <t>155970</t>
  </si>
  <si>
    <t>OATI Meter Read Module-LG&amp;E</t>
  </si>
  <si>
    <t>155981</t>
  </si>
  <si>
    <t>SPIR Mill Creek-Northside</t>
  </si>
  <si>
    <t>155988</t>
  </si>
  <si>
    <t>Convention Ctr Vault-West</t>
  </si>
  <si>
    <t>155990</t>
  </si>
  <si>
    <t>MC Trucks 2017</t>
  </si>
  <si>
    <t>155991</t>
  </si>
  <si>
    <t>MC Breen Probe</t>
  </si>
  <si>
    <t>155992</t>
  </si>
  <si>
    <t>MC PPTR Optimization System</t>
  </si>
  <si>
    <t>155993</t>
  </si>
  <si>
    <t>MC Alignment Machine 2017</t>
  </si>
  <si>
    <t>155994</t>
  </si>
  <si>
    <t>MC Airflow Testing Device</t>
  </si>
  <si>
    <t>156010</t>
  </si>
  <si>
    <t>MC LD2 Limestone Belt 2017</t>
  </si>
  <si>
    <t>156014LGE</t>
  </si>
  <si>
    <t>TC2 SDRS SUMP PUMP-</t>
  </si>
  <si>
    <t>156024</t>
  </si>
  <si>
    <t>Press Kit Tool-LGE</t>
  </si>
  <si>
    <t>156025</t>
  </si>
  <si>
    <t>SPIR Middletown-Buckner</t>
  </si>
  <si>
    <t>156026</t>
  </si>
  <si>
    <t>Brown Hotel Vault</t>
  </si>
  <si>
    <t>156027</t>
  </si>
  <si>
    <t>ST L-O BLADES LGE</t>
  </si>
  <si>
    <t>156029</t>
  </si>
  <si>
    <t>MC Engineering Building HVAC</t>
  </si>
  <si>
    <t>156037</t>
  </si>
  <si>
    <t>TC1 GEN FIELD BLOCK REPLACE</t>
  </si>
  <si>
    <t>156052LGE</t>
  </si>
  <si>
    <t>LGE CENTER FURNITURE LGE</t>
  </si>
  <si>
    <t>156055</t>
  </si>
  <si>
    <t>MC LA Conveyor Belt 2017</t>
  </si>
  <si>
    <t>156056</t>
  </si>
  <si>
    <t>Wire Turret Trailer</t>
  </si>
  <si>
    <t>156060</t>
  </si>
  <si>
    <t>GS GenEng Electrical Test Set</t>
  </si>
  <si>
    <t>156077</t>
  </si>
  <si>
    <t>ESC QUIET ROOM - 2017</t>
  </si>
  <si>
    <t>156078</t>
  </si>
  <si>
    <t>MC 1B HSWP Motor 2017</t>
  </si>
  <si>
    <t>156098</t>
  </si>
  <si>
    <t>Trans Subs Test Equip LG&amp;E</t>
  </si>
  <si>
    <t>156108</t>
  </si>
  <si>
    <t>CCCW Motor Rewind</t>
  </si>
  <si>
    <t>156119</t>
  </si>
  <si>
    <t>Center Property Purchase</t>
  </si>
  <si>
    <t>156120LGE</t>
  </si>
  <si>
    <t>TC TURBINE OIL CONDITION UNIT-</t>
  </si>
  <si>
    <t>156130</t>
  </si>
  <si>
    <t>Sullair Air Compressor</t>
  </si>
  <si>
    <t>156131</t>
  </si>
  <si>
    <t>Blue Lick Control House Roof</t>
  </si>
  <si>
    <t>156134</t>
  </si>
  <si>
    <t>MC 1 &amp; 2 Inst. Air Tank 2017</t>
  </si>
  <si>
    <t>156136</t>
  </si>
  <si>
    <t>SO Exit Circuit Duct</t>
  </si>
  <si>
    <t>156140</t>
  </si>
  <si>
    <t>TC VEHICLES 2017</t>
  </si>
  <si>
    <t>156143</t>
  </si>
  <si>
    <t>TC1 MDBFP VOITH OH</t>
  </si>
  <si>
    <t>156146LGE</t>
  </si>
  <si>
    <t>TC AMMONIA LINE BARRICADE-</t>
  </si>
  <si>
    <t>156148LGE</t>
  </si>
  <si>
    <t>TC2 COAL FLOW ANALYZE PHII-</t>
  </si>
  <si>
    <t>156150LGE</t>
  </si>
  <si>
    <t>TC OIL STORAGE BUILDING-</t>
  </si>
  <si>
    <t>156170</t>
  </si>
  <si>
    <t>PCA Stewart 69kV C&amp;P Insul</t>
  </si>
  <si>
    <t>156172</t>
  </si>
  <si>
    <t>Overhead Doors - AOC</t>
  </si>
  <si>
    <t>156174</t>
  </si>
  <si>
    <t>SECURITY ID PRINTER - LGE</t>
  </si>
  <si>
    <t>156181</t>
  </si>
  <si>
    <t>PR13 H2 Purity Meter</t>
  </si>
  <si>
    <t>156187</t>
  </si>
  <si>
    <t>MC Vibration Analyzer 2017</t>
  </si>
  <si>
    <t>156189</t>
  </si>
  <si>
    <t>UTILITY VEHICLE - SSC 2017</t>
  </si>
  <si>
    <t>156195</t>
  </si>
  <si>
    <t>POR-Mud Lane (2) 69kV PT</t>
  </si>
  <si>
    <t>156200</t>
  </si>
  <si>
    <t>Burden/Ratio Test Set Aub 2017</t>
  </si>
  <si>
    <t>156205</t>
  </si>
  <si>
    <t>BOC BO Breakroom Reno</t>
  </si>
  <si>
    <t>156259</t>
  </si>
  <si>
    <t>GS CDM CIPV6 CR11</t>
  </si>
  <si>
    <t>156261</t>
  </si>
  <si>
    <t>Windstream OPGW Repl 3851</t>
  </si>
  <si>
    <t>156305</t>
  </si>
  <si>
    <t>MC Shop Hoist 2017</t>
  </si>
  <si>
    <t>156307</t>
  </si>
  <si>
    <t>MC Vehicle Maint Truck 2017</t>
  </si>
  <si>
    <t>156329</t>
  </si>
  <si>
    <t>MC Passenger Van 2017</t>
  </si>
  <si>
    <t>158LGE15</t>
  </si>
  <si>
    <t>FIM Replacement-LGE15</t>
  </si>
  <si>
    <t>158LGE16</t>
  </si>
  <si>
    <t>Tech Training Dashboards-LGE16</t>
  </si>
  <si>
    <t>159LGE16</t>
  </si>
  <si>
    <t>Cascade Impl Gen Relays-LGE16</t>
  </si>
  <si>
    <t>160001</t>
  </si>
  <si>
    <t>TC1 TURBINE PPR ON IP DIAPH</t>
  </si>
  <si>
    <t>160002</t>
  </si>
  <si>
    <t>TC1 TURBINE REPL HP INLET SR</t>
  </si>
  <si>
    <t>160003</t>
  </si>
  <si>
    <t>TC1 TURBINE RESEAL HP-IP &amp; LPS</t>
  </si>
  <si>
    <t>161001LGE</t>
  </si>
  <si>
    <t>TC2 TURBINE PREP COUPLINGS</t>
  </si>
  <si>
    <t>164LGE16</t>
  </si>
  <si>
    <t>Plant Mobile-Trimble-LGE16</t>
  </si>
  <si>
    <t>165LGE16</t>
  </si>
  <si>
    <t>Non-SCADA Load Data-LGE16</t>
  </si>
  <si>
    <t>166LGE16</t>
  </si>
  <si>
    <t>Tower Replace-LGE16</t>
  </si>
  <si>
    <t>178LGE15</t>
  </si>
  <si>
    <t>Upgrade Quest Server-LGE15</t>
  </si>
  <si>
    <t>202LGE15</t>
  </si>
  <si>
    <t>Trans OATT Billing Tool-LGE15</t>
  </si>
  <si>
    <t>203LGE16</t>
  </si>
  <si>
    <t>PS 9.2 Upgrade-LGE16</t>
  </si>
  <si>
    <t>204LGE16</t>
  </si>
  <si>
    <t>SAP CRM/ECC Upgr-LGE16</t>
  </si>
  <si>
    <t>262LGE14</t>
  </si>
  <si>
    <t>Redact-It Implement-LGE14</t>
  </si>
  <si>
    <t>400LGE16</t>
  </si>
  <si>
    <t>OTN Core Rings Y2/2 LOU-LGE15</t>
  </si>
  <si>
    <t>406000019</t>
  </si>
  <si>
    <t>NB AIKEN RD GAS MAIN</t>
  </si>
  <si>
    <t>406000020</t>
  </si>
  <si>
    <t>NB GRADE LN GAS EXTENSION</t>
  </si>
  <si>
    <t>419000003</t>
  </si>
  <si>
    <t>GAS REGULATOR EXCHANGES</t>
  </si>
  <si>
    <t>447000004</t>
  </si>
  <si>
    <t>Muldraugh Station Piping Repl</t>
  </si>
  <si>
    <t>448000002</t>
  </si>
  <si>
    <t>Hodgenville Distribution Upg</t>
  </si>
  <si>
    <t>448000003</t>
  </si>
  <si>
    <t>Center Distribution Upgrade</t>
  </si>
  <si>
    <t>448000006</t>
  </si>
  <si>
    <t>Mag Replace Orig CAT Generator</t>
  </si>
  <si>
    <t>448000009</t>
  </si>
  <si>
    <t>Canmer Distribution Upgrade</t>
  </si>
  <si>
    <t>448000010</t>
  </si>
  <si>
    <t>Buffalo Hodgenville Distr Upg</t>
  </si>
  <si>
    <t>719LGE15</t>
  </si>
  <si>
    <t>CTS Upload Automation-LGE15</t>
  </si>
  <si>
    <t>719LGE16</t>
  </si>
  <si>
    <t>PI Alarm Mgmt-LGE16</t>
  </si>
  <si>
    <t>720LGE16</t>
  </si>
  <si>
    <t>Mobile Dispatch Map-LGE16</t>
  </si>
  <si>
    <t>721LGE16</t>
  </si>
  <si>
    <t>Superna Eyeglass Lic-LGE16</t>
  </si>
  <si>
    <t>724LGE16</t>
  </si>
  <si>
    <t>PI Lic for Access Perm-LGE16</t>
  </si>
  <si>
    <t>725LGE16</t>
  </si>
  <si>
    <t>Veg Mgmt ROW Layer Dev-LGE16</t>
  </si>
  <si>
    <t>726LGE16</t>
  </si>
  <si>
    <t>DACS Software Upgrade-LGE16</t>
  </si>
  <si>
    <t>729LGE16</t>
  </si>
  <si>
    <t>Solar Share Program-LGE16</t>
  </si>
  <si>
    <t>730LGE16</t>
  </si>
  <si>
    <t>ABB Post Impl Enhance-LGE16</t>
  </si>
  <si>
    <t>734LGE16</t>
  </si>
  <si>
    <t>Cust Serv Training Tools-LGE16</t>
  </si>
  <si>
    <t>736LGE16</t>
  </si>
  <si>
    <t>Brown/Dix Campus Sonet-LGE16</t>
  </si>
  <si>
    <t>737LGE16</t>
  </si>
  <si>
    <t>BI SQL Upgrade-LGE16</t>
  </si>
  <si>
    <t>740LGE16</t>
  </si>
  <si>
    <t>Field Smart View Enhance-LGE16</t>
  </si>
  <si>
    <t>741LGE16</t>
  </si>
  <si>
    <t>Bluecoat Proxy Security-LGE16</t>
  </si>
  <si>
    <t>742LGE16</t>
  </si>
  <si>
    <t>Insight CM Expansion-LGE16</t>
  </si>
  <si>
    <t>743LGE16</t>
  </si>
  <si>
    <t>PMO Plotters-LGE16</t>
  </si>
  <si>
    <t>744LGE16</t>
  </si>
  <si>
    <t>Reader Boards-LGE16</t>
  </si>
  <si>
    <t>747LGE16</t>
  </si>
  <si>
    <t>TRAC Enhancements-LGE16</t>
  </si>
  <si>
    <t>750LGE16</t>
  </si>
  <si>
    <t>AMS SAP Hardware-LGE16</t>
  </si>
  <si>
    <t>753LGE16</t>
  </si>
  <si>
    <t>GPS Gate Licenses-LGE16</t>
  </si>
  <si>
    <t>AMR414</t>
  </si>
  <si>
    <t>ALDYL-A MAIN REPLACEMENT</t>
  </si>
  <si>
    <t>CCAPAC451</t>
  </si>
  <si>
    <t>GAS REG CAPACITY PRO</t>
  </si>
  <si>
    <t>CCAPR340</t>
  </si>
  <si>
    <t>Capital CAP/REG/RECL - 003400</t>
  </si>
  <si>
    <t>CCAPR429</t>
  </si>
  <si>
    <t>Gas Regulators Blanket</t>
  </si>
  <si>
    <t>CCGUPG451</t>
  </si>
  <si>
    <t>UPGR FACIL CG STATION 2017</t>
  </si>
  <si>
    <t>CCOCNT451</t>
  </si>
  <si>
    <t>RET/REPL CONTR CG STA 2017</t>
  </si>
  <si>
    <t>CCPIMP445</t>
  </si>
  <si>
    <t>CP IMPRESSED CUR SYS IMPROVE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</si>
  <si>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</si>
  <si>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</si>
  <si>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</si>
  <si>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</si>
  <si>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</si>
  <si>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</si>
  <si>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CDEFEQ447</t>
  </si>
  <si>
    <t>MULDR FAC IMP/EQ REPLACE</t>
  </si>
  <si>
    <t>CDEFEQ448</t>
  </si>
  <si>
    <t>MAG FAC IMP/EQ REPL</t>
  </si>
  <si>
    <t>CEBREG451</t>
  </si>
  <si>
    <t>PURCHASE REGULATORS EXIST CUST</t>
  </si>
  <si>
    <t>CEMTR134</t>
  </si>
  <si>
    <t>LGE Electric Meters - 001340</t>
  </si>
  <si>
    <t>CFTCUS450</t>
  </si>
  <si>
    <t>FT CUSTOMER CONVERSIONS</t>
  </si>
  <si>
    <t>CGME406</t>
  </si>
  <si>
    <t>NB Gas Main Ext - 004060</t>
  </si>
  <si>
    <t>CGMTR134</t>
  </si>
  <si>
    <t>LGE Gas Meters - 001340</t>
  </si>
  <si>
    <t>CHPSRV451</t>
  </si>
  <si>
    <t>COMM HIGH PRES GAS SRV UPGR 17</t>
  </si>
  <si>
    <t>CLM030117</t>
  </si>
  <si>
    <t>LGE MAJOR STORM CAPITAL 030117</t>
  </si>
  <si>
    <t>CLM042817</t>
  </si>
  <si>
    <t>LGE MAJOR STORM CAPITAL 042817</t>
  </si>
  <si>
    <t>CNBCD340O</t>
  </si>
  <si>
    <t>NB Comm OH - 003400</t>
  </si>
  <si>
    <t>CNBCD340U</t>
  </si>
  <si>
    <t>NB Comm UG - 003400</t>
  </si>
  <si>
    <t>CNBCS419</t>
  </si>
  <si>
    <t>NB CUST SRV LINE &amp; GAS RISER</t>
  </si>
  <si>
    <t>CNBCS421</t>
  </si>
  <si>
    <t>NB INST CUST SERV LINE &amp; RSR</t>
  </si>
  <si>
    <t>CNBCS4485</t>
  </si>
  <si>
    <t>INST CUST SRV - MAGNOLIA</t>
  </si>
  <si>
    <t>CNBGS419</t>
  </si>
  <si>
    <t>NB Gas Services - 004190</t>
  </si>
  <si>
    <t>CNBGS421</t>
  </si>
  <si>
    <t>NB Gas Services - 004210</t>
  </si>
  <si>
    <t>CNBRD340O</t>
  </si>
  <si>
    <t>NB Resid OH - 003400</t>
  </si>
  <si>
    <t>CNBRD340U</t>
  </si>
  <si>
    <t>NB Resid UG - 003400</t>
  </si>
  <si>
    <t>CNBRD341U</t>
  </si>
  <si>
    <t>NB Resid UG - 003410</t>
  </si>
  <si>
    <t>CNBREG451</t>
  </si>
  <si>
    <t>PURCH REGULATORS - 004510</t>
  </si>
  <si>
    <t>CNBSV340O</t>
  </si>
  <si>
    <t>NB Elect Serv OH - 003400</t>
  </si>
  <si>
    <t>CNBSV340U</t>
  </si>
  <si>
    <t>NB Elect Serv UG - 003400</t>
  </si>
  <si>
    <t>CNBVLT343</t>
  </si>
  <si>
    <t>NB Network Vaults - 003430</t>
  </si>
  <si>
    <t>CPBWK340</t>
  </si>
  <si>
    <t>El Public Works - 003400</t>
  </si>
  <si>
    <t>CPBWK406G</t>
  </si>
  <si>
    <t>Gas Public Works - 004060</t>
  </si>
  <si>
    <t>CPLUG4475</t>
  </si>
  <si>
    <t>PLUG GAS STOR WELLS COR CASE</t>
  </si>
  <si>
    <t>CRCST340</t>
  </si>
  <si>
    <t>Cust Requested - 003400</t>
  </si>
  <si>
    <t>CRCST406G</t>
  </si>
  <si>
    <t>Cust Requested - 004060</t>
  </si>
  <si>
    <t>CRDCBL340</t>
  </si>
  <si>
    <t>Repl Defective Cable - 003400</t>
  </si>
  <si>
    <t>CRDD340O</t>
  </si>
  <si>
    <t>Capital Rep Def OH - 003400</t>
  </si>
  <si>
    <t>CRDD340U</t>
  </si>
  <si>
    <t>Capital Rep Def UG - 003400</t>
  </si>
  <si>
    <t>CREGFC451</t>
  </si>
  <si>
    <t>GAS REG FAC UPGRADE BLKT 2017</t>
  </si>
  <si>
    <t>CRELD340</t>
  </si>
  <si>
    <t>Capital Reliability - 003400</t>
  </si>
  <si>
    <t>CROTAR451</t>
  </si>
  <si>
    <t>UPRG OBSOL ROTARY METERS</t>
  </si>
  <si>
    <t>CRPOLE340</t>
  </si>
  <si>
    <t>Pole Repair/Replace - 003400</t>
  </si>
  <si>
    <t>CRSTLT332</t>
  </si>
  <si>
    <t>Repair Street Lights - 003320</t>
  </si>
  <si>
    <t>CSTATN447</t>
  </si>
  <si>
    <t>MULD STATION BLKT</t>
  </si>
  <si>
    <t>CSTATN448</t>
  </si>
  <si>
    <t>MAGNOLIA STATION BLKT</t>
  </si>
  <si>
    <t>CSTLT332</t>
  </si>
  <si>
    <t>NB Street Lights - 003320</t>
  </si>
  <si>
    <t>CSTOR447</t>
  </si>
  <si>
    <t>MULD STOR FIELD/TRANS BLKT</t>
  </si>
  <si>
    <t>CSTOR448</t>
  </si>
  <si>
    <t>MAG STOR FIELD/TRANS BLKT</t>
  </si>
  <si>
    <t>CSTRM323</t>
  </si>
  <si>
    <t>Cap Minor Storms - 003230</t>
  </si>
  <si>
    <t>CSYSEN340</t>
  </si>
  <si>
    <t>Sys Enh - 003400</t>
  </si>
  <si>
    <t>CSYSEN406</t>
  </si>
  <si>
    <t>Sys Enh - 004060</t>
  </si>
  <si>
    <t>CTBRD340O</t>
  </si>
  <si>
    <t>Cap Trouble Orders OH - 003400</t>
  </si>
  <si>
    <t>CTBRD340U</t>
  </si>
  <si>
    <t>Cap Trouble Orders UG - 003400</t>
  </si>
  <si>
    <t>CTBRD419</t>
  </si>
  <si>
    <t>Cap Trbl Orders Gas - 004190</t>
  </si>
  <si>
    <t>CTPD340</t>
  </si>
  <si>
    <t>Capital Thrd Party - 003400</t>
  </si>
  <si>
    <t>CTPD419</t>
  </si>
  <si>
    <t>Capital Thrd Party - 004190</t>
  </si>
  <si>
    <t>CVLT343</t>
  </si>
  <si>
    <t>Capital Network Vlts - 003430</t>
  </si>
  <si>
    <t>CXFRM311</t>
  </si>
  <si>
    <t>LGE Line Transformers</t>
  </si>
  <si>
    <t>CXFRM340</t>
  </si>
  <si>
    <t>NB Transformers - 003400</t>
  </si>
  <si>
    <t>DLSMR414</t>
  </si>
  <si>
    <t>DWNTWN LRG SCALE MAIN</t>
  </si>
  <si>
    <t>FAC00000L</t>
  </si>
  <si>
    <t>SIMP NEW PARKING LGE</t>
  </si>
  <si>
    <t>GASRSR414</t>
  </si>
  <si>
    <t>GAS SERVICE RISER REPL &amp; CSO</t>
  </si>
  <si>
    <t>IT0001L</t>
  </si>
  <si>
    <t>ABB Upgrade-LGE17</t>
  </si>
  <si>
    <t>IT0002L</t>
  </si>
  <si>
    <t>Access Switch Rotation-LGE17</t>
  </si>
  <si>
    <t>IT0004L</t>
  </si>
  <si>
    <t>Analog Sunset-LGE17</t>
  </si>
  <si>
    <t>IT0006L</t>
  </si>
  <si>
    <t>Aspect Workfor Sched App-LGE17</t>
  </si>
  <si>
    <t>IT0007L</t>
  </si>
  <si>
    <t>Backup Cap Exp-LGE17</t>
  </si>
  <si>
    <t>IT0008L</t>
  </si>
  <si>
    <t>Bulk Power &amp; Env Sys-LGE17</t>
  </si>
  <si>
    <t>IT0008LGE</t>
  </si>
  <si>
    <t>Bulk Power Env Sys-LGE Direct</t>
  </si>
  <si>
    <t>IT0009L</t>
  </si>
  <si>
    <t>Cabling for Server Conn-LGE17</t>
  </si>
  <si>
    <t>IT0010L</t>
  </si>
  <si>
    <t>Call Recording Minor Upg-LGE17</t>
  </si>
  <si>
    <t>IT0012L</t>
  </si>
  <si>
    <t>Centrify Licensing-LGE17</t>
  </si>
  <si>
    <t>IT0013L</t>
  </si>
  <si>
    <t>CERUS IV-LGE17</t>
  </si>
  <si>
    <t>IT0015L</t>
  </si>
  <si>
    <t>CIP Compliance Tools Yr7-LGE17</t>
  </si>
  <si>
    <t>IT0017L</t>
  </si>
  <si>
    <t>Commun Solar Implem-LGE17-18</t>
  </si>
  <si>
    <t>IT0018L</t>
  </si>
  <si>
    <t>CIP Compliance Infr Yr7-LGE17</t>
  </si>
  <si>
    <t>IT0019L</t>
  </si>
  <si>
    <t>Computer HW for LOB's-LGE17</t>
  </si>
  <si>
    <t>IT0020L</t>
  </si>
  <si>
    <t>Core Network Infrast-LGE17</t>
  </si>
  <si>
    <t>IT0021L</t>
  </si>
  <si>
    <t>Corp Web Redesign Upgr-LGE17</t>
  </si>
  <si>
    <t>IT0026L</t>
  </si>
  <si>
    <t>Data Protection-LGE17-18</t>
  </si>
  <si>
    <t>IT0027L</t>
  </si>
  <si>
    <t>Domain Cntrls ICCP-LGE17</t>
  </si>
  <si>
    <t>IT0030L</t>
  </si>
  <si>
    <t>EMS CIP-LGE17</t>
  </si>
  <si>
    <t>IT0033L</t>
  </si>
  <si>
    <t>Enterprise Strg Sys Refr-LGE17</t>
  </si>
  <si>
    <t>IT0035L</t>
  </si>
  <si>
    <t>FieldNet SoftwareUpgr-LGE17</t>
  </si>
  <si>
    <t>IT0040CG</t>
  </si>
  <si>
    <t>Gas Survey Map Website-LGE17</t>
  </si>
  <si>
    <t>IT0042L</t>
  </si>
  <si>
    <t>GIS BI Reporting-LGE17</t>
  </si>
  <si>
    <t>IT0044L</t>
  </si>
  <si>
    <t>Impedance App-LGE17</t>
  </si>
  <si>
    <t>IT0045L</t>
  </si>
  <si>
    <t>Intrusion Prevention-LGE17-18</t>
  </si>
  <si>
    <t>IT0048L</t>
  </si>
  <si>
    <t>IT Security CIP Lab Enhn-LGE17</t>
  </si>
  <si>
    <t>IT0051L</t>
  </si>
  <si>
    <t>Louisville Elect Upgrds-LGE17</t>
  </si>
  <si>
    <t>IT0052L</t>
  </si>
  <si>
    <t>Louisville Racks/Furn-LGE17</t>
  </si>
  <si>
    <t>IT0054L</t>
  </si>
  <si>
    <t>Microsoft EA-LGE17</t>
  </si>
  <si>
    <t>IT0055L</t>
  </si>
  <si>
    <t>Microsoft Lic True-up-LGE17</t>
  </si>
  <si>
    <t>IT0057L</t>
  </si>
  <si>
    <t>Mob 5500 Netscale HW Ref-LGE16</t>
  </si>
  <si>
    <t>IT0061L</t>
  </si>
  <si>
    <t>Mobile Radio-LGE17</t>
  </si>
  <si>
    <t>IT0062L</t>
  </si>
  <si>
    <t>Monitor Replacement-LGE17</t>
  </si>
  <si>
    <t>IT0064L</t>
  </si>
  <si>
    <t>Multi-Func Devices Refr-LGE17</t>
  </si>
  <si>
    <t>IT0065L</t>
  </si>
  <si>
    <t>NAS Capacity Expansion-LGE17</t>
  </si>
  <si>
    <t>IT0066L</t>
  </si>
  <si>
    <t>NEC MW Rad Encrypt Card-LGE17</t>
  </si>
  <si>
    <t>IT0067L</t>
  </si>
  <si>
    <t>Network Access Dev-LGE17</t>
  </si>
  <si>
    <t>IT0067LGE</t>
  </si>
  <si>
    <t>Network Access DevLGE17 Direc</t>
  </si>
  <si>
    <t>IT0068L</t>
  </si>
  <si>
    <t>Network Acc Gatwy-LGE17</t>
  </si>
  <si>
    <t>IT0069L</t>
  </si>
  <si>
    <t>Network Management-LGE17</t>
  </si>
  <si>
    <t>IT0070L</t>
  </si>
  <si>
    <t>Network Mgmt Tech Ref-LGE17</t>
  </si>
  <si>
    <t>IT0071L</t>
  </si>
  <si>
    <t>Network Test Equip-LGE17</t>
  </si>
  <si>
    <t>IT0075L</t>
  </si>
  <si>
    <t>OpenText Transmission-LGE17-18</t>
  </si>
  <si>
    <t>IT0077L</t>
  </si>
  <si>
    <t>Oracle NMS Upgrade-LGE17</t>
  </si>
  <si>
    <t>IT0078L</t>
  </si>
  <si>
    <t>OTN DWDM Repl (Encrypt)-LGE17</t>
  </si>
  <si>
    <t>IT0079L</t>
  </si>
  <si>
    <t>Outside Cable Plant-LGE17</t>
  </si>
  <si>
    <t>IT0083L</t>
  </si>
  <si>
    <t>Primavera to PowerPlan-LGE17</t>
  </si>
  <si>
    <t>IT0086L</t>
  </si>
  <si>
    <t>Repl Oper Workstations-LGE17</t>
  </si>
  <si>
    <t>IT0087L</t>
  </si>
  <si>
    <t>Repl RDUs at BOC-LGE17</t>
  </si>
  <si>
    <t>IT0089L</t>
  </si>
  <si>
    <t>Rev Collections Impl-LGE17</t>
  </si>
  <si>
    <t>IT0090L</t>
  </si>
  <si>
    <t>Rplce EMS Workstations-LGE17</t>
  </si>
  <si>
    <t>IT0092L</t>
  </si>
  <si>
    <t>Sec Infra Enhance-LGE17</t>
  </si>
  <si>
    <t>IT0093L</t>
  </si>
  <si>
    <t>Server Capacity Exp-LGE17</t>
  </si>
  <si>
    <t>IT0094L</t>
  </si>
  <si>
    <t>Server Hardware Refr-LGE17</t>
  </si>
  <si>
    <t>IT0096L</t>
  </si>
  <si>
    <t>LogRhythm (CIP)-LGE17</t>
  </si>
  <si>
    <t>IT0097L</t>
  </si>
  <si>
    <t>LogRhythm (Corp)-LGE17</t>
  </si>
  <si>
    <t>IT0098L</t>
  </si>
  <si>
    <t>Simpsonville Elect Upgr-LGE17</t>
  </si>
  <si>
    <t>IT0099L</t>
  </si>
  <si>
    <t>Simpsonville Furn/Racks-LGE17</t>
  </si>
  <si>
    <t>IT0100L</t>
  </si>
  <si>
    <t>Site Security Improve-LGE17</t>
  </si>
  <si>
    <t>IT0101L</t>
  </si>
  <si>
    <t>Smallworld GIS Upgr-LGE17-19</t>
  </si>
  <si>
    <t>IT0103L</t>
  </si>
  <si>
    <t>Sys Lab software replace-LGE16</t>
  </si>
  <si>
    <t>IT0104L</t>
  </si>
  <si>
    <t>Sys Mgmt-SCOM-LGE17</t>
  </si>
  <si>
    <t>IT0105L</t>
  </si>
  <si>
    <t>Tech Refesh desk/lap-LGE17</t>
  </si>
  <si>
    <t>IT0108L</t>
  </si>
  <si>
    <t>TOA Phase 4-LGE17</t>
  </si>
  <si>
    <t>IT0110L</t>
  </si>
  <si>
    <t>Trans Cascade-Oracle-LGE17</t>
  </si>
  <si>
    <t>IT0111L</t>
  </si>
  <si>
    <t>Trans Vegetation Mgt-LGE17-18</t>
  </si>
  <si>
    <t>IT0112L</t>
  </si>
  <si>
    <t>Trans Map Land Use-LGE17</t>
  </si>
  <si>
    <t>IT0114L</t>
  </si>
  <si>
    <t>TRMS Upgrade-LGE17</t>
  </si>
  <si>
    <t>IT0115L</t>
  </si>
  <si>
    <t>TRODS-LGE17</t>
  </si>
  <si>
    <t>IT0118L</t>
  </si>
  <si>
    <t>UC&amp;C/CUCM Upgrades-LGE17</t>
  </si>
  <si>
    <t>IT0119L</t>
  </si>
  <si>
    <t>Upgrade Vmware Infra-LGE17</t>
  </si>
  <si>
    <t>IT0120L</t>
  </si>
  <si>
    <t>Upgrade EMS HW-LGE17</t>
  </si>
  <si>
    <t>IT0121L</t>
  </si>
  <si>
    <t>Phone Expansion-LGE17</t>
  </si>
  <si>
    <t>IT0122L</t>
  </si>
  <si>
    <t>Windows 10 Upgrade-LGE17</t>
  </si>
  <si>
    <t>IT0123L</t>
  </si>
  <si>
    <t>Wireless Buildout-LGE17</t>
  </si>
  <si>
    <t>IT0128L</t>
  </si>
  <si>
    <t>App Security Enhance-LGE17</t>
  </si>
  <si>
    <t>IT0131L</t>
  </si>
  <si>
    <t>SAP Regression Test Auto-LGE17</t>
  </si>
  <si>
    <t>IT0132L</t>
  </si>
  <si>
    <t>EMS Channel Cap Expan-LGE17</t>
  </si>
  <si>
    <t>IT0133L</t>
  </si>
  <si>
    <t>CA API Mgmt Gateways-LGE17</t>
  </si>
  <si>
    <t>IT0134L</t>
  </si>
  <si>
    <t>CTS 5 Min Enhance Proj-LGE17</t>
  </si>
  <si>
    <t>IT0135L</t>
  </si>
  <si>
    <t>Strategic Sourcing-LGE17</t>
  </si>
  <si>
    <t>IT0136L</t>
  </si>
  <si>
    <t>Electric Modeling Softw-LGE17</t>
  </si>
  <si>
    <t>IT0137L</t>
  </si>
  <si>
    <t>nMkt MISO Glob Prm UPgd-LGE17</t>
  </si>
  <si>
    <t>IT0138L</t>
  </si>
  <si>
    <t>HP Apl Lifcyc Mgmt Upgrd-LGE17</t>
  </si>
  <si>
    <t>IT0139L</t>
  </si>
  <si>
    <t>Main Schedulin Tool-LGE17</t>
  </si>
  <si>
    <t>IT0142L</t>
  </si>
  <si>
    <t>Oracle NMS Enhance-LGE17</t>
  </si>
  <si>
    <t>IT0143L</t>
  </si>
  <si>
    <t>Aspect Perf Mgmt Module-LGE17</t>
  </si>
  <si>
    <t>IT0144L</t>
  </si>
  <si>
    <t>Avaya Call Back Lic-LGE17</t>
  </si>
  <si>
    <t>IT0145L</t>
  </si>
  <si>
    <t>Monitor Proj Mgmt Packs-LGE17</t>
  </si>
  <si>
    <t>IT0146L</t>
  </si>
  <si>
    <t>RecoverPoint Refresh-LGE17</t>
  </si>
  <si>
    <t>IT0147L</t>
  </si>
  <si>
    <t>CoreLogic Parcel GIS-LGE17</t>
  </si>
  <si>
    <t>IT0148L</t>
  </si>
  <si>
    <t>Antivirus Replacement-LGE17</t>
  </si>
  <si>
    <t>IT014OL</t>
  </si>
  <si>
    <t>Citrix WAF Implement-LGE17</t>
  </si>
  <si>
    <t>IT0151L</t>
  </si>
  <si>
    <t>PS Benefits Enhancements-LGE17</t>
  </si>
  <si>
    <t>IT0153L</t>
  </si>
  <si>
    <t>MR Hardware-LGE17</t>
  </si>
  <si>
    <t>IT0154L</t>
  </si>
  <si>
    <t>PE Sharepoint App-LGE17</t>
  </si>
  <si>
    <t>IT0155L</t>
  </si>
  <si>
    <t>Cust Serv Rept&amp;Analytics-LGE17</t>
  </si>
  <si>
    <t>IT0162L</t>
  </si>
  <si>
    <t>Well Shadow-LGE17</t>
  </si>
  <si>
    <t>IT0163L</t>
  </si>
  <si>
    <t>My Account - Respnsv Des-LGE17</t>
  </si>
  <si>
    <t>IT0164L</t>
  </si>
  <si>
    <t>Telephony Enhancements-LGE17</t>
  </si>
  <si>
    <t>IT0165L</t>
  </si>
  <si>
    <t>Trans Lines Map-Enhance-LGE17</t>
  </si>
  <si>
    <t>IT0166L</t>
  </si>
  <si>
    <t>EMS Telecom Spare System-LGE17</t>
  </si>
  <si>
    <t>IT0168L</t>
  </si>
  <si>
    <t>Hyper-Converged Infras-LGE17</t>
  </si>
  <si>
    <t>IT0169L</t>
  </si>
  <si>
    <t>iPad Refresh Project-LGE17</t>
  </si>
  <si>
    <t>IT0170L</t>
  </si>
  <si>
    <t>Sec Metrics Automation-LGE17</t>
  </si>
  <si>
    <t>IT0171L</t>
  </si>
  <si>
    <t>LOB Quest Initiatives-LGE17</t>
  </si>
  <si>
    <t>IT0172L</t>
  </si>
  <si>
    <t>Dist Automation FSV Enh-LGE17</t>
  </si>
  <si>
    <t>IT0173L</t>
  </si>
  <si>
    <t>Wirless Cont Tech Rfrsh-LGE17</t>
  </si>
  <si>
    <t>IT0174L</t>
  </si>
  <si>
    <t>Wireless Access Points-LGE17</t>
  </si>
  <si>
    <t>IT0175L</t>
  </si>
  <si>
    <t>Nexus Chassis DataNtwrks-LGE17</t>
  </si>
  <si>
    <t>IT0176L</t>
  </si>
  <si>
    <t>Modules Core Switches-LGE17</t>
  </si>
  <si>
    <t>IT0177L</t>
  </si>
  <si>
    <t>Logical Access-LGE17</t>
  </si>
  <si>
    <t>IT0178L</t>
  </si>
  <si>
    <t>InSITE Lic- Inspect mods-LGE17</t>
  </si>
  <si>
    <t>IT0179L</t>
  </si>
  <si>
    <t>MATLAB Toolboxes-LGE17</t>
  </si>
  <si>
    <t>IT0180L</t>
  </si>
  <si>
    <t>Oracle iProcurement Lic-LGE17</t>
  </si>
  <si>
    <t>IT0181L</t>
  </si>
  <si>
    <t>AGENT-LGE17</t>
  </si>
  <si>
    <t>IT0182L</t>
  </si>
  <si>
    <t>Dist Cust Status Portal-LGE17</t>
  </si>
  <si>
    <t>IT0184L</t>
  </si>
  <si>
    <t>ER Studio-LGE17</t>
  </si>
  <si>
    <t>IT0185L</t>
  </si>
  <si>
    <t>MFD Grwth Refr 16-LGE</t>
  </si>
  <si>
    <t>IT0186L</t>
  </si>
  <si>
    <t>Data Center Firewalls-LGE</t>
  </si>
  <si>
    <t>IT0187L</t>
  </si>
  <si>
    <t>SAP Licenses-LGE17</t>
  </si>
  <si>
    <t>IT0224L</t>
  </si>
  <si>
    <t>Exchange 20xx Upgrade-LGE18</t>
  </si>
  <si>
    <t>IT0269L</t>
  </si>
  <si>
    <t>Rev Collec (Transcentra)-LGE17</t>
  </si>
  <si>
    <t>IT0300L</t>
  </si>
  <si>
    <t>WMS Upgrade-LGE18-19</t>
  </si>
  <si>
    <t>IT0312L</t>
  </si>
  <si>
    <t>CyberArk Password Vault-LGE18</t>
  </si>
  <si>
    <t>IT0316L</t>
  </si>
  <si>
    <t>PI Upgrade-LGE18</t>
  </si>
  <si>
    <t>IT0336CG</t>
  </si>
  <si>
    <t>GITT Plastic Services-LGE17/18</t>
  </si>
  <si>
    <t>IT0341L</t>
  </si>
  <si>
    <t>FieldSmart View Replace-LGE18</t>
  </si>
  <si>
    <t>IT0346L</t>
  </si>
  <si>
    <t>Cherwell Implementation-LGE18</t>
  </si>
  <si>
    <t>L5-2013</t>
  </si>
  <si>
    <t>RELOCATION T-LINES</t>
  </si>
  <si>
    <t>L5-2015</t>
  </si>
  <si>
    <t>RELOCATION T-LINES LG&amp;E 2015</t>
  </si>
  <si>
    <t>L5-2016</t>
  </si>
  <si>
    <t>RELOCATIONS T-LINES LG&amp;E 2016</t>
  </si>
  <si>
    <t>L8-2017</t>
  </si>
  <si>
    <t>Storm Damage T-Line LGE 2017</t>
  </si>
  <si>
    <t>L9-14</t>
  </si>
  <si>
    <t>PRIORITY REPL T-LINES LGE 2014</t>
  </si>
  <si>
    <t>L9-2015</t>
  </si>
  <si>
    <t>PRIORITY REPL T-LINES LGE 2015</t>
  </si>
  <si>
    <t>L9-2016</t>
  </si>
  <si>
    <t>PRIORITY REPL T-LINES LGE 2016</t>
  </si>
  <si>
    <t>L9-2017</t>
  </si>
  <si>
    <t>Priority Repl T-Lines LGE 2017</t>
  </si>
  <si>
    <t>L9-2018</t>
  </si>
  <si>
    <t>Priority Repl T-Lines LGE 2018</t>
  </si>
  <si>
    <t>LARM-2017</t>
  </si>
  <si>
    <t>Priority Repl X-Arms LGE 2017</t>
  </si>
  <si>
    <t>LARREST17</t>
  </si>
  <si>
    <t>LGE Arrester Replacements 2017</t>
  </si>
  <si>
    <t>LBRFAIL14</t>
  </si>
  <si>
    <t>LGE-Brkr Fail-2014</t>
  </si>
  <si>
    <t>LI-000108</t>
  </si>
  <si>
    <t>LaGrange Road Relo</t>
  </si>
  <si>
    <t>LINS-2016</t>
  </si>
  <si>
    <t>Priority Repl Insltrs LGE 2016</t>
  </si>
  <si>
    <t>LINS-2017</t>
  </si>
  <si>
    <t>Priority Repl Insltrs LGE 2017</t>
  </si>
  <si>
    <t>LOTFAIL16</t>
  </si>
  <si>
    <t>LGE-OtherFail-2016</t>
  </si>
  <si>
    <t>LOTFAIL17</t>
  </si>
  <si>
    <t>LGE-OtherFail-2017</t>
  </si>
  <si>
    <t>LOTH-2016</t>
  </si>
  <si>
    <t>Priority Repl Other LGE 2016</t>
  </si>
  <si>
    <t>LOTH-2017</t>
  </si>
  <si>
    <t>Priority Repl Other LGE 2017</t>
  </si>
  <si>
    <t>L-OTHER14</t>
  </si>
  <si>
    <t>LGE-Other-2014</t>
  </si>
  <si>
    <t>L-OTHER15</t>
  </si>
  <si>
    <t>LGE-Other-2015</t>
  </si>
  <si>
    <t>LOTPR17</t>
  </si>
  <si>
    <t>LG&amp;E Other Prot Blanket 2017</t>
  </si>
  <si>
    <t>LRELAY-14</t>
  </si>
  <si>
    <t>Relay Replacements-LG&amp;E-2014</t>
  </si>
  <si>
    <t>LRELAY-17</t>
  </si>
  <si>
    <t>Relay Replacements-LG&amp;E-2017</t>
  </si>
  <si>
    <t>LREL-FL14</t>
  </si>
  <si>
    <t>LG&amp;E Relay Failures-2014</t>
  </si>
  <si>
    <t>LREL-FL16</t>
  </si>
  <si>
    <t>LG&amp;E Relay Failures-2016</t>
  </si>
  <si>
    <t>LREL-FL17</t>
  </si>
  <si>
    <t>LG&amp;E Relay Failures-2017</t>
  </si>
  <si>
    <t>LRTU-17</t>
  </si>
  <si>
    <t>LGE RTU Replacements-17</t>
  </si>
  <si>
    <t>LSMR414</t>
  </si>
  <si>
    <t>Large Scale Main Replacements</t>
  </si>
  <si>
    <t>LTFFAIL16</t>
  </si>
  <si>
    <t>LGE-Xfrmr Fail-2016</t>
  </si>
  <si>
    <t>PMR414</t>
  </si>
  <si>
    <t>Priority Main Replacement</t>
  </si>
  <si>
    <t>RRCS419G</t>
  </si>
  <si>
    <t>REP CO GAS SERV 419</t>
  </si>
  <si>
    <t>RRCS421</t>
  </si>
  <si>
    <t>Serv Line Repl-Muldraugh</t>
  </si>
  <si>
    <t>SU-000005</t>
  </si>
  <si>
    <t>PBR-Hurstbrn 1 138kV BKR Rpl</t>
  </si>
  <si>
    <t>SU-000007</t>
  </si>
  <si>
    <t>PBR-Watterson (3) 138kV BKRRpl</t>
  </si>
  <si>
    <t>SU-000008</t>
  </si>
  <si>
    <t>PBR-Aiken(1) 69kV BKR Rpl</t>
  </si>
  <si>
    <t>SU-000049</t>
  </si>
  <si>
    <t>PBR-Kenwood(3) 69kV BKR</t>
  </si>
  <si>
    <t>SU-000078</t>
  </si>
  <si>
    <t>PRLY-Algonquin-Magzn (6646)</t>
  </si>
  <si>
    <t>SU-000161</t>
  </si>
  <si>
    <t>PRTU CENTERFIELD</t>
  </si>
  <si>
    <t>SU-000262</t>
  </si>
  <si>
    <t>PBR-Ashbottom (4) 138kV BKR</t>
  </si>
  <si>
    <t>SU-000263</t>
  </si>
  <si>
    <t>PIN-Breckenridge 69KV+</t>
  </si>
  <si>
    <t>SU-000264</t>
  </si>
  <si>
    <t>PIN-Ethel 69kV+</t>
  </si>
  <si>
    <t>SU-000267</t>
  </si>
  <si>
    <t>TEP-Skylight 69kV Capacitor</t>
  </si>
  <si>
    <t>TLR414</t>
  </si>
  <si>
    <t>TRANSMISSION LINE REPLACE</t>
  </si>
  <si>
    <t>TMPPENBLN</t>
  </si>
  <si>
    <t>TMP PENILE-BLANTON LN</t>
  </si>
  <si>
    <t>TMPPENPRS</t>
  </si>
  <si>
    <t>TMP PENILE-PRESTON</t>
  </si>
  <si>
    <t>TMPPROP1</t>
  </si>
  <si>
    <t>TMP PROPERTY PENILE-BLANTON</t>
  </si>
  <si>
    <t>TMPPRSPIC</t>
  </si>
  <si>
    <t>TMP PRESTON-PICCADILLY</t>
  </si>
  <si>
    <t>RECONCILIATION OF SUMMARY OF UTILITY PLANT TO INCOME STATEMENT DEPRECIATION AND AMORTIZATION - REGULATORY ACCOUNTING</t>
  </si>
  <si>
    <t>YTD</t>
  </si>
  <si>
    <t>IS Neutrality</t>
  </si>
  <si>
    <t>Locomotives</t>
  </si>
  <si>
    <t>Railcar</t>
  </si>
  <si>
    <t>Gas Pipeline</t>
  </si>
  <si>
    <t>Transportation</t>
  </si>
  <si>
    <t>Anniversary RV</t>
  </si>
  <si>
    <t>Future Use Dist Dr</t>
  </si>
  <si>
    <t>Acct - 254</t>
  </si>
  <si>
    <t>ARO Child Depr.</t>
  </si>
  <si>
    <t>Acct - 151060</t>
  </si>
  <si>
    <t>Acct - 151061</t>
  </si>
  <si>
    <t>Acct - 184315</t>
  </si>
  <si>
    <t>Acct - 421005</t>
  </si>
  <si>
    <t>Acct - 421201</t>
  </si>
  <si>
    <t>End Balance</t>
  </si>
  <si>
    <t>DEPRECIATION</t>
  </si>
  <si>
    <t>Total Common</t>
  </si>
  <si>
    <t>ELECTRIC</t>
  </si>
  <si>
    <t>Total Electric</t>
  </si>
  <si>
    <t>Total Gas</t>
  </si>
  <si>
    <t>Total Reserves</t>
  </si>
  <si>
    <t>TOTAL ACCRUAL &amp; AMORTIZATION</t>
  </si>
  <si>
    <t>Reconciliation to Income Statement - Amortization Expense</t>
  </si>
  <si>
    <t>Reconciliation to Income Statement</t>
  </si>
  <si>
    <t>Electric Rev &amp; Exp:</t>
  </si>
  <si>
    <t>Amort YTD</t>
  </si>
  <si>
    <t>Depreciation YTD</t>
  </si>
  <si>
    <t>ARO Depreciation</t>
  </si>
  <si>
    <t>Per Above Reserve listing:</t>
  </si>
  <si>
    <t>Common Alloc (69%)</t>
  </si>
  <si>
    <t xml:space="preserve">  ECR Depr - Comm</t>
  </si>
  <si>
    <t>Variance;</t>
  </si>
  <si>
    <t xml:space="preserve">   Common Alloc</t>
  </si>
  <si>
    <t>Gas Rev &amp; Exp:</t>
  </si>
  <si>
    <t>Total Gas:</t>
  </si>
  <si>
    <t>Common Alloc (31%)</t>
  </si>
  <si>
    <t>TOTAL COMPANY PLANT IN SERVICE - COMMON - NBV -REGULATORY ACCOUNTING</t>
  </si>
  <si>
    <t>Total Plant in Service</t>
  </si>
  <si>
    <t>KENTUCKY &amp; INDIANA</t>
  </si>
  <si>
    <t>Reserve</t>
  </si>
  <si>
    <t>Net Book Value</t>
  </si>
  <si>
    <t>Total 101 &amp; 106</t>
  </si>
  <si>
    <t>Plant in Service</t>
  </si>
  <si>
    <t>Common General</t>
  </si>
  <si>
    <t>C396.10-Power Op Equip-Lg Machinery</t>
  </si>
  <si>
    <t>Total Common Plant in Service</t>
  </si>
  <si>
    <t>TOTAL PLANT IN SERVICE - COMMON - REGULATORY ACCOUNTING</t>
  </si>
  <si>
    <t>Total 101</t>
  </si>
  <si>
    <t>Total 106</t>
  </si>
  <si>
    <t>C392.10-Trans Equip-Cars and Trucks</t>
  </si>
  <si>
    <t>KENTUCKY - TOTAL PLANT IN SERVICE - COMMON - NBV - REGULATORY ACCOUNTING</t>
  </si>
  <si>
    <t>Total Common Plant in Service - KY</t>
  </si>
  <si>
    <t>KENTUCKY - PLANT IN SERVICE - COMMON -REGULATORY ACCOUNTING</t>
  </si>
  <si>
    <t>101 Plant in Service</t>
  </si>
  <si>
    <t>C389.10-Land - 101</t>
  </si>
  <si>
    <t>C389.20-Land Rights - 101</t>
  </si>
  <si>
    <t>C390.10-Struct and Imp-Gen Offices - 101</t>
  </si>
  <si>
    <t>C390.20-Struc and Imp-Transportatio - 101</t>
  </si>
  <si>
    <t>C390.30-Struct and Imp - Stores - 101</t>
  </si>
  <si>
    <t>C390.40-Struct and Imp - Shops - 101</t>
  </si>
  <si>
    <t>C390.60-Struct and Imp - Microwave - 101</t>
  </si>
  <si>
    <t>C391.10-Office Furniture - 101</t>
  </si>
  <si>
    <t>C391.20-Office Equipment - 101</t>
  </si>
  <si>
    <t>C391.30-Computer Equipment - 101</t>
  </si>
  <si>
    <t>C391.31-Personal Computers - 101</t>
  </si>
  <si>
    <t>C391.33-Computer Equip ECR 2006 - 101</t>
  </si>
  <si>
    <t>C391.40-Security Equipment - 101</t>
  </si>
  <si>
    <t>C392.00-Cars and Light Trucks - 101</t>
  </si>
  <si>
    <t>C392.10-Heavy Trucks and Other - 101</t>
  </si>
  <si>
    <t>C392.20-Trans Equip-Trailers  - 101</t>
  </si>
  <si>
    <t>C393.00-Stores Equipment - 101</t>
  </si>
  <si>
    <t>C394.00-Tools, Shop, Garage Equip - 101</t>
  </si>
  <si>
    <t>C395.00-Laboratory Equipment - 101</t>
  </si>
  <si>
    <t>C396.10-Power Op Equip-Lg Machinery - 101</t>
  </si>
  <si>
    <t>C396.20-Power Op Equip - Other - 101</t>
  </si>
  <si>
    <t>C397.00- Microwave, Fiber, Other - 101</t>
  </si>
  <si>
    <t>C397.10-Comm Eq Radios, Telephone - 101</t>
  </si>
  <si>
    <t>C398.00-Miscellaneous Equipment - 101</t>
  </si>
  <si>
    <t>C399.15-ARO Cost Common (L/B) - 101</t>
  </si>
  <si>
    <t>C301.00-Organization - 101</t>
  </si>
  <si>
    <t>C302.00-Franchises and Consents - 101</t>
  </si>
  <si>
    <t>C303.00-Misc Intang Plant-Software - 101</t>
  </si>
  <si>
    <t>C303.10-CCS Software - 101</t>
  </si>
  <si>
    <t>C303.20-Law Library - 101</t>
  </si>
  <si>
    <t>Total 101 Plant in Service - Common - KY</t>
  </si>
  <si>
    <t>106 Construction Completed Not Classified</t>
  </si>
  <si>
    <t>C390.10-Struct and Imp-Gen Offices - 106</t>
  </si>
  <si>
    <t>C390.20-Struc and Imp-Transportatio - 106</t>
  </si>
  <si>
    <t>C390.30-Struct and Imp - Stores - 106</t>
  </si>
  <si>
    <t>C390.40-Struct and Imp - Shops - 106</t>
  </si>
  <si>
    <t>C390.60-Struct and Imp - Microwave - 106</t>
  </si>
  <si>
    <t>C391.10-Office Furniture - 106</t>
  </si>
  <si>
    <t>C391.20-Office Equipment - 106</t>
  </si>
  <si>
    <t>C391.30-Computer Equipment - 106</t>
  </si>
  <si>
    <t>C391.31-Personal Computers - 106</t>
  </si>
  <si>
    <t>C391.40-Security Equipment - 106</t>
  </si>
  <si>
    <t>C392.20-Trans Equip-Trailers  - 106</t>
  </si>
  <si>
    <t>C393.00-Stores Equipment - 106</t>
  </si>
  <si>
    <t>C394.00-Tools, Shop, Garage Equip - 106</t>
  </si>
  <si>
    <t>C396.20-Power Op Equip - Other - 106</t>
  </si>
  <si>
    <t>C397.00- Microwave, Fiber, Other - 106</t>
  </si>
  <si>
    <t>C397.10-Comm Eq Radios, Telephone - 106</t>
  </si>
  <si>
    <t>C398.00-Miscellaneous Equipment - 106</t>
  </si>
  <si>
    <t>C303.00-Misc Intang Plant-Software - 106</t>
  </si>
  <si>
    <t>C303.10-CCS Software - 106</t>
  </si>
  <si>
    <t>Total 106 Plant in Service - Common - KY</t>
  </si>
  <si>
    <t>INDIANA - TOTAL PLANT IN SERVICE - COMMON - NBV - REGULATORY ACCOUNTING</t>
  </si>
  <si>
    <t>Total Common - Indiana</t>
  </si>
  <si>
    <t>INDIANA - PLANT IN SERVICE - COMMON - REGULATORY ACCOUNTING</t>
  </si>
  <si>
    <t xml:space="preserve">101 Plant in Service </t>
  </si>
  <si>
    <t>Total 101 Plant in Service - Common - IN</t>
  </si>
  <si>
    <t>Total 106 Plant in Service - Common - IN</t>
  </si>
  <si>
    <t>Total Common Plant in Service - IN</t>
  </si>
  <si>
    <t>TOTAL COMPANY PLANT IN SERVICE - ELECTRIC - NBV -REGULATORY ACCOUNTING</t>
  </si>
  <si>
    <t>E370.01-AMS Meters</t>
  </si>
  <si>
    <t>E374.07-ARO Cost Elect Dist (Eqp)</t>
  </si>
  <si>
    <t>E392.10-Heavy Trucks and Other</t>
  </si>
  <si>
    <t>E352.20-Struct &amp; Imp-Sys Control/Co</t>
  </si>
  <si>
    <t>Total Electric Plant in Service</t>
  </si>
  <si>
    <t>TOTAL PLANT IN SERVICE - ELECTRIC - REGULATORY ACCOUNTING</t>
  </si>
  <si>
    <t>E370.20- Meters CT and PT</t>
  </si>
  <si>
    <t>Total Electric Plant in Service - 101</t>
  </si>
  <si>
    <t>106 Construction Completed not Classified</t>
  </si>
  <si>
    <t>E370.01-Meters AMS</t>
  </si>
  <si>
    <t>Electric General</t>
  </si>
  <si>
    <t>E394.00-Tools, Shop and Garage Equip</t>
  </si>
  <si>
    <t>E335.00-Misc PowerPlant Equip</t>
  </si>
  <si>
    <t>E345.00-Accessory Electric Equip</t>
  </si>
  <si>
    <t>E346.00-Misc Power Plant Equip</t>
  </si>
  <si>
    <t>E311.01-AROP Structures and Improvements</t>
  </si>
  <si>
    <t>Transmission</t>
  </si>
  <si>
    <t>Total 106 Construction Completed not Classified</t>
  </si>
  <si>
    <t>TOTAL PLANT IN SERVICE</t>
  </si>
  <si>
    <t>KENTUCKY - TOTAL PLANT IN SERVICE - ELECTRIC - NBV - REGULATORY ACCOUNTING</t>
  </si>
  <si>
    <t xml:space="preserve">E353.20-Station Equip-Sys Control </t>
  </si>
  <si>
    <t>Total Electric Plant in Service - KY</t>
  </si>
  <si>
    <t>KENTUCKY - PLANT IN SERVICE - ELECTRIC - REGULATORY ACCOUNTING</t>
  </si>
  <si>
    <t>E360.10-Land Rights - 101</t>
  </si>
  <si>
    <t>E360.20-Land - 101</t>
  </si>
  <si>
    <t>E361.00-Structures and Improvements - 101</t>
  </si>
  <si>
    <t>E362.00-Station Equipment - 101</t>
  </si>
  <si>
    <t>E364.00-Poles, Towers, and Fixtures - 101</t>
  </si>
  <si>
    <t>E365.00-OH Conductors and Devices - 101</t>
  </si>
  <si>
    <t>E366.00-Underground Conduit - 101</t>
  </si>
  <si>
    <t>E367.00-UG Conductors and Devices - 101</t>
  </si>
  <si>
    <t>E368.00-Line Transformers - 101</t>
  </si>
  <si>
    <t>E369.10-Underground Services - 101</t>
  </si>
  <si>
    <t>E369.20-Overhead Services - 101</t>
  </si>
  <si>
    <t>E370.00-Meters - 101</t>
  </si>
  <si>
    <t>E370.10-Meters AMS - 101</t>
  </si>
  <si>
    <t>E370.20-Meters CT and PT - 101</t>
  </si>
  <si>
    <t>E373.10-Overhead Street Lighting - 101</t>
  </si>
  <si>
    <t>E373.20-Underground Street Lighting - 101</t>
  </si>
  <si>
    <t>E373.40-Street Lighting Transformer - 101</t>
  </si>
  <si>
    <t>E374.05-ARO Cost Elec Dist (L/B) - 101</t>
  </si>
  <si>
    <t>E374.07-ARO Cost Elec Dist (Eqp) - 101</t>
  </si>
  <si>
    <t>E392.00-Cars and Light Trucks - 101</t>
  </si>
  <si>
    <t>E392.10-Heavy Trucks and Other - 101</t>
  </si>
  <si>
    <t>E392.20-Transportation  - Trailers - 101</t>
  </si>
  <si>
    <t>E394.00-Tools, Shop, and Garage Equ - 101</t>
  </si>
  <si>
    <t>E395.00-Laboratory Equipment - 101</t>
  </si>
  <si>
    <t>E396.10-Power Op Equip-Lg Mach - 101</t>
  </si>
  <si>
    <t>E396.20-Power Op  Equip-Other - 101</t>
  </si>
  <si>
    <t>E397.20-DSM Communication Equipment - 101</t>
  </si>
  <si>
    <t>E330.20-Land - 101</t>
  </si>
  <si>
    <t>E331.00-Structures and Improvements - 101</t>
  </si>
  <si>
    <t>E332.00-Reservoirs, Dams, and Water - 101</t>
  </si>
  <si>
    <t>E333.00-Water Wheels, Turbines, Gen - 101</t>
  </si>
  <si>
    <t>E334.00-Accessory Electric Equipmen - 101</t>
  </si>
  <si>
    <t>E335.00-Misc Power Plant Equipment - 101</t>
  </si>
  <si>
    <t>E336.00-Roads, Railroads, and Bridg - 101</t>
  </si>
  <si>
    <t>E337.07-ARO Cost Hydro Prod (Eqp) - 101</t>
  </si>
  <si>
    <t>E301.00-Organization - 101</t>
  </si>
  <si>
    <t>E302.00-Franchises and Consents - 101</t>
  </si>
  <si>
    <t>E340.20-Land - 101</t>
  </si>
  <si>
    <t>E341.00-Structures and Improvements - 101</t>
  </si>
  <si>
    <t>E342.00-Fuel Holders, Producers, Ac - 101</t>
  </si>
  <si>
    <t>E343.00-Prime Movers - 101</t>
  </si>
  <si>
    <t>E344.00-Generators - 101</t>
  </si>
  <si>
    <t>E345.00-Accessory Electric Equipmen - 101</t>
  </si>
  <si>
    <t>E346.00-Misc Power Plant Equipment - 101</t>
  </si>
  <si>
    <t>E347.05-ARO Cost Other Prod (L/B) - 101</t>
  </si>
  <si>
    <t>E347.07-ARO Cost Other Prod (Eqp) - 101</t>
  </si>
  <si>
    <t>E310.20-Land - 101</t>
  </si>
  <si>
    <t>E310.25-Land ECR 2005 - 101</t>
  </si>
  <si>
    <t>E310.26-Land ECR 2011 - 101</t>
  </si>
  <si>
    <t>E311.00-Structures and Improvements - 101</t>
  </si>
  <si>
    <t>E311.01-AROP Structures and Improv  - 101</t>
  </si>
  <si>
    <t>E312.00-Boiler Plant Equipment - 101</t>
  </si>
  <si>
    <t>E312.01-AROP Boiler Plant Equipment - 101</t>
  </si>
  <si>
    <t>E314.00-Turbogenerator Units - 101</t>
  </si>
  <si>
    <t>E315.00-Accessory Electric Equipmen - 101</t>
  </si>
  <si>
    <t>E315.01-AROP Accessory Elec Equip  - 101</t>
  </si>
  <si>
    <t>E316.00-Misc Power Plant Equip - 101</t>
  </si>
  <si>
    <t>E317.07-ARO Cost Steam (Eqp) - 101</t>
  </si>
  <si>
    <t>E317.08-ARO Cost Steam (CCR) - 101</t>
  </si>
  <si>
    <t>E350.10-Land Rights - 101</t>
  </si>
  <si>
    <t>E350.20-Land - 101</t>
  </si>
  <si>
    <t>E352.10-Struct &amp; Imp-Non Sys Contro - 101</t>
  </si>
  <si>
    <t>E353.10-Station Equipment - Non Sys - 101</t>
  </si>
  <si>
    <t>E353.11-AROP Station Equip Non Sys - 101</t>
  </si>
  <si>
    <t>E353.20-Station Equip-Sys Control - 101</t>
  </si>
  <si>
    <t>E354.00-Towers and Fixtures - 101</t>
  </si>
  <si>
    <t>E355.00-Poles and Fixtures - 101</t>
  </si>
  <si>
    <t>E356.00-OH Conductors and Devices - 101</t>
  </si>
  <si>
    <t>E357.00-Underground Conduit - 101</t>
  </si>
  <si>
    <t>E358.00-UG Conductors and Devices - 101</t>
  </si>
  <si>
    <t>E359.15-ARO Cost Transm (L/B) - 101</t>
  </si>
  <si>
    <t>E359.17-ARO Cost Transm (Eqp) - 101</t>
  </si>
  <si>
    <t>Total 101 Electric Plant in Service - KY</t>
  </si>
  <si>
    <t>E361.00-Structures and Improvements - 106</t>
  </si>
  <si>
    <t>E362.00-Station Equipment - 106</t>
  </si>
  <si>
    <t>E364.00-Poles, Towers, and Fixtures - 106</t>
  </si>
  <si>
    <t>E365.00-OH Conductors and Devices - 106</t>
  </si>
  <si>
    <t>E366.00-Underground Conduit - 106</t>
  </si>
  <si>
    <t>E367.00-UG Conductors and Devices - 106</t>
  </si>
  <si>
    <t>E368.00-Line Transformers - 106</t>
  </si>
  <si>
    <t>E369.10-Underground Services - 106</t>
  </si>
  <si>
    <t>E370.00-Meters - 106</t>
  </si>
  <si>
    <t>E370.01-Meters AMS - 106</t>
  </si>
  <si>
    <t>E373.10-Overhead Street Lighting - 106</t>
  </si>
  <si>
    <t>E373.20-Underground Street Lighting - 106</t>
  </si>
  <si>
    <t>E392.20-Transportation  - Trailers - 106</t>
  </si>
  <si>
    <t>E394.00-Tools, Shop, and Garage Equ - 106</t>
  </si>
  <si>
    <t>E395.00-Laboratory Equipment - 106</t>
  </si>
  <si>
    <t>E396.20-Power Op  Equip-Other - 106</t>
  </si>
  <si>
    <t>E397.20-DSM Communication Equipment - 106</t>
  </si>
  <si>
    <t>E331.00-Structures and Improvements - 106</t>
  </si>
  <si>
    <t>E332.00-Reservoirs, Dams, and Water - 106</t>
  </si>
  <si>
    <t>E333.00-Water Wheels, Turbines, Gen - 106</t>
  </si>
  <si>
    <t>E334.00-Accessory Electric Equipmen - 106</t>
  </si>
  <si>
    <t>E335.00-Misc Power Plant Equipment - 106</t>
  </si>
  <si>
    <t>E341.00-Structures and Improvements - 106</t>
  </si>
  <si>
    <t>E342.00-Fuel Holders, Producers, Ac - 106</t>
  </si>
  <si>
    <t>E343.00-Prime Movers - 106</t>
  </si>
  <si>
    <t>E344.00-Generators - 106</t>
  </si>
  <si>
    <t>E345.00-Accessory Electric Equipmen - 106</t>
  </si>
  <si>
    <t>E346.00-Misc Power Plant Equipment - 106</t>
  </si>
  <si>
    <t>E310.20-Land - 106</t>
  </si>
  <si>
    <t>E311.00-Structures and Improvements - 106</t>
  </si>
  <si>
    <t>E311.01-AROP Structures and Improv  - 106</t>
  </si>
  <si>
    <t>E312.00-Boiler Plant Equipment - 106</t>
  </si>
  <si>
    <t>E314.00-Turbogenerator Units - 106</t>
  </si>
  <si>
    <t>E315.00-Accessory Electric Equipmen - 106</t>
  </si>
  <si>
    <t>E316.00-Misc Power Plant Equip - 106</t>
  </si>
  <si>
    <t>E350.20-Land - 106</t>
  </si>
  <si>
    <t>E352.10-Struct &amp; Imp-Non Sys Contro - 106</t>
  </si>
  <si>
    <t>E352.20-Struct &amp; Imp-Sys Control/Co - 106</t>
  </si>
  <si>
    <t>E353.10-Station Equipment - Non Sys - 106</t>
  </si>
  <si>
    <t>E353.20-Station Equip-Sys Control - 106</t>
  </si>
  <si>
    <t>E354.00-Towers and Fixtures - 106</t>
  </si>
  <si>
    <t>E355.00-Poles and Fixtures - 106</t>
  </si>
  <si>
    <t>E356.00-OH Conductors and Devices - 106</t>
  </si>
  <si>
    <t>E357.00-Underground Conduit - 106</t>
  </si>
  <si>
    <t>Total Plant in Service - KY</t>
  </si>
  <si>
    <t>INDIANA - TOTAL PLANT IN SERVICE - ELECTRIC - NBV - REGULATORY ACCOUNTING</t>
  </si>
  <si>
    <t>Total Electric - Indiana</t>
  </si>
  <si>
    <t>INDIANA - PLANT IN SERVICE - ELECTRIC - REGULATORY ACCOUNTING</t>
  </si>
  <si>
    <t>Total 101 Plant in Service - Electric - IN</t>
  </si>
  <si>
    <t>Total 106 Plant in Service - Electric - IN</t>
  </si>
  <si>
    <t>TOTAL COMPANY PLANT IN SERVICE - GAS - NBV - REGULATORY ACCOUNTING</t>
  </si>
  <si>
    <t>G376.20-Mains GLT</t>
  </si>
  <si>
    <t>G380.20-GLT Services</t>
  </si>
  <si>
    <t xml:space="preserve">G392.00-Cars and Light Trucks </t>
  </si>
  <si>
    <t>G392.10-Heavy Trucks and Other</t>
  </si>
  <si>
    <t>G396.10-Power Op Equip-Larg Mach</t>
  </si>
  <si>
    <t>G372.07-ARO Cost Gas Trans (Eqp)</t>
  </si>
  <si>
    <t>Total Gas Plant in Service</t>
  </si>
  <si>
    <t>TOTAL - PLANT IN SERVICE - GAS - REGULATORY ACCOUNTING</t>
  </si>
  <si>
    <t>G396.10-Power Op Equip-Lg Mach</t>
  </si>
  <si>
    <t>Total 101 Plant in Service - Gas</t>
  </si>
  <si>
    <t>G375.20-Oth Dist Structur</t>
  </si>
  <si>
    <t>G380.10-GLT Services</t>
  </si>
  <si>
    <t>G351.30-Compressor Station Structur</t>
  </si>
  <si>
    <t>Total 106 Const Completed not Classified - Gas</t>
  </si>
  <si>
    <t>Total Plant in Service - Gas</t>
  </si>
  <si>
    <t>KENTUCKY - TOTAL PLANT IN SERVICE - GAS - NBV - REGULATORY ACCOUNTING</t>
  </si>
  <si>
    <t>Total Gas Plant in Service - KY</t>
  </si>
  <si>
    <t>KENTUCKY - PLANT IN SERVICE - GAS - REGULATORY ACCOUNTING</t>
  </si>
  <si>
    <t>G374.12-Other Distribution Land - 101</t>
  </si>
  <si>
    <t>G374.22-Other Distribution Land Rig - 101</t>
  </si>
  <si>
    <t>G375.10-City Gate Check Station Str - 101</t>
  </si>
  <si>
    <t>G375.20-Other Distribution Structur - 101</t>
  </si>
  <si>
    <t>G376.00-Mains Distribution - 101</t>
  </si>
  <si>
    <t>G376.10-Mains Distribution - 101</t>
  </si>
  <si>
    <t>G376.20-GLT Mains - 101</t>
  </si>
  <si>
    <t>G378.00-Meas and Reg Station-Genera - 101</t>
  </si>
  <si>
    <t>G379.00-Meas &amp; Reg Station-City Gat - 101</t>
  </si>
  <si>
    <t>G380.00-Services - 101</t>
  </si>
  <si>
    <t>G380.10-Services - 101</t>
  </si>
  <si>
    <t>G380.20-GLT Services - 101</t>
  </si>
  <si>
    <t>G381.00-Meters - 101</t>
  </si>
  <si>
    <t>G383.00-Regulators - 101</t>
  </si>
  <si>
    <t>G385.00-Industrial Measuring and Re - 101</t>
  </si>
  <si>
    <t>G387.00-Other Equipment - 101</t>
  </si>
  <si>
    <t>G388.05-ARO Cost Gas Dist (L/B) - 101</t>
  </si>
  <si>
    <t>G388.07-ARO Cost Gas Dist (Eqp) - 101</t>
  </si>
  <si>
    <t>G392.00-Cars and Light Trucks - 101</t>
  </si>
  <si>
    <t>G392.10-Heavy Trucks and Other - 101</t>
  </si>
  <si>
    <t>G392.20-Transportation Equip-Traile - 101</t>
  </si>
  <si>
    <t>G394.00-Tools, Shop, and Garage Equ - 101</t>
  </si>
  <si>
    <t>G395.00-Laboratory Equipment - 101</t>
  </si>
  <si>
    <t>G396.10-Power Op Equip-Lg Mach - 101</t>
  </si>
  <si>
    <t>G396.20-Power Op Equip - Other - 101</t>
  </si>
  <si>
    <t>G397.20-DSM Communication Equipment - 106</t>
  </si>
  <si>
    <t>G302.00-Franchises and Consents - 101</t>
  </si>
  <si>
    <t>G350.10-Land - 101</t>
  </si>
  <si>
    <t>G350.20-Land Rights - 101</t>
  </si>
  <si>
    <t>G351.20-Compressor Station Structur - 101</t>
  </si>
  <si>
    <t>G351.30-Measuring and Regulat Stat - 101</t>
  </si>
  <si>
    <t>G351.40-Other Structures - 101</t>
  </si>
  <si>
    <t>G352.10-Storage Leaseholds and Righ - 101</t>
  </si>
  <si>
    <t>G352.20-Reservoirs - 101</t>
  </si>
  <si>
    <t>G352.30-Nonrecoverable Natural Gas - 101</t>
  </si>
  <si>
    <t>G352.40-Well Drilling - 101</t>
  </si>
  <si>
    <t>G352.50-Well Equipment ARO - 101</t>
  </si>
  <si>
    <t>G352.55-Well Equipment - 101</t>
  </si>
  <si>
    <t>G353.00-Lines - 101</t>
  </si>
  <si>
    <t>G354.00-Compressor Station Equipmen - 101</t>
  </si>
  <si>
    <t>G355.00-Measuring and Regulat Equip - 101</t>
  </si>
  <si>
    <t>G356.00-Purification Equipment - 101</t>
  </si>
  <si>
    <t>G357.00-Other Equipment - 101</t>
  </si>
  <si>
    <t>G358.05-ARO Cost Gas UG Store (L/B) - 101</t>
  </si>
  <si>
    <t>G358.07-ARO Cost Gas UG Store (Eqp) - 101</t>
  </si>
  <si>
    <t>G365.20-Rights of Way - 101</t>
  </si>
  <si>
    <t>G367.00-Mains Transmission - 101</t>
  </si>
  <si>
    <t>G372.07-ARO Cost Gas Trans (Eqp) - 101</t>
  </si>
  <si>
    <t>Total 101 Plant in Service - Gas - KY</t>
  </si>
  <si>
    <t>G375.10-City Gate Check Station Str - 106</t>
  </si>
  <si>
    <t>G375.20-Other Distribution Structur - 106</t>
  </si>
  <si>
    <t>G376.00-Mains Distribution - 106</t>
  </si>
  <si>
    <t>G376.10-Mains Distribution - 106</t>
  </si>
  <si>
    <t>G376.20-GLT Mains - 106</t>
  </si>
  <si>
    <t>G378.00-Meas and Reg Station-Genera - 106</t>
  </si>
  <si>
    <t>G379.00-Meas &amp; Reg Station-City Gat - 106</t>
  </si>
  <si>
    <t>G380.00-Services - 106</t>
  </si>
  <si>
    <t>G380.10-Services - 106</t>
  </si>
  <si>
    <t>G380.20-GLT Services - 106</t>
  </si>
  <si>
    <t>G381.00-Meters - 106</t>
  </si>
  <si>
    <t>G383.00-Regulators - 106</t>
  </si>
  <si>
    <t>G385.00-Industrial Measuring and Re - 106</t>
  </si>
  <si>
    <t>G387.00-Other Equipment - 106</t>
  </si>
  <si>
    <t>G392.10-Transportation Equip-Car/Tr - 106</t>
  </si>
  <si>
    <t>G392.20-Transportation Equip-Traile - 106</t>
  </si>
  <si>
    <t>G394.00-Tools, Shop, and Garage Equ - 106</t>
  </si>
  <si>
    <t>G395.00-Laboratory Equipment - 106</t>
  </si>
  <si>
    <t>G396.10-Power Op Equip-Hourly Rated - 106</t>
  </si>
  <si>
    <t>G396.20-Power Op Equip - Other - 106</t>
  </si>
  <si>
    <t>G351.20-Compressor Station Structur - 106</t>
  </si>
  <si>
    <t>G351.30-Measuring and Regulat Stat - 106</t>
  </si>
  <si>
    <t>G351.40-Other Structures - 106</t>
  </si>
  <si>
    <t>G352.40-Well Drilling - 106</t>
  </si>
  <si>
    <t>G352.50-Well Equipment ARO - 106</t>
  </si>
  <si>
    <t>G352.55-Well Equipment - 106</t>
  </si>
  <si>
    <t>G353.00-Lines - 106</t>
  </si>
  <si>
    <t>G354.00-Compressor Station Equipmen - 106</t>
  </si>
  <si>
    <t>G355.00-Measuring and Regulat Equip - 106</t>
  </si>
  <si>
    <t>G356.00-Purification Equipment - 106</t>
  </si>
  <si>
    <t>G357.00-Other Equipment - 106</t>
  </si>
  <si>
    <t>G367.00-Mains Transmission - 106</t>
  </si>
  <si>
    <t>Total 106 Const Completed not Classified - Gas - KY</t>
  </si>
  <si>
    <t>Total Plant in Service - Gas - KY</t>
  </si>
  <si>
    <t>INDIANA - TOTAL PLANT IN SERVICE - GAS - NBV - REGULATORY ACCOUNTING</t>
  </si>
  <si>
    <t>G352.50-Well Equipment-aro</t>
  </si>
  <si>
    <t>G354.00-Compressor Station Equip</t>
  </si>
  <si>
    <t>Total Gas - Indiana</t>
  </si>
  <si>
    <t>INDIANA - PLANT IN SERVICE - GAS - REGULATORY ACCOUNTING</t>
  </si>
  <si>
    <t>101 Plant In Service</t>
  </si>
  <si>
    <t>Total 101 Gas - Indiana</t>
  </si>
  <si>
    <t>Total 106 Gas - Indiana</t>
  </si>
  <si>
    <t>Total Plant in Service - Gas - IN</t>
  </si>
  <si>
    <t>KENTUCKY - GAS STORED NONRECOVERABLE - GAS - REGULATORY ACCOUNTING</t>
  </si>
  <si>
    <t>117 Gas Stored Nonrecoverable</t>
  </si>
  <si>
    <t>G117.00-Gas Stored UG Non-Current</t>
  </si>
  <si>
    <t>INDIANA - GAS STORED NONRECOVERABLE - GAS - REGULATORY ACCOUNTING</t>
  </si>
  <si>
    <t>PROPERTY UNDER CAPITAL LEASES - REGULATORY ACCOUNTING</t>
  </si>
  <si>
    <t>101101 Capital Leased Property</t>
  </si>
  <si>
    <t>E311.10-Capital Leased Property</t>
  </si>
  <si>
    <t>PLANT HELD FOR FUTURE USE - REGULATORY ACCOUNTING</t>
  </si>
  <si>
    <t>105001 - Plant Held for Future Use</t>
  </si>
  <si>
    <t>E360.25- Land Held for Future Use</t>
  </si>
  <si>
    <t>E362.05-Station Equip-For Future Us</t>
  </si>
  <si>
    <t>E340.20-Land Future Use</t>
  </si>
  <si>
    <t>E310.27-Land Future Use</t>
  </si>
  <si>
    <t>E311.05-Struc and Improv Future Use</t>
  </si>
  <si>
    <t>E315.00-Accessory Electric Equip</t>
  </si>
  <si>
    <t>105002 - Plant Held for Future Use</t>
  </si>
  <si>
    <t xml:space="preserve">Total Plant Held for Future Use </t>
  </si>
  <si>
    <t>NON UTILITY PROPERTY - REGULATORY ACCOUNTING</t>
  </si>
  <si>
    <t>121 Non Utility Property</t>
  </si>
  <si>
    <t>C121.01-Nonutility Prop - Coal Land</t>
  </si>
  <si>
    <t>C121.02-Nonutility-Coal Mineral Rts</t>
  </si>
  <si>
    <t xml:space="preserve">C121.03-Nonutility-Coal Rts of Way </t>
  </si>
  <si>
    <t>C121.04-Nonutility Prop - Misc Land</t>
  </si>
  <si>
    <t>C121.92-Nonutility Cars &amp; Trucks</t>
  </si>
  <si>
    <t>PLANT PURCHASED AND SOLD - REGULATORY ACCOUNTING</t>
  </si>
  <si>
    <t>102 Electric Plant Purch &amp; Sold</t>
  </si>
  <si>
    <t>RESERVE FOR DEPRECIATION AND AMORTIZATION OF ELECTRIC PLANT IN SERVICE - KENTUCKY - REGULATORY ACCOUNTING</t>
  </si>
  <si>
    <t>LGE-136020-Elect. Dist. Substation</t>
  </si>
  <si>
    <t>LGE-136025-Elect. Dist. Substation</t>
  </si>
  <si>
    <t>LGE-136100-Electric Distribution Su</t>
  </si>
  <si>
    <t>LGE-136200- KY Elect Dist Substati</t>
  </si>
  <si>
    <t>LGE-136205-Elect. Dist. Substation</t>
  </si>
  <si>
    <t>LGE-136400-Electric Distribution -</t>
  </si>
  <si>
    <t>LGE-136500-Electric Distribution -</t>
  </si>
  <si>
    <t>LGE-136600-Electric Distribution -</t>
  </si>
  <si>
    <t>LGE-136700-Electric Distribution -</t>
  </si>
  <si>
    <t>LGE-136800-Line Transformers</t>
  </si>
  <si>
    <t>LGE-136910-Electric Distribution -</t>
  </si>
  <si>
    <t>LGE-136920-Electric Distribution -</t>
  </si>
  <si>
    <t>LGE-137000-Meters</t>
  </si>
  <si>
    <t>LGE-137001- AMS Meters</t>
  </si>
  <si>
    <t>LGE-137020-Meters - CT and PT</t>
  </si>
  <si>
    <t>LGE-137101 KY Install Charging Sta</t>
  </si>
  <si>
    <t>LGE-137310-Electric Distribution -</t>
  </si>
  <si>
    <t>LGE-137320-Electric Distribution -</t>
  </si>
  <si>
    <t>LGE-137340-Electric Dist. - Street</t>
  </si>
  <si>
    <t>LGE-137405-ARO Cost Elec Dist (L/B)</t>
  </si>
  <si>
    <t>LGE-137407-ARO Cost Elec Dist (Eqp)</t>
  </si>
  <si>
    <t>LGE-139200 - Cars and Light Trucks</t>
  </si>
  <si>
    <t>LGE-139210 - Heavy Trucks and Other</t>
  </si>
  <si>
    <t>LGE-139220-Transportation  - Traile</t>
  </si>
  <si>
    <t>LGE-139400-Tools, Shop, and Garage</t>
  </si>
  <si>
    <t>LGE-139500-Laboratory Equipment</t>
  </si>
  <si>
    <t>LGE-139610-Power Op Equip-Lg Mach</t>
  </si>
  <si>
    <t>LGE-139620-Power Op  Equip-Other</t>
  </si>
  <si>
    <t>LGE-139720- DSM Equipment</t>
  </si>
  <si>
    <t>LGE-133020-Ohio Falls Non-Project</t>
  </si>
  <si>
    <t>LGE-133020-Ohio Falls Project 289</t>
  </si>
  <si>
    <t>LGE-133100-Ohio Falls Non-Project</t>
  </si>
  <si>
    <t>LGE-133100-Ohio Falls Project 289</t>
  </si>
  <si>
    <t>LGE-133200-Ohio Falls Project 289</t>
  </si>
  <si>
    <t>LGE-133300-Ohio Falls Project 289</t>
  </si>
  <si>
    <t>LGE-133400-Ohio Falls Project 289</t>
  </si>
  <si>
    <t>LGE-133500-Ohio Falls Non-Project</t>
  </si>
  <si>
    <t>LGE-133500-Ohio Falls Project 289</t>
  </si>
  <si>
    <t>LGE-133600-Ohio Falls Non-Project</t>
  </si>
  <si>
    <t>LGE-133600-Ohio Falls Project 289</t>
  </si>
  <si>
    <t>LGE-133707-ARO Cost Hydro Prod (Eqp</t>
  </si>
  <si>
    <t>LGE-134020-TC 5 CT Land</t>
  </si>
  <si>
    <t>LGE-134020-EWB Solar Facility Land</t>
  </si>
  <si>
    <t>LGE-134020 - TC 10 - Land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</si>
  <si>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</si>
  <si>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</si>
  <si>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</si>
  <si>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</si>
  <si>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</si>
  <si>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</si>
  <si>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</si>
  <si>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</si>
  <si>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</si>
  <si>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</si>
  <si>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</si>
  <si>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</si>
  <si>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</si>
  <si>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</si>
  <si>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LGE-134100-Waterside - Structures &amp;</t>
  </si>
  <si>
    <t>LGE-134100-Zorn - Structurses &amp; Imp</t>
  </si>
  <si>
    <t>LGE-134100-Structures and Imp</t>
  </si>
  <si>
    <t>LGE-134200-Cane Run 11-Fuel Holder</t>
  </si>
  <si>
    <t>LGE-134200-Cane Run 7 Fuel Holders</t>
  </si>
  <si>
    <t>LGE-134200-Cane Run PIPELINE FUEL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</si>
  <si>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</si>
  <si>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</si>
  <si>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</si>
  <si>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</si>
  <si>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</si>
  <si>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LGE-134200-Paddys Run CT Pipeline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</si>
  <si>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</si>
  <si>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</si>
  <si>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</si>
  <si>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</si>
  <si>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</si>
  <si>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</si>
  <si>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</si>
  <si>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LGE-134200-TRIMBLE CT PIPELINE FUEL</t>
  </si>
  <si>
    <t>LGE-134200-Waterside - Fuel Holders</t>
  </si>
  <si>
    <t>LGE-134200-Zorn - Fuel Holders, Pro</t>
  </si>
  <si>
    <t>LGE-134200-Fuel Holders, Prod</t>
  </si>
  <si>
    <t>LGE-134300-Cane Run 7 Prime Mover</t>
  </si>
  <si>
    <t>LGE-134300-EWB 5 Prime Movers</t>
  </si>
  <si>
    <t>LGE-134300-EWB 6 Prime Movers</t>
  </si>
  <si>
    <t>LGE-134300-EWB 7 Prime Movers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</si>
  <si>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</si>
  <si>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</si>
  <si>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</si>
  <si>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</si>
  <si>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</si>
  <si>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</si>
  <si>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</si>
  <si>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LGE-134300-Waterside - Prime Movers</t>
  </si>
  <si>
    <t>LGE-134300-Prime Movers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</si>
  <si>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</si>
  <si>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</si>
  <si>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</si>
  <si>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</si>
  <si>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</si>
  <si>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</si>
  <si>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</si>
  <si>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</si>
  <si>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</si>
  <si>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</si>
  <si>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</si>
  <si>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</si>
  <si>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</si>
  <si>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</si>
  <si>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</si>
  <si>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LGE-134400-Waterside - Generators</t>
  </si>
  <si>
    <t>LGE-134400-Zorn - Generators</t>
  </si>
  <si>
    <t>LGE-134400-Generators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</si>
  <si>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</si>
  <si>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</si>
  <si>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</si>
  <si>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</si>
  <si>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</si>
  <si>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</si>
  <si>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</si>
  <si>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</si>
  <si>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</si>
  <si>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</si>
  <si>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</si>
  <si>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</si>
  <si>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</si>
  <si>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</si>
  <si>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</si>
  <si>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LGE-134500-Waterside - Accessory El</t>
  </si>
  <si>
    <t>LGE-134500-Zorn - Accessory Electri</t>
  </si>
  <si>
    <t>LGE-134500-Accessory Electric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</si>
  <si>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</si>
  <si>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</si>
  <si>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</si>
  <si>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</si>
  <si>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</si>
  <si>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</si>
  <si>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LGE-134600-Paddys GT - 12 mIsc. Pow</t>
  </si>
  <si>
    <t>LGE-134600-PR 13 Misc Power Plant E</t>
  </si>
  <si>
    <t>LGE-134600-TC 10 Misc. Power Plant</t>
  </si>
  <si>
    <t>LGE-134600-TC 5 Misc. Power Plant E</t>
  </si>
  <si>
    <t>LGE-134600-TC 7 Misc. Power Plant E</t>
  </si>
  <si>
    <t>LGE-134600-TC 8 Misc. Power Plant E</t>
  </si>
  <si>
    <t>LGE-134600-TC 9 Misc. Power Plant E</t>
  </si>
  <si>
    <t>LGE-134600-Waterside - Misc. Power</t>
  </si>
  <si>
    <t>LGE-134600-Zorn - Misc. Power Plant</t>
  </si>
  <si>
    <t>LGE-134600-Misc. Power Plant</t>
  </si>
  <si>
    <t>LGE-134705-ARO Cost Other Prod (L/B</t>
  </si>
  <si>
    <t>LGE-134707-ARO Cost Other Prod (Eqp</t>
  </si>
  <si>
    <t>LGE-131020-Steam-Land</t>
  </si>
  <si>
    <t>LGE-131020-Steam-TC 2 Land ECR 2009</t>
  </si>
  <si>
    <t>LGE-131025-Steam-Land ECR 2005</t>
  </si>
  <si>
    <t>LGE-131020-Steam Production - Land</t>
  </si>
  <si>
    <t>LGE-131100-Cane Run Unit 1 Structur</t>
  </si>
  <si>
    <t>LGE-131100-Cane Run Unit 2 Structur</t>
  </si>
  <si>
    <t>LGE-131100-Cane Run Unit 3 Structur</t>
  </si>
  <si>
    <t>LGE-131100-Cane Run Unit 4 SO2-Stru</t>
  </si>
  <si>
    <t>LGE-131100-Cane Run Unit 4 Structur</t>
  </si>
  <si>
    <t>LGE-131100-Cane Run Unit 5 SO2-Stru</t>
  </si>
  <si>
    <t>LGE-131100-Cane Run Unit 5 Structur</t>
  </si>
  <si>
    <t>LGE-131100-Cane Run Unit 6 SO2-Stru</t>
  </si>
  <si>
    <t>LGE-131100-CR Unit 6 Struc</t>
  </si>
  <si>
    <t>LGE-131100-CR Unit 6 Struc ECR 2005</t>
  </si>
  <si>
    <t>LGE-131100-Distribution Dr ECR 2011</t>
  </si>
  <si>
    <t>LGE-131100-Distribution Drive</t>
  </si>
  <si>
    <t>LGE-131100-MC Unit 1 Struc ECR 2011</t>
  </si>
  <si>
    <t>LGE-131100-MC Unit 2 SO2 ECR 2011</t>
  </si>
  <si>
    <t>LGE-131100-MC Unit 2 Struc ECR 2011</t>
  </si>
  <si>
    <t>LGE-131100-MC Unit 4 Struc</t>
  </si>
  <si>
    <t>LGE-131100-MC Unit 4 Struc ECR 2005</t>
  </si>
  <si>
    <t>LGE-131100-MC Unit 4 Struc ECR 2011</t>
  </si>
  <si>
    <t>LGE-131100-Mill Creek 3 ECR 2011</t>
  </si>
  <si>
    <t>LGE-131100-Mill Creek Unit 1 SO2-St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</si>
  <si>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</si>
  <si>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</si>
  <si>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</si>
  <si>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</si>
  <si>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</si>
  <si>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</si>
  <si>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</si>
  <si>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</si>
  <si>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1 Future Use - 105</t>
  </si>
  <si>
    <t>LGE-131100-TC Unit 1 Struc</t>
  </si>
  <si>
    <t>LGE-131100-TC Unit 1 Struc ECR 2006</t>
  </si>
  <si>
    <t>LGE-131100-TC Unit 2 Struc</t>
  </si>
  <si>
    <t>LGE-131100-TC Unit 2 Struc ECR 2006</t>
  </si>
  <si>
    <t>LGE-131100-TC Unit 2 Struc ECR 2009</t>
  </si>
  <si>
    <t>LGE-131100-Trimble Unit 1 SO2-Struc</t>
  </si>
  <si>
    <t>LGE-131100-Trimble Unit 2 FGD-Struc</t>
  </si>
  <si>
    <t>LGE-131100-Structures &amp; Imp</t>
  </si>
  <si>
    <t>LGE-131101-AROP CR 1 Struct &amp; Impr</t>
  </si>
  <si>
    <t>LGE-131101-AROP CR 6 Struc ECR 2005</t>
  </si>
  <si>
    <t>LGE-131101-AROP CR 6 Struct &amp; Impr</t>
  </si>
  <si>
    <t>LGE-131101-AROP MC 1 Struct &amp; Impr</t>
  </si>
  <si>
    <t>LGE-131101-AROP MC 3 Struct &amp; Impr</t>
  </si>
  <si>
    <t>LGE-131101-AROP MC 4 Struct &amp; Impr</t>
  </si>
  <si>
    <t>LGE-131101-AROP TC 1 Struct &amp; Impr</t>
  </si>
  <si>
    <t>LGE-131101-AROP TC 2 Struc ECR 2009</t>
  </si>
  <si>
    <t>LGE-131101-AROP Struct &amp; Impr</t>
  </si>
  <si>
    <t>LGE-131105-Dist Drive - Future Use</t>
  </si>
  <si>
    <t>LGE-131110-CR 6 Capital Leased Equi</t>
  </si>
  <si>
    <t>LGE-131110-MC 4 Capital Leased Equi</t>
  </si>
  <si>
    <t>LGE-131110-CAPITAL LEASED EQUIP</t>
  </si>
  <si>
    <t>LGE-131200-Cane Run Locomotives - B</t>
  </si>
  <si>
    <t>LGE-131200-Cane Run Rail Cars - Boi</t>
  </si>
  <si>
    <t>LGE-131200-Cane Run Unit 1 Boiler P</t>
  </si>
  <si>
    <t>LGE-131200-Cane Run Unit 2 Boiler P</t>
  </si>
  <si>
    <t>LGE-131200-Cane Run Unit 3 Boiler P</t>
  </si>
  <si>
    <t>LGE-131200-Cane Run Unit 4 SO2 Boil</t>
  </si>
  <si>
    <t>LGE-131200-Cane Run Unit 5 SO2 Boil</t>
  </si>
  <si>
    <t>LGE-131200-CR Unit 4 Boil</t>
  </si>
  <si>
    <t>LGE-131200-CR Unit 4 Boil ECR 2006</t>
  </si>
  <si>
    <t>LGE-131200-CR Unit 5 Boil</t>
  </si>
  <si>
    <t>LGE-131200-CR Unit 5 Boil ECR 2006</t>
  </si>
  <si>
    <t>LGE-131200-CR Unit 6 Boil</t>
  </si>
  <si>
    <t>LGE-131200-CR Unit 6 Boil ECR 2006</t>
  </si>
  <si>
    <t>LGE-131200-CR6 SO2 Boil</t>
  </si>
  <si>
    <t>LGE-131200-CR6 SO2 Boil ECR 2005</t>
  </si>
  <si>
    <t>LGE-131200-MC Offsite Rail Cars</t>
  </si>
  <si>
    <t>LGE-131200-MC Unit 1 Boil</t>
  </si>
  <si>
    <t>LGE-131200-MC Unit 1 Boil ECR 2006</t>
  </si>
  <si>
    <t>LGE-131200-MC Unit 1 Boil ECR 2011</t>
  </si>
  <si>
    <t>LGE-131200-MC Unit 1 Boil-Ash Pond</t>
  </si>
  <si>
    <t>LGE-131200-MC Unit 2 Boil</t>
  </si>
  <si>
    <t>LGE-131200-MC Unit 2 Boil ECR 2006</t>
  </si>
  <si>
    <t>LGE-131200-MC Unit 2 Boil ECR 2011</t>
  </si>
  <si>
    <t>LGE-131200-MC Unit 2 SO2 ECR 2011</t>
  </si>
  <si>
    <t>LGE-131200-MC Unit 2 SO2 ECR 2016</t>
  </si>
  <si>
    <t>LGE-131200-MC Unit 3 Boil</t>
  </si>
  <si>
    <t>LGE-131200-MC Unit 3 Boil ECR 2006</t>
  </si>
  <si>
    <t>LGE-131200-MC Unit 3 Boil ECR 2011</t>
  </si>
  <si>
    <t>LGE-131200-MC Unit 3 Boil-Ash Pond</t>
  </si>
  <si>
    <t>LGE-131200-MC Unit 3 SO2 ECR 2011</t>
  </si>
  <si>
    <t>LGE-131200-MC Unit 3 SO2 ECR 2016</t>
  </si>
  <si>
    <t>LGE-131200-MC Unit 4 Boil</t>
  </si>
  <si>
    <t>LGE-131200-MC Unit 4 Boil ECR 2005</t>
  </si>
  <si>
    <t>LGE-131200-MC Unit 4 Boil ECR 2006</t>
  </si>
  <si>
    <t>LGE-131200-MC Unit 4 Boil ECR 2011</t>
  </si>
  <si>
    <t>LGE-131200-MC Unit 4 Boil ECR 2016</t>
  </si>
  <si>
    <t>LGE-131200-MC4 SO2 Boil</t>
  </si>
  <si>
    <t>LGE-131200-MC4 SO2 Boil ECR 2005</t>
  </si>
  <si>
    <t>LGE-131200-MC4 SO2 Boil ECR 2009</t>
  </si>
  <si>
    <t>LGE-131200-MC4 SO2 Boil ECR 2011</t>
  </si>
  <si>
    <t>LGE-131200-MC4 SO2 Boil ECR 2016</t>
  </si>
  <si>
    <t>LGE-131200-Mill Creek Locomotives B</t>
  </si>
  <si>
    <t>LGE-131200-Mill Creek Rail Cars Boi</t>
  </si>
  <si>
    <t>LGE-131200-Mill Creek Unit 1 SO2 Bo</t>
  </si>
  <si>
    <t>LGE-131200-Mill Creek Unit 2 SO2 Bo</t>
  </si>
  <si>
    <t>LGE-131200-Mill Creek Unit 3 SO2 Bo</t>
  </si>
  <si>
    <t>LGE-131200-TC 1 Future Use - 105</t>
  </si>
  <si>
    <t>LGE-131200-TC 2 FGD Boil</t>
  </si>
  <si>
    <t>LGE-131200-TC 2 FGD Boil ECR 2006</t>
  </si>
  <si>
    <t>LGE-131200-TC Unit 1 Boil</t>
  </si>
  <si>
    <t>LGE-131200-TC Unit 1 Boil ECR 2006</t>
  </si>
  <si>
    <t>LGE-131200-TC Unit 1 Boil ECR 2009</t>
  </si>
  <si>
    <t>LGE-131200-TC Unit 1 Boil ECR 2011</t>
  </si>
  <si>
    <t>LGE-131200-TC Unit 1 Boil-Ash Pond</t>
  </si>
  <si>
    <t>LGE-131200-TC Unit 2 Boil</t>
  </si>
  <si>
    <t>LGE-131200-TC Unit 2 Boil ECR 2006</t>
  </si>
  <si>
    <t>LGE-131200-TC Unit 2 Boil ECR 2009</t>
  </si>
  <si>
    <t>LGE-131200-TC Unit 2 Boil ECR 2016</t>
  </si>
  <si>
    <t>LGE-131200-TC1 SO2 Boil</t>
  </si>
  <si>
    <t>LGE-131200-TC1 SO2 Boil ECR 2005</t>
  </si>
  <si>
    <t>LGE-131200-TC2 Boil ECR 2009-Ash Po</t>
  </si>
  <si>
    <t>LGE-131200-Boiler</t>
  </si>
  <si>
    <t>LGE-131201-AROP MC3 Boiler Plt Equp</t>
  </si>
  <si>
    <t>LGE-131201-AROP MC4 SO2 Boiler Plt</t>
  </si>
  <si>
    <t>LGE-131201-AROP Boiler Plt</t>
  </si>
  <si>
    <t>LGE-131400-Cane Run Unit 1 Turbogen</t>
  </si>
  <si>
    <t>LGE-131400-Cane Run Unit 2 Turbogen</t>
  </si>
  <si>
    <t>LGE-131400-Cane Run Unit 3 Turbogen</t>
  </si>
  <si>
    <t>LGE-131400-Cane Run Unit 4 Turbogen</t>
  </si>
  <si>
    <t>LGE-131400-Cane Run Unit 5 Turbogen</t>
  </si>
  <si>
    <t>LGE-131400-Cane Run Unit 6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</si>
  <si>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</si>
  <si>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</si>
  <si>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</si>
  <si>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</si>
  <si>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LGE-131400-TC 1 Future Use - 105</t>
  </si>
  <si>
    <t>LGE-131400-Trimble Unit 1 Turbogene</t>
  </si>
  <si>
    <t>LGE-131400-Trimble Unit 2 Turbogene</t>
  </si>
  <si>
    <t>LGE-131400-Turbogenerators</t>
  </si>
  <si>
    <t>LGE-131500-Cane Run Unit 1 Accessor</t>
  </si>
  <si>
    <t>LGE-131500-Cane Run Unit 2 Accessor</t>
  </si>
  <si>
    <t>LGE-131500-Cane Run Unit 3 Acessory</t>
  </si>
  <si>
    <t>LGE-131500-Cane Run Unit 4 Accessor</t>
  </si>
  <si>
    <t>LGE-131500-Cane Run Unit 4 SO2 Acce</t>
  </si>
  <si>
    <t>LGE-131500-Cane Run Unit 5 Acccesso</t>
  </si>
  <si>
    <t>LGE-131500-Cane Run Unit 5 SO2 Acce</t>
  </si>
  <si>
    <t>LGE-131500-Cane Run Unit 6 Accessor</t>
  </si>
  <si>
    <t>LGE-131500-Cane Run Unit 6 SO2 Acce</t>
  </si>
  <si>
    <t>LGE-131500-MC Unit 1 Acc ECR 2011</t>
  </si>
  <si>
    <t>LGE-131500-MC Unit 2 Acc ECR 2011</t>
  </si>
  <si>
    <t>LGE-131500-MC Unit 2 SO2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</si>
  <si>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</si>
  <si>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</si>
  <si>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</si>
  <si>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</si>
  <si>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</si>
  <si>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</si>
  <si>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</si>
  <si>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</si>
  <si>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</si>
  <si>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</si>
  <si>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</si>
  <si>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</si>
  <si>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1 Future Use - 105</t>
  </si>
  <si>
    <t>LGE-131500-TC Unit 2 Acce</t>
  </si>
  <si>
    <t>LGE-131500-TC Unit 2 Acce ECR 2006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</si>
  <si>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</si>
  <si>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</si>
  <si>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</si>
  <si>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</si>
  <si>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LGE-131500-Accessory</t>
  </si>
  <si>
    <t>LGE-131501-AROP Cane Run 4 Acc</t>
  </si>
  <si>
    <t>LGE-131501-AROP Cane Run 5 Acc</t>
  </si>
  <si>
    <t>LGE-131501-AROP Cane Run 6 Acc</t>
  </si>
  <si>
    <t>LGE-131501-AROP Mill Creek 1 Acc</t>
  </si>
  <si>
    <t>LGE-131501-AROP Mill Creek 2 Acc</t>
  </si>
  <si>
    <t>LGE-131501-AROP Mill Creek 3 Acc</t>
  </si>
  <si>
    <t>LGE-131501-AROP Mill Creek 4 Acc</t>
  </si>
  <si>
    <t>LGE-131501-AROP Trimble Unit 1 Acc</t>
  </si>
  <si>
    <t>LGE-131501-AROP Accessory</t>
  </si>
  <si>
    <t>LGE-131600-Cane Run Unit 1 Misc. Po</t>
  </si>
  <si>
    <t>LGE-131600-Cane Run Unit 3 Misc. Po</t>
  </si>
  <si>
    <t>LGE-131600-Cane Run Unit 4 Misc. Po</t>
  </si>
  <si>
    <t>LGE-131600-Cane Run Unit 4 SO2 Misc</t>
  </si>
  <si>
    <t>LGE-131600-Cane Run Unit 5 Misc. Po</t>
  </si>
  <si>
    <t>LGE-131600-Cane Run Unit 5 SO2 Misc</t>
  </si>
  <si>
    <t>LGE-131600-Cane Run Unit 6 Misc. Po</t>
  </si>
  <si>
    <t>LGE-131600-Cane Run Unit 6 SO2 Misc</t>
  </si>
  <si>
    <t>LGE-131600-Distribution Dr ECR 2011</t>
  </si>
  <si>
    <t>LGE-131600-Distribution Drive</t>
  </si>
  <si>
    <t>LGE-131600-MC Unit 1 Misc ECR 2011</t>
  </si>
  <si>
    <t>LGE-131600-MC Unit 2 Misc ECR 2011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</si>
  <si>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</si>
  <si>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</si>
  <si>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</si>
  <si>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</si>
  <si>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</si>
  <si>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</si>
  <si>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</si>
  <si>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</si>
  <si>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LGE-131600-Misc. Power Plant</t>
  </si>
  <si>
    <t>LGE-131707-ARO Cost Steam (Eqp)</t>
  </si>
  <si>
    <t>LGE-131708-ARO Cost Steam (CCR)</t>
  </si>
  <si>
    <t>LGE-135010- KY Elec Transmission -</t>
  </si>
  <si>
    <t>LGE-135020-KY Electric  Trans</t>
  </si>
  <si>
    <t>LGE-135210- KY Elec Transmission -</t>
  </si>
  <si>
    <t>LGE-135210-TC Sw. Station - Substat</t>
  </si>
  <si>
    <t>LGE-135220-Struct &amp; Improve-System</t>
  </si>
  <si>
    <t>LGE-135210-TC Unit 1 - Trans. - Sub</t>
  </si>
  <si>
    <t>LGE-135310- KY Elec Transmission -</t>
  </si>
  <si>
    <t>LGE-135310-TC Sw. Station - Substat</t>
  </si>
  <si>
    <t>LGE-135310-TC Unit 1 - Trans. - Sub</t>
  </si>
  <si>
    <t>LGE-135311-AROP Station Equip</t>
  </si>
  <si>
    <t>LGE-135311-AROP TC1 Station Equip</t>
  </si>
  <si>
    <t>LGE-135320-Station Equip System</t>
  </si>
  <si>
    <t>LGE-135400- KY Elec Transmission -</t>
  </si>
  <si>
    <t>LGE-135500- KY Elec Transmission -</t>
  </si>
  <si>
    <t>LGE-135600- KY Elec Transmission -</t>
  </si>
  <si>
    <t>LGE-135700-Electric Transmission -</t>
  </si>
  <si>
    <t>LGE-135800-Electric Transmission -</t>
  </si>
  <si>
    <t>LGE-135915-ARO Cost Transm (L/B)</t>
  </si>
  <si>
    <t>LGE-135917-ARO Cost Transm (Eqp)</t>
  </si>
  <si>
    <t>Total Electric Depreciation Reserves</t>
  </si>
  <si>
    <t>LGE-130100-Elect. Intagible Plant -</t>
  </si>
  <si>
    <t>LGE-130200-Franchises and Consents</t>
  </si>
  <si>
    <t>Total Electric Amortization Reserves</t>
  </si>
  <si>
    <t>LGE-237412-Gas Distribution Land</t>
  </si>
  <si>
    <t>LGE-237422-Gas Distribution Land Ri</t>
  </si>
  <si>
    <t>LGE-237510-Gas Distribution - City</t>
  </si>
  <si>
    <t>LGE-237520-Gas Distribution - Other</t>
  </si>
  <si>
    <t>LGE-237600-Gas Distribution - Mains</t>
  </si>
  <si>
    <t>LGE-237610-Gas Distribution - Mains</t>
  </si>
  <si>
    <t>LGE-237620-Gas Line Tracker - Mains</t>
  </si>
  <si>
    <t>LGE-237800-Gas Distribution - Measu</t>
  </si>
  <si>
    <t>LGE-237900-Gas Distribution - City</t>
  </si>
  <si>
    <t>LGE-238000-Gas Distribution - Gas S</t>
  </si>
  <si>
    <t>LGE-238010-Gas Distribution - Gas S</t>
  </si>
  <si>
    <t>LGE-238020-Gas Line Tracker Service</t>
  </si>
  <si>
    <t>LGE-238100-Meters</t>
  </si>
  <si>
    <t>LGE-238300-Regulators</t>
  </si>
  <si>
    <t>LGE-238500-Gas Distribution - Indus</t>
  </si>
  <si>
    <t>LGE-238700-Gas Distribution - Other</t>
  </si>
  <si>
    <t>LGE-238805-ARO Cost Gas Dist (L/B)</t>
  </si>
  <si>
    <t>LGE-238807-ARO Cost Gas Dist (Eqp)</t>
  </si>
  <si>
    <t>LGE-239200-Cars and Light Trucks</t>
  </si>
  <si>
    <t>LGE-239210-Heavy Trucks and Other</t>
  </si>
  <si>
    <t>LGE-239220-Transportation Equip-Tra</t>
  </si>
  <si>
    <t>LGE-239400-Tools, Shop, and Garage</t>
  </si>
  <si>
    <t>LGE-239500-Laboratory Equipment</t>
  </si>
  <si>
    <t>LGE-239610-Power Op Equip-Lg Mach</t>
  </si>
  <si>
    <t>LGE-239620-Power Op Equip - Other</t>
  </si>
  <si>
    <t>LGE-239720- DSM Equipment</t>
  </si>
  <si>
    <t>LGE-235010-KY Gas Storage Undergr</t>
  </si>
  <si>
    <t>LGE-235020-Gas Storage Underground</t>
  </si>
  <si>
    <t>LGE-235120-Gas Storage Undg. - Comp</t>
  </si>
  <si>
    <t>LGE-235130-Gas Storage Undg. - Regu</t>
  </si>
  <si>
    <t>LGE-235140- KY Gas Storage Undergr</t>
  </si>
  <si>
    <t>LGE-235210-Gas Storage Undg. - Leas</t>
  </si>
  <si>
    <t>LGE-235220-Gas Storage Underground</t>
  </si>
  <si>
    <t>LGE-235230-Gas Storage Undg. - Non</t>
  </si>
  <si>
    <t>LGE-235240- KY Gas Storage Undergrd</t>
  </si>
  <si>
    <t>LGE-235250- KY AROP Gas Stor UG</t>
  </si>
  <si>
    <t>LGE-235255- KY Gas Stor UG</t>
  </si>
  <si>
    <t>LGE-235300- KY Gas Storage Undergrd</t>
  </si>
  <si>
    <t>LGE-235400-Gas Storage Undg. - Comp</t>
  </si>
  <si>
    <t>LGE-235500-Gas Storage Undg. - Meas</t>
  </si>
  <si>
    <t>LGE-235600-Gas Storage Undg. - Puri</t>
  </si>
  <si>
    <t>LGE-235700- KY Gas Storage Undergrd</t>
  </si>
  <si>
    <t>LGE-235805-ARO Cost Gas UG Store (L</t>
  </si>
  <si>
    <t>LGE-235807-ARO Cost Gas UG Store (E</t>
  </si>
  <si>
    <t>LGE-236520-Gas Transmission Rights</t>
  </si>
  <si>
    <t>LGE-236700-Gas Transmission - Mains</t>
  </si>
  <si>
    <t>LGE-237207-ARO Cost Gas Trans (Eqp)</t>
  </si>
  <si>
    <t>Total Gas Depreciation Reserves</t>
  </si>
  <si>
    <t>LGE-230200-Franchises and Consents</t>
  </si>
  <si>
    <t>Total Gas Amortization Reserves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</si>
  <si>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</si>
  <si>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</si>
  <si>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</si>
  <si>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</si>
  <si>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</si>
  <si>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</si>
  <si>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</si>
  <si>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</si>
  <si>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</si>
  <si>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</si>
  <si>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</si>
  <si>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</si>
  <si>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</si>
  <si>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</si>
  <si>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</si>
  <si>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LGE-339133-Computer Eq ECR 2006</t>
  </si>
  <si>
    <t>LGE-339140-Security Equipment</t>
  </si>
  <si>
    <t>LGE-339200-Cars and Light Trucks</t>
  </si>
  <si>
    <t>LGE-339210-Heavy Trucks and Other</t>
  </si>
  <si>
    <t>LGE-339220-Trans Equip-Trailers</t>
  </si>
  <si>
    <t>LGE-339300-Stores Equipment</t>
  </si>
  <si>
    <t>LGE-339400-Tools, Shop, Garage Equi</t>
  </si>
  <si>
    <t>LGE-339500-Laboratory Equipment</t>
  </si>
  <si>
    <t>LGE-339610-Power Op Equip- Lg Mach</t>
  </si>
  <si>
    <t>LGE-339620-Power Op Equip - Other</t>
  </si>
  <si>
    <t>LGE-339700-KY Microwave,Fiber,Other</t>
  </si>
  <si>
    <t>LGE-339710- Radios and Telephone</t>
  </si>
  <si>
    <t>LGE-339800-Miscellaneous Equipment</t>
  </si>
  <si>
    <t>LGE-339915-ARO Cost Common (L/B)</t>
  </si>
  <si>
    <t>Non-Utility Property</t>
  </si>
  <si>
    <t>LGE-312101-Nonutility Prop - Coal L</t>
  </si>
  <si>
    <t>LGE-312103-Nonutility-Coal Rts of W</t>
  </si>
  <si>
    <t>LGE-312104-Nonutility Prop - Misc L</t>
  </si>
  <si>
    <t>LGE-312102-Nonutility-Coal Mineral</t>
  </si>
  <si>
    <t>LGE-312192-Nonutility Cars &amp; Trucks</t>
  </si>
  <si>
    <t>Total Common Depreciation Reserves</t>
  </si>
  <si>
    <t>LGE-330100-Common Intangible Plant</t>
  </si>
  <si>
    <t>LGE-330200-Franchises and Consents</t>
  </si>
  <si>
    <t>LGE-330300-Misc Intang Plant-Softwa</t>
  </si>
  <si>
    <t>LGE-330310-CCS Software</t>
  </si>
  <si>
    <t>LGE-330320-Law Library</t>
  </si>
  <si>
    <t>Total Common Amortization Reserves</t>
  </si>
  <si>
    <t>TOTAL KENTUCKY RESERVES</t>
  </si>
  <si>
    <t>RESERVE FOR DEPRECIATION AND AMORTIZATION OF PLANT IN SERVICE - INDIANA - REGULATORY ACCOUNTING</t>
  </si>
  <si>
    <t>LGE-136200- IN Elect Dist Substati</t>
  </si>
  <si>
    <t>LGE-135010- IN Elec Transmission -</t>
  </si>
  <si>
    <t>LGE-135020-IN Electric  Trans</t>
  </si>
  <si>
    <t>LGE-135210- IN Elec Transmission -</t>
  </si>
  <si>
    <t>LGE-135310- IN Elec Transmission -</t>
  </si>
  <si>
    <t>LGE-135400- IN Elec Transmission -</t>
  </si>
  <si>
    <t>LGE-135500- IN Elec Transmission -</t>
  </si>
  <si>
    <t>LGE-135600- IN Elec Transmission -</t>
  </si>
  <si>
    <t>LGE-235140- IN Gas Storage Undergr</t>
  </si>
  <si>
    <t>LGE-235240- IN Gas Storage Undergrd</t>
  </si>
  <si>
    <t>LGE-235250- IN AROP Gas Stor UG</t>
  </si>
  <si>
    <t>LGE-235255- IN Gas Stor UG</t>
  </si>
  <si>
    <t>LGE-235300- IN Gas Storage Undergrd</t>
  </si>
  <si>
    <t>LGE-235700- IN Gas Storage Undergrd</t>
  </si>
  <si>
    <t>LGE-339700-IN Microwave,Fiber,Other</t>
  </si>
  <si>
    <t>TOTAL INDIANA RESERVES</t>
  </si>
  <si>
    <t>SUMMARY OF UTILITY PLANT - FINANCIAL ACCOUNTING - Including 254 Balances</t>
  </si>
  <si>
    <t xml:space="preserve"> RESERVE FOR DEPRECIATION AND AMORTIZATION OF ELECTRIC PLANT IN SERVICE - FINANCIAL ACCOUNTING - Including 254 Balances</t>
  </si>
  <si>
    <t xml:space="preserve">LGE-136020-Elect. Dist. Substation </t>
  </si>
  <si>
    <t xml:space="preserve">LGE-136025-Elect. Dist. Substation </t>
  </si>
  <si>
    <t xml:space="preserve">LGE-136200- Elect. Dist. Substation </t>
  </si>
  <si>
    <t xml:space="preserve">LGE-136205-Elect. Dist. Substation </t>
  </si>
  <si>
    <t xml:space="preserve">LGE-136400-Electric Distribution - </t>
  </si>
  <si>
    <t xml:space="preserve">LGE-136500-Electric Distribution - </t>
  </si>
  <si>
    <t xml:space="preserve">LGE-136600-Electric Distribution - </t>
  </si>
  <si>
    <t xml:space="preserve">LGE-136700-Electric Distribution - </t>
  </si>
  <si>
    <t xml:space="preserve">LGE-136910-Electric Distribution - </t>
  </si>
  <si>
    <t xml:space="preserve">LGE-136920-Electric Distribution - </t>
  </si>
  <si>
    <t>LGE-137001-AMS Meters</t>
  </si>
  <si>
    <t>LGE-137020-Meters CT and PT</t>
  </si>
  <si>
    <t xml:space="preserve">LGE-137310-Electric Distribution - </t>
  </si>
  <si>
    <t xml:space="preserve">LGE-137320-Electric Distribution - </t>
  </si>
  <si>
    <t xml:space="preserve">LGE-137340-Electric Dist. - Street </t>
  </si>
  <si>
    <t xml:space="preserve">LGE-139400-Tools, Shop, and Garage </t>
  </si>
  <si>
    <t>LGE-139720-DSM Equipment</t>
  </si>
  <si>
    <t>LGE-134020-Waterside - Land</t>
  </si>
  <si>
    <t xml:space="preserve">LGE-134100-Cane Run - Structures &amp; </t>
  </si>
  <si>
    <t>LGE-134200-Cane Run - Fuel Holders,</t>
  </si>
  <si>
    <t>LGE-134400-Cane Run - Generators</t>
  </si>
  <si>
    <t>LGE-134500-Cane Run - Accessory Ele</t>
  </si>
  <si>
    <t xml:space="preserve">LGE-134500-EWB 6 Acessory Electric </t>
  </si>
  <si>
    <t xml:space="preserve">LGE-134500-EWB 7 Acessory Electric </t>
  </si>
  <si>
    <t xml:space="preserve">LGE-134500-TC 5 Accessory Electric </t>
  </si>
  <si>
    <t xml:space="preserve">LGE-134500-TC 6 Accessory Electric </t>
  </si>
  <si>
    <t xml:space="preserve">LGE-134500-TC 7 Accessory Electric </t>
  </si>
  <si>
    <t xml:space="preserve">LGE-134500-TC 8 Accessory Electric </t>
  </si>
  <si>
    <t xml:space="preserve">LGE-134600-TC 10 Misc. Power Plant </t>
  </si>
  <si>
    <t xml:space="preserve">LGE-134600-Waterside - Misc. Power </t>
  </si>
  <si>
    <t>LGE-131020-Steam - Land</t>
  </si>
  <si>
    <t>LGE-131025-Steam - Land ECR 2005</t>
  </si>
  <si>
    <t xml:space="preserve">LGE-131100-MC Unit 4 Struc </t>
  </si>
  <si>
    <t>LGE-131101-AROP TC 2 Struct ECR 2009</t>
  </si>
  <si>
    <t>LGE-131105Dist Drive - Future Use</t>
  </si>
  <si>
    <t xml:space="preserve">LGE-131200-CR Unit 6 Boil </t>
  </si>
  <si>
    <t xml:space="preserve">LGE-131200-CR6 SO2 Boil </t>
  </si>
  <si>
    <t>LGE-131200-TC 1 Futue Use - 105</t>
  </si>
  <si>
    <t>LGE131500-Mill Crk #4 SO2 ECR 2011</t>
  </si>
  <si>
    <t>LGE-131501-AROP Cane Run Unit 4 Accessor</t>
  </si>
  <si>
    <t>LGE-131501-AROP Cane Run Unit 5 Accessor</t>
  </si>
  <si>
    <t>LGE-131501-AROP Cane Run Unit 6 Accessor</t>
  </si>
  <si>
    <t>LGE-131501-AROP MC 1 Accessor</t>
  </si>
  <si>
    <t>LGE-131501-AROP MC 2 Accessor</t>
  </si>
  <si>
    <t>LGE-131501-AROP MC 3 Accessor</t>
  </si>
  <si>
    <t>LGE-131501-AROP MC 4 Accessor</t>
  </si>
  <si>
    <t>LGE-131501-AROP TC 1 Accessor</t>
  </si>
  <si>
    <t>LGE-131600-Distributution Drive ECR 2011</t>
  </si>
  <si>
    <t>LGE-131600-Distributution Drive</t>
  </si>
  <si>
    <t>LGE-131600-Mill Crk #4 SO2 ECR 2011</t>
  </si>
  <si>
    <t xml:space="preserve">LGE-131600-Mill Creek Unit 2 Misc. </t>
  </si>
  <si>
    <t xml:space="preserve">LGE-131600-Mill Creek Unit 3 Misc. </t>
  </si>
  <si>
    <t xml:space="preserve">LGE-131600-Mill Creek Unit 4 Misc. </t>
  </si>
  <si>
    <t xml:space="preserve">LGE-135010- Electric Transmission - </t>
  </si>
  <si>
    <t xml:space="preserve">LGE-135020-Electric Transmission - </t>
  </si>
  <si>
    <t xml:space="preserve">LGE-135210- Electric Transmission - </t>
  </si>
  <si>
    <t>LGE-135210-TC Unit 1 - Trans Sub</t>
  </si>
  <si>
    <t xml:space="preserve">LGE-135310- Electric Transmission - </t>
  </si>
  <si>
    <t xml:space="preserve">LGE-135400- Electric Transmission - </t>
  </si>
  <si>
    <t xml:space="preserve">LGE-135500- Electric Transmission - </t>
  </si>
  <si>
    <t xml:space="preserve">LGE-135600- Electric Transmission - </t>
  </si>
  <si>
    <t xml:space="preserve">LGE-135700-Electric Transmission - </t>
  </si>
  <si>
    <t xml:space="preserve">LGE-135800-Electric Transmission - </t>
  </si>
  <si>
    <t xml:space="preserve">LGE-237510-Gas Distribution - City </t>
  </si>
  <si>
    <t>LGE-237610-Mains</t>
  </si>
  <si>
    <t xml:space="preserve">LGE-237900-Gas Distribution - City </t>
  </si>
  <si>
    <t>LGE-238010-Gas Line Tracker Service</t>
  </si>
  <si>
    <t xml:space="preserve">LGE-239400-Tools, Shop, and Garage </t>
  </si>
  <si>
    <t>LGE-239720-DSM Equipment</t>
  </si>
  <si>
    <t xml:space="preserve">LGE-235010-Gas Storage Underground </t>
  </si>
  <si>
    <t xml:space="preserve">LGE-235020-Gas Storage Underground </t>
  </si>
  <si>
    <t xml:space="preserve">LGE-235140- Gas Storage Underground </t>
  </si>
  <si>
    <t xml:space="preserve">LGE-235220-Gas Storage Underground </t>
  </si>
  <si>
    <t xml:space="preserve">LGE-235230-Gas Storage Undg. - Non </t>
  </si>
  <si>
    <t xml:space="preserve">LGE-235240- Gas Storage Underground </t>
  </si>
  <si>
    <t xml:space="preserve">LGE-235250- AROP Gas Storage Underground </t>
  </si>
  <si>
    <t xml:space="preserve">LGE-235255- Gas Storage Underground </t>
  </si>
  <si>
    <t>LGE-235300- Gas Storage Undergroun</t>
  </si>
  <si>
    <t xml:space="preserve">LGE-235700- Gas Storage Underground </t>
  </si>
  <si>
    <t xml:space="preserve">LGE-236520-Gas Transmission Rights </t>
  </si>
  <si>
    <t>LGE-339010-Str LGE BLDG - Joint Use</t>
  </si>
  <si>
    <t>LGE-339010-Struct Broad.-Joint Use</t>
  </si>
  <si>
    <t>LGE-339210-Trans Equip-Heavy Trucks and Other</t>
  </si>
  <si>
    <t xml:space="preserve">LGE-339220-Trans Equip-Trailers </t>
  </si>
  <si>
    <t>LGE-339700-Microwave,Fiber,Other</t>
  </si>
  <si>
    <t xml:space="preserve">LGE-312102-Nonutility-Coal Mineral </t>
  </si>
  <si>
    <t xml:space="preserve">LGE-330100-Common Intangible Plant </t>
  </si>
  <si>
    <t>DECEMBER 2017</t>
  </si>
  <si>
    <t>ARO Settlements (Gross)</t>
  </si>
  <si>
    <t>ARO Purchase Accounting Adjustments</t>
  </si>
  <si>
    <t>Transfers from 101 and 108 to 182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</si>
</sst>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9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0"/>
      <color rgb="FF7030A0"/>
      <name val="Arial"/>
      <family val="2"/>
    </font>
    <font>
      <b/>
      <i/>
      <sz val="10"/>
      <color theme="7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name val="Arial"/>
      <family val="2"/>
    </font>
    <font>
      <sz val="10"/>
      <color rgb="FF1A1A1A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i/>
      <sz val="10"/>
      <name val="Times New Roman"/>
      <family val="1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1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3" fontId="5" fillId="0" borderId="0" xfId="1" applyFont="1" applyFill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1" applyFont="1" applyFill="1"/>
    <xf numFmtId="43" fontId="0" fillId="0" borderId="1" xfId="1" applyFont="1" applyFill="1" applyBorder="1"/>
    <xf numFmtId="43" fontId="0" fillId="0" borderId="0" xfId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0" fillId="0" borderId="2" xfId="1" applyFont="1" applyFill="1" applyBorder="1"/>
    <xf numFmtId="43" fontId="0" fillId="0" borderId="3" xfId="1" applyFont="1" applyFill="1" applyBorder="1"/>
    <xf numFmtId="0" fontId="4" fillId="0" borderId="0" xfId="0" applyFont="1" applyFill="1"/>
    <xf numFmtId="44" fontId="3" fillId="0" borderId="0" xfId="0" applyNumberFormat="1" applyFont="1" applyFill="1" applyAlignment="1">
      <alignment horizontal="center"/>
    </xf>
    <xf numFmtId="43" fontId="0" fillId="0" borderId="4" xfId="1" applyFont="1" applyFill="1" applyBorder="1"/>
    <xf numFmtId="0" fontId="2" fillId="0" borderId="0" xfId="0" quotePrefix="1" applyFont="1" applyFill="1"/>
    <xf numFmtId="0" fontId="6" fillId="0" borderId="0" xfId="0" applyFont="1" applyFill="1"/>
    <xf numFmtId="43" fontId="4" fillId="0" borderId="4" xfId="1" applyFont="1" applyFill="1" applyBorder="1"/>
    <xf numFmtId="43" fontId="6" fillId="0" borderId="0" xfId="1" applyFont="1" applyFill="1"/>
    <xf numFmtId="44" fontId="0" fillId="0" borderId="0" xfId="2" applyFont="1" applyFill="1"/>
    <xf numFmtId="0" fontId="0" fillId="0" borderId="0" xfId="0" applyFill="1" applyBorder="1"/>
    <xf numFmtId="43" fontId="4" fillId="0" borderId="0" xfId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0" applyNumberFormat="1" applyFill="1" applyBorder="1"/>
    <xf numFmtId="43" fontId="4" fillId="0" borderId="0" xfId="1" applyFont="1" applyFill="1"/>
    <xf numFmtId="43" fontId="0" fillId="0" borderId="0" xfId="0" applyNumberFormat="1" applyFill="1" applyBorder="1"/>
    <xf numFmtId="43" fontId="0" fillId="0" borderId="0" xfId="0" applyNumberFormat="1" applyFill="1"/>
    <xf numFmtId="0" fontId="3" fillId="0" borderId="0" xfId="0" quotePrefix="1" applyFont="1" applyFill="1" applyAlignment="1">
      <alignment horizontal="center"/>
    </xf>
    <xf numFmtId="43" fontId="0" fillId="0" borderId="5" xfId="1" applyFont="1" applyFill="1" applyBorder="1"/>
    <xf numFmtId="43" fontId="8" fillId="0" borderId="0" xfId="1" applyFont="1" applyFill="1"/>
    <xf numFmtId="44" fontId="8" fillId="0" borderId="0" xfId="3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3" fillId="0" borderId="0" xfId="0" applyFont="1" applyFill="1"/>
    <xf numFmtId="44" fontId="3" fillId="0" borderId="0" xfId="3" applyNumberFormat="1" applyFont="1" applyFill="1" applyAlignment="1">
      <alignment horizontal="center"/>
    </xf>
    <xf numFmtId="43" fontId="3" fillId="0" borderId="0" xfId="1" quotePrefix="1" applyFont="1" applyFill="1" applyAlignment="1">
      <alignment horizontal="left"/>
    </xf>
    <xf numFmtId="43" fontId="9" fillId="0" borderId="0" xfId="1" quotePrefix="1" applyFont="1" applyFill="1" applyAlignment="1">
      <alignment horizontal="center"/>
    </xf>
    <xf numFmtId="43" fontId="3" fillId="0" borderId="1" xfId="1" applyFont="1" applyFill="1" applyBorder="1"/>
    <xf numFmtId="44" fontId="8" fillId="0" borderId="0" xfId="3" applyNumberFormat="1" applyFont="1" applyFill="1"/>
    <xf numFmtId="44" fontId="3" fillId="0" borderId="0" xfId="3" applyNumberFormat="1" applyFont="1" applyFill="1"/>
    <xf numFmtId="44" fontId="3" fillId="0" borderId="0" xfId="3" quotePrefix="1" applyNumberFormat="1" applyFont="1" applyFill="1" applyAlignment="1">
      <alignment horizontal="center"/>
    </xf>
    <xf numFmtId="44" fontId="0" fillId="0" borderId="0" xfId="0" applyNumberFormat="1" applyFill="1"/>
    <xf numFmtId="44" fontId="2" fillId="0" borderId="0" xfId="0" quotePrefix="1" applyNumberFormat="1" applyFont="1" applyFill="1" applyAlignment="1">
      <alignment horizontal="left"/>
    </xf>
    <xf numFmtId="44" fontId="0" fillId="0" borderId="0" xfId="0" quotePrefix="1" applyNumberFormat="1" applyFill="1" applyAlignment="1">
      <alignment horizontal="left"/>
    </xf>
    <xf numFmtId="43" fontId="3" fillId="0" borderId="0" xfId="1" applyFont="1" applyFill="1" applyBorder="1"/>
    <xf numFmtId="44" fontId="2" fillId="0" borderId="0" xfId="0" applyNumberFormat="1" applyFont="1" applyFill="1"/>
    <xf numFmtId="44" fontId="3" fillId="0" borderId="0" xfId="3" quotePrefix="1" applyNumberFormat="1" applyFont="1" applyFill="1" applyAlignment="1">
      <alignment horizontal="left"/>
    </xf>
    <xf numFmtId="44" fontId="10" fillId="0" borderId="6" xfId="0" applyNumberFormat="1" applyFont="1" applyFill="1" applyBorder="1"/>
    <xf numFmtId="44" fontId="10" fillId="0" borderId="7" xfId="0" applyNumberFormat="1" applyFont="1" applyFill="1" applyBorder="1"/>
    <xf numFmtId="44" fontId="10" fillId="0" borderId="8" xfId="0" applyNumberFormat="1" applyFont="1" applyFill="1" applyBorder="1"/>
    <xf numFmtId="0" fontId="10" fillId="0" borderId="9" xfId="0" applyFont="1" applyFill="1" applyBorder="1"/>
    <xf numFmtId="44" fontId="10" fillId="0" borderId="0" xfId="0" applyNumberFormat="1" applyFont="1" applyFill="1" applyBorder="1"/>
    <xf numFmtId="44" fontId="10" fillId="0" borderId="0" xfId="0" applyNumberFormat="1" applyFont="1" applyFill="1" applyBorder="1" applyAlignment="1">
      <alignment horizontal="right"/>
    </xf>
    <xf numFmtId="44" fontId="10" fillId="0" borderId="10" xfId="0" applyNumberFormat="1" applyFont="1" applyFill="1" applyBorder="1"/>
    <xf numFmtId="44" fontId="10" fillId="0" borderId="9" xfId="0" applyNumberFormat="1" applyFont="1" applyFill="1" applyBorder="1"/>
    <xf numFmtId="44" fontId="10" fillId="0" borderId="5" xfId="0" applyNumberFormat="1" applyFont="1" applyFill="1" applyBorder="1"/>
    <xf numFmtId="44" fontId="10" fillId="0" borderId="9" xfId="0" applyNumberFormat="1" applyFont="1" applyFill="1" applyBorder="1" applyAlignment="1">
      <alignment horizontal="right"/>
    </xf>
    <xf numFmtId="9" fontId="10" fillId="0" borderId="0" xfId="0" applyNumberFormat="1" applyFont="1" applyFill="1" applyBorder="1"/>
    <xf numFmtId="44" fontId="10" fillId="0" borderId="11" xfId="0" applyNumberFormat="1" applyFont="1" applyFill="1" applyBorder="1"/>
    <xf numFmtId="44" fontId="10" fillId="0" borderId="12" xfId="0" applyNumberFormat="1" applyFont="1" applyFill="1" applyBorder="1"/>
    <xf numFmtId="44" fontId="10" fillId="0" borderId="13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43" fontId="4" fillId="0" borderId="0" xfId="1" applyFont="1" applyFill="1" applyBorder="1"/>
    <xf numFmtId="43" fontId="4" fillId="0" borderId="0" xfId="0" applyNumberFormat="1" applyFont="1" applyFill="1"/>
    <xf numFmtId="43" fontId="4" fillId="0" borderId="14" xfId="0" applyNumberFormat="1" applyFont="1" applyFill="1" applyBorder="1"/>
    <xf numFmtId="43" fontId="4" fillId="0" borderId="0" xfId="0" applyNumberFormat="1" applyFont="1" applyFill="1" applyBorder="1"/>
    <xf numFmtId="0" fontId="4" fillId="0" borderId="0" xfId="0" applyNumberFormat="1" applyFont="1" applyFill="1" applyAlignment="1">
      <alignment horizontal="left"/>
    </xf>
    <xf numFmtId="43" fontId="4" fillId="0" borderId="3" xfId="1" applyFont="1" applyFill="1" applyBorder="1"/>
    <xf numFmtId="43" fontId="4" fillId="0" borderId="15" xfId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43" fontId="4" fillId="0" borderId="0" xfId="4" applyNumberFormat="1" applyFont="1" applyFill="1"/>
    <xf numFmtId="8" fontId="4" fillId="0" borderId="0" xfId="0" applyNumberFormat="1" applyFont="1" applyFill="1"/>
    <xf numFmtId="43" fontId="0" fillId="0" borderId="5" xfId="0" applyNumberFormat="1" applyFill="1" applyBorder="1"/>
    <xf numFmtId="0" fontId="4" fillId="0" borderId="0" xfId="0" applyNumberFormat="1" applyFont="1" applyFill="1" applyAlignment="1">
      <alignment horizontal="left" indent="1"/>
    </xf>
    <xf numFmtId="44" fontId="4" fillId="0" borderId="0" xfId="2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left"/>
    </xf>
    <xf numFmtId="44" fontId="4" fillId="0" borderId="0" xfId="0" applyNumberFormat="1" applyFont="1" applyFill="1"/>
    <xf numFmtId="0" fontId="4" fillId="0" borderId="0" xfId="0" applyNumberFormat="1" applyFont="1" applyFill="1" applyAlignment="1">
      <alignment horizontal="left" indent="2"/>
    </xf>
    <xf numFmtId="43" fontId="4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0" xfId="0" quotePrefix="1" applyFont="1" applyFill="1" applyAlignment="1"/>
    <xf numFmtId="164" fontId="2" fillId="0" borderId="0" xfId="0" applyNumberFormat="1" applyFont="1" applyFill="1" applyAlignment="1"/>
    <xf numFmtId="43" fontId="2" fillId="0" borderId="0" xfId="1" applyFont="1" applyFill="1"/>
    <xf numFmtId="43" fontId="11" fillId="0" borderId="0" xfId="1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left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4" fillId="0" borderId="2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quotePrefix="1" applyNumberFormat="1" applyFont="1" applyFill="1" applyAlignment="1">
      <alignment horizontal="left"/>
    </xf>
    <xf numFmtId="43" fontId="2" fillId="0" borderId="3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43" fontId="0" fillId="0" borderId="0" xfId="1" quotePrefix="1" applyFont="1" applyFill="1"/>
    <xf numFmtId="164" fontId="4" fillId="0" borderId="0" xfId="0" quotePrefix="1" applyNumberFormat="1" applyFont="1" applyFill="1" applyAlignment="1">
      <alignment horizontal="center"/>
    </xf>
    <xf numFmtId="0" fontId="12" fillId="0" borderId="0" xfId="0" applyFont="1" applyFill="1"/>
    <xf numFmtId="0" fontId="4" fillId="0" borderId="0" xfId="4" applyFont="1" applyFill="1"/>
    <xf numFmtId="164" fontId="4" fillId="0" borderId="0" xfId="4" quotePrefix="1" applyNumberFormat="1" applyFont="1" applyFill="1" applyAlignment="1">
      <alignment horizontal="center"/>
    </xf>
    <xf numFmtId="17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" fontId="14" fillId="0" borderId="0" xfId="0" quotePrefix="1" applyNumberFormat="1" applyFont="1" applyFill="1"/>
    <xf numFmtId="43" fontId="14" fillId="0" borderId="0" xfId="1" applyFont="1" applyFill="1"/>
    <xf numFmtId="0" fontId="14" fillId="0" borderId="0" xfId="0" applyFont="1" applyFill="1" applyProtection="1">
      <protection locked="0"/>
    </xf>
    <xf numFmtId="0" fontId="0" fillId="0" borderId="20" xfId="0" applyFill="1" applyBorder="1"/>
    <xf numFmtId="44" fontId="0" fillId="0" borderId="0" xfId="2" applyFont="1" applyFill="1" applyBorder="1"/>
    <xf numFmtId="43" fontId="4" fillId="0" borderId="0" xfId="1" applyFill="1" applyBorder="1"/>
    <xf numFmtId="43" fontId="0" fillId="0" borderId="1" xfId="0" applyNumberFormat="1" applyFill="1" applyBorder="1"/>
    <xf numFmtId="0" fontId="14" fillId="0" borderId="0" xfId="0" applyFont="1" applyFill="1" applyBorder="1" applyProtection="1">
      <protection locked="0"/>
    </xf>
    <xf numFmtId="43" fontId="4" fillId="0" borderId="0" xfId="1" applyFill="1"/>
    <xf numFmtId="43" fontId="4" fillId="0" borderId="0" xfId="1" applyNumberFormat="1" applyFill="1" applyBorder="1"/>
    <xf numFmtId="0" fontId="0" fillId="0" borderId="0" xfId="0" applyFont="1" applyFill="1" applyBorder="1"/>
    <xf numFmtId="0" fontId="0" fillId="0" borderId="0" xfId="0" quotePrefix="1" applyFill="1" applyAlignment="1">
      <alignment horizontal="left"/>
    </xf>
    <xf numFmtId="43" fontId="0" fillId="0" borderId="0" xfId="1" applyNumberFormat="1" applyFont="1" applyFill="1" applyBorder="1"/>
    <xf numFmtId="43" fontId="4" fillId="0" borderId="5" xfId="1" applyFill="1" applyBorder="1"/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2" applyFill="1"/>
    <xf numFmtId="44" fontId="4" fillId="0" borderId="0" xfId="2" applyFill="1" applyBorder="1"/>
    <xf numFmtId="43" fontId="4" fillId="0" borderId="1" xfId="1" applyFont="1" applyFill="1" applyBorder="1"/>
    <xf numFmtId="43" fontId="4" fillId="0" borderId="2" xfId="1" applyFill="1" applyBorder="1"/>
    <xf numFmtId="43" fontId="4" fillId="0" borderId="1" xfId="1" applyFill="1" applyBorder="1"/>
    <xf numFmtId="0" fontId="4" fillId="0" borderId="0" xfId="0" applyFont="1" applyFill="1" applyAlignment="1">
      <alignment vertical="center"/>
    </xf>
    <xf numFmtId="43" fontId="4" fillId="0" borderId="0" xfId="1" applyNumberFormat="1" applyFill="1"/>
    <xf numFmtId="43" fontId="4" fillId="0" borderId="5" xfId="1" applyNumberFormat="1" applyFill="1" applyBorder="1"/>
    <xf numFmtId="43" fontId="4" fillId="0" borderId="0" xfId="2" applyNumberFormat="1" applyFill="1"/>
    <xf numFmtId="43" fontId="4" fillId="0" borderId="0" xfId="2" applyNumberFormat="1" applyFill="1" applyBorder="1"/>
    <xf numFmtId="43" fontId="4" fillId="0" borderId="0" xfId="1" applyNumberFormat="1" applyFont="1" applyFill="1" applyBorder="1"/>
    <xf numFmtId="43" fontId="0" fillId="0" borderId="0" xfId="1" applyNumberFormat="1" applyFont="1" applyFill="1"/>
    <xf numFmtId="43" fontId="0" fillId="0" borderId="5" xfId="1" applyNumberFormat="1" applyFont="1" applyFill="1" applyBorder="1"/>
    <xf numFmtId="0" fontId="2" fillId="0" borderId="0" xfId="0" quotePrefix="1" applyFont="1" applyFill="1" applyAlignment="1">
      <alignment horizontal="left"/>
    </xf>
    <xf numFmtId="43" fontId="4" fillId="0" borderId="2" xfId="1" applyNumberFormat="1" applyFill="1" applyBorder="1"/>
    <xf numFmtId="0" fontId="0" fillId="0" borderId="20" xfId="0" quotePrefix="1" applyFill="1" applyBorder="1" applyAlignment="1">
      <alignment horizontal="left"/>
    </xf>
    <xf numFmtId="39" fontId="0" fillId="0" borderId="0" xfId="0" applyNumberFormat="1" applyFill="1"/>
    <xf numFmtId="0" fontId="4" fillId="0" borderId="20" xfId="0" quotePrefix="1" applyFont="1" applyFill="1" applyBorder="1" applyAlignment="1">
      <alignment horizontal="left"/>
    </xf>
    <xf numFmtId="43" fontId="4" fillId="0" borderId="3" xfId="1" applyFill="1" applyBorder="1"/>
    <xf numFmtId="0" fontId="4" fillId="0" borderId="0" xfId="0" quotePrefix="1" applyFont="1" applyFill="1" applyAlignment="1">
      <alignment horizontal="left" vertical="center"/>
    </xf>
    <xf numFmtId="44" fontId="0" fillId="0" borderId="1" xfId="0" applyNumberFormat="1" applyFill="1" applyBorder="1"/>
    <xf numFmtId="44" fontId="0" fillId="0" borderId="3" xfId="0" applyNumberFormat="1" applyFill="1" applyBorder="1"/>
    <xf numFmtId="44" fontId="4" fillId="0" borderId="0" xfId="0" quotePrefix="1" applyNumberFormat="1" applyFont="1" applyFill="1" applyAlignment="1">
      <alignment horizontal="left"/>
    </xf>
    <xf numFmtId="44" fontId="0" fillId="0" borderId="5" xfId="0" applyNumberFormat="1" applyFill="1" applyBorder="1"/>
    <xf numFmtId="9" fontId="0" fillId="0" borderId="0" xfId="0" applyNumberFormat="1" applyFill="1"/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center"/>
    </xf>
    <xf numFmtId="0" fontId="17" fillId="0" borderId="19" xfId="0" applyFont="1" applyFill="1" applyBorder="1"/>
    <xf numFmtId="0" fontId="0" fillId="0" borderId="0" xfId="0" applyNumberFormat="1" applyFill="1"/>
    <xf numFmtId="43" fontId="4" fillId="0" borderId="5" xfId="1" applyFont="1" applyFill="1" applyBorder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0" xfId="0" applyFont="1" applyFill="1"/>
    <xf numFmtId="43" fontId="14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3" fontId="14" fillId="0" borderId="1" xfId="1" applyFont="1" applyFill="1" applyBorder="1" applyAlignment="1">
      <alignment horizontal="center"/>
    </xf>
    <xf numFmtId="43" fontId="15" fillId="0" borderId="0" xfId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quotePrefix="1" applyFont="1" applyFill="1" applyAlignment="1">
      <alignment horizontal="left"/>
    </xf>
    <xf numFmtId="43" fontId="14" fillId="0" borderId="0" xfId="1" applyFont="1" applyFill="1" applyBorder="1"/>
    <xf numFmtId="0" fontId="14" fillId="0" borderId="0" xfId="0" applyNumberFormat="1" applyFont="1" applyFill="1"/>
    <xf numFmtId="43" fontId="14" fillId="0" borderId="3" xfId="1" applyFont="1" applyFill="1" applyBorder="1"/>
    <xf numFmtId="0" fontId="14" fillId="0" borderId="3" xfId="0" applyFont="1" applyFill="1" applyBorder="1"/>
    <xf numFmtId="0" fontId="14" fillId="0" borderId="0" xfId="0" applyFont="1" applyFill="1" applyBorder="1"/>
    <xf numFmtId="17" fontId="14" fillId="0" borderId="0" xfId="0" quotePrefix="1" applyNumberFormat="1" applyFont="1" applyFill="1"/>
    <xf numFmtId="0" fontId="16" fillId="0" borderId="0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43" fontId="4" fillId="0" borderId="0" xfId="0" quotePrefix="1" applyNumberFormat="1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quotePrefix="1" applyFont="1" applyFill="1" applyAlignment="1" applyProtection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3" xfId="4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6"/>
  <sheetViews>
    <sheetView tabSelected="1" zoomScaleNormal="100" workbookViewId="0">
      <selection sqref="A1:N1"/>
    </sheetView>
  </sheetViews>
  <sheetFormatPr defaultRowHeight="12.75" x14ac:dyDescent="0.2"/>
  <cols>
    <col min="1" max="1" width="5" style="13" customWidth="1"/>
    <col min="2" max="2" width="8.140625" style="9" customWidth="1"/>
    <col min="3" max="3" width="29" style="3" customWidth="1"/>
    <col min="4" max="4" width="19.42578125" style="3" bestFit="1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7109375" style="3" customWidth="1"/>
    <col min="14" max="14" width="19.28515625" style="3" customWidth="1"/>
    <col min="15" max="15" width="2.7109375" style="1" customWidth="1"/>
    <col min="16" max="16" width="12.85546875" style="2" bestFit="1" customWidth="1"/>
    <col min="17" max="17" width="11.28515625" style="3" bestFit="1" customWidth="1"/>
    <col min="18" max="16384" width="9.140625" style="3"/>
  </cols>
  <sheetData>
    <row r="1" spans="1:25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5" x14ac:dyDescent="0.2">
      <c r="A2" s="200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25" x14ac:dyDescent="0.2">
      <c r="A3" s="201" t="s">
        <v>3721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25" x14ac:dyDescent="0.2">
      <c r="A4" s="4"/>
      <c r="B4" s="14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5" x14ac:dyDescent="0.2">
      <c r="A5" s="4"/>
      <c r="B5" s="14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2" t="s">
        <v>2</v>
      </c>
    </row>
    <row r="6" spans="1:25" x14ac:dyDescent="0.2">
      <c r="A6" s="4"/>
      <c r="B6" s="145"/>
      <c r="C6" s="5"/>
      <c r="D6" s="7" t="s">
        <v>3</v>
      </c>
      <c r="E6" s="6"/>
      <c r="F6" s="6"/>
      <c r="G6" s="6"/>
      <c r="H6" s="6"/>
      <c r="I6" s="6"/>
      <c r="J6" s="7" t="s">
        <v>4</v>
      </c>
      <c r="K6" s="6"/>
      <c r="L6" s="6"/>
      <c r="M6" s="6"/>
      <c r="N6" s="7" t="s">
        <v>5</v>
      </c>
      <c r="P6" s="2" t="s">
        <v>6</v>
      </c>
    </row>
    <row r="7" spans="1:25" s="9" customFormat="1" x14ac:dyDescent="0.2">
      <c r="A7" s="8"/>
      <c r="D7" s="11" t="s">
        <v>7</v>
      </c>
      <c r="E7" s="10"/>
      <c r="F7" s="11" t="s">
        <v>8</v>
      </c>
      <c r="G7" s="10"/>
      <c r="H7" s="11" t="s">
        <v>9</v>
      </c>
      <c r="I7" s="10"/>
      <c r="J7" s="11" t="s">
        <v>10</v>
      </c>
      <c r="K7" s="10"/>
      <c r="L7" s="11" t="s">
        <v>11</v>
      </c>
      <c r="M7" s="10"/>
      <c r="N7" s="11" t="s">
        <v>7</v>
      </c>
      <c r="O7" s="1"/>
      <c r="P7" s="12">
        <v>200</v>
      </c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13">
        <v>101</v>
      </c>
      <c r="B8" s="9" t="s">
        <v>12</v>
      </c>
    </row>
    <row r="9" spans="1:25" x14ac:dyDescent="0.2">
      <c r="B9" s="9" t="s">
        <v>13</v>
      </c>
    </row>
    <row r="10" spans="1:25" x14ac:dyDescent="0.2">
      <c r="C10" s="3" t="s">
        <v>14</v>
      </c>
      <c r="D10" s="14">
        <v>150302454.68000001</v>
      </c>
      <c r="E10" s="14"/>
      <c r="F10" s="14">
        <v>14424550.77</v>
      </c>
      <c r="G10" s="14"/>
      <c r="H10" s="14">
        <v>-8421276.8100000005</v>
      </c>
      <c r="I10" s="14"/>
      <c r="J10" s="14">
        <v>0</v>
      </c>
      <c r="K10" s="14"/>
      <c r="L10" s="14">
        <f>F10+H10+J10</f>
        <v>6003273.959999999</v>
      </c>
      <c r="M10" s="14"/>
      <c r="N10" s="14">
        <f>D10+L10</f>
        <v>156305728.64000002</v>
      </c>
      <c r="O10" s="7"/>
    </row>
    <row r="11" spans="1:25" x14ac:dyDescent="0.2">
      <c r="C11" s="3" t="s">
        <v>15</v>
      </c>
      <c r="D11" s="15">
        <v>91755545.50999999</v>
      </c>
      <c r="E11" s="16"/>
      <c r="F11" s="14">
        <v>9409045.7200000007</v>
      </c>
      <c r="G11" s="16"/>
      <c r="H11" s="14">
        <v>-8008540.6900000004</v>
      </c>
      <c r="I11" s="16"/>
      <c r="J11" s="14">
        <v>0</v>
      </c>
      <c r="K11" s="16"/>
      <c r="L11" s="15">
        <f>F11+H11+J11</f>
        <v>1400505.0300000003</v>
      </c>
      <c r="M11" s="16"/>
      <c r="N11" s="15">
        <f>D11+L11</f>
        <v>93156050.539999992</v>
      </c>
      <c r="O11" s="17"/>
    </row>
    <row r="12" spans="1:25" x14ac:dyDescent="0.2">
      <c r="C12" s="18"/>
      <c r="D12" s="16">
        <f>D10+D11</f>
        <v>242058000.19</v>
      </c>
      <c r="E12" s="16"/>
      <c r="F12" s="19">
        <f>F10+F11</f>
        <v>23833596.490000002</v>
      </c>
      <c r="G12" s="16"/>
      <c r="H12" s="19">
        <f>H10+H11</f>
        <v>-16429817.5</v>
      </c>
      <c r="I12" s="16"/>
      <c r="J12" s="19">
        <f>J10+J11</f>
        <v>0</v>
      </c>
      <c r="K12" s="16"/>
      <c r="L12" s="16">
        <f>L10+L11</f>
        <v>7403778.9899999993</v>
      </c>
      <c r="M12" s="16"/>
      <c r="N12" s="16">
        <f>N10+N11</f>
        <v>249461779.18000001</v>
      </c>
      <c r="O12" s="17"/>
      <c r="P12" s="2" t="s">
        <v>16</v>
      </c>
    </row>
    <row r="13" spans="1:25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25" x14ac:dyDescent="0.2">
      <c r="B14" s="9" t="s">
        <v>17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25" x14ac:dyDescent="0.2">
      <c r="C15" s="3" t="s">
        <v>18</v>
      </c>
      <c r="D15" s="16">
        <v>1237247453.3799999</v>
      </c>
      <c r="E15" s="16"/>
      <c r="F15" s="14">
        <v>78890089.560000002</v>
      </c>
      <c r="G15" s="16"/>
      <c r="H15" s="14">
        <v>-14941152</v>
      </c>
      <c r="I15" s="16"/>
      <c r="J15" s="14">
        <v>-934796.77</v>
      </c>
      <c r="K15" s="16"/>
      <c r="L15" s="14">
        <f t="shared" ref="L15:L21" si="0">F15+H15+J15</f>
        <v>63014140.789999999</v>
      </c>
      <c r="M15" s="16"/>
      <c r="N15" s="16">
        <f>D15+L15</f>
        <v>1300261594.1699998</v>
      </c>
      <c r="O15" s="17"/>
    </row>
    <row r="16" spans="1:25" x14ac:dyDescent="0.2">
      <c r="C16" s="3" t="s">
        <v>19</v>
      </c>
      <c r="D16" s="16">
        <v>20032094.799999997</v>
      </c>
      <c r="E16" s="16"/>
      <c r="F16" s="14">
        <v>1558146.64</v>
      </c>
      <c r="G16" s="16"/>
      <c r="H16" s="14">
        <v>-729805.85</v>
      </c>
      <c r="I16" s="16"/>
      <c r="J16" s="14">
        <v>0</v>
      </c>
      <c r="K16" s="16"/>
      <c r="L16" s="14">
        <f t="shared" si="0"/>
        <v>828340.78999999992</v>
      </c>
      <c r="M16" s="16"/>
      <c r="N16" s="16">
        <f t="shared" ref="N16:N21" si="1">D16+L16</f>
        <v>20860435.589999996</v>
      </c>
      <c r="O16" s="17"/>
    </row>
    <row r="17" spans="2:16" x14ac:dyDescent="0.2">
      <c r="C17" s="3" t="s">
        <v>20</v>
      </c>
      <c r="D17" s="16">
        <v>62593968.409999996</v>
      </c>
      <c r="E17" s="16"/>
      <c r="F17" s="14">
        <v>0</v>
      </c>
      <c r="G17" s="16"/>
      <c r="H17" s="14">
        <v>-213911.37</v>
      </c>
      <c r="I17" s="16"/>
      <c r="J17" s="14">
        <v>0</v>
      </c>
      <c r="K17" s="16"/>
      <c r="L17" s="14">
        <f t="shared" si="0"/>
        <v>-213911.37</v>
      </c>
      <c r="M17" s="16"/>
      <c r="N17" s="16">
        <f t="shared" si="1"/>
        <v>62380057.039999999</v>
      </c>
      <c r="O17" s="17"/>
    </row>
    <row r="18" spans="2:16" x14ac:dyDescent="0.2">
      <c r="C18" s="3" t="s">
        <v>21</v>
      </c>
      <c r="D18" s="16">
        <v>2240.29</v>
      </c>
      <c r="E18" s="16"/>
      <c r="F18" s="14">
        <v>0</v>
      </c>
      <c r="G18" s="16"/>
      <c r="H18" s="14">
        <v>0</v>
      </c>
      <c r="I18" s="16"/>
      <c r="J18" s="14">
        <v>0</v>
      </c>
      <c r="K18" s="16"/>
      <c r="L18" s="14">
        <f t="shared" si="0"/>
        <v>0</v>
      </c>
      <c r="M18" s="16"/>
      <c r="N18" s="16">
        <f t="shared" si="1"/>
        <v>2240.29</v>
      </c>
      <c r="O18" s="17"/>
    </row>
    <row r="19" spans="2:16" x14ac:dyDescent="0.2">
      <c r="C19" s="3" t="s">
        <v>22</v>
      </c>
      <c r="D19" s="16">
        <v>365230308.22000003</v>
      </c>
      <c r="E19" s="16"/>
      <c r="F19" s="14">
        <v>20199593.419999998</v>
      </c>
      <c r="G19" s="16"/>
      <c r="H19" s="14">
        <v>-1242800.1399999999</v>
      </c>
      <c r="I19" s="16"/>
      <c r="J19" s="14">
        <v>33884.6</v>
      </c>
      <c r="K19" s="16"/>
      <c r="L19" s="14">
        <f t="shared" si="0"/>
        <v>18990677.879999999</v>
      </c>
      <c r="M19" s="16"/>
      <c r="N19" s="16">
        <f>D19+L19</f>
        <v>384220986.10000002</v>
      </c>
      <c r="O19" s="17"/>
    </row>
    <row r="20" spans="2:16" x14ac:dyDescent="0.2">
      <c r="C20" s="3" t="s">
        <v>23</v>
      </c>
      <c r="D20" s="16">
        <v>1862889344.4099996</v>
      </c>
      <c r="E20" s="16"/>
      <c r="F20" s="14">
        <v>140358982.02000001</v>
      </c>
      <c r="G20" s="16"/>
      <c r="H20" s="14">
        <v>-35554931.539999999</v>
      </c>
      <c r="I20" s="16"/>
      <c r="J20" s="14">
        <v>-9116131.9699999988</v>
      </c>
      <c r="K20" s="16"/>
      <c r="L20" s="14">
        <f t="shared" si="0"/>
        <v>95687918.51000002</v>
      </c>
      <c r="M20" s="16"/>
      <c r="N20" s="16">
        <f t="shared" si="1"/>
        <v>1958577262.9199996</v>
      </c>
      <c r="O20" s="17"/>
    </row>
    <row r="21" spans="2:16" x14ac:dyDescent="0.2">
      <c r="C21" s="3" t="s">
        <v>24</v>
      </c>
      <c r="D21" s="15">
        <v>409476344.40999997</v>
      </c>
      <c r="E21" s="16"/>
      <c r="F21" s="14">
        <v>14402671.040000001</v>
      </c>
      <c r="G21" s="16"/>
      <c r="H21" s="14">
        <v>-1976506.64</v>
      </c>
      <c r="I21" s="16"/>
      <c r="J21" s="14">
        <v>899860.99</v>
      </c>
      <c r="K21" s="16"/>
      <c r="L21" s="14">
        <f t="shared" si="0"/>
        <v>13326025.390000001</v>
      </c>
      <c r="M21" s="16"/>
      <c r="N21" s="15">
        <f t="shared" si="1"/>
        <v>422802369.79999995</v>
      </c>
      <c r="O21" s="17"/>
    </row>
    <row r="22" spans="2:16" x14ac:dyDescent="0.2">
      <c r="C22" s="18"/>
      <c r="D22" s="16">
        <f>SUM(D15:D21)</f>
        <v>3957471753.9199991</v>
      </c>
      <c r="E22" s="16"/>
      <c r="F22" s="19">
        <f>SUM(F15:F21)</f>
        <v>255409482.68000001</v>
      </c>
      <c r="G22" s="16"/>
      <c r="H22" s="19">
        <f>SUM(H15:H21)</f>
        <v>-54659107.539999999</v>
      </c>
      <c r="I22" s="16"/>
      <c r="J22" s="19">
        <f>SUM(J15:J21)</f>
        <v>-9117183.1499999985</v>
      </c>
      <c r="K22" s="16"/>
      <c r="L22" s="19">
        <f>SUM(L15:L21)</f>
        <v>191633191.99000001</v>
      </c>
      <c r="M22" s="16"/>
      <c r="N22" s="16">
        <f>SUM(N15:N21)</f>
        <v>4149104945.9099989</v>
      </c>
      <c r="O22" s="17"/>
      <c r="P22" s="2" t="s">
        <v>25</v>
      </c>
    </row>
    <row r="23" spans="2:16" x14ac:dyDescent="0.2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2:16" x14ac:dyDescent="0.2">
      <c r="B24" s="9" t="s">
        <v>26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"/>
    </row>
    <row r="25" spans="2:16" x14ac:dyDescent="0.2">
      <c r="C25" s="3" t="s">
        <v>27</v>
      </c>
      <c r="D25" s="14">
        <v>834108469.9000001</v>
      </c>
      <c r="E25" s="14"/>
      <c r="F25" s="14">
        <v>84924877.159999996</v>
      </c>
      <c r="G25" s="14"/>
      <c r="H25" s="14">
        <v>-2576036.1800000002</v>
      </c>
      <c r="I25" s="14"/>
      <c r="J25" s="14">
        <v>1120194</v>
      </c>
      <c r="K25" s="14"/>
      <c r="L25" s="14">
        <f>F25+H25+J25</f>
        <v>83469034.979999989</v>
      </c>
      <c r="M25" s="14"/>
      <c r="N25" s="14">
        <f>D25+L25</f>
        <v>917577504.88000011</v>
      </c>
      <c r="O25" s="7"/>
    </row>
    <row r="26" spans="2:16" x14ac:dyDescent="0.2">
      <c r="C26" s="3" t="s">
        <v>28</v>
      </c>
      <c r="D26" s="14">
        <v>11599522.27</v>
      </c>
      <c r="E26" s="14"/>
      <c r="F26" s="14">
        <v>1150675.75</v>
      </c>
      <c r="G26" s="14"/>
      <c r="H26" s="14">
        <v>-794145.75</v>
      </c>
      <c r="I26" s="14"/>
      <c r="J26" s="14">
        <v>0</v>
      </c>
      <c r="K26" s="14"/>
      <c r="L26" s="14">
        <f>F26+H26+J26</f>
        <v>356530</v>
      </c>
      <c r="M26" s="14"/>
      <c r="N26" s="14">
        <f>D26+L26</f>
        <v>11956052.27</v>
      </c>
      <c r="O26" s="7"/>
    </row>
    <row r="27" spans="2:16" x14ac:dyDescent="0.2">
      <c r="C27" s="3" t="s">
        <v>29</v>
      </c>
      <c r="D27" s="14">
        <v>387.49</v>
      </c>
      <c r="E27" s="14"/>
      <c r="F27" s="14">
        <v>0</v>
      </c>
      <c r="G27" s="14"/>
      <c r="H27" s="14">
        <v>0</v>
      </c>
      <c r="I27" s="14"/>
      <c r="J27" s="14">
        <v>0</v>
      </c>
      <c r="K27" s="14"/>
      <c r="L27" s="14">
        <f>F27+H27+J27</f>
        <v>0</v>
      </c>
      <c r="M27" s="14"/>
      <c r="N27" s="14">
        <f>D27+L27</f>
        <v>387.49</v>
      </c>
      <c r="O27" s="7"/>
    </row>
    <row r="28" spans="2:16" x14ac:dyDescent="0.2">
      <c r="C28" s="3" t="s">
        <v>30</v>
      </c>
      <c r="D28" s="14">
        <v>144514821</v>
      </c>
      <c r="E28" s="14"/>
      <c r="F28" s="14">
        <v>11505124.029999999</v>
      </c>
      <c r="G28" s="14"/>
      <c r="H28" s="14">
        <v>-673797.68</v>
      </c>
      <c r="I28" s="14"/>
      <c r="J28" s="14">
        <v>-650064.75</v>
      </c>
      <c r="K28" s="14"/>
      <c r="L28" s="14">
        <f>F28+H28+J28</f>
        <v>10181261.6</v>
      </c>
      <c r="M28" s="14"/>
      <c r="N28" s="14">
        <f>D28+L28</f>
        <v>154696082.59999999</v>
      </c>
      <c r="O28" s="7"/>
    </row>
    <row r="29" spans="2:16" x14ac:dyDescent="0.2">
      <c r="C29" s="3" t="s">
        <v>31</v>
      </c>
      <c r="D29" s="15">
        <v>49359491.030000001</v>
      </c>
      <c r="E29" s="14"/>
      <c r="F29" s="15">
        <v>4123769.1</v>
      </c>
      <c r="G29" s="14"/>
      <c r="H29" s="15">
        <v>-260204.39</v>
      </c>
      <c r="I29" s="14"/>
      <c r="J29" s="14">
        <v>28516.28</v>
      </c>
      <c r="K29" s="14"/>
      <c r="L29" s="14">
        <f>F29+H29+J29</f>
        <v>3892080.9899999998</v>
      </c>
      <c r="M29" s="14"/>
      <c r="N29" s="15">
        <f>D29+L29</f>
        <v>53251572.020000003</v>
      </c>
      <c r="O29" s="7"/>
    </row>
    <row r="30" spans="2:16" x14ac:dyDescent="0.2">
      <c r="C30" s="18"/>
      <c r="D30" s="16">
        <f>SUM(D25:D29)</f>
        <v>1039582691.6900001</v>
      </c>
      <c r="E30" s="16"/>
      <c r="F30" s="16">
        <f>SUM(F25:F29)</f>
        <v>101704446.03999999</v>
      </c>
      <c r="G30" s="16"/>
      <c r="H30" s="16">
        <f>SUM(H25:H29)</f>
        <v>-4304184</v>
      </c>
      <c r="I30" s="16"/>
      <c r="J30" s="19">
        <f>SUM(J25:J29)</f>
        <v>498645.53</v>
      </c>
      <c r="K30" s="16"/>
      <c r="L30" s="19">
        <f>SUM(L25:L29)</f>
        <v>97898907.569999978</v>
      </c>
      <c r="M30" s="16"/>
      <c r="N30" s="16">
        <f>SUM(N25:N29)</f>
        <v>1137481599.26</v>
      </c>
      <c r="O30" s="7"/>
      <c r="P30" s="2" t="s">
        <v>32</v>
      </c>
    </row>
    <row r="31" spans="2:16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"/>
    </row>
    <row r="32" spans="2:16" x14ac:dyDescent="0.2">
      <c r="C32" s="9" t="s">
        <v>33</v>
      </c>
      <c r="D32" s="20">
        <f>D12+D22+D30</f>
        <v>5239112445.7999992</v>
      </c>
      <c r="E32" s="14"/>
      <c r="F32" s="20">
        <f>F12+F22+F30</f>
        <v>380947525.21000004</v>
      </c>
      <c r="G32" s="14"/>
      <c r="H32" s="20">
        <f>H12+H22+H30</f>
        <v>-75393109.039999992</v>
      </c>
      <c r="I32" s="14"/>
      <c r="J32" s="20">
        <f>J12+J22+J30</f>
        <v>-8618537.6199999992</v>
      </c>
      <c r="K32" s="14"/>
      <c r="L32" s="20">
        <f>L12+L22+L30</f>
        <v>296935878.55000001</v>
      </c>
      <c r="M32" s="14"/>
      <c r="N32" s="20">
        <f>N12+N22+N30</f>
        <v>5536048324.3499994</v>
      </c>
      <c r="O32" s="7"/>
    </row>
    <row r="33" spans="1:15" x14ac:dyDescent="0.2">
      <c r="C33" s="9"/>
      <c r="D33" s="16"/>
      <c r="E33" s="14"/>
      <c r="F33" s="16"/>
      <c r="G33" s="14"/>
      <c r="H33" s="16"/>
      <c r="I33" s="14"/>
      <c r="J33" s="16"/>
      <c r="K33" s="14"/>
      <c r="L33" s="16"/>
      <c r="M33" s="14"/>
      <c r="N33" s="16"/>
      <c r="O33" s="7"/>
    </row>
    <row r="34" spans="1:15" x14ac:dyDescent="0.2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/>
    </row>
    <row r="35" spans="1:15" x14ac:dyDescent="0.2">
      <c r="A35" s="13">
        <v>101.1</v>
      </c>
      <c r="B35" s="9" t="s">
        <v>34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/>
    </row>
    <row r="36" spans="1:15" x14ac:dyDescent="0.2">
      <c r="B36" s="9" t="s">
        <v>17</v>
      </c>
      <c r="C36" s="3" t="s">
        <v>35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"/>
    </row>
    <row r="37" spans="1:15" x14ac:dyDescent="0.2">
      <c r="C37" s="3" t="s">
        <v>23</v>
      </c>
      <c r="D37" s="15">
        <v>0</v>
      </c>
      <c r="E37" s="14"/>
      <c r="F37" s="15">
        <v>0</v>
      </c>
      <c r="G37" s="14"/>
      <c r="H37" s="15">
        <v>0</v>
      </c>
      <c r="I37" s="14"/>
      <c r="J37" s="15">
        <v>0</v>
      </c>
      <c r="K37" s="14"/>
      <c r="L37" s="15">
        <f>F37+H37+J37</f>
        <v>0</v>
      </c>
      <c r="M37" s="14"/>
      <c r="N37" s="15">
        <f>D37+L37</f>
        <v>0</v>
      </c>
      <c r="O37" s="7"/>
    </row>
    <row r="38" spans="1:15" x14ac:dyDescent="0.2">
      <c r="C38" s="18"/>
      <c r="D38" s="16">
        <f>SUM(D37)</f>
        <v>0</v>
      </c>
      <c r="E38" s="16"/>
      <c r="F38" s="16">
        <f>SUM(F37)</f>
        <v>0</v>
      </c>
      <c r="G38" s="16"/>
      <c r="H38" s="16">
        <f>SUM(H37)</f>
        <v>0</v>
      </c>
      <c r="I38" s="16"/>
      <c r="J38" s="16">
        <f>SUM(J37)</f>
        <v>0</v>
      </c>
      <c r="K38" s="16"/>
      <c r="L38" s="16">
        <f>SUM(L37)</f>
        <v>0</v>
      </c>
      <c r="M38" s="16"/>
      <c r="N38" s="16">
        <f>SUM(N37)</f>
        <v>0</v>
      </c>
      <c r="O38" s="7"/>
    </row>
    <row r="39" spans="1:15" x14ac:dyDescent="0.2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"/>
    </row>
    <row r="40" spans="1:15" x14ac:dyDescent="0.2">
      <c r="C40" s="9" t="s">
        <v>36</v>
      </c>
      <c r="D40" s="20">
        <f>D38</f>
        <v>0</v>
      </c>
      <c r="E40" s="14"/>
      <c r="F40" s="20">
        <f>F38</f>
        <v>0</v>
      </c>
      <c r="G40" s="14"/>
      <c r="H40" s="20">
        <f>H38</f>
        <v>0</v>
      </c>
      <c r="I40" s="14"/>
      <c r="J40" s="20">
        <f>J38</f>
        <v>0</v>
      </c>
      <c r="K40" s="14"/>
      <c r="L40" s="20">
        <f>L38</f>
        <v>0</v>
      </c>
      <c r="M40" s="14"/>
      <c r="N40" s="20">
        <f>N38</f>
        <v>0</v>
      </c>
      <c r="O40" s="7"/>
    </row>
    <row r="41" spans="1:15" x14ac:dyDescent="0.2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/>
    </row>
    <row r="42" spans="1:15" x14ac:dyDescent="0.2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"/>
    </row>
    <row r="43" spans="1:15" x14ac:dyDescent="0.2">
      <c r="A43" s="13">
        <v>102</v>
      </c>
      <c r="B43" s="9" t="s">
        <v>37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/>
    </row>
    <row r="44" spans="1:15" x14ac:dyDescent="0.2">
      <c r="B44" s="9" t="s">
        <v>17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/>
    </row>
    <row r="45" spans="1:15" x14ac:dyDescent="0.2">
      <c r="C45" s="3" t="s">
        <v>23</v>
      </c>
      <c r="D45" s="15">
        <v>-76448.429999999993</v>
      </c>
      <c r="E45" s="16"/>
      <c r="F45" s="15">
        <v>0</v>
      </c>
      <c r="G45" s="16"/>
      <c r="H45" s="15">
        <v>0</v>
      </c>
      <c r="I45" s="16"/>
      <c r="J45" s="15">
        <v>76448.429999999993</v>
      </c>
      <c r="K45" s="16"/>
      <c r="L45" s="15">
        <f>F45+H45+J45</f>
        <v>76448.429999999993</v>
      </c>
      <c r="M45" s="16"/>
      <c r="N45" s="15">
        <f>D45+L45</f>
        <v>0</v>
      </c>
      <c r="O45" s="7"/>
    </row>
    <row r="46" spans="1:15" x14ac:dyDescent="0.2">
      <c r="C46" s="18"/>
      <c r="D46" s="16">
        <f>SUM(D45:D45)</f>
        <v>-76448.429999999993</v>
      </c>
      <c r="E46" s="16"/>
      <c r="F46" s="16">
        <f>SUM(F45)</f>
        <v>0</v>
      </c>
      <c r="G46" s="16"/>
      <c r="H46" s="16">
        <f>SUM(H45)</f>
        <v>0</v>
      </c>
      <c r="I46" s="16"/>
      <c r="J46" s="16">
        <f>SUM(J45)</f>
        <v>76448.429999999993</v>
      </c>
      <c r="K46" s="16"/>
      <c r="L46" s="16">
        <f>SUM(L45)</f>
        <v>76448.429999999993</v>
      </c>
      <c r="M46" s="16"/>
      <c r="N46" s="16">
        <f>SUM(N45:N45)</f>
        <v>0</v>
      </c>
      <c r="O46" s="7"/>
    </row>
    <row r="47" spans="1:15" x14ac:dyDescent="0.2">
      <c r="B47" s="9" t="s">
        <v>13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"/>
    </row>
    <row r="48" spans="1:15" x14ac:dyDescent="0.2">
      <c r="C48" s="21" t="s">
        <v>14</v>
      </c>
      <c r="D48" s="16">
        <v>0</v>
      </c>
      <c r="E48" s="16"/>
      <c r="F48" s="16">
        <v>0</v>
      </c>
      <c r="G48" s="16"/>
      <c r="H48" s="16">
        <v>0</v>
      </c>
      <c r="I48" s="16"/>
      <c r="J48" s="15">
        <f>200871.91-200871.91</f>
        <v>0</v>
      </c>
      <c r="K48" s="16"/>
      <c r="L48" s="15">
        <f>F48+H48+J48</f>
        <v>0</v>
      </c>
      <c r="M48" s="16"/>
      <c r="N48" s="15">
        <f>D48+L48</f>
        <v>0</v>
      </c>
      <c r="O48" s="7"/>
    </row>
    <row r="49" spans="1:16" x14ac:dyDescent="0.2">
      <c r="C49" s="18"/>
      <c r="D49" s="19">
        <f>SUM(D48)</f>
        <v>0</v>
      </c>
      <c r="E49" s="16"/>
      <c r="F49" s="19">
        <f>SUM(F48)</f>
        <v>0</v>
      </c>
      <c r="G49" s="16"/>
      <c r="H49" s="19">
        <f>SUM(H48)</f>
        <v>0</v>
      </c>
      <c r="I49" s="16"/>
      <c r="J49" s="19">
        <f>SUM(J48)</f>
        <v>0</v>
      </c>
      <c r="K49" s="16"/>
      <c r="L49" s="19">
        <f>SUM(L48)</f>
        <v>0</v>
      </c>
      <c r="M49" s="16"/>
      <c r="N49" s="19">
        <f>SUM(N48)</f>
        <v>0</v>
      </c>
      <c r="O49" s="7"/>
    </row>
    <row r="50" spans="1:16" x14ac:dyDescent="0.2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7"/>
    </row>
    <row r="51" spans="1:16" x14ac:dyDescent="0.2">
      <c r="C51" s="9" t="s">
        <v>38</v>
      </c>
      <c r="D51" s="20">
        <f>D49+D46</f>
        <v>-76448.429999999993</v>
      </c>
      <c r="E51" s="14"/>
      <c r="F51" s="20">
        <f>F49+F46</f>
        <v>0</v>
      </c>
      <c r="G51" s="14"/>
      <c r="H51" s="20">
        <f>H49+H46</f>
        <v>0</v>
      </c>
      <c r="I51" s="14"/>
      <c r="J51" s="20">
        <f>J49+J46</f>
        <v>76448.429999999993</v>
      </c>
      <c r="K51" s="14"/>
      <c r="L51" s="20">
        <f>L49+L46</f>
        <v>76448.429999999993</v>
      </c>
      <c r="M51" s="14"/>
      <c r="N51" s="20">
        <f>N49+N46</f>
        <v>0</v>
      </c>
      <c r="O51" s="7"/>
      <c r="P51" s="2" t="s">
        <v>39</v>
      </c>
    </row>
    <row r="52" spans="1:16" x14ac:dyDescent="0.2">
      <c r="C52" s="9"/>
      <c r="D52" s="16"/>
      <c r="E52" s="14"/>
      <c r="F52" s="16"/>
      <c r="G52" s="14"/>
      <c r="H52" s="16"/>
      <c r="I52" s="14"/>
      <c r="J52" s="16"/>
      <c r="K52" s="14"/>
      <c r="L52" s="16"/>
      <c r="M52" s="14"/>
      <c r="N52" s="16"/>
      <c r="O52" s="7"/>
    </row>
    <row r="53" spans="1:16" x14ac:dyDescent="0.2">
      <c r="C53" s="9"/>
      <c r="D53" s="16"/>
      <c r="E53" s="14"/>
      <c r="F53" s="16"/>
      <c r="G53" s="14"/>
      <c r="H53" s="16"/>
      <c r="I53" s="14"/>
      <c r="J53" s="16"/>
      <c r="K53" s="14"/>
      <c r="L53" s="16"/>
      <c r="M53" s="14"/>
      <c r="N53" s="16"/>
      <c r="O53" s="7"/>
    </row>
    <row r="54" spans="1:16" x14ac:dyDescent="0.2">
      <c r="A54" s="13">
        <v>105</v>
      </c>
      <c r="B54" s="9" t="s">
        <v>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7"/>
    </row>
    <row r="55" spans="1:16" x14ac:dyDescent="0.2">
      <c r="B55" s="9" t="s">
        <v>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7"/>
    </row>
    <row r="56" spans="1:16" x14ac:dyDescent="0.2">
      <c r="C56" s="3" t="s">
        <v>18</v>
      </c>
      <c r="D56" s="16">
        <v>2396331.2899999996</v>
      </c>
      <c r="E56" s="14"/>
      <c r="F56" s="16">
        <v>0</v>
      </c>
      <c r="G56" s="14"/>
      <c r="H56" s="16">
        <v>0</v>
      </c>
      <c r="I56" s="14"/>
      <c r="J56" s="16">
        <v>0</v>
      </c>
      <c r="K56" s="14"/>
      <c r="L56" s="16">
        <f>F56+H56+J56</f>
        <v>0</v>
      </c>
      <c r="M56" s="14"/>
      <c r="N56" s="16">
        <f>D56+L56</f>
        <v>2396331.2899999996</v>
      </c>
      <c r="O56" s="7"/>
    </row>
    <row r="57" spans="1:16" x14ac:dyDescent="0.2">
      <c r="C57" s="3" t="s">
        <v>22</v>
      </c>
      <c r="D57" s="16">
        <v>211409.5</v>
      </c>
      <c r="E57" s="14"/>
      <c r="F57" s="16">
        <v>0</v>
      </c>
      <c r="G57" s="14"/>
      <c r="H57" s="16">
        <v>0</v>
      </c>
      <c r="I57" s="14"/>
      <c r="J57" s="16">
        <v>0</v>
      </c>
      <c r="K57" s="14"/>
      <c r="L57" s="16"/>
      <c r="M57" s="14"/>
      <c r="N57" s="16">
        <f>D57+L57</f>
        <v>211409.5</v>
      </c>
      <c r="O57" s="7"/>
    </row>
    <row r="58" spans="1:16" x14ac:dyDescent="0.2">
      <c r="C58" s="3" t="s">
        <v>23</v>
      </c>
      <c r="D58" s="15">
        <v>0</v>
      </c>
      <c r="E58" s="16"/>
      <c r="F58" s="16">
        <v>0</v>
      </c>
      <c r="G58" s="16"/>
      <c r="H58" s="16">
        <v>0</v>
      </c>
      <c r="I58" s="16"/>
      <c r="J58" s="16">
        <v>0</v>
      </c>
      <c r="K58" s="16"/>
      <c r="L58" s="16">
        <f>F58+H58+J58</f>
        <v>0</v>
      </c>
      <c r="M58" s="16"/>
      <c r="N58" s="15">
        <f>D58+L58</f>
        <v>0</v>
      </c>
      <c r="O58" s="7"/>
    </row>
    <row r="59" spans="1:16" x14ac:dyDescent="0.2">
      <c r="C59" s="18"/>
      <c r="D59" s="16">
        <f>SUM(D56:D58)</f>
        <v>2607740.7899999996</v>
      </c>
      <c r="E59" s="16"/>
      <c r="F59" s="19">
        <f>SUM(F56:F58)</f>
        <v>0</v>
      </c>
      <c r="G59" s="16"/>
      <c r="H59" s="19">
        <f>SUM(H56:H58)</f>
        <v>0</v>
      </c>
      <c r="I59" s="16"/>
      <c r="J59" s="19">
        <f>SUM(J56:J58)</f>
        <v>0</v>
      </c>
      <c r="K59" s="16"/>
      <c r="L59" s="19">
        <f>SUM(L56:L58)</f>
        <v>0</v>
      </c>
      <c r="M59" s="16"/>
      <c r="N59" s="16">
        <f>SUM(N56:N58)</f>
        <v>2607740.7899999996</v>
      </c>
      <c r="O59" s="7"/>
    </row>
    <row r="60" spans="1:16" x14ac:dyDescent="0.2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7"/>
    </row>
    <row r="61" spans="1:16" x14ac:dyDescent="0.2">
      <c r="B61" s="9" t="s">
        <v>42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7"/>
    </row>
    <row r="62" spans="1:16" x14ac:dyDescent="0.2">
      <c r="C62" s="3" t="s">
        <v>18</v>
      </c>
      <c r="D62" s="14">
        <v>519009.11</v>
      </c>
      <c r="E62" s="14"/>
      <c r="F62" s="16">
        <v>0</v>
      </c>
      <c r="G62" s="14"/>
      <c r="H62" s="16">
        <v>0</v>
      </c>
      <c r="I62" s="14"/>
      <c r="J62" s="16">
        <v>0</v>
      </c>
      <c r="K62" s="14"/>
      <c r="L62" s="16">
        <f>F62+H62+J62</f>
        <v>0</v>
      </c>
      <c r="M62" s="14"/>
      <c r="N62" s="16">
        <f>D62+L62</f>
        <v>519009.11</v>
      </c>
      <c r="O62" s="7"/>
    </row>
    <row r="63" spans="1:16" x14ac:dyDescent="0.2">
      <c r="C63" s="3" t="s">
        <v>23</v>
      </c>
      <c r="D63" s="15">
        <v>0</v>
      </c>
      <c r="E63" s="16"/>
      <c r="F63" s="16">
        <v>0</v>
      </c>
      <c r="G63" s="16"/>
      <c r="H63" s="15">
        <v>0</v>
      </c>
      <c r="I63" s="16"/>
      <c r="J63" s="16">
        <v>0</v>
      </c>
      <c r="K63" s="16"/>
      <c r="L63" s="15">
        <f>F63+H63+J63</f>
        <v>0</v>
      </c>
      <c r="M63" s="16"/>
      <c r="N63" s="15">
        <f>D63+L63</f>
        <v>0</v>
      </c>
      <c r="O63" s="7"/>
    </row>
    <row r="64" spans="1:16" x14ac:dyDescent="0.2">
      <c r="C64" s="18"/>
      <c r="D64" s="16">
        <f>SUM(D62:D63)</f>
        <v>519009.11</v>
      </c>
      <c r="E64" s="16"/>
      <c r="F64" s="19">
        <f>SUM(F62:F63)</f>
        <v>0</v>
      </c>
      <c r="G64" s="16"/>
      <c r="H64" s="16">
        <f>SUM(H62:H63)</f>
        <v>0</v>
      </c>
      <c r="I64" s="16"/>
      <c r="J64" s="19">
        <f>SUM(J62:J63)</f>
        <v>0</v>
      </c>
      <c r="K64" s="16"/>
      <c r="L64" s="16">
        <f>SUM(L62:L63)</f>
        <v>0</v>
      </c>
      <c r="M64" s="16"/>
      <c r="N64" s="16">
        <f>SUM(N62:N63)</f>
        <v>519009.11</v>
      </c>
      <c r="O64" s="7"/>
    </row>
    <row r="65" spans="1:16" x14ac:dyDescent="0.2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7"/>
    </row>
    <row r="66" spans="1:16" x14ac:dyDescent="0.2">
      <c r="B66" s="9" t="s">
        <v>17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7"/>
    </row>
    <row r="67" spans="1:16" x14ac:dyDescent="0.2">
      <c r="C67" s="3" t="s">
        <v>18</v>
      </c>
      <c r="D67" s="14">
        <f>D56+D62</f>
        <v>2915340.3999999994</v>
      </c>
      <c r="E67" s="14"/>
      <c r="F67" s="16">
        <f>F56+F62</f>
        <v>0</v>
      </c>
      <c r="G67" s="14"/>
      <c r="H67" s="16">
        <f>H56+H62</f>
        <v>0</v>
      </c>
      <c r="I67" s="14"/>
      <c r="J67" s="16">
        <f>J56+J62</f>
        <v>0</v>
      </c>
      <c r="K67" s="14"/>
      <c r="L67" s="16">
        <f>F67+H67+J67</f>
        <v>0</v>
      </c>
      <c r="M67" s="14"/>
      <c r="N67" s="16">
        <f>D67+L67</f>
        <v>2915340.3999999994</v>
      </c>
      <c r="O67" s="7"/>
    </row>
    <row r="68" spans="1:16" x14ac:dyDescent="0.2">
      <c r="C68" s="3" t="s">
        <v>22</v>
      </c>
      <c r="D68" s="14">
        <f>D57</f>
        <v>211409.5</v>
      </c>
      <c r="E68" s="14"/>
      <c r="F68" s="16">
        <f>F57+F63</f>
        <v>0</v>
      </c>
      <c r="G68" s="14"/>
      <c r="H68" s="16">
        <f>H57+H63</f>
        <v>0</v>
      </c>
      <c r="I68" s="14"/>
      <c r="J68" s="16">
        <f>J57+J63</f>
        <v>0</v>
      </c>
      <c r="K68" s="14"/>
      <c r="L68" s="16">
        <f>F68+H68+J68</f>
        <v>0</v>
      </c>
      <c r="M68" s="14"/>
      <c r="N68" s="16">
        <f>D68+L68</f>
        <v>211409.5</v>
      </c>
      <c r="O68" s="16"/>
    </row>
    <row r="69" spans="1:16" x14ac:dyDescent="0.2">
      <c r="C69" s="3" t="s">
        <v>23</v>
      </c>
      <c r="D69" s="15">
        <f>D58+D63</f>
        <v>0</v>
      </c>
      <c r="E69" s="16"/>
      <c r="F69" s="15">
        <f>F58+F63</f>
        <v>0</v>
      </c>
      <c r="G69" s="16"/>
      <c r="H69" s="15">
        <f>H58+H63</f>
        <v>0</v>
      </c>
      <c r="I69" s="16"/>
      <c r="J69" s="15">
        <f>J58+J63</f>
        <v>0</v>
      </c>
      <c r="K69" s="16"/>
      <c r="L69" s="15">
        <f>F69+H69+J69</f>
        <v>0</v>
      </c>
      <c r="M69" s="16"/>
      <c r="N69" s="15">
        <f>D69+L69</f>
        <v>0</v>
      </c>
      <c r="O69" s="7"/>
    </row>
    <row r="70" spans="1:16" x14ac:dyDescent="0.2">
      <c r="C70" s="18"/>
      <c r="D70" s="16">
        <f>SUM(D67:D69)</f>
        <v>3126749.8999999994</v>
      </c>
      <c r="E70" s="16"/>
      <c r="F70" s="16">
        <f>SUM(F67:F69)</f>
        <v>0</v>
      </c>
      <c r="G70" s="16"/>
      <c r="H70" s="16">
        <f>SUM(H67:H69)</f>
        <v>0</v>
      </c>
      <c r="I70" s="16"/>
      <c r="J70" s="16">
        <f>SUM(J67:J69)</f>
        <v>0</v>
      </c>
      <c r="K70" s="16"/>
      <c r="L70" s="16">
        <f>SUM(L67:L69)</f>
        <v>0</v>
      </c>
      <c r="M70" s="16"/>
      <c r="N70" s="16">
        <f>SUM(N67:N69)</f>
        <v>3126749.8999999994</v>
      </c>
      <c r="O70" s="7"/>
      <c r="P70" s="2" t="s">
        <v>43</v>
      </c>
    </row>
    <row r="71" spans="1:16" x14ac:dyDescent="0.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7"/>
    </row>
    <row r="72" spans="1:16" x14ac:dyDescent="0.2">
      <c r="C72" s="9" t="s">
        <v>44</v>
      </c>
      <c r="D72" s="20">
        <f>D70</f>
        <v>3126749.8999999994</v>
      </c>
      <c r="E72" s="14"/>
      <c r="F72" s="20">
        <f>F70</f>
        <v>0</v>
      </c>
      <c r="G72" s="14"/>
      <c r="H72" s="20">
        <f>H70</f>
        <v>0</v>
      </c>
      <c r="I72" s="14"/>
      <c r="J72" s="20">
        <f>J70</f>
        <v>0</v>
      </c>
      <c r="K72" s="14"/>
      <c r="L72" s="20">
        <f>L70</f>
        <v>0</v>
      </c>
      <c r="M72" s="14"/>
      <c r="N72" s="20">
        <f>N70</f>
        <v>3126749.8999999994</v>
      </c>
      <c r="O72" s="7"/>
    </row>
    <row r="73" spans="1:16" x14ac:dyDescent="0.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7"/>
    </row>
    <row r="74" spans="1:16" x14ac:dyDescent="0.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7"/>
    </row>
    <row r="75" spans="1:16" x14ac:dyDescent="0.2">
      <c r="A75" s="13">
        <v>106</v>
      </c>
      <c r="B75" s="9" t="s">
        <v>45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7"/>
    </row>
    <row r="76" spans="1:16" x14ac:dyDescent="0.2">
      <c r="B76" s="9" t="s">
        <v>13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7"/>
    </row>
    <row r="77" spans="1:16" x14ac:dyDescent="0.2">
      <c r="C77" s="3" t="s">
        <v>14</v>
      </c>
      <c r="D77" s="14">
        <v>9814678.9400000013</v>
      </c>
      <c r="E77" s="14"/>
      <c r="F77" s="16">
        <v>-7297456.3300000001</v>
      </c>
      <c r="G77" s="14"/>
      <c r="H77" s="16">
        <v>0</v>
      </c>
      <c r="I77" s="14"/>
      <c r="J77" s="16">
        <v>0</v>
      </c>
      <c r="K77" s="14"/>
      <c r="L77" s="14">
        <f>F77+H77+J77</f>
        <v>-7297456.3300000001</v>
      </c>
      <c r="M77" s="14"/>
      <c r="N77" s="14">
        <f>D77+L77</f>
        <v>2517222.6100000013</v>
      </c>
      <c r="O77" s="7"/>
    </row>
    <row r="78" spans="1:16" x14ac:dyDescent="0.2">
      <c r="C78" s="3" t="s">
        <v>15</v>
      </c>
      <c r="D78" s="15">
        <v>7731602.6299999962</v>
      </c>
      <c r="E78" s="16"/>
      <c r="F78" s="15">
        <v>12888837.389999999</v>
      </c>
      <c r="G78" s="16"/>
      <c r="H78" s="15">
        <v>0</v>
      </c>
      <c r="I78" s="16"/>
      <c r="J78" s="15">
        <v>0</v>
      </c>
      <c r="K78" s="16"/>
      <c r="L78" s="15">
        <f>F78+H78+J78</f>
        <v>12888837.389999999</v>
      </c>
      <c r="M78" s="16"/>
      <c r="N78" s="15">
        <f>D78+L78</f>
        <v>20620440.019999996</v>
      </c>
      <c r="O78" s="17"/>
    </row>
    <row r="79" spans="1:16" x14ac:dyDescent="0.2">
      <c r="C79" s="18"/>
      <c r="D79" s="16">
        <f>D77+D78</f>
        <v>17546281.569999997</v>
      </c>
      <c r="E79" s="16"/>
      <c r="F79" s="16">
        <f>F77+F78</f>
        <v>5591381.0599999987</v>
      </c>
      <c r="G79" s="16"/>
      <c r="H79" s="16">
        <f>H77+H78</f>
        <v>0</v>
      </c>
      <c r="I79" s="16"/>
      <c r="J79" s="16">
        <f>J77+J78</f>
        <v>0</v>
      </c>
      <c r="K79" s="16"/>
      <c r="L79" s="16">
        <f>L77+L78</f>
        <v>5591381.0599999987</v>
      </c>
      <c r="M79" s="16"/>
      <c r="N79" s="16">
        <f>N77+N78</f>
        <v>23137662.629999995</v>
      </c>
      <c r="O79" s="17"/>
      <c r="P79" s="2" t="s">
        <v>46</v>
      </c>
    </row>
    <row r="80" spans="1:16" x14ac:dyDescent="0.2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</row>
    <row r="81" spans="2:16" x14ac:dyDescent="0.2">
      <c r="B81" s="9" t="s">
        <v>17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</row>
    <row r="82" spans="2:16" x14ac:dyDescent="0.2">
      <c r="C82" s="3" t="s">
        <v>18</v>
      </c>
      <c r="D82" s="16">
        <v>63284363.429999992</v>
      </c>
      <c r="E82" s="16"/>
      <c r="F82" s="16">
        <v>7003964.6500000004</v>
      </c>
      <c r="G82" s="16"/>
      <c r="H82" s="16">
        <v>0</v>
      </c>
      <c r="I82" s="16"/>
      <c r="J82" s="16">
        <v>0</v>
      </c>
      <c r="K82" s="16"/>
      <c r="L82" s="16">
        <f t="shared" ref="L82:L88" si="2">F82+H82+J82</f>
        <v>7003964.6500000004</v>
      </c>
      <c r="M82" s="16"/>
      <c r="N82" s="16">
        <f t="shared" ref="N82:N88" si="3">D82+L82</f>
        <v>70288328.079999998</v>
      </c>
      <c r="O82" s="17"/>
    </row>
    <row r="83" spans="2:16" x14ac:dyDescent="0.2">
      <c r="C83" s="3" t="s">
        <v>19</v>
      </c>
      <c r="D83" s="16">
        <v>675232.17000000016</v>
      </c>
      <c r="E83" s="16"/>
      <c r="F83" s="16">
        <v>-324135.67999999999</v>
      </c>
      <c r="G83" s="16"/>
      <c r="H83" s="16">
        <v>0</v>
      </c>
      <c r="I83" s="16"/>
      <c r="J83" s="16">
        <v>0</v>
      </c>
      <c r="K83" s="16"/>
      <c r="L83" s="16">
        <f t="shared" si="2"/>
        <v>-324135.67999999999</v>
      </c>
      <c r="M83" s="16"/>
      <c r="N83" s="16">
        <f t="shared" si="3"/>
        <v>351096.49000000017</v>
      </c>
      <c r="O83" s="17"/>
    </row>
    <row r="84" spans="2:16" x14ac:dyDescent="0.2">
      <c r="C84" s="3" t="s">
        <v>20</v>
      </c>
      <c r="D84" s="16">
        <v>64898946.01000002</v>
      </c>
      <c r="E84" s="16"/>
      <c r="F84" s="16">
        <v>18865056.23</v>
      </c>
      <c r="G84" s="16"/>
      <c r="H84" s="16">
        <v>0</v>
      </c>
      <c r="I84" s="16"/>
      <c r="J84" s="16">
        <v>0</v>
      </c>
      <c r="K84" s="16"/>
      <c r="L84" s="16">
        <f t="shared" si="2"/>
        <v>18865056.23</v>
      </c>
      <c r="M84" s="16"/>
      <c r="N84" s="16">
        <f t="shared" si="3"/>
        <v>83764002.240000024</v>
      </c>
      <c r="O84" s="17"/>
    </row>
    <row r="85" spans="2:16" x14ac:dyDescent="0.2">
      <c r="C85" s="3" t="s">
        <v>21</v>
      </c>
      <c r="D85" s="16">
        <v>0</v>
      </c>
      <c r="E85" s="16"/>
      <c r="F85" s="16">
        <v>0</v>
      </c>
      <c r="G85" s="16"/>
      <c r="H85" s="16">
        <v>0</v>
      </c>
      <c r="I85" s="16"/>
      <c r="J85" s="16">
        <v>0</v>
      </c>
      <c r="K85" s="16"/>
      <c r="L85" s="16">
        <f t="shared" si="2"/>
        <v>0</v>
      </c>
      <c r="M85" s="16"/>
      <c r="N85" s="16">
        <f t="shared" si="3"/>
        <v>0</v>
      </c>
      <c r="O85" s="17"/>
    </row>
    <row r="86" spans="2:16" x14ac:dyDescent="0.2">
      <c r="C86" s="3" t="s">
        <v>22</v>
      </c>
      <c r="D86" s="16">
        <v>19689531.609999999</v>
      </c>
      <c r="E86" s="16"/>
      <c r="F86" s="16">
        <v>-5272560.72</v>
      </c>
      <c r="G86" s="16"/>
      <c r="H86" s="16">
        <v>0</v>
      </c>
      <c r="I86" s="16"/>
      <c r="J86" s="16">
        <v>0</v>
      </c>
      <c r="K86" s="16"/>
      <c r="L86" s="16">
        <f t="shared" si="2"/>
        <v>-5272560.72</v>
      </c>
      <c r="M86" s="16"/>
      <c r="N86" s="16">
        <f t="shared" si="3"/>
        <v>14416970.890000001</v>
      </c>
      <c r="O86" s="17"/>
    </row>
    <row r="87" spans="2:16" x14ac:dyDescent="0.2">
      <c r="C87" s="3" t="s">
        <v>23</v>
      </c>
      <c r="D87" s="16">
        <v>1138963435.29</v>
      </c>
      <c r="E87" s="16"/>
      <c r="F87" s="16">
        <v>-73443106.959999993</v>
      </c>
      <c r="G87" s="16"/>
      <c r="H87" s="16">
        <v>0</v>
      </c>
      <c r="I87" s="16"/>
      <c r="J87" s="16">
        <v>0</v>
      </c>
      <c r="K87" s="16"/>
      <c r="L87" s="16">
        <f>F87+H87+J87</f>
        <v>-73443106.959999993</v>
      </c>
      <c r="M87" s="16"/>
      <c r="N87" s="16">
        <f t="shared" si="3"/>
        <v>1065520328.3299999</v>
      </c>
      <c r="O87" s="17"/>
    </row>
    <row r="88" spans="2:16" x14ac:dyDescent="0.2">
      <c r="C88" s="3" t="s">
        <v>24</v>
      </c>
      <c r="D88" s="15">
        <v>15479518.890000004</v>
      </c>
      <c r="E88" s="16"/>
      <c r="F88" s="15">
        <v>-5452098.4900000002</v>
      </c>
      <c r="G88" s="16"/>
      <c r="H88" s="15">
        <v>0</v>
      </c>
      <c r="I88" s="16"/>
      <c r="J88" s="15">
        <v>0</v>
      </c>
      <c r="K88" s="16"/>
      <c r="L88" s="15">
        <f t="shared" si="2"/>
        <v>-5452098.4900000002</v>
      </c>
      <c r="M88" s="16"/>
      <c r="N88" s="15">
        <f t="shared" si="3"/>
        <v>10027420.400000004</v>
      </c>
      <c r="O88" s="17"/>
    </row>
    <row r="89" spans="2:16" x14ac:dyDescent="0.2">
      <c r="C89" s="18"/>
      <c r="D89" s="16">
        <f>SUM(D82:D88)</f>
        <v>1302991027.4000001</v>
      </c>
      <c r="E89" s="16"/>
      <c r="F89" s="16">
        <f>SUM(F82:F88)</f>
        <v>-58622880.969999991</v>
      </c>
      <c r="G89" s="16"/>
      <c r="H89" s="16">
        <f>SUM(H82:H88)</f>
        <v>0</v>
      </c>
      <c r="I89" s="16"/>
      <c r="J89" s="16">
        <f>SUM(J82:J88)</f>
        <v>0</v>
      </c>
      <c r="K89" s="16"/>
      <c r="L89" s="16">
        <f>SUM(L82:L88)</f>
        <v>-58622880.969999991</v>
      </c>
      <c r="M89" s="16"/>
      <c r="N89" s="16">
        <f>SUM(N82:N88)</f>
        <v>1244368146.4300001</v>
      </c>
      <c r="O89" s="17"/>
      <c r="P89" s="2" t="s">
        <v>47</v>
      </c>
    </row>
    <row r="90" spans="2:16" x14ac:dyDescent="0.2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</row>
    <row r="91" spans="2:16" x14ac:dyDescent="0.2">
      <c r="B91" s="9" t="s">
        <v>26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</row>
    <row r="92" spans="2:16" x14ac:dyDescent="0.2">
      <c r="C92" s="3" t="s">
        <v>27</v>
      </c>
      <c r="D92" s="14">
        <v>49366683.269999996</v>
      </c>
      <c r="E92" s="14"/>
      <c r="F92" s="16">
        <v>-22981192.129999999</v>
      </c>
      <c r="G92" s="14"/>
      <c r="H92" s="16">
        <v>0</v>
      </c>
      <c r="I92" s="14"/>
      <c r="J92" s="16">
        <v>0</v>
      </c>
      <c r="K92" s="14"/>
      <c r="L92" s="16">
        <f>F92+H92+J92</f>
        <v>-22981192.129999999</v>
      </c>
      <c r="M92" s="14"/>
      <c r="N92" s="14">
        <f>D92+L92</f>
        <v>26385491.139999997</v>
      </c>
      <c r="O92" s="7"/>
    </row>
    <row r="93" spans="2:16" x14ac:dyDescent="0.2">
      <c r="C93" s="3" t="s">
        <v>28</v>
      </c>
      <c r="D93" s="14">
        <v>501696.09</v>
      </c>
      <c r="E93" s="14"/>
      <c r="F93" s="16">
        <v>-75389.23</v>
      </c>
      <c r="G93" s="14"/>
      <c r="H93" s="16">
        <v>0</v>
      </c>
      <c r="I93" s="14"/>
      <c r="J93" s="16">
        <v>0</v>
      </c>
      <c r="K93" s="14"/>
      <c r="L93" s="16">
        <f>F93+H93+J93</f>
        <v>-75389.23</v>
      </c>
      <c r="M93" s="14"/>
      <c r="N93" s="14">
        <f>D93+L93</f>
        <v>426306.86000000004</v>
      </c>
      <c r="O93" s="7"/>
    </row>
    <row r="94" spans="2:16" x14ac:dyDescent="0.2">
      <c r="C94" s="3" t="s">
        <v>29</v>
      </c>
      <c r="D94" s="14">
        <v>0</v>
      </c>
      <c r="E94" s="14"/>
      <c r="F94" s="16">
        <v>0</v>
      </c>
      <c r="G94" s="14"/>
      <c r="H94" s="16">
        <v>0</v>
      </c>
      <c r="I94" s="14"/>
      <c r="J94" s="16">
        <v>0</v>
      </c>
      <c r="K94" s="14"/>
      <c r="L94" s="16">
        <f>F94+H94+J94</f>
        <v>0</v>
      </c>
      <c r="M94" s="14"/>
      <c r="N94" s="14">
        <f>D94+L94</f>
        <v>0</v>
      </c>
      <c r="O94" s="7"/>
    </row>
    <row r="95" spans="2:16" x14ac:dyDescent="0.2">
      <c r="C95" s="3" t="s">
        <v>30</v>
      </c>
      <c r="D95" s="14">
        <v>14965091.390000002</v>
      </c>
      <c r="E95" s="14"/>
      <c r="F95" s="16">
        <v>-1951826.15</v>
      </c>
      <c r="G95" s="14"/>
      <c r="H95" s="16">
        <v>0</v>
      </c>
      <c r="I95" s="14"/>
      <c r="J95" s="16">
        <v>0</v>
      </c>
      <c r="K95" s="14"/>
      <c r="L95" s="16">
        <f>F95+H95+J95</f>
        <v>-1951826.15</v>
      </c>
      <c r="M95" s="14"/>
      <c r="N95" s="14">
        <f>D95+L95</f>
        <v>13013265.240000002</v>
      </c>
      <c r="O95" s="7"/>
    </row>
    <row r="96" spans="2:16" x14ac:dyDescent="0.2">
      <c r="C96" s="3" t="s">
        <v>31</v>
      </c>
      <c r="D96" s="15">
        <v>5695600.6799999997</v>
      </c>
      <c r="E96" s="14"/>
      <c r="F96" s="15">
        <v>-3784062.86</v>
      </c>
      <c r="G96" s="14"/>
      <c r="H96" s="15">
        <v>0</v>
      </c>
      <c r="I96" s="14"/>
      <c r="J96" s="15">
        <v>0</v>
      </c>
      <c r="K96" s="14"/>
      <c r="L96" s="16">
        <f>F96+H96+J96</f>
        <v>-3784062.86</v>
      </c>
      <c r="M96" s="14"/>
      <c r="N96" s="15">
        <f>D96+L96</f>
        <v>1911537.8199999998</v>
      </c>
      <c r="O96" s="7"/>
    </row>
    <row r="97" spans="1:16" x14ac:dyDescent="0.2">
      <c r="C97" s="18"/>
      <c r="D97" s="16">
        <f>SUM(D92:D96)</f>
        <v>70529071.430000007</v>
      </c>
      <c r="E97" s="16"/>
      <c r="F97" s="16">
        <f>SUM(F92:F96)</f>
        <v>-28792470.369999997</v>
      </c>
      <c r="G97" s="16"/>
      <c r="H97" s="16">
        <f>SUM(H92:H96)</f>
        <v>0</v>
      </c>
      <c r="I97" s="16"/>
      <c r="J97" s="16">
        <f>SUM(J92:J96)</f>
        <v>0</v>
      </c>
      <c r="K97" s="16"/>
      <c r="L97" s="19">
        <f>SUM(L92:L96)</f>
        <v>-28792470.369999997</v>
      </c>
      <c r="M97" s="16"/>
      <c r="N97" s="16">
        <f>SUM(N92:N96)</f>
        <v>41736601.059999995</v>
      </c>
      <c r="O97" s="7"/>
      <c r="P97" s="2" t="s">
        <v>48</v>
      </c>
    </row>
    <row r="98" spans="1:16" x14ac:dyDescent="0.2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7"/>
    </row>
    <row r="99" spans="1:16" x14ac:dyDescent="0.2">
      <c r="C99" s="9" t="s">
        <v>49</v>
      </c>
      <c r="D99" s="20">
        <f>D79+D89+D97</f>
        <v>1391066380.4000001</v>
      </c>
      <c r="E99" s="14"/>
      <c r="F99" s="20">
        <f>F79+F89+F97</f>
        <v>-81823970.280000001</v>
      </c>
      <c r="G99" s="14"/>
      <c r="H99" s="20">
        <f>H79+H89+H97</f>
        <v>0</v>
      </c>
      <c r="I99" s="14"/>
      <c r="J99" s="20">
        <f>J79+J89+J97</f>
        <v>0</v>
      </c>
      <c r="K99" s="14"/>
      <c r="L99" s="20">
        <f>L79+L89+L97</f>
        <v>-81823970.280000001</v>
      </c>
      <c r="M99" s="14"/>
      <c r="N99" s="20">
        <f>N79+N89+N97</f>
        <v>1309242410.1199999</v>
      </c>
      <c r="O99" s="7"/>
    </row>
    <row r="100" spans="1:16" x14ac:dyDescent="0.2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7"/>
    </row>
    <row r="101" spans="1:16" x14ac:dyDescent="0.2">
      <c r="A101" s="13">
        <v>117</v>
      </c>
      <c r="B101" s="9" t="s">
        <v>50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7"/>
    </row>
    <row r="102" spans="1:16" x14ac:dyDescent="0.2">
      <c r="B102" s="9" t="s">
        <v>26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7"/>
    </row>
    <row r="103" spans="1:16" x14ac:dyDescent="0.2">
      <c r="C103" s="3" t="s">
        <v>51</v>
      </c>
      <c r="D103" s="15">
        <v>2139990</v>
      </c>
      <c r="E103" s="16"/>
      <c r="F103" s="15">
        <v>0</v>
      </c>
      <c r="G103" s="16"/>
      <c r="H103" s="15">
        <v>0</v>
      </c>
      <c r="I103" s="16"/>
      <c r="J103" s="15">
        <v>0</v>
      </c>
      <c r="K103" s="16"/>
      <c r="L103" s="15">
        <f>F103+H103+J103</f>
        <v>0</v>
      </c>
      <c r="M103" s="16"/>
      <c r="N103" s="15">
        <f>D103+L103</f>
        <v>2139990</v>
      </c>
      <c r="O103" s="7"/>
    </row>
    <row r="104" spans="1:16" x14ac:dyDescent="0.2">
      <c r="C104" s="18"/>
      <c r="D104" s="16">
        <f>SUM(D103)</f>
        <v>2139990</v>
      </c>
      <c r="E104" s="16"/>
      <c r="F104" s="16">
        <f>SUM(F103)</f>
        <v>0</v>
      </c>
      <c r="G104" s="16"/>
      <c r="H104" s="16">
        <f>SUM(H103)</f>
        <v>0</v>
      </c>
      <c r="I104" s="16"/>
      <c r="J104" s="16">
        <f>SUM(J103)</f>
        <v>0</v>
      </c>
      <c r="K104" s="16"/>
      <c r="L104" s="16">
        <f>SUM(L103)</f>
        <v>0</v>
      </c>
      <c r="M104" s="16"/>
      <c r="N104" s="16">
        <f>SUM(N103)</f>
        <v>2139990</v>
      </c>
      <c r="O104" s="7"/>
    </row>
    <row r="105" spans="1:16" x14ac:dyDescent="0.2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7"/>
    </row>
    <row r="106" spans="1:16" x14ac:dyDescent="0.2">
      <c r="C106" s="9" t="s">
        <v>52</v>
      </c>
      <c r="D106" s="20">
        <f>D104</f>
        <v>2139990</v>
      </c>
      <c r="E106" s="14"/>
      <c r="F106" s="20">
        <f>F104</f>
        <v>0</v>
      </c>
      <c r="G106" s="14"/>
      <c r="H106" s="20">
        <f>H104</f>
        <v>0</v>
      </c>
      <c r="I106" s="14"/>
      <c r="J106" s="20">
        <f>J104</f>
        <v>0</v>
      </c>
      <c r="K106" s="14"/>
      <c r="L106" s="20">
        <f>L104</f>
        <v>0</v>
      </c>
      <c r="M106" s="14"/>
      <c r="N106" s="20">
        <f>N104</f>
        <v>2139990</v>
      </c>
      <c r="O106" s="7"/>
    </row>
    <row r="107" spans="1:16" x14ac:dyDescent="0.2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7"/>
    </row>
    <row r="108" spans="1:16" x14ac:dyDescent="0.2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7"/>
    </row>
    <row r="109" spans="1:16" x14ac:dyDescent="0.2">
      <c r="A109" s="13">
        <v>121</v>
      </c>
      <c r="B109" s="9" t="s">
        <v>53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7"/>
    </row>
    <row r="110" spans="1:16" x14ac:dyDescent="0.2">
      <c r="B110" s="9" t="s">
        <v>13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7"/>
    </row>
    <row r="111" spans="1:16" x14ac:dyDescent="0.2">
      <c r="C111" s="3" t="s">
        <v>54</v>
      </c>
      <c r="D111" s="15">
        <v>630896.97999999986</v>
      </c>
      <c r="E111" s="14"/>
      <c r="F111" s="15">
        <v>0</v>
      </c>
      <c r="G111" s="14"/>
      <c r="H111" s="15">
        <v>0</v>
      </c>
      <c r="I111" s="14"/>
      <c r="J111" s="15">
        <v>0</v>
      </c>
      <c r="K111" s="14"/>
      <c r="L111" s="15">
        <f>F111+H111+J111</f>
        <v>0</v>
      </c>
      <c r="M111" s="14"/>
      <c r="N111" s="15">
        <f>D111+L111</f>
        <v>630896.97999999986</v>
      </c>
      <c r="O111" s="7"/>
    </row>
    <row r="112" spans="1:16" x14ac:dyDescent="0.2">
      <c r="C112" s="18"/>
      <c r="D112" s="16">
        <f>SUM(D111)</f>
        <v>630896.97999999986</v>
      </c>
      <c r="E112" s="16"/>
      <c r="F112" s="16">
        <f>SUM(F111)</f>
        <v>0</v>
      </c>
      <c r="G112" s="16"/>
      <c r="H112" s="16">
        <f>SUM(H111)</f>
        <v>0</v>
      </c>
      <c r="I112" s="16"/>
      <c r="J112" s="16">
        <f>SUM(J111)</f>
        <v>0</v>
      </c>
      <c r="K112" s="16"/>
      <c r="L112" s="16">
        <f>SUM(L111)</f>
        <v>0</v>
      </c>
      <c r="M112" s="16"/>
      <c r="N112" s="16">
        <f>SUM(N111)</f>
        <v>630896.97999999986</v>
      </c>
      <c r="O112" s="7"/>
    </row>
    <row r="113" spans="1:17" x14ac:dyDescent="0.2"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7"/>
    </row>
    <row r="114" spans="1:17" x14ac:dyDescent="0.2">
      <c r="C114" s="9" t="s">
        <v>55</v>
      </c>
      <c r="D114" s="20">
        <f>D112</f>
        <v>630896.97999999986</v>
      </c>
      <c r="E114" s="14"/>
      <c r="F114" s="20">
        <f>F112</f>
        <v>0</v>
      </c>
      <c r="G114" s="14"/>
      <c r="H114" s="20">
        <f>H112</f>
        <v>0</v>
      </c>
      <c r="I114" s="14"/>
      <c r="J114" s="20">
        <f>J112</f>
        <v>0</v>
      </c>
      <c r="K114" s="14"/>
      <c r="L114" s="20">
        <f>L112</f>
        <v>0</v>
      </c>
      <c r="M114" s="14"/>
      <c r="N114" s="20">
        <f>N112</f>
        <v>630896.97999999986</v>
      </c>
      <c r="O114" s="7"/>
    </row>
    <row r="115" spans="1:17" x14ac:dyDescent="0.2"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7"/>
    </row>
    <row r="116" spans="1:17" x14ac:dyDescent="0.2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7"/>
    </row>
    <row r="117" spans="1:17" x14ac:dyDescent="0.2">
      <c r="A117" s="13">
        <v>107</v>
      </c>
      <c r="B117" s="9" t="s">
        <v>56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7"/>
    </row>
    <row r="118" spans="1:17" x14ac:dyDescent="0.2">
      <c r="B118" s="9" t="s">
        <v>57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7"/>
    </row>
    <row r="119" spans="1:17" x14ac:dyDescent="0.2"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7"/>
    </row>
    <row r="120" spans="1:17" x14ac:dyDescent="0.2">
      <c r="C120" s="3" t="s">
        <v>13</v>
      </c>
      <c r="D120" s="14">
        <v>17648508.77</v>
      </c>
      <c r="E120" s="14"/>
      <c r="F120" s="14">
        <f>16038448.83-2465.33-D120</f>
        <v>-1612525.2699999996</v>
      </c>
      <c r="G120" s="14"/>
      <c r="H120" s="16">
        <v>0</v>
      </c>
      <c r="I120" s="14"/>
      <c r="J120" s="16">
        <v>0</v>
      </c>
      <c r="K120" s="14"/>
      <c r="L120" s="14">
        <f>F120+H120+J120</f>
        <v>-1612525.2699999996</v>
      </c>
      <c r="M120" s="14"/>
      <c r="N120" s="14">
        <f>D120+L120</f>
        <v>16035983.5</v>
      </c>
      <c r="O120" s="7"/>
      <c r="P120" s="22" t="s">
        <v>58</v>
      </c>
    </row>
    <row r="121" spans="1:17" x14ac:dyDescent="0.2">
      <c r="C121" s="3" t="s">
        <v>17</v>
      </c>
      <c r="D121" s="14">
        <v>103536421.06999999</v>
      </c>
      <c r="E121" s="14"/>
      <c r="F121" s="14">
        <f>268646844.12-D121</f>
        <v>165110423.05000001</v>
      </c>
      <c r="G121" s="14"/>
      <c r="H121" s="16">
        <v>0</v>
      </c>
      <c r="I121" s="14"/>
      <c r="J121" s="16">
        <v>0</v>
      </c>
      <c r="K121" s="14"/>
      <c r="L121" s="14">
        <f>F121+H121+J121</f>
        <v>165110423.05000001</v>
      </c>
      <c r="M121" s="14"/>
      <c r="N121" s="14">
        <f>D121+L121</f>
        <v>268646844.12</v>
      </c>
      <c r="O121" s="7"/>
      <c r="P121" s="22" t="s">
        <v>59</v>
      </c>
    </row>
    <row r="122" spans="1:17" x14ac:dyDescent="0.2">
      <c r="C122" s="3" t="s">
        <v>26</v>
      </c>
      <c r="D122" s="15">
        <v>12543235.779999999</v>
      </c>
      <c r="E122" s="14"/>
      <c r="F122" s="15">
        <f>20256463.77-D122</f>
        <v>7713227.9900000002</v>
      </c>
      <c r="G122" s="14"/>
      <c r="H122" s="15">
        <v>0</v>
      </c>
      <c r="I122" s="14"/>
      <c r="J122" s="15">
        <v>0</v>
      </c>
      <c r="K122" s="14"/>
      <c r="L122" s="15">
        <f>F122+H122+J122</f>
        <v>7713227.9900000002</v>
      </c>
      <c r="M122" s="14"/>
      <c r="N122" s="15">
        <f>D122+L122</f>
        <v>20256463.77</v>
      </c>
      <c r="O122" s="7"/>
      <c r="P122" s="22" t="s">
        <v>60</v>
      </c>
    </row>
    <row r="123" spans="1:17" x14ac:dyDescent="0.2">
      <c r="C123" s="18"/>
      <c r="D123" s="16">
        <f>SUM(D120:D122)</f>
        <v>133728165.61999999</v>
      </c>
      <c r="E123" s="16"/>
      <c r="F123" s="16">
        <f>SUM(F120:F122)</f>
        <v>171211125.77000001</v>
      </c>
      <c r="G123" s="16"/>
      <c r="H123" s="16">
        <f>SUM(H120:H122)</f>
        <v>0</v>
      </c>
      <c r="I123" s="16"/>
      <c r="J123" s="16">
        <f>SUM(J120:J122)</f>
        <v>0</v>
      </c>
      <c r="K123" s="16"/>
      <c r="L123" s="16">
        <f>SUM(L120:L122)</f>
        <v>171211125.77000001</v>
      </c>
      <c r="M123" s="16"/>
      <c r="N123" s="16">
        <f>SUM(N120:N122)</f>
        <v>304939291.38999999</v>
      </c>
      <c r="O123" s="7"/>
    </row>
    <row r="124" spans="1:17" x14ac:dyDescent="0.2">
      <c r="C124" s="18"/>
      <c r="D124" s="16"/>
      <c r="E124" s="14"/>
      <c r="F124" s="16"/>
      <c r="G124" s="14"/>
      <c r="H124" s="16"/>
      <c r="I124" s="14"/>
      <c r="J124" s="16"/>
      <c r="K124" s="14"/>
      <c r="L124" s="16"/>
      <c r="M124" s="14"/>
      <c r="N124" s="16"/>
      <c r="O124" s="7"/>
    </row>
    <row r="125" spans="1:17" x14ac:dyDescent="0.2">
      <c r="C125" s="18"/>
      <c r="D125" s="16"/>
      <c r="E125" s="14"/>
      <c r="F125" s="16"/>
      <c r="G125" s="14"/>
      <c r="H125" s="16"/>
      <c r="I125" s="14"/>
      <c r="J125" s="16"/>
      <c r="K125" s="14"/>
      <c r="L125" s="16"/>
      <c r="M125" s="14"/>
      <c r="N125" s="16"/>
      <c r="O125" s="7"/>
      <c r="Q125" s="14"/>
    </row>
    <row r="126" spans="1:17" x14ac:dyDescent="0.2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7"/>
    </row>
    <row r="127" spans="1:17" ht="13.5" thickBot="1" x14ac:dyDescent="0.25">
      <c r="B127" s="9" t="s">
        <v>61</v>
      </c>
      <c r="D127" s="23">
        <f>D114+D106+D72+D40+D32+D99+D51</f>
        <v>6636000014.6499996</v>
      </c>
      <c r="E127" s="14"/>
      <c r="F127" s="23">
        <f>F114+F106+F72+F40+F32+F99+F51</f>
        <v>299123554.93000007</v>
      </c>
      <c r="G127" s="14"/>
      <c r="H127" s="23">
        <f>H114+H106+H72+H40+H32+H99+H51</f>
        <v>-75393109.039999992</v>
      </c>
      <c r="I127" s="14"/>
      <c r="J127" s="23">
        <f>J114+J106+J72+J40+J32+J99+J51</f>
        <v>-8542089.1899999995</v>
      </c>
      <c r="K127" s="14"/>
      <c r="L127" s="23">
        <f>L114+L106+L72+L40+L32+L99+L51</f>
        <v>215188356.70000002</v>
      </c>
      <c r="M127" s="14"/>
      <c r="N127" s="23">
        <f>N114+N106+N72+N40+N32+N99+N51</f>
        <v>6851188371.3499994</v>
      </c>
      <c r="O127" s="7"/>
    </row>
    <row r="128" spans="1:17" ht="13.5" thickTop="1" x14ac:dyDescent="0.2">
      <c r="D128" s="16"/>
      <c r="E128" s="14"/>
      <c r="F128" s="16"/>
      <c r="G128" s="14"/>
      <c r="H128" s="16"/>
      <c r="I128" s="14"/>
      <c r="J128" s="16"/>
      <c r="K128" s="14"/>
      <c r="L128" s="16"/>
      <c r="M128" s="14"/>
      <c r="N128" s="16"/>
      <c r="O128" s="7"/>
    </row>
    <row r="129" spans="2:16" x14ac:dyDescent="0.2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7"/>
    </row>
    <row r="130" spans="2:16" ht="13.5" thickBot="1" x14ac:dyDescent="0.25">
      <c r="B130" s="9" t="s">
        <v>62</v>
      </c>
      <c r="D130" s="23">
        <f>D123+D127</f>
        <v>6769728180.2699995</v>
      </c>
      <c r="E130" s="14"/>
      <c r="F130" s="23">
        <f>F123+F127</f>
        <v>470334680.70000005</v>
      </c>
      <c r="G130" s="14"/>
      <c r="H130" s="23">
        <f>H123+H127</f>
        <v>-75393109.039999992</v>
      </c>
      <c r="I130" s="14"/>
      <c r="J130" s="23">
        <f>J123+J127</f>
        <v>-8542089.1899999995</v>
      </c>
      <c r="K130" s="14"/>
      <c r="L130" s="23">
        <f>L123+L127</f>
        <v>386399482.47000003</v>
      </c>
      <c r="M130" s="14"/>
      <c r="N130" s="23">
        <f>D130+L130</f>
        <v>7156127662.7399998</v>
      </c>
      <c r="O130" s="7"/>
    </row>
    <row r="131" spans="2:16" ht="13.5" thickTop="1" x14ac:dyDescent="0.2">
      <c r="D131" s="16"/>
      <c r="E131" s="14"/>
      <c r="F131" s="16"/>
      <c r="G131" s="14"/>
      <c r="H131" s="16"/>
      <c r="I131" s="14"/>
      <c r="J131" s="16"/>
      <c r="K131" s="14"/>
      <c r="L131" s="16"/>
      <c r="M131" s="14"/>
      <c r="N131" s="16"/>
      <c r="O131" s="7"/>
    </row>
    <row r="132" spans="2:16" x14ac:dyDescent="0.2">
      <c r="D132" s="16"/>
      <c r="E132" s="14"/>
      <c r="F132" s="16"/>
      <c r="G132" s="14"/>
      <c r="H132" s="16"/>
      <c r="I132" s="14"/>
      <c r="J132" s="16"/>
      <c r="K132" s="14"/>
      <c r="L132" s="16"/>
      <c r="M132" s="14"/>
      <c r="N132" s="16"/>
      <c r="O132" s="7"/>
    </row>
    <row r="133" spans="2:16" ht="13.5" thickBot="1" x14ac:dyDescent="0.25">
      <c r="B133" s="9" t="s">
        <v>63</v>
      </c>
      <c r="D133" s="23">
        <f>D130-D114</f>
        <v>6769097283.29</v>
      </c>
      <c r="E133" s="14"/>
      <c r="F133" s="23">
        <f>F130-F114</f>
        <v>470334680.70000005</v>
      </c>
      <c r="G133" s="14"/>
      <c r="H133" s="23">
        <f>H130-H114</f>
        <v>-75393109.039999992</v>
      </c>
      <c r="I133" s="14"/>
      <c r="J133" s="23">
        <f>J130-J114</f>
        <v>-8542089.1899999995</v>
      </c>
      <c r="K133" s="14"/>
      <c r="L133" s="23">
        <f>L130-L114</f>
        <v>386399482.47000003</v>
      </c>
      <c r="M133" s="14"/>
      <c r="N133" s="23">
        <f>N130-N114</f>
        <v>7155496765.7600002</v>
      </c>
      <c r="O133" s="7"/>
    </row>
    <row r="134" spans="2:16" ht="13.5" thickTop="1" x14ac:dyDescent="0.2">
      <c r="D134" s="16"/>
      <c r="E134" s="14"/>
      <c r="F134" s="16"/>
      <c r="G134" s="14"/>
      <c r="H134" s="16"/>
      <c r="I134" s="14"/>
      <c r="J134" s="16"/>
      <c r="K134" s="14"/>
      <c r="L134" s="16"/>
      <c r="M134" s="14"/>
      <c r="N134" s="16"/>
      <c r="O134" s="7"/>
    </row>
    <row r="135" spans="2:16" x14ac:dyDescent="0.2">
      <c r="D135" s="16"/>
      <c r="E135" s="14"/>
      <c r="F135" s="16"/>
      <c r="G135" s="14"/>
      <c r="H135" s="16"/>
      <c r="I135" s="14"/>
      <c r="J135" s="16"/>
      <c r="K135" s="14"/>
      <c r="L135" s="16"/>
      <c r="M135" s="14"/>
      <c r="N135" s="16"/>
      <c r="O135" s="7"/>
    </row>
    <row r="136" spans="2:16" x14ac:dyDescent="0.2">
      <c r="B136" s="9" t="s">
        <v>63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7"/>
    </row>
    <row r="137" spans="2:16" ht="13.5" thickBot="1" x14ac:dyDescent="0.25">
      <c r="B137" s="24" t="s">
        <v>64</v>
      </c>
      <c r="C137" s="25"/>
      <c r="D137" s="26">
        <f>D133-D106</f>
        <v>6766957293.29</v>
      </c>
      <c r="E137" s="14"/>
      <c r="F137" s="26">
        <f>F133-F106</f>
        <v>470334680.70000005</v>
      </c>
      <c r="G137" s="14"/>
      <c r="H137" s="26">
        <f>H133-H106</f>
        <v>-75393109.039999992</v>
      </c>
      <c r="I137" s="14"/>
      <c r="J137" s="26">
        <f>J133-J106</f>
        <v>-8542089.1899999995</v>
      </c>
      <c r="K137" s="14"/>
      <c r="L137" s="26">
        <f>L133-L106</f>
        <v>386399482.47000003</v>
      </c>
      <c r="M137" s="14"/>
      <c r="N137" s="26">
        <f>N133-N106</f>
        <v>7153356775.7600002</v>
      </c>
      <c r="O137" s="7"/>
      <c r="P137" s="2" t="s">
        <v>65</v>
      </c>
    </row>
    <row r="138" spans="2:16" ht="13.5" thickTop="1" x14ac:dyDescent="0.2">
      <c r="C138" s="25"/>
      <c r="D138" s="2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7"/>
    </row>
    <row r="139" spans="2:16" x14ac:dyDescent="0.2">
      <c r="C139" s="25"/>
      <c r="D139" s="2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7"/>
    </row>
    <row r="140" spans="2:16" x14ac:dyDescent="0.2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7"/>
    </row>
    <row r="141" spans="2:16" x14ac:dyDescent="0.2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7"/>
    </row>
    <row r="142" spans="2:16" x14ac:dyDescent="0.2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7"/>
    </row>
    <row r="143" spans="2:16" x14ac:dyDescent="0.2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2:16" x14ac:dyDescent="0.2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4:14" x14ac:dyDescent="0.2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4:14" x14ac:dyDescent="0.2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</sheetData>
  <mergeCells count="3">
    <mergeCell ref="A1:N1"/>
    <mergeCell ref="A2:N2"/>
    <mergeCell ref="A3:N3"/>
  </mergeCells>
  <pageMargins left="0.75" right="0.75" top="1" bottom="1" header="0.5" footer="0.5"/>
  <pageSetup scale="70" fitToHeight="3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2" manualBreakCount="2">
    <brk id="53" max="1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94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30" customFormat="1" ht="15.75" x14ac:dyDescent="0.25">
      <c r="A2" s="210" t="s">
        <v>2802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36"/>
      <c r="F6" s="136"/>
      <c r="H6" s="7" t="s">
        <v>4</v>
      </c>
      <c r="J6" s="136"/>
      <c r="L6" s="7" t="s">
        <v>5</v>
      </c>
    </row>
    <row r="7" spans="1:13" x14ac:dyDescent="0.2">
      <c r="A7" s="9" t="s">
        <v>2794</v>
      </c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3" x14ac:dyDescent="0.2">
      <c r="A8" s="9" t="s">
        <v>2803</v>
      </c>
      <c r="B8" s="17"/>
      <c r="D8" s="17"/>
      <c r="F8" s="17"/>
      <c r="H8" s="17"/>
      <c r="J8" s="17"/>
      <c r="L8" s="17"/>
    </row>
    <row r="9" spans="1:13" x14ac:dyDescent="0.2">
      <c r="A9" s="9" t="s">
        <v>2798</v>
      </c>
    </row>
    <row r="10" spans="1:13" x14ac:dyDescent="0.2">
      <c r="A10" s="9" t="s">
        <v>2799</v>
      </c>
    </row>
    <row r="11" spans="1:13" x14ac:dyDescent="0.2">
      <c r="A11" s="3" t="s">
        <v>232</v>
      </c>
      <c r="B11" s="136">
        <f>'KY_Cost Plant Acct-Comm-P8(Reg)'!B11</f>
        <v>1564394.3699999999</v>
      </c>
      <c r="C11" s="136"/>
      <c r="D11" s="136">
        <f>'KY_Cost Plant Acct-Comm-P8(Reg)'!D11</f>
        <v>0</v>
      </c>
      <c r="E11" s="136"/>
      <c r="F11" s="136">
        <f>'KY_Cost Plant Acct-Comm-P8(Reg)'!F11</f>
        <v>0</v>
      </c>
      <c r="G11" s="136"/>
      <c r="H11" s="136">
        <f>'KY_Cost Plant Acct-Comm-P8(Reg)'!H11</f>
        <v>0</v>
      </c>
      <c r="I11" s="136"/>
      <c r="J11" s="136">
        <f t="shared" ref="J11:J40" si="0">H11+F11+D11</f>
        <v>0</v>
      </c>
      <c r="K11" s="136"/>
      <c r="L11" s="136">
        <f t="shared" ref="L11:L40" si="1">J11+B11</f>
        <v>1564394.3699999999</v>
      </c>
      <c r="M11" s="147"/>
    </row>
    <row r="12" spans="1:13" x14ac:dyDescent="0.2">
      <c r="A12" s="3" t="s">
        <v>233</v>
      </c>
      <c r="B12" s="136">
        <f>'KY_Cost Plant Acct-Comm-P8(Reg)'!B12</f>
        <v>0</v>
      </c>
      <c r="C12" s="136"/>
      <c r="D12" s="136">
        <f>'KY_Cost Plant Acct-Comm-P8(Reg)'!D12</f>
        <v>0</v>
      </c>
      <c r="E12" s="136"/>
      <c r="F12" s="136">
        <f>'KY_Cost Plant Acct-Comm-P8(Reg)'!F12</f>
        <v>0</v>
      </c>
      <c r="G12" s="136"/>
      <c r="H12" s="136">
        <f>'KY_Cost Plant Acct-Comm-P8(Reg)'!H12</f>
        <v>0</v>
      </c>
      <c r="I12" s="136"/>
      <c r="J12" s="136">
        <f t="shared" si="0"/>
        <v>0</v>
      </c>
      <c r="K12" s="136"/>
      <c r="L12" s="136">
        <f t="shared" si="1"/>
        <v>0</v>
      </c>
      <c r="M12" s="147"/>
    </row>
    <row r="13" spans="1:13" x14ac:dyDescent="0.2">
      <c r="A13" s="3" t="s">
        <v>234</v>
      </c>
      <c r="B13" s="136">
        <f>'KY_Cost Plant Acct-Comm-P8(Reg)'!B13</f>
        <v>65813532.299999997</v>
      </c>
      <c r="C13" s="136"/>
      <c r="D13" s="136">
        <f>'KY_Cost Plant Acct-Comm-P8(Reg)'!D13</f>
        <v>2588223.0099999998</v>
      </c>
      <c r="E13" s="136"/>
      <c r="F13" s="136">
        <f>'KY_Cost Plant Acct-Comm-P8(Reg)'!F13</f>
        <v>-870805.71</v>
      </c>
      <c r="G13" s="136"/>
      <c r="H13" s="136">
        <f>'KY_Cost Plant Acct-Comm-P8(Reg)'!H13</f>
        <v>0</v>
      </c>
      <c r="I13" s="136"/>
      <c r="J13" s="136">
        <f t="shared" si="0"/>
        <v>1717417.2999999998</v>
      </c>
      <c r="K13" s="136"/>
      <c r="L13" s="136">
        <f t="shared" si="1"/>
        <v>67530949.599999994</v>
      </c>
      <c r="M13" s="147"/>
    </row>
    <row r="14" spans="1:13" x14ac:dyDescent="0.2">
      <c r="A14" s="3" t="s">
        <v>235</v>
      </c>
      <c r="B14" s="136">
        <f>'KY_Cost Plant Acct-Comm-P8(Reg)'!B14</f>
        <v>412150.57</v>
      </c>
      <c r="C14" s="136"/>
      <c r="D14" s="136">
        <f>'KY_Cost Plant Acct-Comm-P8(Reg)'!D14</f>
        <v>0</v>
      </c>
      <c r="E14" s="136"/>
      <c r="F14" s="136">
        <f>'KY_Cost Plant Acct-Comm-P8(Reg)'!F14</f>
        <v>0</v>
      </c>
      <c r="G14" s="136"/>
      <c r="H14" s="136">
        <f>'KY_Cost Plant Acct-Comm-P8(Reg)'!H14</f>
        <v>0</v>
      </c>
      <c r="I14" s="136"/>
      <c r="J14" s="136">
        <f t="shared" si="0"/>
        <v>0</v>
      </c>
      <c r="K14" s="136"/>
      <c r="L14" s="136">
        <f t="shared" si="1"/>
        <v>412150.57</v>
      </c>
      <c r="M14" s="147"/>
    </row>
    <row r="15" spans="1:13" x14ac:dyDescent="0.2">
      <c r="A15" s="3" t="s">
        <v>236</v>
      </c>
      <c r="B15" s="136">
        <f>'KY_Cost Plant Acct-Comm-P8(Reg)'!B15</f>
        <v>9935031.3599999994</v>
      </c>
      <c r="C15" s="136"/>
      <c r="D15" s="136">
        <f>'KY_Cost Plant Acct-Comm-P8(Reg)'!D15</f>
        <v>0</v>
      </c>
      <c r="E15" s="136"/>
      <c r="F15" s="136">
        <f>'KY_Cost Plant Acct-Comm-P8(Reg)'!F15</f>
        <v>-69403.289999999994</v>
      </c>
      <c r="G15" s="136"/>
      <c r="H15" s="136">
        <f>'KY_Cost Plant Acct-Comm-P8(Reg)'!H15</f>
        <v>0</v>
      </c>
      <c r="I15" s="136"/>
      <c r="J15" s="136">
        <f t="shared" si="0"/>
        <v>-69403.289999999994</v>
      </c>
      <c r="K15" s="136"/>
      <c r="L15" s="136">
        <f t="shared" si="1"/>
        <v>9865628.0700000003</v>
      </c>
      <c r="M15" s="147"/>
    </row>
    <row r="16" spans="1:13" x14ac:dyDescent="0.2">
      <c r="A16" s="3" t="s">
        <v>237</v>
      </c>
      <c r="B16" s="136">
        <f>'KY_Cost Plant Acct-Comm-P8(Reg)'!B16</f>
        <v>707482.03999999992</v>
      </c>
      <c r="C16" s="136"/>
      <c r="D16" s="136">
        <f>'KY_Cost Plant Acct-Comm-P8(Reg)'!D16</f>
        <v>0</v>
      </c>
      <c r="E16" s="136"/>
      <c r="F16" s="136">
        <f>'KY_Cost Plant Acct-Comm-P8(Reg)'!F16</f>
        <v>0</v>
      </c>
      <c r="G16" s="136"/>
      <c r="H16" s="136">
        <f>'KY_Cost Plant Acct-Comm-P8(Reg)'!H16</f>
        <v>0</v>
      </c>
      <c r="I16" s="136"/>
      <c r="J16" s="136">
        <f t="shared" si="0"/>
        <v>0</v>
      </c>
      <c r="K16" s="136"/>
      <c r="L16" s="136">
        <f t="shared" si="1"/>
        <v>707482.03999999992</v>
      </c>
      <c r="M16" s="147"/>
    </row>
    <row r="17" spans="1:13" x14ac:dyDescent="0.2">
      <c r="A17" s="3" t="s">
        <v>238</v>
      </c>
      <c r="B17" s="136">
        <f>'KY_Cost Plant Acct-Comm-P8(Reg)'!B17</f>
        <v>1101625.49</v>
      </c>
      <c r="C17" s="136"/>
      <c r="D17" s="136">
        <f>'KY_Cost Plant Acct-Comm-P8(Reg)'!D17</f>
        <v>0</v>
      </c>
      <c r="E17" s="136"/>
      <c r="F17" s="136">
        <f>'KY_Cost Plant Acct-Comm-P8(Reg)'!F17</f>
        <v>-1917.02</v>
      </c>
      <c r="G17" s="136"/>
      <c r="H17" s="136">
        <f>'KY_Cost Plant Acct-Comm-P8(Reg)'!H17</f>
        <v>0</v>
      </c>
      <c r="I17" s="136"/>
      <c r="J17" s="136">
        <f t="shared" si="0"/>
        <v>-1917.02</v>
      </c>
      <c r="K17" s="136"/>
      <c r="L17" s="136">
        <f t="shared" si="1"/>
        <v>1099708.47</v>
      </c>
      <c r="M17" s="147"/>
    </row>
    <row r="18" spans="1:13" x14ac:dyDescent="0.2">
      <c r="A18" s="3" t="s">
        <v>239</v>
      </c>
      <c r="B18" s="136">
        <f>'KY_Cost Plant Acct-Comm-P8(Reg)'!B18</f>
        <v>6980531.04</v>
      </c>
      <c r="C18" s="136"/>
      <c r="D18" s="136">
        <f>'KY_Cost Plant Acct-Comm-P8(Reg)'!D18</f>
        <v>861722</v>
      </c>
      <c r="E18" s="136"/>
      <c r="F18" s="136">
        <f>'KY_Cost Plant Acct-Comm-P8(Reg)'!F18</f>
        <v>-248851.16</v>
      </c>
      <c r="G18" s="136"/>
      <c r="H18" s="136">
        <f>'KY_Cost Plant Acct-Comm-P8(Reg)'!H18</f>
        <v>0</v>
      </c>
      <c r="I18" s="136"/>
      <c r="J18" s="136">
        <f t="shared" si="0"/>
        <v>612870.84</v>
      </c>
      <c r="K18" s="136"/>
      <c r="L18" s="136">
        <f t="shared" si="1"/>
        <v>7593401.8799999999</v>
      </c>
      <c r="M18" s="147"/>
    </row>
    <row r="19" spans="1:13" x14ac:dyDescent="0.2">
      <c r="A19" s="3" t="s">
        <v>240</v>
      </c>
      <c r="B19" s="136">
        <f>'KY_Cost Plant Acct-Comm-P8(Reg)'!B19</f>
        <v>986685.95999999973</v>
      </c>
      <c r="C19" s="136"/>
      <c r="D19" s="136">
        <f>'KY_Cost Plant Acct-Comm-P8(Reg)'!D19</f>
        <v>331110.75</v>
      </c>
      <c r="E19" s="136"/>
      <c r="F19" s="136">
        <f>'KY_Cost Plant Acct-Comm-P8(Reg)'!F19</f>
        <v>0</v>
      </c>
      <c r="G19" s="136"/>
      <c r="H19" s="136">
        <f>'KY_Cost Plant Acct-Comm-P8(Reg)'!H19</f>
        <v>0</v>
      </c>
      <c r="I19" s="136"/>
      <c r="J19" s="136">
        <f t="shared" si="0"/>
        <v>331110.75</v>
      </c>
      <c r="K19" s="136"/>
      <c r="L19" s="136">
        <f t="shared" si="1"/>
        <v>1317796.7099999997</v>
      </c>
      <c r="M19" s="147"/>
    </row>
    <row r="20" spans="1:13" x14ac:dyDescent="0.2">
      <c r="A20" s="3" t="s">
        <v>241</v>
      </c>
      <c r="B20" s="136">
        <f>'KY_Cost Plant Acct-Comm-P8(Reg)'!B20</f>
        <v>18919012.849999998</v>
      </c>
      <c r="C20" s="136"/>
      <c r="D20" s="136">
        <f>'KY_Cost Plant Acct-Comm-P8(Reg)'!D20</f>
        <v>4679482.38</v>
      </c>
      <c r="E20" s="136"/>
      <c r="F20" s="136">
        <f>'KY_Cost Plant Acct-Comm-P8(Reg)'!F20</f>
        <v>-4080319.3</v>
      </c>
      <c r="G20" s="136"/>
      <c r="H20" s="136">
        <f>'KY_Cost Plant Acct-Comm-P8(Reg)'!H20</f>
        <v>0</v>
      </c>
      <c r="I20" s="136"/>
      <c r="J20" s="136">
        <f t="shared" si="0"/>
        <v>599163.08000000007</v>
      </c>
      <c r="K20" s="136"/>
      <c r="L20" s="136">
        <f t="shared" si="1"/>
        <v>19518175.93</v>
      </c>
      <c r="M20" s="147"/>
    </row>
    <row r="21" spans="1:13" x14ac:dyDescent="0.2">
      <c r="A21" s="3" t="s">
        <v>242</v>
      </c>
      <c r="B21" s="136">
        <f>'KY_Cost Plant Acct-Comm-P8(Reg)'!B21</f>
        <v>5053034.7699999996</v>
      </c>
      <c r="C21" s="136"/>
      <c r="D21" s="136">
        <f>'KY_Cost Plant Acct-Comm-P8(Reg)'!D21</f>
        <v>1687542.17</v>
      </c>
      <c r="E21" s="136"/>
      <c r="F21" s="136">
        <f>'KY_Cost Plant Acct-Comm-P8(Reg)'!F21</f>
        <v>-1005087.57</v>
      </c>
      <c r="G21" s="136"/>
      <c r="H21" s="136">
        <f>'KY_Cost Plant Acct-Comm-P8(Reg)'!H21</f>
        <v>0</v>
      </c>
      <c r="I21" s="136"/>
      <c r="J21" s="136">
        <f t="shared" si="0"/>
        <v>682454.6</v>
      </c>
      <c r="K21" s="136"/>
      <c r="L21" s="136">
        <f t="shared" si="1"/>
        <v>5735489.3699999992</v>
      </c>
      <c r="M21" s="147"/>
    </row>
    <row r="22" spans="1:13" x14ac:dyDescent="0.2">
      <c r="A22" s="21" t="s">
        <v>243</v>
      </c>
      <c r="B22" s="136">
        <f>'KY_Cost Plant Acct-Comm-P8(Reg)'!B22</f>
        <v>0</v>
      </c>
      <c r="C22" s="136"/>
      <c r="D22" s="136">
        <f>'KY_Cost Plant Acct-Comm-P8(Reg)'!D22</f>
        <v>0</v>
      </c>
      <c r="E22" s="136"/>
      <c r="F22" s="136">
        <f>'KY_Cost Plant Acct-Comm-P8(Reg)'!F22</f>
        <v>0</v>
      </c>
      <c r="G22" s="136"/>
      <c r="H22" s="136">
        <f>'KY_Cost Plant Acct-Comm-P8(Reg)'!H22</f>
        <v>0</v>
      </c>
      <c r="I22" s="136"/>
      <c r="J22" s="136">
        <f>H22+F22+D22</f>
        <v>0</v>
      </c>
      <c r="K22" s="136"/>
      <c r="L22" s="136">
        <f>J22+B22</f>
        <v>0</v>
      </c>
      <c r="M22" s="147"/>
    </row>
    <row r="23" spans="1:13" x14ac:dyDescent="0.2">
      <c r="A23" s="3" t="s">
        <v>244</v>
      </c>
      <c r="B23" s="136">
        <f>'KY_Cost Plant Acct-Comm-P8(Reg)'!B23</f>
        <v>915122.45999999961</v>
      </c>
      <c r="C23" s="136"/>
      <c r="D23" s="136">
        <f>'KY_Cost Plant Acct-Comm-P8(Reg)'!D23</f>
        <v>0</v>
      </c>
      <c r="E23" s="136"/>
      <c r="F23" s="136">
        <f>'KY_Cost Plant Acct-Comm-P8(Reg)'!F23</f>
        <v>0</v>
      </c>
      <c r="G23" s="136"/>
      <c r="H23" s="136">
        <f>'KY_Cost Plant Acct-Comm-P8(Reg)'!H23</f>
        <v>0</v>
      </c>
      <c r="I23" s="136"/>
      <c r="J23" s="136">
        <f t="shared" si="0"/>
        <v>0</v>
      </c>
      <c r="K23" s="136"/>
      <c r="L23" s="136">
        <f t="shared" si="1"/>
        <v>915122.45999999961</v>
      </c>
      <c r="M23" s="147"/>
    </row>
    <row r="24" spans="1:13" x14ac:dyDescent="0.2">
      <c r="A24" s="3" t="s">
        <v>245</v>
      </c>
      <c r="B24" s="136">
        <f>'KY_Cost Plant Acct-Comm-P8(Reg)'!B24</f>
        <v>20757.36</v>
      </c>
      <c r="C24" s="136"/>
      <c r="D24" s="136">
        <f>'KY_Cost Plant Acct-Comm-P8(Reg)'!D24</f>
        <v>0</v>
      </c>
      <c r="E24" s="136"/>
      <c r="F24" s="136">
        <f>'KY_Cost Plant Acct-Comm-P8(Reg)'!F24</f>
        <v>-20757.36</v>
      </c>
      <c r="G24" s="136"/>
      <c r="H24" s="136">
        <f>'KY_Cost Plant Acct-Comm-P8(Reg)'!H24</f>
        <v>0</v>
      </c>
      <c r="I24" s="136"/>
      <c r="J24" s="136">
        <f>H24+F24+D24</f>
        <v>-20757.36</v>
      </c>
      <c r="K24" s="136"/>
      <c r="L24" s="136">
        <f>J24+B24</f>
        <v>0</v>
      </c>
      <c r="M24" s="147"/>
    </row>
    <row r="25" spans="1:13" x14ac:dyDescent="0.2">
      <c r="A25" s="3" t="s">
        <v>246</v>
      </c>
      <c r="B25" s="136">
        <f>'KY_Cost Plant Acct-Comm-P8(Reg)'!B25</f>
        <v>211576.31999999998</v>
      </c>
      <c r="C25" s="136"/>
      <c r="D25" s="136">
        <f>'KY_Cost Plant Acct-Comm-P8(Reg)'!D25</f>
        <v>0</v>
      </c>
      <c r="E25" s="136"/>
      <c r="F25" s="136">
        <f>'KY_Cost Plant Acct-Comm-P8(Reg)'!F25</f>
        <v>0</v>
      </c>
      <c r="G25" s="136"/>
      <c r="H25" s="136">
        <f>'KY_Cost Plant Acct-Comm-P8(Reg)'!H25</f>
        <v>0</v>
      </c>
      <c r="I25" s="136"/>
      <c r="J25" s="136">
        <f t="shared" si="0"/>
        <v>0</v>
      </c>
      <c r="K25" s="136"/>
      <c r="L25" s="136">
        <f t="shared" si="1"/>
        <v>211576.31999999998</v>
      </c>
      <c r="M25" s="147"/>
    </row>
    <row r="26" spans="1:13" x14ac:dyDescent="0.2">
      <c r="A26" s="3" t="s">
        <v>247</v>
      </c>
      <c r="B26" s="136">
        <f>'KY_Cost Plant Acct-Comm-P8(Reg)'!B26</f>
        <v>41842.69</v>
      </c>
      <c r="C26" s="136"/>
      <c r="D26" s="136">
        <f>'KY_Cost Plant Acct-Comm-P8(Reg)'!D26</f>
        <v>38564.449999999997</v>
      </c>
      <c r="E26" s="136"/>
      <c r="F26" s="136">
        <f>'KY_Cost Plant Acct-Comm-P8(Reg)'!F26</f>
        <v>-13783.47</v>
      </c>
      <c r="G26" s="136"/>
      <c r="H26" s="136">
        <f>'KY_Cost Plant Acct-Comm-P8(Reg)'!H26</f>
        <v>0</v>
      </c>
      <c r="I26" s="136"/>
      <c r="J26" s="136">
        <f t="shared" si="0"/>
        <v>24780.979999999996</v>
      </c>
      <c r="K26" s="136"/>
      <c r="L26" s="136">
        <f t="shared" si="1"/>
        <v>66623.67</v>
      </c>
      <c r="M26" s="147"/>
    </row>
    <row r="27" spans="1:13" x14ac:dyDescent="0.2">
      <c r="A27" s="3" t="s">
        <v>248</v>
      </c>
      <c r="B27" s="136">
        <f>'KY_Cost Plant Acct-Comm-P8(Reg)'!B27</f>
        <v>1471075.02</v>
      </c>
      <c r="C27" s="136"/>
      <c r="D27" s="136">
        <f>'KY_Cost Plant Acct-Comm-P8(Reg)'!D27</f>
        <v>0</v>
      </c>
      <c r="E27" s="136"/>
      <c r="F27" s="136">
        <f>'KY_Cost Plant Acct-Comm-P8(Reg)'!F27</f>
        <v>0</v>
      </c>
      <c r="G27" s="136"/>
      <c r="H27" s="136">
        <f>'KY_Cost Plant Acct-Comm-P8(Reg)'!H27</f>
        <v>0</v>
      </c>
      <c r="I27" s="136"/>
      <c r="J27" s="136">
        <f t="shared" si="0"/>
        <v>0</v>
      </c>
      <c r="K27" s="136"/>
      <c r="L27" s="136">
        <f t="shared" si="1"/>
        <v>1471075.02</v>
      </c>
      <c r="M27" s="147"/>
    </row>
    <row r="28" spans="1:13" x14ac:dyDescent="0.2">
      <c r="A28" s="3" t="s">
        <v>249</v>
      </c>
      <c r="B28" s="136">
        <f>'KY_Cost Plant Acct-Comm-P8(Reg)'!B28+'IN_Cost Plant Acct-Com-P10(Reg)'!B11</f>
        <v>3993932.7900000005</v>
      </c>
      <c r="C28" s="136"/>
      <c r="D28" s="136">
        <f>'KY_Cost Plant Acct-Comm-P8(Reg)'!D28+'IN_Cost Plant Acct-Com-P10(Reg)'!D11</f>
        <v>141819.07999999999</v>
      </c>
      <c r="E28" s="136"/>
      <c r="F28" s="136">
        <f>'KY_Cost Plant Acct-Comm-P8(Reg)'!F28+'IN_Cost Plant Acct-Com-P10(Reg)'!F11</f>
        <v>0</v>
      </c>
      <c r="G28" s="136"/>
      <c r="H28" s="136">
        <f>'KY_Cost Plant Acct-Comm-P8(Reg)'!H28+'IN_Cost Plant Acct-Com-P10(Reg)'!H11</f>
        <v>0</v>
      </c>
      <c r="I28" s="136"/>
      <c r="J28" s="136">
        <f t="shared" si="0"/>
        <v>141819.07999999999</v>
      </c>
      <c r="K28" s="136"/>
      <c r="L28" s="136">
        <f t="shared" si="1"/>
        <v>4135751.8700000006</v>
      </c>
      <c r="M28" s="147"/>
    </row>
    <row r="29" spans="1:13" x14ac:dyDescent="0.2">
      <c r="A29" s="3" t="s">
        <v>250</v>
      </c>
      <c r="B29" s="136">
        <f>'KY_Cost Plant Acct-Comm-P8(Reg)'!B29</f>
        <v>0</v>
      </c>
      <c r="C29" s="136"/>
      <c r="D29" s="136">
        <f>'KY_Cost Plant Acct-Comm-P8(Reg)'!D29</f>
        <v>0</v>
      </c>
      <c r="E29" s="136"/>
      <c r="F29" s="136">
        <f>'KY_Cost Plant Acct-Comm-P8(Reg)'!F29</f>
        <v>0</v>
      </c>
      <c r="G29" s="136"/>
      <c r="H29" s="136">
        <f>'KY_Cost Plant Acct-Comm-P8(Reg)'!H29</f>
        <v>0</v>
      </c>
      <c r="I29" s="136"/>
      <c r="J29" s="136">
        <f t="shared" si="0"/>
        <v>0</v>
      </c>
      <c r="K29" s="136"/>
      <c r="L29" s="136">
        <f t="shared" si="1"/>
        <v>0</v>
      </c>
      <c r="M29" s="147"/>
    </row>
    <row r="30" spans="1:13" x14ac:dyDescent="0.2">
      <c r="A30" s="131" t="s">
        <v>2800</v>
      </c>
      <c r="B30" s="136">
        <f>'KY_Cost Plant Acct-Comm-P8(Reg)'!B30</f>
        <v>328439.13</v>
      </c>
      <c r="C30" s="136"/>
      <c r="D30" s="136">
        <f>'KY_Cost Plant Acct-Comm-P8(Reg)'!D30</f>
        <v>199130.06</v>
      </c>
      <c r="E30" s="136"/>
      <c r="F30" s="136">
        <f>'KY_Cost Plant Acct-Comm-P8(Reg)'!F30</f>
        <v>0</v>
      </c>
      <c r="G30" s="136"/>
      <c r="H30" s="136">
        <f>'KY_Cost Plant Acct-Comm-P8(Reg)'!H30</f>
        <v>0</v>
      </c>
      <c r="I30" s="136"/>
      <c r="J30" s="136">
        <f t="shared" si="0"/>
        <v>199130.06</v>
      </c>
      <c r="K30" s="136"/>
      <c r="L30" s="136">
        <f t="shared" si="1"/>
        <v>527569.18999999994</v>
      </c>
      <c r="M30" s="147"/>
    </row>
    <row r="31" spans="1:13" x14ac:dyDescent="0.2">
      <c r="A31" s="3" t="s">
        <v>252</v>
      </c>
      <c r="B31" s="136">
        <f>'KY_Cost Plant Acct-Comm-P8(Reg)'!B31</f>
        <v>14147.08</v>
      </c>
      <c r="C31" s="136"/>
      <c r="D31" s="136">
        <f>'KY_Cost Plant Acct-Comm-P8(Reg)'!D31</f>
        <v>0</v>
      </c>
      <c r="E31" s="136"/>
      <c r="F31" s="136">
        <f>'KY_Cost Plant Acct-Comm-P8(Reg)'!F31</f>
        <v>0</v>
      </c>
      <c r="G31" s="136"/>
      <c r="H31" s="136">
        <f>'KY_Cost Plant Acct-Comm-P8(Reg)'!H31</f>
        <v>0</v>
      </c>
      <c r="I31" s="136"/>
      <c r="J31" s="136">
        <f t="shared" si="0"/>
        <v>0</v>
      </c>
      <c r="K31" s="136"/>
      <c r="L31" s="136">
        <f t="shared" si="1"/>
        <v>14147.08</v>
      </c>
      <c r="M31" s="147"/>
    </row>
    <row r="32" spans="1:13" x14ac:dyDescent="0.2">
      <c r="A32" s="3" t="s">
        <v>253</v>
      </c>
      <c r="B32" s="136">
        <f>'KY_Cost Plant Acct-Comm-P8(Reg)'!B32+'IN_Cost Plant Acct-Com-P10(Reg)'!B12</f>
        <v>18308866.060000002</v>
      </c>
      <c r="C32" s="136"/>
      <c r="D32" s="136">
        <f>'KY_Cost Plant Acct-Comm-P8(Reg)'!D32+'IN_Cost Plant Acct-Com-P10(Reg)'!D12</f>
        <v>3159299.8</v>
      </c>
      <c r="E32" s="136"/>
      <c r="F32" s="136">
        <f>'KY_Cost Plant Acct-Comm-P8(Reg)'!F32+'IN_Cost Plant Acct-Com-P10(Reg)'!F12</f>
        <v>-2103725.5299999998</v>
      </c>
      <c r="G32" s="136"/>
      <c r="H32" s="136">
        <f>'KY_Cost Plant Acct-Comm-P8(Reg)'!H32+'IN_Cost Plant Acct-Com-P10(Reg)'!H12</f>
        <v>0</v>
      </c>
      <c r="I32" s="136"/>
      <c r="J32" s="136">
        <f t="shared" si="0"/>
        <v>1055574.27</v>
      </c>
      <c r="K32" s="136"/>
      <c r="L32" s="136">
        <f>J32+B32</f>
        <v>19364440.330000002</v>
      </c>
      <c r="M32" s="147"/>
    </row>
    <row r="33" spans="1:13" x14ac:dyDescent="0.2">
      <c r="A33" s="3" t="s">
        <v>254</v>
      </c>
      <c r="B33" s="136">
        <f>'KY_Cost Plant Acct-Comm-P8(Reg)'!B33</f>
        <v>13523215.02</v>
      </c>
      <c r="C33" s="136"/>
      <c r="D33" s="136">
        <f>'KY_Cost Plant Acct-Comm-P8(Reg)'!D33</f>
        <v>737657.07</v>
      </c>
      <c r="E33" s="136"/>
      <c r="F33" s="136">
        <f>'KY_Cost Plant Acct-Comm-P8(Reg)'!F33</f>
        <v>-6626.4</v>
      </c>
      <c r="G33" s="136"/>
      <c r="H33" s="136">
        <f>'KY_Cost Plant Acct-Comm-P8(Reg)'!H33</f>
        <v>0</v>
      </c>
      <c r="I33" s="136"/>
      <c r="J33" s="136">
        <f t="shared" si="0"/>
        <v>731030.66999999993</v>
      </c>
      <c r="K33" s="136"/>
      <c r="L33" s="136">
        <f t="shared" si="1"/>
        <v>14254245.689999999</v>
      </c>
      <c r="M33" s="147"/>
    </row>
    <row r="34" spans="1:13" x14ac:dyDescent="0.2">
      <c r="A34" s="3" t="s">
        <v>255</v>
      </c>
      <c r="B34" s="136">
        <f>'KY_Cost Plant Acct-Comm-P8(Reg)'!B34</f>
        <v>0</v>
      </c>
      <c r="C34" s="136"/>
      <c r="D34" s="136">
        <f>'KY_Cost Plant Acct-Comm-P8(Reg)'!D34</f>
        <v>0</v>
      </c>
      <c r="E34" s="136"/>
      <c r="F34" s="136">
        <f>'KY_Cost Plant Acct-Comm-P8(Reg)'!F34</f>
        <v>0</v>
      </c>
      <c r="G34" s="136"/>
      <c r="H34" s="136">
        <f>'KY_Cost Plant Acct-Comm-P8(Reg)'!H34</f>
        <v>0</v>
      </c>
      <c r="I34" s="136"/>
      <c r="J34" s="136">
        <f t="shared" si="0"/>
        <v>0</v>
      </c>
      <c r="K34" s="136"/>
      <c r="L34" s="136">
        <f t="shared" si="1"/>
        <v>0</v>
      </c>
      <c r="M34" s="147"/>
    </row>
    <row r="35" spans="1:13" x14ac:dyDescent="0.2">
      <c r="A35" s="3" t="s">
        <v>256</v>
      </c>
      <c r="B35" s="136">
        <f>'KY_Cost Plant Acct-Comm-P8(Reg)'!B35</f>
        <v>0</v>
      </c>
      <c r="C35" s="136"/>
      <c r="D35" s="136">
        <f>'KY_Cost Plant Acct-Comm-P8(Reg)'!D35</f>
        <v>0</v>
      </c>
      <c r="E35" s="136"/>
      <c r="F35" s="136">
        <f>'KY_Cost Plant Acct-Comm-P8(Reg)'!F35</f>
        <v>0</v>
      </c>
      <c r="G35" s="136"/>
      <c r="H35" s="136">
        <f>'KY_Cost Plant Acct-Comm-P8(Reg)'!H35</f>
        <v>0</v>
      </c>
      <c r="I35" s="136"/>
      <c r="J35" s="136">
        <f t="shared" si="0"/>
        <v>0</v>
      </c>
      <c r="K35" s="136"/>
      <c r="L35" s="136">
        <f t="shared" si="1"/>
        <v>0</v>
      </c>
      <c r="M35" s="147"/>
    </row>
    <row r="36" spans="1:13" x14ac:dyDescent="0.2">
      <c r="A36" s="3" t="s">
        <v>257</v>
      </c>
      <c r="B36" s="136">
        <f>'KY_Cost Plant Acct-Comm-P8(Reg)'!B36</f>
        <v>83782.289999999994</v>
      </c>
      <c r="C36" s="136"/>
      <c r="D36" s="136">
        <f>'KY_Cost Plant Acct-Comm-P8(Reg)'!D36</f>
        <v>0</v>
      </c>
      <c r="E36" s="136"/>
      <c r="F36" s="136">
        <f>'KY_Cost Plant Acct-Comm-P8(Reg)'!F36</f>
        <v>0</v>
      </c>
      <c r="G36" s="136"/>
      <c r="H36" s="136">
        <f>'KY_Cost Plant Acct-Comm-P8(Reg)'!H36</f>
        <v>0</v>
      </c>
      <c r="I36" s="136"/>
      <c r="J36" s="136">
        <f t="shared" si="0"/>
        <v>0</v>
      </c>
      <c r="K36" s="136"/>
      <c r="L36" s="136">
        <f t="shared" si="1"/>
        <v>83782.289999999994</v>
      </c>
      <c r="M36" s="147"/>
    </row>
    <row r="37" spans="1:13" x14ac:dyDescent="0.2">
      <c r="A37" s="3" t="s">
        <v>258</v>
      </c>
      <c r="B37" s="136">
        <f>'KY_Cost Plant Acct-Comm-P8(Reg)'!B37</f>
        <v>0</v>
      </c>
      <c r="C37" s="136"/>
      <c r="D37" s="136">
        <f>'KY_Cost Plant Acct-Comm-P8(Reg)'!D37</f>
        <v>0</v>
      </c>
      <c r="E37" s="136"/>
      <c r="F37" s="136">
        <f>'KY_Cost Plant Acct-Comm-P8(Reg)'!F37</f>
        <v>0</v>
      </c>
      <c r="G37" s="136"/>
      <c r="H37" s="136">
        <f>'KY_Cost Plant Acct-Comm-P8(Reg)'!H37</f>
        <v>0</v>
      </c>
      <c r="I37" s="136"/>
      <c r="J37" s="136">
        <f t="shared" si="0"/>
        <v>0</v>
      </c>
      <c r="K37" s="136"/>
      <c r="L37" s="136">
        <f t="shared" si="1"/>
        <v>0</v>
      </c>
      <c r="M37" s="147"/>
    </row>
    <row r="38" spans="1:13" x14ac:dyDescent="0.2">
      <c r="A38" s="3" t="s">
        <v>259</v>
      </c>
      <c r="B38" s="136">
        <f>'KY_Cost Plant Acct-Comm-P8(Reg)'!B38</f>
        <v>46321727.969999999</v>
      </c>
      <c r="C38" s="136"/>
      <c r="D38" s="136">
        <f>'KY_Cost Plant Acct-Comm-P8(Reg)'!D38</f>
        <v>9409045.7200000007</v>
      </c>
      <c r="E38" s="136"/>
      <c r="F38" s="136">
        <f>'KY_Cost Plant Acct-Comm-P8(Reg)'!F38</f>
        <v>-8008540.6900000004</v>
      </c>
      <c r="G38" s="136"/>
      <c r="H38" s="136">
        <f>'KY_Cost Plant Acct-Comm-P8(Reg)'!H38</f>
        <v>0</v>
      </c>
      <c r="I38" s="136"/>
      <c r="J38" s="136">
        <f t="shared" si="0"/>
        <v>1400505.0300000003</v>
      </c>
      <c r="K38" s="136"/>
      <c r="L38" s="136">
        <f t="shared" si="1"/>
        <v>47722233</v>
      </c>
      <c r="M38" s="147"/>
    </row>
    <row r="39" spans="1:13" x14ac:dyDescent="0.2">
      <c r="A39" s="3" t="s">
        <v>260</v>
      </c>
      <c r="B39" s="136">
        <f>'KY_Cost Plant Acct-Comm-P8(Reg)'!B39</f>
        <v>45350035.249999993</v>
      </c>
      <c r="C39" s="136"/>
      <c r="D39" s="136">
        <f>'KY_Cost Plant Acct-Comm-P8(Reg)'!D39</f>
        <v>0</v>
      </c>
      <c r="E39" s="136"/>
      <c r="F39" s="136">
        <f>'KY_Cost Plant Acct-Comm-P8(Reg)'!F39</f>
        <v>0</v>
      </c>
      <c r="G39" s="136"/>
      <c r="H39" s="136">
        <f>'KY_Cost Plant Acct-Comm-P8(Reg)'!H39</f>
        <v>0</v>
      </c>
      <c r="I39" s="136"/>
      <c r="J39" s="136">
        <f t="shared" si="0"/>
        <v>0</v>
      </c>
      <c r="K39" s="136"/>
      <c r="L39" s="136">
        <f t="shared" si="1"/>
        <v>45350035.249999993</v>
      </c>
      <c r="M39" s="147"/>
    </row>
    <row r="40" spans="1:13" x14ac:dyDescent="0.2">
      <c r="A40" s="3" t="s">
        <v>261</v>
      </c>
      <c r="B40" s="151">
        <f>'KY_Cost Plant Acct-Comm-P8(Reg)'!B40</f>
        <v>0</v>
      </c>
      <c r="C40" s="133"/>
      <c r="D40" s="151">
        <f>'KY_Cost Plant Acct-Comm-P8(Reg)'!D40</f>
        <v>0</v>
      </c>
      <c r="E40" s="133"/>
      <c r="F40" s="151">
        <f>'KY_Cost Plant Acct-Comm-P8(Reg)'!F40</f>
        <v>0</v>
      </c>
      <c r="G40" s="133"/>
      <c r="H40" s="151">
        <f>'KY_Cost Plant Acct-Comm-P8(Reg)'!H40</f>
        <v>0</v>
      </c>
      <c r="I40" s="133"/>
      <c r="J40" s="151">
        <f t="shared" si="0"/>
        <v>0</v>
      </c>
      <c r="K40" s="133"/>
      <c r="L40" s="151">
        <f t="shared" si="1"/>
        <v>0</v>
      </c>
      <c r="M40" s="148"/>
    </row>
    <row r="41" spans="1:13" x14ac:dyDescent="0.2">
      <c r="B41" s="133">
        <f>SUM(B11:B40)</f>
        <v>242058000.18999997</v>
      </c>
      <c r="C41" s="133"/>
      <c r="D41" s="133">
        <f>SUM(D11:D40)</f>
        <v>23833596.490000002</v>
      </c>
      <c r="E41" s="133"/>
      <c r="F41" s="133">
        <f>SUM(F11:F40)</f>
        <v>-16429817.5</v>
      </c>
      <c r="G41" s="133"/>
      <c r="H41" s="133">
        <f>SUM(H11:H40)</f>
        <v>0</v>
      </c>
      <c r="I41" s="133"/>
      <c r="J41" s="133">
        <f>SUM(J11:J40)</f>
        <v>7403778.9899999993</v>
      </c>
      <c r="K41" s="133"/>
      <c r="L41" s="133">
        <f>SUM(L11:L40)</f>
        <v>249461779.17999998</v>
      </c>
      <c r="M41" s="148"/>
    </row>
    <row r="42" spans="1:13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48"/>
    </row>
    <row r="43" spans="1:13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48"/>
    </row>
    <row r="44" spans="1:13" x14ac:dyDescent="0.2">
      <c r="A44" s="9" t="s">
        <v>2804</v>
      </c>
      <c r="B44" s="17"/>
      <c r="D44" s="17"/>
      <c r="F44" s="17"/>
      <c r="H44" s="17"/>
      <c r="J44" s="17"/>
      <c r="L44" s="17"/>
    </row>
    <row r="45" spans="1:13" x14ac:dyDescent="0.2">
      <c r="A45" s="9" t="s">
        <v>2798</v>
      </c>
    </row>
    <row r="46" spans="1:13" x14ac:dyDescent="0.2">
      <c r="A46" s="9" t="s">
        <v>2799</v>
      </c>
    </row>
    <row r="47" spans="1:13" x14ac:dyDescent="0.2">
      <c r="A47" s="3" t="s">
        <v>232</v>
      </c>
      <c r="B47" s="136">
        <v>0</v>
      </c>
      <c r="C47" s="136"/>
      <c r="D47" s="136">
        <v>0</v>
      </c>
      <c r="E47" s="136"/>
      <c r="F47" s="136">
        <v>0</v>
      </c>
      <c r="G47" s="136"/>
      <c r="H47" s="136">
        <v>0</v>
      </c>
      <c r="I47" s="136"/>
      <c r="J47" s="136">
        <f t="shared" ref="J47:J74" si="2">H47+F47+D47</f>
        <v>0</v>
      </c>
      <c r="K47" s="136"/>
      <c r="L47" s="136">
        <f t="shared" ref="L47:L74" si="3">J47+B47</f>
        <v>0</v>
      </c>
      <c r="M47" s="147"/>
    </row>
    <row r="48" spans="1:13" x14ac:dyDescent="0.2">
      <c r="A48" s="3" t="s">
        <v>233</v>
      </c>
      <c r="B48" s="136">
        <v>0</v>
      </c>
      <c r="C48" s="136"/>
      <c r="D48" s="136">
        <v>0</v>
      </c>
      <c r="E48" s="136"/>
      <c r="F48" s="136">
        <v>0</v>
      </c>
      <c r="G48" s="136"/>
      <c r="H48" s="136">
        <v>0</v>
      </c>
      <c r="I48" s="136"/>
      <c r="J48" s="136">
        <f t="shared" si="2"/>
        <v>0</v>
      </c>
      <c r="K48" s="136"/>
      <c r="L48" s="136">
        <f t="shared" si="3"/>
        <v>0</v>
      </c>
      <c r="M48" s="147"/>
    </row>
    <row r="49" spans="1:13" x14ac:dyDescent="0.2">
      <c r="A49" s="3" t="s">
        <v>234</v>
      </c>
      <c r="B49" s="136">
        <f>'KY_Cost Plant Acct-Comm-P8(Reg)'!B49</f>
        <v>2158504.0099999998</v>
      </c>
      <c r="C49" s="136"/>
      <c r="D49" s="136">
        <f>'KY_Cost Plant Acct-Comm-P8(Reg)'!D49</f>
        <v>-507184.67</v>
      </c>
      <c r="E49" s="136"/>
      <c r="F49" s="136">
        <v>0</v>
      </c>
      <c r="G49" s="136"/>
      <c r="H49" s="136">
        <v>0</v>
      </c>
      <c r="I49" s="136"/>
      <c r="J49" s="136">
        <f t="shared" si="2"/>
        <v>-507184.67</v>
      </c>
      <c r="K49" s="136"/>
      <c r="L49" s="136">
        <f t="shared" si="3"/>
        <v>1651319.3399999999</v>
      </c>
      <c r="M49" s="147"/>
    </row>
    <row r="50" spans="1:13" x14ac:dyDescent="0.2">
      <c r="A50" s="3" t="s">
        <v>235</v>
      </c>
      <c r="B50" s="136">
        <f>'KY_Cost Plant Acct-Comm-P8(Reg)'!B50</f>
        <v>0</v>
      </c>
      <c r="C50" s="136"/>
      <c r="D50" s="136">
        <f>'KY_Cost Plant Acct-Comm-P8(Reg)'!D50</f>
        <v>0</v>
      </c>
      <c r="E50" s="136"/>
      <c r="F50" s="136">
        <v>0</v>
      </c>
      <c r="G50" s="136"/>
      <c r="H50" s="136">
        <v>0</v>
      </c>
      <c r="I50" s="136"/>
      <c r="J50" s="136">
        <f>H50+F50+D50</f>
        <v>0</v>
      </c>
      <c r="K50" s="136"/>
      <c r="L50" s="136">
        <f>J50+B50</f>
        <v>0</v>
      </c>
      <c r="M50" s="147"/>
    </row>
    <row r="51" spans="1:13" x14ac:dyDescent="0.2">
      <c r="A51" s="3" t="s">
        <v>236</v>
      </c>
      <c r="B51" s="136">
        <f>'KY_Cost Plant Acct-Comm-P8(Reg)'!B51</f>
        <v>0</v>
      </c>
      <c r="C51" s="136"/>
      <c r="D51" s="136">
        <f>'KY_Cost Plant Acct-Comm-P8(Reg)'!D51</f>
        <v>16390</v>
      </c>
      <c r="E51" s="136"/>
      <c r="F51" s="136">
        <f>'KY_Cost Plant Acct-Comm-P8(Reg)'!F51</f>
        <v>0</v>
      </c>
      <c r="G51" s="136"/>
      <c r="H51" s="136">
        <f>'KY_Cost Plant Acct-Comm-P8(Reg)'!H51</f>
        <v>0</v>
      </c>
      <c r="I51" s="136"/>
      <c r="J51" s="136">
        <f t="shared" si="2"/>
        <v>16390</v>
      </c>
      <c r="K51" s="136"/>
      <c r="L51" s="136">
        <f t="shared" si="3"/>
        <v>16390</v>
      </c>
      <c r="M51" s="147"/>
    </row>
    <row r="52" spans="1:13" x14ac:dyDescent="0.2">
      <c r="A52" s="3" t="s">
        <v>237</v>
      </c>
      <c r="B52" s="136">
        <v>0</v>
      </c>
      <c r="C52" s="136"/>
      <c r="D52" s="136">
        <f>'KY_Cost Plant Acct-Comm-P8(Reg)'!D52</f>
        <v>0</v>
      </c>
      <c r="E52" s="136"/>
      <c r="F52" s="136">
        <v>0</v>
      </c>
      <c r="G52" s="136"/>
      <c r="H52" s="136">
        <v>0</v>
      </c>
      <c r="I52" s="136"/>
      <c r="J52" s="136">
        <f t="shared" si="2"/>
        <v>0</v>
      </c>
      <c r="K52" s="136"/>
      <c r="L52" s="136">
        <f t="shared" si="3"/>
        <v>0</v>
      </c>
      <c r="M52" s="147"/>
    </row>
    <row r="53" spans="1:13" x14ac:dyDescent="0.2">
      <c r="A53" s="3" t="s">
        <v>238</v>
      </c>
      <c r="B53" s="136">
        <f>'KY_Cost Plant Acct-Comm-P8(Reg)'!B53</f>
        <v>0</v>
      </c>
      <c r="C53" s="136"/>
      <c r="D53" s="136">
        <f>'KY_Cost Plant Acct-Comm-P8(Reg)'!D53</f>
        <v>0</v>
      </c>
      <c r="E53" s="136"/>
      <c r="F53" s="136">
        <f>'KY_Cost Plant Acct-Comm-P8(Reg)'!F53</f>
        <v>0</v>
      </c>
      <c r="G53" s="136"/>
      <c r="H53" s="136">
        <f>'KY_Cost Plant Acct-Comm-P8(Reg)'!H53</f>
        <v>0</v>
      </c>
      <c r="I53" s="136"/>
      <c r="J53" s="136">
        <f t="shared" si="2"/>
        <v>0</v>
      </c>
      <c r="K53" s="136"/>
      <c r="L53" s="136">
        <f t="shared" si="3"/>
        <v>0</v>
      </c>
      <c r="M53" s="147"/>
    </row>
    <row r="54" spans="1:13" x14ac:dyDescent="0.2">
      <c r="A54" s="3" t="s">
        <v>239</v>
      </c>
      <c r="B54" s="136">
        <f>'KY_Cost Plant Acct-Comm-P8(Reg)'!B54</f>
        <v>250484.7699999999</v>
      </c>
      <c r="C54" s="136"/>
      <c r="D54" s="136">
        <f>'KY_Cost Plant Acct-Comm-P8(Reg)'!D54</f>
        <v>-154810.85999999999</v>
      </c>
      <c r="E54" s="136"/>
      <c r="F54" s="136">
        <v>0</v>
      </c>
      <c r="G54" s="136"/>
      <c r="H54" s="136">
        <v>0</v>
      </c>
      <c r="I54" s="136"/>
      <c r="J54" s="136">
        <f t="shared" si="2"/>
        <v>-154810.85999999999</v>
      </c>
      <c r="K54" s="136"/>
      <c r="L54" s="136">
        <f t="shared" si="3"/>
        <v>95673.909999999916</v>
      </c>
      <c r="M54" s="147"/>
    </row>
    <row r="55" spans="1:13" x14ac:dyDescent="0.2">
      <c r="A55" s="3" t="s">
        <v>240</v>
      </c>
      <c r="B55" s="136">
        <f>'KY_Cost Plant Acct-Comm-P8(Reg)'!B55</f>
        <v>142637.59999999998</v>
      </c>
      <c r="C55" s="136"/>
      <c r="D55" s="136">
        <f>'KY_Cost Plant Acct-Comm-P8(Reg)'!D55</f>
        <v>-134196.25</v>
      </c>
      <c r="E55" s="136"/>
      <c r="F55" s="136">
        <v>0</v>
      </c>
      <c r="G55" s="136"/>
      <c r="H55" s="136">
        <v>0</v>
      </c>
      <c r="I55" s="136"/>
      <c r="J55" s="136">
        <f t="shared" si="2"/>
        <v>-134196.25</v>
      </c>
      <c r="K55" s="136"/>
      <c r="L55" s="136">
        <f t="shared" si="3"/>
        <v>8441.3499999999767</v>
      </c>
      <c r="M55" s="147"/>
    </row>
    <row r="56" spans="1:13" x14ac:dyDescent="0.2">
      <c r="A56" s="3" t="s">
        <v>241</v>
      </c>
      <c r="B56" s="136">
        <f>'KY_Cost Plant Acct-Comm-P8(Reg)'!B56</f>
        <v>3840165.6999999993</v>
      </c>
      <c r="C56" s="136"/>
      <c r="D56" s="136">
        <f>'KY_Cost Plant Acct-Comm-P8(Reg)'!D56</f>
        <v>-3639916.24</v>
      </c>
      <c r="E56" s="136"/>
      <c r="F56" s="136">
        <f>'KY_Cost Plant Acct-Comm-P8(Reg)'!F56</f>
        <v>0</v>
      </c>
      <c r="G56" s="136"/>
      <c r="H56" s="136">
        <f>'KY_Cost Plant Acct-Comm-P8(Reg)'!H56</f>
        <v>0</v>
      </c>
      <c r="I56" s="136"/>
      <c r="J56" s="136">
        <f t="shared" si="2"/>
        <v>-3639916.24</v>
      </c>
      <c r="K56" s="136"/>
      <c r="L56" s="136">
        <f t="shared" si="3"/>
        <v>200249.45999999903</v>
      </c>
      <c r="M56" s="147"/>
    </row>
    <row r="57" spans="1:13" x14ac:dyDescent="0.2">
      <c r="A57" s="3" t="s">
        <v>242</v>
      </c>
      <c r="B57" s="136">
        <f>'KY_Cost Plant Acct-Comm-P8(Reg)'!B57</f>
        <v>24778.10999999987</v>
      </c>
      <c r="C57" s="136"/>
      <c r="D57" s="136">
        <f>'KY_Cost Plant Acct-Comm-P8(Reg)'!D57</f>
        <v>-17488.43</v>
      </c>
      <c r="E57" s="136"/>
      <c r="F57" s="136">
        <f>'KY_Cost Plant Acct-Comm-P8(Reg)'!F57</f>
        <v>0</v>
      </c>
      <c r="G57" s="136"/>
      <c r="H57" s="136">
        <f>'KY_Cost Plant Acct-Comm-P8(Reg)'!H57</f>
        <v>0</v>
      </c>
      <c r="I57" s="136"/>
      <c r="J57" s="136">
        <f t="shared" si="2"/>
        <v>-17488.43</v>
      </c>
      <c r="K57" s="136"/>
      <c r="L57" s="136">
        <f t="shared" si="3"/>
        <v>7289.6799999998693</v>
      </c>
      <c r="M57" s="147"/>
    </row>
    <row r="58" spans="1:13" x14ac:dyDescent="0.2">
      <c r="A58" s="3" t="s">
        <v>244</v>
      </c>
      <c r="B58" s="136">
        <f>'KY_Cost Plant Acct-Comm-P8(Reg)'!B58</f>
        <v>289890.58</v>
      </c>
      <c r="C58" s="136"/>
      <c r="D58" s="136">
        <f>'KY_Cost Plant Acct-Comm-P8(Reg)'!D58</f>
        <v>-289890.58</v>
      </c>
      <c r="E58" s="136"/>
      <c r="F58" s="136">
        <v>0</v>
      </c>
      <c r="G58" s="136"/>
      <c r="H58" s="136">
        <v>0</v>
      </c>
      <c r="I58" s="136"/>
      <c r="J58" s="136">
        <f t="shared" si="2"/>
        <v>-289890.58</v>
      </c>
      <c r="K58" s="136"/>
      <c r="L58" s="136">
        <f t="shared" si="3"/>
        <v>0</v>
      </c>
      <c r="M58" s="147"/>
    </row>
    <row r="59" spans="1:13" x14ac:dyDescent="0.2">
      <c r="A59" s="3" t="s">
        <v>2805</v>
      </c>
      <c r="B59" s="136">
        <v>0</v>
      </c>
      <c r="C59" s="136"/>
      <c r="D59" s="136">
        <v>0</v>
      </c>
      <c r="E59" s="136"/>
      <c r="F59" s="136">
        <v>0</v>
      </c>
      <c r="G59" s="136"/>
      <c r="H59" s="136">
        <v>0</v>
      </c>
      <c r="I59" s="136"/>
      <c r="J59" s="136">
        <f t="shared" si="2"/>
        <v>0</v>
      </c>
      <c r="K59" s="136"/>
      <c r="L59" s="136">
        <f t="shared" si="3"/>
        <v>0</v>
      </c>
      <c r="M59" s="147"/>
    </row>
    <row r="60" spans="1:13" x14ac:dyDescent="0.2">
      <c r="A60" s="3" t="s">
        <v>247</v>
      </c>
      <c r="B60" s="136">
        <v>0</v>
      </c>
      <c r="C60" s="136"/>
      <c r="D60" s="136">
        <f>'KY_Cost Plant Acct-Comm-P8(Reg)'!D59</f>
        <v>0</v>
      </c>
      <c r="E60" s="136"/>
      <c r="F60" s="136">
        <v>0</v>
      </c>
      <c r="G60" s="136"/>
      <c r="H60" s="136">
        <v>0</v>
      </c>
      <c r="I60" s="136"/>
      <c r="J60" s="136">
        <f t="shared" si="2"/>
        <v>0</v>
      </c>
      <c r="K60" s="136"/>
      <c r="L60" s="136">
        <f t="shared" si="3"/>
        <v>0</v>
      </c>
      <c r="M60" s="147"/>
    </row>
    <row r="61" spans="1:13" x14ac:dyDescent="0.2">
      <c r="A61" s="3" t="s">
        <v>248</v>
      </c>
      <c r="B61" s="136">
        <f>+'KY_Cost Plant Acct-Comm-P8(Reg)'!B60</f>
        <v>0</v>
      </c>
      <c r="C61" s="136"/>
      <c r="D61" s="136">
        <f>'KY_Cost Plant Acct-Comm-P8(Reg)'!D60</f>
        <v>0</v>
      </c>
      <c r="E61" s="136"/>
      <c r="F61" s="136">
        <v>0</v>
      </c>
      <c r="G61" s="136"/>
      <c r="H61" s="136">
        <v>0</v>
      </c>
      <c r="I61" s="136"/>
      <c r="J61" s="136">
        <f t="shared" si="2"/>
        <v>0</v>
      </c>
      <c r="K61" s="136"/>
      <c r="L61" s="136">
        <f t="shared" si="3"/>
        <v>0</v>
      </c>
      <c r="M61" s="147"/>
    </row>
    <row r="62" spans="1:13" x14ac:dyDescent="0.2">
      <c r="A62" s="3" t="s">
        <v>249</v>
      </c>
      <c r="B62" s="136">
        <f>'KY_Cost Plant Acct-Comm-P8(Reg)'!B61</f>
        <v>72606.319999999992</v>
      </c>
      <c r="C62" s="136"/>
      <c r="D62" s="136">
        <f>'KY_Cost Plant Acct-Comm-P8(Reg)'!D61</f>
        <v>-8302.64</v>
      </c>
      <c r="E62" s="136"/>
      <c r="F62" s="136">
        <f>'KY_Cost Plant Acct-Comm-P8(Reg)'!F61</f>
        <v>0</v>
      </c>
      <c r="G62" s="136"/>
      <c r="H62" s="136">
        <f>'KY_Cost Plant Acct-Comm-P8(Reg)'!H61</f>
        <v>0</v>
      </c>
      <c r="I62" s="136"/>
      <c r="J62" s="136">
        <f t="shared" si="2"/>
        <v>-8302.64</v>
      </c>
      <c r="K62" s="136"/>
      <c r="L62" s="136">
        <f t="shared" si="3"/>
        <v>64303.679999999993</v>
      </c>
      <c r="M62" s="147"/>
    </row>
    <row r="63" spans="1:13" x14ac:dyDescent="0.2">
      <c r="A63" s="3" t="s">
        <v>250</v>
      </c>
      <c r="B63" s="136">
        <v>0</v>
      </c>
      <c r="C63" s="136"/>
      <c r="D63" s="136">
        <v>0</v>
      </c>
      <c r="E63" s="136"/>
      <c r="F63" s="136">
        <v>0</v>
      </c>
      <c r="G63" s="136"/>
      <c r="H63" s="136">
        <v>0</v>
      </c>
      <c r="I63" s="136"/>
      <c r="J63" s="136">
        <f t="shared" si="2"/>
        <v>0</v>
      </c>
      <c r="K63" s="136"/>
      <c r="L63" s="136">
        <f t="shared" si="3"/>
        <v>0</v>
      </c>
      <c r="M63" s="147"/>
    </row>
    <row r="64" spans="1:13" x14ac:dyDescent="0.2">
      <c r="A64" s="131" t="s">
        <v>2800</v>
      </c>
      <c r="B64" s="136">
        <v>0</v>
      </c>
      <c r="C64" s="136"/>
      <c r="D64" s="136">
        <v>0</v>
      </c>
      <c r="E64" s="136"/>
      <c r="F64" s="136">
        <v>0</v>
      </c>
      <c r="G64" s="136"/>
      <c r="H64" s="136">
        <v>0</v>
      </c>
      <c r="I64" s="136"/>
      <c r="J64" s="136">
        <f t="shared" si="2"/>
        <v>0</v>
      </c>
      <c r="K64" s="136"/>
      <c r="L64" s="136">
        <f t="shared" si="3"/>
        <v>0</v>
      </c>
      <c r="M64" s="147"/>
    </row>
    <row r="65" spans="1:13" x14ac:dyDescent="0.2">
      <c r="A65" s="3" t="s">
        <v>252</v>
      </c>
      <c r="B65" s="136">
        <f>'KY_Cost Plant Acct-Comm-P8(Reg)'!B62</f>
        <v>0</v>
      </c>
      <c r="C65" s="136">
        <f>'KY_Cost Plant Acct-Comm-P8(Reg)'!C62</f>
        <v>0</v>
      </c>
      <c r="D65" s="136">
        <f>'KY_Cost Plant Acct-Comm-P8(Reg)'!D62</f>
        <v>0</v>
      </c>
      <c r="E65" s="136">
        <f>'KY_Cost Plant Acct-Comm-P8(Reg)'!E62</f>
        <v>0</v>
      </c>
      <c r="F65" s="136">
        <f>'KY_Cost Plant Acct-Comm-P8(Reg)'!F62</f>
        <v>0</v>
      </c>
      <c r="G65" s="136">
        <f>'KY_Cost Plant Acct-Comm-P8(Reg)'!G62</f>
        <v>0</v>
      </c>
      <c r="H65" s="136">
        <v>0</v>
      </c>
      <c r="I65" s="136"/>
      <c r="J65" s="136">
        <f>H65+F65+D65</f>
        <v>0</v>
      </c>
      <c r="K65" s="136"/>
      <c r="L65" s="136">
        <f t="shared" si="3"/>
        <v>0</v>
      </c>
      <c r="M65" s="147"/>
    </row>
    <row r="66" spans="1:13" x14ac:dyDescent="0.2">
      <c r="A66" s="3" t="s">
        <v>253</v>
      </c>
      <c r="B66" s="136">
        <f>'KY_Cost Plant Acct-Comm-P8(Reg)'!B63+'IN_Cost Plant Acct-Com-P10(Reg)'!B21</f>
        <v>2604997.7799999998</v>
      </c>
      <c r="C66" s="136"/>
      <c r="D66" s="136">
        <f>'KY_Cost Plant Acct-Comm-P8(Reg)'!D63+'IN_Cost Plant Acct-Com-P10(Reg)'!D21</f>
        <v>-2163542.5099999998</v>
      </c>
      <c r="E66" s="136"/>
      <c r="F66" s="136">
        <f>'KY_Cost Plant Acct-Comm-P8(Reg)'!F63+'IN_Cost Plant Acct-Com-P10(Reg)'!F21</f>
        <v>0</v>
      </c>
      <c r="G66" s="136"/>
      <c r="H66" s="136">
        <f>'KY_Cost Plant Acct-Comm-P8(Reg)'!H63+'IN_Cost Plant Acct-Com-P10(Reg)'!H21</f>
        <v>0</v>
      </c>
      <c r="I66" s="136"/>
      <c r="J66" s="136">
        <f t="shared" si="2"/>
        <v>-2163542.5099999998</v>
      </c>
      <c r="K66" s="136"/>
      <c r="L66" s="136">
        <f t="shared" si="3"/>
        <v>441455.27</v>
      </c>
      <c r="M66" s="147"/>
    </row>
    <row r="67" spans="1:13" x14ac:dyDescent="0.2">
      <c r="A67" s="3" t="s">
        <v>254</v>
      </c>
      <c r="B67" s="136">
        <f>'KY_Cost Plant Acct-Comm-P8(Reg)'!B64</f>
        <v>430614.0700000003</v>
      </c>
      <c r="C67" s="136"/>
      <c r="D67" s="136">
        <f>'KY_Cost Plant Acct-Comm-P8(Reg)'!D64</f>
        <v>-398514.15</v>
      </c>
      <c r="E67" s="136"/>
      <c r="F67" s="136">
        <v>0</v>
      </c>
      <c r="G67" s="136"/>
      <c r="H67" s="136">
        <v>0</v>
      </c>
      <c r="I67" s="136"/>
      <c r="J67" s="136">
        <f t="shared" si="2"/>
        <v>-398514.15</v>
      </c>
      <c r="K67" s="136"/>
      <c r="L67" s="136">
        <f t="shared" si="3"/>
        <v>32099.920000000275</v>
      </c>
      <c r="M67" s="147"/>
    </row>
    <row r="68" spans="1:13" x14ac:dyDescent="0.2">
      <c r="A68" s="3" t="s">
        <v>255</v>
      </c>
      <c r="B68" s="136">
        <v>0</v>
      </c>
      <c r="C68" s="136"/>
      <c r="D68" s="136">
        <f>'KY_Cost Plant Acct-Comm-P8(Reg)'!D65</f>
        <v>0</v>
      </c>
      <c r="E68" s="136"/>
      <c r="F68" s="136">
        <v>0</v>
      </c>
      <c r="G68" s="136"/>
      <c r="H68" s="136">
        <v>0</v>
      </c>
      <c r="I68" s="136"/>
      <c r="J68" s="136">
        <f t="shared" si="2"/>
        <v>0</v>
      </c>
      <c r="K68" s="136"/>
      <c r="L68" s="136">
        <f t="shared" si="3"/>
        <v>0</v>
      </c>
      <c r="M68" s="147"/>
    </row>
    <row r="69" spans="1:13" x14ac:dyDescent="0.2">
      <c r="A69" s="3" t="s">
        <v>256</v>
      </c>
      <c r="B69" s="136">
        <v>0</v>
      </c>
      <c r="C69" s="136"/>
      <c r="D69" s="136">
        <v>0</v>
      </c>
      <c r="E69" s="136"/>
      <c r="F69" s="136">
        <v>0</v>
      </c>
      <c r="G69" s="136"/>
      <c r="H69" s="136">
        <v>0</v>
      </c>
      <c r="I69" s="136"/>
      <c r="J69" s="136">
        <f t="shared" si="2"/>
        <v>0</v>
      </c>
      <c r="K69" s="136"/>
      <c r="L69" s="136">
        <f t="shared" si="3"/>
        <v>0</v>
      </c>
      <c r="M69" s="147"/>
    </row>
    <row r="70" spans="1:13" x14ac:dyDescent="0.2">
      <c r="A70" s="3" t="s">
        <v>257</v>
      </c>
      <c r="B70" s="136">
        <v>0</v>
      </c>
      <c r="C70" s="136"/>
      <c r="D70" s="136">
        <v>0</v>
      </c>
      <c r="E70" s="136"/>
      <c r="F70" s="136">
        <v>0</v>
      </c>
      <c r="G70" s="136"/>
      <c r="H70" s="136">
        <v>0</v>
      </c>
      <c r="I70" s="136"/>
      <c r="J70" s="136">
        <f t="shared" si="2"/>
        <v>0</v>
      </c>
      <c r="K70" s="136"/>
      <c r="L70" s="136">
        <f t="shared" si="3"/>
        <v>0</v>
      </c>
      <c r="M70" s="147"/>
    </row>
    <row r="71" spans="1:13" x14ac:dyDescent="0.2">
      <c r="A71" s="3" t="s">
        <v>258</v>
      </c>
      <c r="B71" s="136">
        <v>0</v>
      </c>
      <c r="C71" s="136"/>
      <c r="D71" s="136">
        <v>0</v>
      </c>
      <c r="E71" s="136"/>
      <c r="F71" s="136">
        <v>0</v>
      </c>
      <c r="G71" s="136"/>
      <c r="H71" s="136">
        <v>0</v>
      </c>
      <c r="I71" s="136"/>
      <c r="J71" s="136">
        <f t="shared" si="2"/>
        <v>0</v>
      </c>
      <c r="K71" s="136"/>
      <c r="L71" s="136">
        <f t="shared" si="3"/>
        <v>0</v>
      </c>
      <c r="M71" s="147"/>
    </row>
    <row r="72" spans="1:13" x14ac:dyDescent="0.2">
      <c r="A72" s="3" t="s">
        <v>259</v>
      </c>
      <c r="B72" s="136">
        <f>'KY_Cost Plant Acct-Comm-P8(Reg)'!B66</f>
        <v>7731602.6299999962</v>
      </c>
      <c r="C72" s="136"/>
      <c r="D72" s="136">
        <f>'KY_Cost Plant Acct-Comm-P8(Reg)'!D66</f>
        <v>1536157.3399999999</v>
      </c>
      <c r="E72" s="136"/>
      <c r="F72" s="136">
        <f>'KY_Cost Plant Acct-Comm-P8(Reg)'!F67</f>
        <v>0</v>
      </c>
      <c r="G72" s="136"/>
      <c r="H72" s="136">
        <f>'KY_Cost Plant Acct-Comm-P8(Reg)'!H67</f>
        <v>0</v>
      </c>
      <c r="I72" s="136"/>
      <c r="J72" s="136">
        <f t="shared" si="2"/>
        <v>1536157.3399999999</v>
      </c>
      <c r="K72" s="136"/>
      <c r="L72" s="136">
        <f t="shared" si="3"/>
        <v>9267759.9699999951</v>
      </c>
      <c r="M72" s="147"/>
    </row>
    <row r="73" spans="1:13" x14ac:dyDescent="0.2">
      <c r="A73" s="3" t="s">
        <v>260</v>
      </c>
      <c r="B73" s="136">
        <f>'KY_Cost Plant Acct-Comm-P8(Reg)'!B67</f>
        <v>0</v>
      </c>
      <c r="C73" s="136"/>
      <c r="D73" s="136">
        <f>'KY_Cost Plant Acct-Comm-P8(Reg)'!D67</f>
        <v>11352680.050000001</v>
      </c>
      <c r="E73" s="136"/>
      <c r="F73" s="136">
        <v>0</v>
      </c>
      <c r="G73" s="136"/>
      <c r="H73" s="136">
        <v>0</v>
      </c>
      <c r="I73" s="136"/>
      <c r="J73" s="136">
        <f t="shared" si="2"/>
        <v>11352680.050000001</v>
      </c>
      <c r="K73" s="136"/>
      <c r="L73" s="136">
        <f t="shared" si="3"/>
        <v>11352680.050000001</v>
      </c>
      <c r="M73" s="147"/>
    </row>
    <row r="74" spans="1:13" x14ac:dyDescent="0.2">
      <c r="A74" s="3" t="s">
        <v>261</v>
      </c>
      <c r="B74" s="151">
        <v>0</v>
      </c>
      <c r="C74" s="133"/>
      <c r="D74" s="151">
        <v>0</v>
      </c>
      <c r="E74" s="133"/>
      <c r="F74" s="151">
        <v>0</v>
      </c>
      <c r="G74" s="133"/>
      <c r="H74" s="151">
        <v>0</v>
      </c>
      <c r="I74" s="133"/>
      <c r="J74" s="151">
        <f t="shared" si="2"/>
        <v>0</v>
      </c>
      <c r="K74" s="133"/>
      <c r="L74" s="151">
        <f t="shared" si="3"/>
        <v>0</v>
      </c>
      <c r="M74" s="148"/>
    </row>
    <row r="75" spans="1:13" x14ac:dyDescent="0.2">
      <c r="B75" s="133">
        <f>SUM(B47:B74)</f>
        <v>17546281.569999997</v>
      </c>
      <c r="C75" s="133"/>
      <c r="D75" s="133">
        <f>SUM(D47:D74)</f>
        <v>5591381.0600000005</v>
      </c>
      <c r="E75" s="133"/>
      <c r="F75" s="133">
        <f>SUM(F47:F74)</f>
        <v>0</v>
      </c>
      <c r="G75" s="133"/>
      <c r="H75" s="133">
        <f>SUM(H47:H74)</f>
        <v>0</v>
      </c>
      <c r="I75" s="133"/>
      <c r="J75" s="133">
        <f>SUM(J47:J74)</f>
        <v>5591381.0600000005</v>
      </c>
      <c r="K75" s="133"/>
      <c r="L75" s="133">
        <f>SUM(L47:L74)</f>
        <v>23137662.629999995</v>
      </c>
      <c r="M75" s="148"/>
    </row>
    <row r="76" spans="1:13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48"/>
    </row>
    <row r="77" spans="1:13" ht="13.5" thickBot="1" x14ac:dyDescent="0.25">
      <c r="A77" s="9" t="s">
        <v>2801</v>
      </c>
      <c r="B77" s="141">
        <f>B75+B41</f>
        <v>259604281.75999996</v>
      </c>
      <c r="C77" s="148"/>
      <c r="D77" s="141">
        <f>D75+D41</f>
        <v>29424977.550000004</v>
      </c>
      <c r="E77" s="148"/>
      <c r="F77" s="141">
        <f>F75+F41</f>
        <v>-16429817.5</v>
      </c>
      <c r="G77" s="148"/>
      <c r="H77" s="141">
        <f>H75+H41</f>
        <v>0</v>
      </c>
      <c r="I77" s="148"/>
      <c r="J77" s="141">
        <f>J75+J41</f>
        <v>12995160.050000001</v>
      </c>
      <c r="K77" s="148"/>
      <c r="L77" s="141">
        <f>L75+L41</f>
        <v>272599441.80999994</v>
      </c>
      <c r="M77" s="148"/>
    </row>
    <row r="78" spans="1:13" ht="13.5" thickTop="1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48"/>
    </row>
    <row r="79" spans="1:13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>
        <f>+L77-'KY_Cost Plant Acct-Comm-P8(Reg)'!L74-'IN_Cost Plant Acct-Com-P10(Reg)'!L27</f>
        <v>2.3836037144064903E-8</v>
      </c>
      <c r="M79" s="148"/>
    </row>
    <row r="80" spans="1:13" x14ac:dyDescent="0.2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47"/>
    </row>
    <row r="81" spans="2:13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2:13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2:13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2:13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2:13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2:13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2:13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</row>
    <row r="88" spans="2:13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2:13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2:13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2:13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2:13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2:13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2:13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2:13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2:13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2:13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2:13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2:13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2:13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2:13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2:13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2:13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2:13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2:13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</row>
    <row r="106" spans="2:13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</row>
    <row r="107" spans="2:13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</row>
    <row r="108" spans="2:13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  <row r="110" spans="2:13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</row>
    <row r="111" spans="2:13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2:13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</row>
    <row r="113" spans="2:13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</row>
    <row r="114" spans="2:13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</row>
    <row r="115" spans="2:13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</row>
    <row r="116" spans="2:13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</row>
    <row r="117" spans="2:13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</row>
    <row r="118" spans="2:13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</row>
    <row r="119" spans="2:13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</row>
    <row r="120" spans="2:13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</row>
    <row r="121" spans="2:13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</row>
    <row r="122" spans="2:13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</row>
    <row r="123" spans="2:13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</row>
    <row r="124" spans="2:13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</row>
    <row r="125" spans="2:13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</row>
    <row r="126" spans="2:13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</row>
    <row r="127" spans="2:13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</row>
    <row r="128" spans="2:13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</row>
    <row r="129" spans="2:13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</row>
    <row r="130" spans="2:13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2:13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</row>
    <row r="132" spans="2:13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</row>
    <row r="133" spans="2:13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</row>
    <row r="134" spans="2:13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</row>
    <row r="135" spans="2:13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2:13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2:13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2:13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</row>
    <row r="139" spans="2:13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</row>
    <row r="140" spans="2:13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</row>
    <row r="141" spans="2:13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2:13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2:13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</row>
    <row r="144" spans="2:13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</row>
    <row r="145" spans="2:13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</row>
    <row r="146" spans="2:13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</row>
    <row r="147" spans="2:13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2:13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2:13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</row>
    <row r="150" spans="2:13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</row>
    <row r="151" spans="2:13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</row>
    <row r="152" spans="2:13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</row>
    <row r="153" spans="2:13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</row>
    <row r="154" spans="2:13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</row>
    <row r="155" spans="2:13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</row>
    <row r="156" spans="2:13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</row>
    <row r="157" spans="2:13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</row>
    <row r="158" spans="2:13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2:13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</row>
    <row r="160" spans="2:13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</row>
    <row r="161" spans="2:13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</row>
    <row r="162" spans="2:13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</row>
    <row r="163" spans="2:13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</row>
    <row r="164" spans="2:13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</row>
    <row r="165" spans="2:13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</row>
    <row r="166" spans="2:13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</row>
    <row r="167" spans="2:13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</row>
    <row r="168" spans="2:13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</row>
    <row r="169" spans="2:13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</row>
    <row r="170" spans="2:13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</row>
    <row r="171" spans="2:13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</row>
    <row r="172" spans="2:13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</row>
    <row r="173" spans="2:13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</row>
    <row r="174" spans="2:13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</row>
    <row r="175" spans="2:13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</row>
    <row r="176" spans="2:13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</row>
    <row r="177" spans="2:13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</row>
    <row r="178" spans="2:13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</row>
    <row r="179" spans="2:13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</row>
    <row r="180" spans="2:13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</row>
    <row r="181" spans="2:13" x14ac:dyDescent="0.2"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</row>
    <row r="182" spans="2:13" x14ac:dyDescent="0.2"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2:13" x14ac:dyDescent="0.2"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</row>
    <row r="184" spans="2:13" x14ac:dyDescent="0.2"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</row>
    <row r="185" spans="2:13" x14ac:dyDescent="0.2"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</row>
    <row r="186" spans="2:13" x14ac:dyDescent="0.2"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</row>
    <row r="187" spans="2:13" x14ac:dyDescent="0.2"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</row>
    <row r="188" spans="2:13" x14ac:dyDescent="0.2"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</row>
    <row r="189" spans="2:13" x14ac:dyDescent="0.2"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</row>
    <row r="190" spans="2:13" x14ac:dyDescent="0.2"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</row>
    <row r="191" spans="2:13" x14ac:dyDescent="0.2"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</row>
    <row r="192" spans="2:13" x14ac:dyDescent="0.2"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</row>
    <row r="193" spans="2:13" x14ac:dyDescent="0.2"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</row>
    <row r="194" spans="2:13" x14ac:dyDescent="0.2"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</row>
  </sheetData>
  <mergeCells count="3">
    <mergeCell ref="A1:M1"/>
    <mergeCell ref="A2:M2"/>
    <mergeCell ref="A3:M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61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6.7109375" style="3" customWidth="1"/>
    <col min="15" max="15" width="2.2851562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2806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6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P6" s="1" t="s">
        <v>2793</v>
      </c>
    </row>
    <row r="7" spans="1:16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L8" s="17"/>
    </row>
    <row r="9" spans="1:16" x14ac:dyDescent="0.2">
      <c r="A9" s="9" t="s">
        <v>2798</v>
      </c>
    </row>
    <row r="10" spans="1:16" x14ac:dyDescent="0.2">
      <c r="A10" s="9" t="s">
        <v>2799</v>
      </c>
    </row>
    <row r="11" spans="1:16" x14ac:dyDescent="0.2">
      <c r="A11" s="3" t="s">
        <v>232</v>
      </c>
      <c r="B11" s="136">
        <f>'KY_Cost Plant Acct-Comm-P8(Reg)'!B11</f>
        <v>1564394.3699999999</v>
      </c>
      <c r="C11" s="136"/>
      <c r="D11" s="136">
        <f>'KY_Cost Plant Acct-Comm-P8(Reg)'!D11</f>
        <v>0</v>
      </c>
      <c r="E11" s="136"/>
      <c r="F11" s="136">
        <f>'KY_Cost Plant Acct-Comm-P8(Reg)'!F11</f>
        <v>0</v>
      </c>
      <c r="G11" s="136"/>
      <c r="H11" s="136">
        <f>'KY_Cost Plant Acct-Comm-P8(Reg)'!H11</f>
        <v>0</v>
      </c>
      <c r="I11" s="136"/>
      <c r="J11" s="136">
        <f t="shared" ref="J11:J40" si="0">H11+F11+D11</f>
        <v>0</v>
      </c>
      <c r="K11" s="136"/>
      <c r="L11" s="136">
        <f t="shared" ref="L11:L40" si="1">J11+B11</f>
        <v>1564394.3699999999</v>
      </c>
      <c r="M11" s="147"/>
      <c r="N11" s="37">
        <f>'KY_Res by Plant Acct-P29 (Reg)'!R478</f>
        <v>0</v>
      </c>
      <c r="P11" s="37">
        <f>L11+N11</f>
        <v>1564394.3699999999</v>
      </c>
    </row>
    <row r="12" spans="1:16" x14ac:dyDescent="0.2">
      <c r="A12" s="3" t="s">
        <v>233</v>
      </c>
      <c r="B12" s="136">
        <f>'KY_Cost Plant Acct-Comm-P8(Reg)'!B12</f>
        <v>0</v>
      </c>
      <c r="C12" s="136"/>
      <c r="D12" s="136">
        <f>'KY_Cost Plant Acct-Comm-P8(Reg)'!D12</f>
        <v>0</v>
      </c>
      <c r="E12" s="136"/>
      <c r="F12" s="136">
        <f>'KY_Cost Plant Acct-Comm-P8(Reg)'!F12</f>
        <v>0</v>
      </c>
      <c r="G12" s="136"/>
      <c r="H12" s="136">
        <f>'KY_Cost Plant Acct-Comm-P8(Reg)'!H12</f>
        <v>0</v>
      </c>
      <c r="I12" s="136"/>
      <c r="J12" s="136">
        <f t="shared" si="0"/>
        <v>0</v>
      </c>
      <c r="K12" s="136"/>
      <c r="L12" s="136">
        <f t="shared" si="1"/>
        <v>0</v>
      </c>
      <c r="M12" s="147"/>
      <c r="N12" s="37">
        <f>'KY_Res by Plant Acct-P29 (Reg)'!R479</f>
        <v>0</v>
      </c>
      <c r="P12" s="37">
        <f t="shared" ref="P12:P40" si="2">L12+N12</f>
        <v>0</v>
      </c>
    </row>
    <row r="13" spans="1:16" x14ac:dyDescent="0.2">
      <c r="A13" s="3" t="s">
        <v>234</v>
      </c>
      <c r="B13" s="136">
        <f>'KY_Cost Plant Acct-Comm-P8(Reg)'!B13+'KY_Cost Plant Acct-Comm-P8(Reg)'!B49</f>
        <v>67972036.310000002</v>
      </c>
      <c r="C13" s="136"/>
      <c r="D13" s="136">
        <f>'KY_Cost Plant Acct-Comm-P8(Reg)'!D13+'KY_Cost Plant Acct-Comm-P8(Reg)'!D49</f>
        <v>2081038.3399999999</v>
      </c>
      <c r="E13" s="136"/>
      <c r="F13" s="136">
        <f>'KY_Cost Plant Acct-Comm-P8(Reg)'!F13</f>
        <v>-870805.71</v>
      </c>
      <c r="G13" s="136"/>
      <c r="H13" s="136">
        <f>'KY_Cost Plant Acct-Comm-P8(Reg)'!H13</f>
        <v>0</v>
      </c>
      <c r="I13" s="136"/>
      <c r="J13" s="136">
        <f t="shared" si="0"/>
        <v>1210232.6299999999</v>
      </c>
      <c r="K13" s="136"/>
      <c r="L13" s="136">
        <f t="shared" si="1"/>
        <v>69182268.939999998</v>
      </c>
      <c r="M13" s="147"/>
      <c r="N13" s="37">
        <f>'KY_Res by Plant Acct-P29 (Reg)'!R483+'KY_Res by Plant Acct-P29 (Reg)'!R480+'KY_Res by Plant Acct-P29 (Reg)'!R484+'KY_Res by Plant Acct-P29 (Reg)'!R482+'KY_Res by Plant Acct-P29 (Reg)'!R481</f>
        <v>-28759129.610000003</v>
      </c>
      <c r="P13" s="37">
        <f t="shared" si="2"/>
        <v>40423139.329999998</v>
      </c>
    </row>
    <row r="14" spans="1:16" x14ac:dyDescent="0.2">
      <c r="A14" s="3" t="s">
        <v>235</v>
      </c>
      <c r="B14" s="136">
        <f>'KY_Cost Plant Acct-Comm-P8(Reg)'!B14</f>
        <v>412150.57</v>
      </c>
      <c r="C14" s="136"/>
      <c r="D14" s="136">
        <f>'KY_Cost Plant Acct-Comm-P8(Reg)'!D14+'KY_Cost Plant Acct-Comm-P8(Reg)'!D50</f>
        <v>0</v>
      </c>
      <c r="E14" s="136"/>
      <c r="F14" s="136">
        <f>'KY_Cost Plant Acct-Comm-P8(Reg)'!F14</f>
        <v>0</v>
      </c>
      <c r="G14" s="136"/>
      <c r="H14" s="136">
        <f>'KY_Cost Plant Acct-Comm-P8(Reg)'!H14</f>
        <v>0</v>
      </c>
      <c r="I14" s="136"/>
      <c r="J14" s="136">
        <f t="shared" si="0"/>
        <v>0</v>
      </c>
      <c r="K14" s="136"/>
      <c r="L14" s="136">
        <f t="shared" si="1"/>
        <v>412150.57</v>
      </c>
      <c r="M14" s="147"/>
      <c r="N14" s="37">
        <f>'KY_Res by Plant Acct-P29 (Reg)'!R485</f>
        <v>226633.90000000029</v>
      </c>
      <c r="P14" s="37">
        <f t="shared" si="2"/>
        <v>638784.47000000032</v>
      </c>
    </row>
    <row r="15" spans="1:16" x14ac:dyDescent="0.2">
      <c r="A15" s="3" t="s">
        <v>236</v>
      </c>
      <c r="B15" s="136">
        <f>'KY_Cost Plant Acct-Comm-P8(Reg)'!B15</f>
        <v>9935031.3599999994</v>
      </c>
      <c r="C15" s="136"/>
      <c r="D15" s="136">
        <f>'KY_Cost Plant Acct-Comm-P8(Reg)'!D15+'KY_Cost Plant Acct-Comm-P8(Reg)'!D51</f>
        <v>16390</v>
      </c>
      <c r="E15" s="136"/>
      <c r="F15" s="136">
        <f>'KY_Cost Plant Acct-Comm-P8(Reg)'!F15</f>
        <v>-69403.289999999994</v>
      </c>
      <c r="G15" s="136"/>
      <c r="H15" s="136">
        <f>'KY_Cost Plant Acct-Comm-P8(Reg)'!H15</f>
        <v>0</v>
      </c>
      <c r="I15" s="136"/>
      <c r="J15" s="136">
        <f>H15+F15+D15</f>
        <v>-53013.289999999994</v>
      </c>
      <c r="K15" s="136"/>
      <c r="L15" s="136">
        <f>J15+B15</f>
        <v>9882018.0700000003</v>
      </c>
      <c r="M15" s="147"/>
      <c r="N15" s="37">
        <f>'KY_Res by Plant Acct-P29 (Reg)'!R486</f>
        <v>-6903430.4399999995</v>
      </c>
      <c r="P15" s="37">
        <f t="shared" si="2"/>
        <v>2978587.6300000008</v>
      </c>
    </row>
    <row r="16" spans="1:16" x14ac:dyDescent="0.2">
      <c r="A16" s="3" t="s">
        <v>237</v>
      </c>
      <c r="B16" s="136">
        <f>'KY_Cost Plant Acct-Comm-P8(Reg)'!B16</f>
        <v>707482.03999999992</v>
      </c>
      <c r="C16" s="136"/>
      <c r="D16" s="136">
        <f>'KY_Cost Plant Acct-Comm-P8(Reg)'!D16+'KY_Cost Plant Acct-Comm-P8(Reg)'!D52</f>
        <v>0</v>
      </c>
      <c r="E16" s="136"/>
      <c r="F16" s="136">
        <f>'KY_Cost Plant Acct-Comm-P8(Reg)'!F16</f>
        <v>0</v>
      </c>
      <c r="G16" s="136"/>
      <c r="H16" s="136">
        <f>'KY_Cost Plant Acct-Comm-P8(Reg)'!H16</f>
        <v>0</v>
      </c>
      <c r="I16" s="136"/>
      <c r="J16" s="136">
        <f t="shared" si="0"/>
        <v>0</v>
      </c>
      <c r="K16" s="136"/>
      <c r="L16" s="136">
        <f t="shared" si="1"/>
        <v>707482.03999999992</v>
      </c>
      <c r="M16" s="147"/>
      <c r="N16" s="37">
        <f>'KY_Res by Plant Acct-P29 (Reg)'!R487</f>
        <v>-215328.31000000003</v>
      </c>
      <c r="P16" s="37">
        <f t="shared" si="2"/>
        <v>492153.72999999986</v>
      </c>
    </row>
    <row r="17" spans="1:16" x14ac:dyDescent="0.2">
      <c r="A17" s="3" t="s">
        <v>238</v>
      </c>
      <c r="B17" s="136">
        <f>'KY_Cost Plant Acct-Comm-P8(Reg)'!B17</f>
        <v>1101625.49</v>
      </c>
      <c r="C17" s="136"/>
      <c r="D17" s="136">
        <f>'KY_Cost Plant Acct-Comm-P8(Reg)'!D17+'KY_Cost Plant Acct-Comm-P8(Reg)'!D53</f>
        <v>0</v>
      </c>
      <c r="E17" s="136"/>
      <c r="F17" s="136">
        <f>'KY_Cost Plant Acct-Comm-P8(Reg)'!F17</f>
        <v>-1917.02</v>
      </c>
      <c r="G17" s="136"/>
      <c r="H17" s="136">
        <f>'KY_Cost Plant Acct-Comm-P8(Reg)'!H17</f>
        <v>0</v>
      </c>
      <c r="I17" s="136"/>
      <c r="J17" s="136">
        <f t="shared" si="0"/>
        <v>-1917.02</v>
      </c>
      <c r="K17" s="136"/>
      <c r="L17" s="136">
        <f t="shared" si="1"/>
        <v>1099708.47</v>
      </c>
      <c r="M17" s="147"/>
      <c r="N17" s="37">
        <f>'KY_Res by Plant Acct-P29 (Reg)'!R488</f>
        <v>-386838.10000000003</v>
      </c>
      <c r="P17" s="37">
        <f t="shared" si="2"/>
        <v>712870.36999999988</v>
      </c>
    </row>
    <row r="18" spans="1:16" x14ac:dyDescent="0.2">
      <c r="A18" s="3" t="s">
        <v>239</v>
      </c>
      <c r="B18" s="136">
        <f>'KY_Cost Plant Acct-Comm-P8(Reg)'!B18+'KY_Cost Plant Acct-Comm-P8(Reg)'!B54</f>
        <v>7231015.8099999996</v>
      </c>
      <c r="C18" s="136"/>
      <c r="D18" s="136">
        <f>'KY_Cost Plant Acct-Comm-P8(Reg)'!D18+'KY_Cost Plant Acct-Comm-P8(Reg)'!D54</f>
        <v>706911.14</v>
      </c>
      <c r="E18" s="136"/>
      <c r="F18" s="136">
        <f>'KY_Cost Plant Acct-Comm-P8(Reg)'!F18</f>
        <v>-248851.16</v>
      </c>
      <c r="G18" s="136"/>
      <c r="H18" s="136">
        <f>'KY_Cost Plant Acct-Comm-P8(Reg)'!H18</f>
        <v>0</v>
      </c>
      <c r="I18" s="136"/>
      <c r="J18" s="136">
        <f t="shared" si="0"/>
        <v>458059.98</v>
      </c>
      <c r="K18" s="136"/>
      <c r="L18" s="136">
        <f t="shared" si="1"/>
        <v>7689075.7899999991</v>
      </c>
      <c r="M18" s="147"/>
      <c r="N18" s="37">
        <f>'KY_Res by Plant Acct-P29 (Reg)'!R489</f>
        <v>-6703970.4399999985</v>
      </c>
      <c r="P18" s="37">
        <f t="shared" si="2"/>
        <v>985105.35000000056</v>
      </c>
    </row>
    <row r="19" spans="1:16" x14ac:dyDescent="0.2">
      <c r="A19" s="3" t="s">
        <v>240</v>
      </c>
      <c r="B19" s="136">
        <f>'KY_Cost Plant Acct-Comm-P8(Reg)'!B19+'KY_Cost Plant Acct-Comm-P8(Reg)'!B55</f>
        <v>1129323.5599999996</v>
      </c>
      <c r="C19" s="136"/>
      <c r="D19" s="136">
        <f>'KY_Cost Plant Acct-Comm-P8(Reg)'!D19+'KY_Cost Plant Acct-Comm-P8(Reg)'!D55</f>
        <v>196914.5</v>
      </c>
      <c r="E19" s="136"/>
      <c r="F19" s="136">
        <f>'KY_Cost Plant Acct-Comm-P8(Reg)'!F19</f>
        <v>0</v>
      </c>
      <c r="G19" s="136"/>
      <c r="H19" s="136">
        <f>'KY_Cost Plant Acct-Comm-P8(Reg)'!H19</f>
        <v>0</v>
      </c>
      <c r="I19" s="136"/>
      <c r="J19" s="136">
        <f t="shared" si="0"/>
        <v>196914.5</v>
      </c>
      <c r="K19" s="136"/>
      <c r="L19" s="136">
        <f t="shared" si="1"/>
        <v>1326238.0599999996</v>
      </c>
      <c r="M19" s="147"/>
      <c r="N19" s="37">
        <f>'KY_Res by Plant Acct-P29 (Reg)'!R490</f>
        <v>-424075.62000000029</v>
      </c>
      <c r="P19" s="37">
        <f t="shared" si="2"/>
        <v>902162.43999999925</v>
      </c>
    </row>
    <row r="20" spans="1:16" x14ac:dyDescent="0.2">
      <c r="A20" s="3" t="s">
        <v>241</v>
      </c>
      <c r="B20" s="136">
        <f>'KY_Cost Plant Acct-Comm-P8(Reg)'!B20+'KY_Cost Plant Acct-Comm-P8(Reg)'!B56</f>
        <v>22759178.549999997</v>
      </c>
      <c r="C20" s="136"/>
      <c r="D20" s="136">
        <f>'KY_Cost Plant Acct-Comm-P8(Reg)'!D20+'KY_Cost Plant Acct-Comm-P8(Reg)'!D56</f>
        <v>1039566.1399999997</v>
      </c>
      <c r="E20" s="136"/>
      <c r="F20" s="136">
        <f>'KY_Cost Plant Acct-Comm-P8(Reg)'!F20</f>
        <v>-4080319.3</v>
      </c>
      <c r="G20" s="136"/>
      <c r="H20" s="136">
        <f>'KY_Cost Plant Acct-Comm-P8(Reg)'!H20</f>
        <v>0</v>
      </c>
      <c r="I20" s="136"/>
      <c r="J20" s="136">
        <f t="shared" si="0"/>
        <v>-3040753.16</v>
      </c>
      <c r="K20" s="136"/>
      <c r="L20" s="136">
        <f t="shared" si="1"/>
        <v>19718425.389999997</v>
      </c>
      <c r="M20" s="147"/>
      <c r="N20" s="37">
        <f>'KY_Res by Plant Acct-P29 (Reg)'!R491</f>
        <v>-4716808.2399999993</v>
      </c>
      <c r="P20" s="37">
        <f t="shared" si="2"/>
        <v>15001617.149999999</v>
      </c>
    </row>
    <row r="21" spans="1:16" x14ac:dyDescent="0.2">
      <c r="A21" s="3" t="s">
        <v>242</v>
      </c>
      <c r="B21" s="136">
        <f>'KY_Cost Plant Acct-Comm-P8(Reg)'!B21+'KY_Cost Plant Acct-Comm-P8(Reg)'!B57</f>
        <v>5077812.879999999</v>
      </c>
      <c r="C21" s="136"/>
      <c r="D21" s="136">
        <f>'KY_Cost Plant Acct-Comm-P8(Reg)'!D21+'KY_Cost Plant Acct-Comm-P8(Reg)'!D57</f>
        <v>1670053.74</v>
      </c>
      <c r="E21" s="136"/>
      <c r="F21" s="136">
        <f>'KY_Cost Plant Acct-Comm-P8(Reg)'!F21</f>
        <v>-1005087.57</v>
      </c>
      <c r="G21" s="136"/>
      <c r="H21" s="136">
        <f>'KY_Cost Plant Acct-Comm-P8(Reg)'!H21</f>
        <v>0</v>
      </c>
      <c r="I21" s="136"/>
      <c r="J21" s="136">
        <f t="shared" si="0"/>
        <v>664966.17000000004</v>
      </c>
      <c r="K21" s="136"/>
      <c r="L21" s="136">
        <f t="shared" si="1"/>
        <v>5742779.0499999989</v>
      </c>
      <c r="M21" s="147"/>
      <c r="N21" s="37">
        <f>'KY_Res by Plant Acct-P29 (Reg)'!R492</f>
        <v>-2648222.19</v>
      </c>
      <c r="P21" s="37">
        <f t="shared" si="2"/>
        <v>3094556.8599999989</v>
      </c>
    </row>
    <row r="22" spans="1:16" x14ac:dyDescent="0.2">
      <c r="A22" s="21" t="s">
        <v>243</v>
      </c>
      <c r="B22" s="136">
        <f>'KY_Cost Plant Acct-Comm-P8(Reg)'!B22</f>
        <v>0</v>
      </c>
      <c r="C22" s="136"/>
      <c r="D22" s="136">
        <f>'KY_Cost Plant Acct-Comm-P8(Reg)'!D22</f>
        <v>0</v>
      </c>
      <c r="E22" s="136"/>
      <c r="F22" s="136">
        <f>'KY_Cost Plant Acct-Comm-P8(Reg)'!F22</f>
        <v>0</v>
      </c>
      <c r="G22" s="136"/>
      <c r="H22" s="136">
        <f>'KY_Cost Plant Acct-Comm-P8(Reg)'!H22</f>
        <v>0</v>
      </c>
      <c r="I22" s="136"/>
      <c r="J22" s="136">
        <f>H22+F22+D22</f>
        <v>0</v>
      </c>
      <c r="K22" s="136"/>
      <c r="L22" s="136">
        <f>J22+B22</f>
        <v>0</v>
      </c>
      <c r="M22" s="147"/>
      <c r="N22" s="37">
        <f>'KY_Res by Plant Acct-P29 (Reg)'!R493</f>
        <v>-1.4551915228366852E-11</v>
      </c>
      <c r="P22" s="37">
        <f>L22+N22</f>
        <v>-1.4551915228366852E-11</v>
      </c>
    </row>
    <row r="23" spans="1:16" x14ac:dyDescent="0.2">
      <c r="A23" s="3" t="s">
        <v>244</v>
      </c>
      <c r="B23" s="136">
        <f>'KY_Cost Plant Acct-Comm-P8(Reg)'!B23+'KY_Cost Plant Acct-Comm-P8(Reg)'!B58</f>
        <v>1205013.0399999996</v>
      </c>
      <c r="C23" s="136"/>
      <c r="D23" s="136">
        <f>'KY_Cost Plant Acct-Comm-P8(Reg)'!D23+'KY_Cost Plant Acct-Comm-P8(Reg)'!D58</f>
        <v>-289890.58</v>
      </c>
      <c r="E23" s="136"/>
      <c r="F23" s="136">
        <f>'KY_Cost Plant Acct-Comm-P8(Reg)'!F23</f>
        <v>0</v>
      </c>
      <c r="G23" s="136"/>
      <c r="H23" s="136">
        <f>'KY_Cost Plant Acct-Comm-P8(Reg)'!H23</f>
        <v>0</v>
      </c>
      <c r="I23" s="136"/>
      <c r="J23" s="136">
        <f t="shared" si="0"/>
        <v>-289890.58</v>
      </c>
      <c r="K23" s="136"/>
      <c r="L23" s="136">
        <f t="shared" si="1"/>
        <v>915122.4599999995</v>
      </c>
      <c r="M23" s="147"/>
      <c r="N23" s="37">
        <f>'KY_Res by Plant Acct-P29 (Reg)'!R494</f>
        <v>-785953.83000000007</v>
      </c>
      <c r="P23" s="37">
        <f t="shared" si="2"/>
        <v>129168.62999999942</v>
      </c>
    </row>
    <row r="24" spans="1:16" x14ac:dyDescent="0.2">
      <c r="A24" s="3" t="s">
        <v>245</v>
      </c>
      <c r="B24" s="136">
        <f>'KY_Cost Plant Acct-Comm-P8(Reg)'!B24+'KY_Cost Plant Acct-Comm-P8(Reg)'!B59</f>
        <v>20757.36</v>
      </c>
      <c r="C24" s="136"/>
      <c r="D24" s="136">
        <f>'KY_Cost Plant Acct-Comm-P8(Reg)'!D24</f>
        <v>0</v>
      </c>
      <c r="E24" s="136"/>
      <c r="F24" s="136">
        <f>'KY_Cost Plant Acct-Comm-P8(Reg)'!F24</f>
        <v>-20757.36</v>
      </c>
      <c r="G24" s="136"/>
      <c r="H24" s="136">
        <f>'KY_Cost Plant Acct-Comm-P8(Reg)'!H24</f>
        <v>0</v>
      </c>
      <c r="I24" s="136"/>
      <c r="J24" s="136">
        <f>H24+F24+D24</f>
        <v>-20757.36</v>
      </c>
      <c r="K24" s="136"/>
      <c r="L24" s="136">
        <f>J24+B24</f>
        <v>0</v>
      </c>
      <c r="M24" s="147"/>
      <c r="N24" s="37">
        <f>'KY_Res by Plant Acct-P29 (Reg)'!R495</f>
        <v>0</v>
      </c>
      <c r="P24" s="37">
        <f>L24+N24</f>
        <v>0</v>
      </c>
    </row>
    <row r="25" spans="1:16" x14ac:dyDescent="0.2">
      <c r="A25" s="3" t="s">
        <v>246</v>
      </c>
      <c r="B25" s="136">
        <f>'KY_Cost Plant Acct-Comm-P8(Reg)'!B25</f>
        <v>211576.31999999998</v>
      </c>
      <c r="C25" s="136"/>
      <c r="D25" s="136">
        <f>'KY_Cost Plant Acct-Comm-P8(Reg)'!D25</f>
        <v>0</v>
      </c>
      <c r="E25" s="136"/>
      <c r="F25" s="136">
        <f>'KY_Cost Plant Acct-Comm-P8(Reg)'!F25</f>
        <v>0</v>
      </c>
      <c r="G25" s="136"/>
      <c r="H25" s="136">
        <f>'KY_Cost Plant Acct-Comm-P8(Reg)'!H25</f>
        <v>0</v>
      </c>
      <c r="I25" s="136"/>
      <c r="J25" s="136">
        <f t="shared" si="0"/>
        <v>0</v>
      </c>
      <c r="K25" s="136"/>
      <c r="L25" s="136">
        <f t="shared" si="1"/>
        <v>211576.31999999998</v>
      </c>
      <c r="M25" s="147"/>
      <c r="N25" s="37">
        <f>'KY_Res by Plant Acct-P29 (Reg)'!R496</f>
        <v>-183953.92000000001</v>
      </c>
      <c r="P25" s="37">
        <f t="shared" si="2"/>
        <v>27622.399999999965</v>
      </c>
    </row>
    <row r="26" spans="1:16" x14ac:dyDescent="0.2">
      <c r="A26" s="3" t="s">
        <v>247</v>
      </c>
      <c r="B26" s="136">
        <f>'KY_Cost Plant Acct-Comm-P8(Reg)'!B26</f>
        <v>41842.69</v>
      </c>
      <c r="C26" s="136"/>
      <c r="D26" s="136">
        <f>'KY_Cost Plant Acct-Comm-P8(Reg)'!D26+'KY_Cost Plant Acct-Comm-P8(Reg)'!D59</f>
        <v>38564.449999999997</v>
      </c>
      <c r="E26" s="136"/>
      <c r="F26" s="136">
        <f>'KY_Cost Plant Acct-Comm-P8(Reg)'!F26</f>
        <v>-13783.47</v>
      </c>
      <c r="G26" s="136"/>
      <c r="H26" s="136">
        <f>'KY_Cost Plant Acct-Comm-P8(Reg)'!H26</f>
        <v>0</v>
      </c>
      <c r="I26" s="136"/>
      <c r="J26" s="136">
        <f t="shared" si="0"/>
        <v>24780.979999999996</v>
      </c>
      <c r="K26" s="136"/>
      <c r="L26" s="136">
        <f t="shared" si="1"/>
        <v>66623.67</v>
      </c>
      <c r="M26" s="147"/>
      <c r="N26" s="37">
        <f>'KY_Res by Plant Acct-P29 (Reg)'!R497</f>
        <v>3969.9799999999977</v>
      </c>
      <c r="P26" s="37">
        <f t="shared" si="2"/>
        <v>70593.649999999994</v>
      </c>
    </row>
    <row r="27" spans="1:16" x14ac:dyDescent="0.2">
      <c r="A27" s="3" t="s">
        <v>248</v>
      </c>
      <c r="B27" s="136">
        <f>'KY_Cost Plant Acct-Comm-P8(Reg)'!B27+'KY_Cost Plant Acct-Comm-P8(Reg)'!B60</f>
        <v>1471075.02</v>
      </c>
      <c r="C27" s="136"/>
      <c r="D27" s="136">
        <f>'KY_Cost Plant Acct-Comm-P8(Reg)'!D27+'KY_Cost Plant Acct-Comm-P8(Reg)'!D60</f>
        <v>0</v>
      </c>
      <c r="E27" s="136"/>
      <c r="F27" s="136">
        <f>'KY_Cost Plant Acct-Comm-P8(Reg)'!F27</f>
        <v>0</v>
      </c>
      <c r="G27" s="136"/>
      <c r="H27" s="136">
        <f>'KY_Cost Plant Acct-Comm-P8(Reg)'!H27</f>
        <v>0</v>
      </c>
      <c r="I27" s="136"/>
      <c r="J27" s="136">
        <f t="shared" si="0"/>
        <v>0</v>
      </c>
      <c r="K27" s="136"/>
      <c r="L27" s="136">
        <f t="shared" si="1"/>
        <v>1471075.02</v>
      </c>
      <c r="M27" s="147"/>
      <c r="N27" s="37">
        <f>'KY_Res by Plant Acct-P29 (Reg)'!R498</f>
        <v>-994944.28</v>
      </c>
      <c r="P27" s="37">
        <f t="shared" si="2"/>
        <v>476130.74</v>
      </c>
    </row>
    <row r="28" spans="1:16" x14ac:dyDescent="0.2">
      <c r="A28" s="3" t="s">
        <v>249</v>
      </c>
      <c r="B28" s="136">
        <f>'KY_Cost Plant Acct-Comm-P8(Reg)'!B28+'KY_Cost Plant Acct-Comm-P8(Reg)'!B61</f>
        <v>4066539.1100000003</v>
      </c>
      <c r="C28" s="136"/>
      <c r="D28" s="136">
        <f>'KY_Cost Plant Acct-Comm-P8(Reg)'!D28+'KY_Cost Plant Acct-Comm-P8(Reg)'!D61</f>
        <v>133516.44</v>
      </c>
      <c r="E28" s="136"/>
      <c r="F28" s="136">
        <f>'KY_Cost Plant Acct-Comm-P8(Reg)'!F28</f>
        <v>0</v>
      </c>
      <c r="G28" s="136"/>
      <c r="H28" s="136">
        <f>'KY_Cost Plant Acct-Comm-P8(Reg)'!H28</f>
        <v>0</v>
      </c>
      <c r="I28" s="136"/>
      <c r="J28" s="136">
        <f t="shared" si="0"/>
        <v>133516.44</v>
      </c>
      <c r="K28" s="136"/>
      <c r="L28" s="136">
        <f t="shared" si="1"/>
        <v>4200055.5500000007</v>
      </c>
      <c r="M28" s="147"/>
      <c r="N28" s="37">
        <f>'KY_Res by Plant Acct-P29 (Reg)'!R499</f>
        <v>-2399638.8899999997</v>
      </c>
      <c r="P28" s="37">
        <f t="shared" si="2"/>
        <v>1800416.6600000011</v>
      </c>
    </row>
    <row r="29" spans="1:16" x14ac:dyDescent="0.2">
      <c r="A29" s="3" t="s">
        <v>250</v>
      </c>
      <c r="B29" s="136">
        <f>'KY_Cost Plant Acct-Comm-P8(Reg)'!B29</f>
        <v>0</v>
      </c>
      <c r="C29" s="136"/>
      <c r="D29" s="136">
        <f>'KY_Cost Plant Acct-Comm-P8(Reg)'!D29</f>
        <v>0</v>
      </c>
      <c r="E29" s="136"/>
      <c r="F29" s="136">
        <f>'KY_Cost Plant Acct-Comm-P8(Reg)'!F29</f>
        <v>0</v>
      </c>
      <c r="G29" s="136"/>
      <c r="H29" s="136">
        <f>'KY_Cost Plant Acct-Comm-P8(Reg)'!H29</f>
        <v>0</v>
      </c>
      <c r="I29" s="136"/>
      <c r="J29" s="136">
        <f t="shared" si="0"/>
        <v>0</v>
      </c>
      <c r="K29" s="136"/>
      <c r="L29" s="136">
        <f t="shared" si="1"/>
        <v>0</v>
      </c>
      <c r="M29" s="147"/>
      <c r="N29" s="37">
        <f>'KY_Res by Plant Acct-P29 (Reg)'!R500</f>
        <v>1.8189894035458565E-12</v>
      </c>
      <c r="P29" s="37">
        <f t="shared" si="2"/>
        <v>1.8189894035458565E-12</v>
      </c>
    </row>
    <row r="30" spans="1:16" x14ac:dyDescent="0.2">
      <c r="A30" s="131" t="s">
        <v>2800</v>
      </c>
      <c r="B30" s="136">
        <f>'KY_Cost Plant Acct-Comm-P8(Reg)'!B30</f>
        <v>328439.13</v>
      </c>
      <c r="C30" s="136"/>
      <c r="D30" s="136">
        <f>'KY_Cost Plant Acct-Comm-P8(Reg)'!D30</f>
        <v>199130.06</v>
      </c>
      <c r="E30" s="136"/>
      <c r="F30" s="136">
        <f>'KY_Cost Plant Acct-Comm-P8(Reg)'!F30</f>
        <v>0</v>
      </c>
      <c r="G30" s="136"/>
      <c r="H30" s="136">
        <f>'KY_Cost Plant Acct-Comm-P8(Reg)'!H30</f>
        <v>0</v>
      </c>
      <c r="I30" s="136"/>
      <c r="J30" s="136">
        <f t="shared" si="0"/>
        <v>199130.06</v>
      </c>
      <c r="K30" s="136"/>
      <c r="L30" s="136">
        <f t="shared" si="1"/>
        <v>527569.18999999994</v>
      </c>
      <c r="M30" s="147"/>
      <c r="N30" s="37">
        <f>'KY_Res by Plant Acct-P29 (Reg)'!R501</f>
        <v>-300553.27</v>
      </c>
      <c r="P30" s="37">
        <f t="shared" si="2"/>
        <v>227015.91999999993</v>
      </c>
    </row>
    <row r="31" spans="1:16" x14ac:dyDescent="0.2">
      <c r="A31" s="3" t="s">
        <v>252</v>
      </c>
      <c r="B31" s="136">
        <f>'KY_Cost Plant Acct-Comm-P8(Reg)'!B31+'KY_Cost Plant Acct-Comm-P8(Reg)'!B62</f>
        <v>14147.08</v>
      </c>
      <c r="C31" s="136">
        <f>'KY_Cost Plant Acct-Comm-P8(Reg)'!C31+'KY_Cost Plant Acct-Comm-P8(Reg)'!C62</f>
        <v>0</v>
      </c>
      <c r="D31" s="136">
        <f>'KY_Cost Plant Acct-Comm-P8(Reg)'!D31+'KY_Cost Plant Acct-Comm-P8(Reg)'!D62</f>
        <v>0</v>
      </c>
      <c r="E31" s="136">
        <f>'KY_Cost Plant Acct-Comm-P8(Reg)'!E31+'KY_Cost Plant Acct-Comm-P8(Reg)'!E62</f>
        <v>0</v>
      </c>
      <c r="F31" s="136">
        <f>'KY_Cost Plant Acct-Comm-P8(Reg)'!F31+'KY_Cost Plant Acct-Comm-P8(Reg)'!F62</f>
        <v>0</v>
      </c>
      <c r="G31" s="136">
        <f>'KY_Cost Plant Acct-Comm-P8(Reg)'!G31+'KY_Cost Plant Acct-Comm-P8(Reg)'!G62</f>
        <v>0</v>
      </c>
      <c r="H31" s="136">
        <f>'KY_Cost Plant Acct-Comm-P8(Reg)'!H31+'KY_Cost Plant Acct-Comm-P8(Reg)'!H62</f>
        <v>0</v>
      </c>
      <c r="I31" s="136">
        <f>'KY_Cost Plant Acct-Comm-P8(Reg)'!I31+'KY_Cost Plant Acct-Comm-P8(Reg)'!I62</f>
        <v>0</v>
      </c>
      <c r="J31" s="136">
        <f t="shared" si="0"/>
        <v>0</v>
      </c>
      <c r="K31" s="136">
        <f>'KY_Cost Plant Acct-Comm-P8(Reg)'!K31+'KY_Cost Plant Acct-Comm-P8(Reg)'!K62</f>
        <v>0</v>
      </c>
      <c r="L31" s="136">
        <f t="shared" si="1"/>
        <v>14147.08</v>
      </c>
      <c r="M31" s="136">
        <f>'KY_Cost Plant Acct-Comm-P8(Reg)'!M31+'KY_Cost Plant Acct-Comm-P8(Reg)'!M62</f>
        <v>0</v>
      </c>
      <c r="N31" s="37">
        <f>'KY_Res by Plant Acct-P29 (Reg)'!R502</f>
        <v>-14348.62</v>
      </c>
      <c r="O31" s="136">
        <f>'KY_Cost Plant Acct-Comm-P8(Reg)'!O31+'KY_Cost Plant Acct-Comm-P8(Reg)'!O62</f>
        <v>0</v>
      </c>
      <c r="P31" s="37">
        <f t="shared" si="2"/>
        <v>-201.54000000000087</v>
      </c>
    </row>
    <row r="32" spans="1:16" x14ac:dyDescent="0.2">
      <c r="A32" s="3" t="s">
        <v>253</v>
      </c>
      <c r="B32" s="136">
        <f>'KY_Cost Plant Acct-Comm-P8(Reg)'!B32+'KY_Cost Plant Acct-Comm-P8(Reg)'!B63</f>
        <v>20839468.990000002</v>
      </c>
      <c r="C32" s="136"/>
      <c r="D32" s="136">
        <f>'KY_Cost Plant Acct-Comm-P8(Reg)'!D32+'KY_Cost Plant Acct-Comm-P8(Reg)'!D63</f>
        <v>995757.29</v>
      </c>
      <c r="E32" s="136"/>
      <c r="F32" s="136">
        <f>'KY_Cost Plant Acct-Comm-P8(Reg)'!F32</f>
        <v>-2103725.5299999998</v>
      </c>
      <c r="G32" s="136"/>
      <c r="H32" s="136">
        <f>'KY_Cost Plant Acct-Comm-P8(Reg)'!H32</f>
        <v>0</v>
      </c>
      <c r="I32" s="136"/>
      <c r="J32" s="136">
        <f t="shared" si="0"/>
        <v>-1107968.2399999998</v>
      </c>
      <c r="K32" s="136"/>
      <c r="L32" s="136">
        <f t="shared" si="1"/>
        <v>19731500.750000004</v>
      </c>
      <c r="M32" s="147"/>
      <c r="N32" s="37">
        <f>'KY_Res by Plant Acct-P29 (Reg)'!R503</f>
        <v>-15953100.660000002</v>
      </c>
      <c r="P32" s="37">
        <f t="shared" si="2"/>
        <v>3778400.0900000017</v>
      </c>
    </row>
    <row r="33" spans="1:16" x14ac:dyDescent="0.2">
      <c r="A33" s="3" t="s">
        <v>254</v>
      </c>
      <c r="B33" s="136">
        <f>'KY_Cost Plant Acct-Comm-P8(Reg)'!B33+'KY_Cost Plant Acct-Comm-P8(Reg)'!B64</f>
        <v>13953829.09</v>
      </c>
      <c r="C33" s="136"/>
      <c r="D33" s="136">
        <f>'KY_Cost Plant Acct-Comm-P8(Reg)'!D33+'KY_Cost Plant Acct-Comm-P8(Reg)'!D64</f>
        <v>339142.91999999993</v>
      </c>
      <c r="E33" s="136"/>
      <c r="F33" s="136">
        <f>'KY_Cost Plant Acct-Comm-P8(Reg)'!F33</f>
        <v>-6626.4</v>
      </c>
      <c r="G33" s="136"/>
      <c r="H33" s="136">
        <f>'KY_Cost Plant Acct-Comm-P8(Reg)'!H33</f>
        <v>0</v>
      </c>
      <c r="I33" s="136"/>
      <c r="J33" s="136">
        <f t="shared" si="0"/>
        <v>332516.5199999999</v>
      </c>
      <c r="K33" s="136"/>
      <c r="L33" s="136">
        <f t="shared" si="1"/>
        <v>14286345.609999999</v>
      </c>
      <c r="M33" s="147"/>
      <c r="N33" s="37">
        <f>'KY_Res by Plant Acct-P29 (Reg)'!R504</f>
        <v>-10431162.399999997</v>
      </c>
      <c r="P33" s="37">
        <f t="shared" si="2"/>
        <v>3855183.2100000028</v>
      </c>
    </row>
    <row r="34" spans="1:16" x14ac:dyDescent="0.2">
      <c r="A34" s="3" t="s">
        <v>255</v>
      </c>
      <c r="B34" s="136">
        <f>'KY_Cost Plant Acct-Comm-P8(Reg)'!B34</f>
        <v>0</v>
      </c>
      <c r="C34" s="136"/>
      <c r="D34" s="136">
        <f>'KY_Cost Plant Acct-Comm-P8(Reg)'!D34+'KY_Cost Plant Acct-Comm-P8(Reg)'!D65</f>
        <v>0</v>
      </c>
      <c r="E34" s="136"/>
      <c r="F34" s="136">
        <f>'KY_Cost Plant Acct-Comm-P8(Reg)'!F34</f>
        <v>0</v>
      </c>
      <c r="G34" s="136"/>
      <c r="H34" s="136">
        <f>'KY_Cost Plant Acct-Comm-P8(Reg)'!H34</f>
        <v>0</v>
      </c>
      <c r="I34" s="136"/>
      <c r="J34" s="136">
        <f t="shared" si="0"/>
        <v>0</v>
      </c>
      <c r="K34" s="136"/>
      <c r="L34" s="136">
        <f t="shared" si="1"/>
        <v>0</v>
      </c>
      <c r="M34" s="147"/>
      <c r="N34" s="37">
        <f>'KY_Res by Plant Acct-P29 (Reg)'!R505</f>
        <v>6.3446350603846291E-11</v>
      </c>
      <c r="P34" s="37">
        <f t="shared" si="2"/>
        <v>6.3446350603846291E-11</v>
      </c>
    </row>
    <row r="35" spans="1:16" x14ac:dyDescent="0.2">
      <c r="A35" s="3" t="s">
        <v>256</v>
      </c>
      <c r="B35" s="136">
        <f>'KY_Cost Plant Acct-Comm-P8(Reg)'!B35</f>
        <v>0</v>
      </c>
      <c r="C35" s="136"/>
      <c r="D35" s="136">
        <f>'KY_Cost Plant Acct-Comm-P8(Reg)'!D35</f>
        <v>0</v>
      </c>
      <c r="E35" s="136"/>
      <c r="F35" s="136">
        <f>'KY_Cost Plant Acct-Comm-P8(Reg)'!F35</f>
        <v>0</v>
      </c>
      <c r="G35" s="136"/>
      <c r="H35" s="136">
        <f>'KY_Cost Plant Acct-Comm-P8(Reg)'!H35</f>
        <v>0</v>
      </c>
      <c r="I35" s="136"/>
      <c r="J35" s="136">
        <f t="shared" si="0"/>
        <v>0</v>
      </c>
      <c r="K35" s="136"/>
      <c r="L35" s="136">
        <f t="shared" si="1"/>
        <v>0</v>
      </c>
      <c r="M35" s="147"/>
      <c r="N35" s="37">
        <f>'KY_Res by Plant Acct-P29 (Reg)'!R506</f>
        <v>0</v>
      </c>
      <c r="P35" s="37">
        <f t="shared" si="2"/>
        <v>0</v>
      </c>
    </row>
    <row r="36" spans="1:16" x14ac:dyDescent="0.2">
      <c r="A36" s="3" t="s">
        <v>257</v>
      </c>
      <c r="B36" s="136">
        <f>'KY_Cost Plant Acct-Comm-P8(Reg)'!B36</f>
        <v>83782.289999999994</v>
      </c>
      <c r="C36" s="136"/>
      <c r="D36" s="136">
        <f>'KY_Cost Plant Acct-Comm-P8(Reg)'!D36</f>
        <v>0</v>
      </c>
      <c r="E36" s="136"/>
      <c r="F36" s="136">
        <f>'KY_Cost Plant Acct-Comm-P8(Reg)'!F36</f>
        <v>0</v>
      </c>
      <c r="G36" s="136"/>
      <c r="H36" s="136">
        <f>'KY_Cost Plant Acct-Comm-P8(Reg)'!H36</f>
        <v>0</v>
      </c>
      <c r="I36" s="136"/>
      <c r="J36" s="136">
        <f t="shared" si="0"/>
        <v>0</v>
      </c>
      <c r="K36" s="136"/>
      <c r="L36" s="136">
        <f t="shared" si="1"/>
        <v>83782.289999999994</v>
      </c>
      <c r="M36" s="147"/>
      <c r="N36" s="37">
        <f>'KY_Res by Plant Acct-P29 (Reg)'!R522</f>
        <v>0</v>
      </c>
      <c r="P36" s="37">
        <f t="shared" si="2"/>
        <v>83782.289999999994</v>
      </c>
    </row>
    <row r="37" spans="1:16" x14ac:dyDescent="0.2">
      <c r="A37" s="3" t="s">
        <v>258</v>
      </c>
      <c r="B37" s="136">
        <f>'KY_Cost Plant Acct-Comm-P8(Reg)'!B37</f>
        <v>0</v>
      </c>
      <c r="C37" s="136"/>
      <c r="D37" s="136">
        <f>'KY_Cost Plant Acct-Comm-P8(Reg)'!D37</f>
        <v>0</v>
      </c>
      <c r="E37" s="136"/>
      <c r="F37" s="136">
        <f>'KY_Cost Plant Acct-Comm-P8(Reg)'!F37</f>
        <v>0</v>
      </c>
      <c r="G37" s="136"/>
      <c r="H37" s="136">
        <f>'KY_Cost Plant Acct-Comm-P8(Reg)'!H37</f>
        <v>0</v>
      </c>
      <c r="I37" s="136"/>
      <c r="J37" s="136">
        <f t="shared" si="0"/>
        <v>0</v>
      </c>
      <c r="K37" s="136"/>
      <c r="L37" s="136">
        <f t="shared" si="1"/>
        <v>0</v>
      </c>
      <c r="M37" s="147"/>
      <c r="N37" s="37">
        <f>'KY_Res by Plant Acct-P29 (Reg)'!R523</f>
        <v>0</v>
      </c>
      <c r="P37" s="37">
        <f t="shared" si="2"/>
        <v>0</v>
      </c>
    </row>
    <row r="38" spans="1:16" x14ac:dyDescent="0.2">
      <c r="A38" s="3" t="s">
        <v>259</v>
      </c>
      <c r="B38" s="136">
        <f>'KY_Cost Plant Acct-Comm-P8(Reg)'!B38+'KY_Cost Plant Acct-Comm-P8(Reg)'!B66</f>
        <v>54053330.599999994</v>
      </c>
      <c r="C38" s="136"/>
      <c r="D38" s="136">
        <f>'KY_Cost Plant Acct-Comm-P8(Reg)'!D38+'KY_Cost Plant Acct-Comm-P8(Reg)'!D66</f>
        <v>10945203.060000001</v>
      </c>
      <c r="E38" s="136"/>
      <c r="F38" s="136">
        <f>'KY_Cost Plant Acct-Comm-P8(Reg)'!F38</f>
        <v>-8008540.6900000004</v>
      </c>
      <c r="G38" s="136"/>
      <c r="H38" s="136">
        <f>'KY_Cost Plant Acct-Comm-P8(Reg)'!H38</f>
        <v>0</v>
      </c>
      <c r="I38" s="136"/>
      <c r="J38" s="136">
        <f t="shared" si="0"/>
        <v>2936662.37</v>
      </c>
      <c r="K38" s="136"/>
      <c r="L38" s="136">
        <f t="shared" si="1"/>
        <v>56989992.969999991</v>
      </c>
      <c r="M38" s="147"/>
      <c r="N38" s="37">
        <f>'KY_Res by Plant Acct-P29 (Reg)'!R524</f>
        <v>-19164980.100000001</v>
      </c>
      <c r="P38" s="37">
        <f t="shared" si="2"/>
        <v>37825012.86999999</v>
      </c>
    </row>
    <row r="39" spans="1:16" x14ac:dyDescent="0.2">
      <c r="A39" s="3" t="s">
        <v>260</v>
      </c>
      <c r="B39" s="136">
        <f>'KY_Cost Plant Acct-Comm-P8(Reg)'!B39+'KY_Cost Plant Acct-Comm-P8(Reg)'!B67</f>
        <v>45350035.249999993</v>
      </c>
      <c r="C39" s="136"/>
      <c r="D39" s="136">
        <f>'KY_Cost Plant Acct-Comm-P8(Reg)'!D39+'KY_Cost Plant Acct-Comm-P8(Reg)'!D67</f>
        <v>11352680.050000001</v>
      </c>
      <c r="E39" s="136"/>
      <c r="F39" s="136">
        <f>'KY_Cost Plant Acct-Comm-P8(Reg)'!F39</f>
        <v>0</v>
      </c>
      <c r="G39" s="136"/>
      <c r="H39" s="136">
        <f>'KY_Cost Plant Acct-Comm-P8(Reg)'!H39</f>
        <v>0</v>
      </c>
      <c r="I39" s="136"/>
      <c r="J39" s="136">
        <f t="shared" si="0"/>
        <v>11352680.050000001</v>
      </c>
      <c r="K39" s="136"/>
      <c r="L39" s="136">
        <f t="shared" si="1"/>
        <v>56702715.299999997</v>
      </c>
      <c r="M39" s="147"/>
      <c r="N39" s="37">
        <f>'KY_Res by Plant Acct-P29 (Reg)'!R525</f>
        <v>-39145769.660000004</v>
      </c>
      <c r="P39" s="37">
        <f t="shared" si="2"/>
        <v>17556945.639999993</v>
      </c>
    </row>
    <row r="40" spans="1:16" x14ac:dyDescent="0.2">
      <c r="A40" s="3" t="s">
        <v>261</v>
      </c>
      <c r="B40" s="151">
        <f>'KY_Cost Plant Acct-Comm-P8(Reg)'!B40</f>
        <v>0</v>
      </c>
      <c r="C40" s="133"/>
      <c r="D40" s="151">
        <f>'KY_Cost Plant Acct-Comm-P8(Reg)'!D40</f>
        <v>0</v>
      </c>
      <c r="E40" s="133"/>
      <c r="F40" s="151">
        <f>'KY_Cost Plant Acct-Comm-P8(Reg)'!F40</f>
        <v>0</v>
      </c>
      <c r="G40" s="133"/>
      <c r="H40" s="151">
        <f>'KY_Cost Plant Acct-Comm-P8(Reg)'!H40</f>
        <v>0</v>
      </c>
      <c r="I40" s="133"/>
      <c r="J40" s="151">
        <f t="shared" si="0"/>
        <v>0</v>
      </c>
      <c r="K40" s="133"/>
      <c r="L40" s="151">
        <f t="shared" si="1"/>
        <v>0</v>
      </c>
      <c r="M40" s="148"/>
      <c r="N40" s="134">
        <f>'KY_Res by Plant Acct-P29 (Reg)'!R526</f>
        <v>0</v>
      </c>
      <c r="P40" s="134">
        <f t="shared" si="2"/>
        <v>0</v>
      </c>
    </row>
    <row r="41" spans="1:16" x14ac:dyDescent="0.2">
      <c r="B41" s="133">
        <f>SUM(B11:B40)</f>
        <v>259529886.90999997</v>
      </c>
      <c r="C41" s="133"/>
      <c r="D41" s="133">
        <f>SUM(D11:D40)</f>
        <v>29424977.550000001</v>
      </c>
      <c r="E41" s="133"/>
      <c r="F41" s="133">
        <f>SUM(F11:F40)</f>
        <v>-16429817.5</v>
      </c>
      <c r="G41" s="133"/>
      <c r="H41" s="133">
        <f>SUM(H11:H40)</f>
        <v>0</v>
      </c>
      <c r="I41" s="133"/>
      <c r="J41" s="133">
        <f>SUM(J11:J40)</f>
        <v>12995160.050000001</v>
      </c>
      <c r="K41" s="133"/>
      <c r="L41" s="133">
        <f>SUM(L11:L40)</f>
        <v>272525046.95999998</v>
      </c>
      <c r="M41" s="148"/>
      <c r="N41" s="133">
        <f>SUM(N11:N40)</f>
        <v>-139901604.69999999</v>
      </c>
      <c r="P41" s="133">
        <f>SUM(P11:P40)</f>
        <v>132623442.25999999</v>
      </c>
    </row>
    <row r="42" spans="1:16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48"/>
    </row>
    <row r="43" spans="1:16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48"/>
    </row>
    <row r="44" spans="1:16" ht="13.5" thickBot="1" x14ac:dyDescent="0.25">
      <c r="A44" s="9" t="s">
        <v>2807</v>
      </c>
      <c r="B44" s="141">
        <f>B41</f>
        <v>259529886.90999997</v>
      </c>
      <c r="C44" s="148"/>
      <c r="D44" s="141">
        <f>D41</f>
        <v>29424977.550000001</v>
      </c>
      <c r="E44" s="148"/>
      <c r="F44" s="141">
        <f>F41</f>
        <v>-16429817.5</v>
      </c>
      <c r="G44" s="148"/>
      <c r="H44" s="141">
        <f>H41</f>
        <v>0</v>
      </c>
      <c r="I44" s="148"/>
      <c r="J44" s="141">
        <f>J41</f>
        <v>12995160.050000001</v>
      </c>
      <c r="K44" s="148"/>
      <c r="L44" s="141">
        <f>L41</f>
        <v>272525046.95999998</v>
      </c>
      <c r="M44" s="148"/>
      <c r="N44" s="141">
        <f>N41</f>
        <v>-139901604.69999999</v>
      </c>
      <c r="P44" s="141">
        <f>P41</f>
        <v>132623442.25999999</v>
      </c>
    </row>
    <row r="45" spans="1:16" ht="13.5" thickTop="1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48"/>
    </row>
    <row r="46" spans="1:16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48"/>
    </row>
    <row r="47" spans="1:16" x14ac:dyDescent="0.2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47"/>
    </row>
    <row r="48" spans="1:16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2:13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</row>
    <row r="50" spans="2:13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2:13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2:13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pans="2:13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2:13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2:13" x14ac:dyDescent="0.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2:13" x14ac:dyDescent="0.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  <row r="57" spans="2:13" x14ac:dyDescent="0.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2:13" x14ac:dyDescent="0.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2:13" x14ac:dyDescent="0.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2:13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2:13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2:13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2:13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2:13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2:13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2:13" x14ac:dyDescent="0.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2:13" x14ac:dyDescent="0.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2:13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2:13" x14ac:dyDescent="0.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  <row r="70" spans="2:13" x14ac:dyDescent="0.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</row>
    <row r="71" spans="2:13" x14ac:dyDescent="0.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2:13" x14ac:dyDescent="0.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</row>
    <row r="73" spans="2:13" x14ac:dyDescent="0.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2:13" x14ac:dyDescent="0.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2:13" x14ac:dyDescent="0.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2:13" x14ac:dyDescent="0.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</row>
    <row r="77" spans="2:13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</row>
    <row r="78" spans="2:13" x14ac:dyDescent="0.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</row>
    <row r="79" spans="2:13" x14ac:dyDescent="0.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2:13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2:13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2:13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2:13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2:13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2:13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2:13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2:13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</row>
    <row r="88" spans="2:13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2:13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2:13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2:13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2:13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2:13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2:13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2:13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2:13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2:13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2:13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2:13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2:13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2:13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2:13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2:13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2:13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2:13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</row>
    <row r="106" spans="2:13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</row>
    <row r="107" spans="2:13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</row>
    <row r="108" spans="2:13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  <row r="110" spans="2:13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</row>
    <row r="111" spans="2:13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2:13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</row>
    <row r="113" spans="2:13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</row>
    <row r="114" spans="2:13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</row>
    <row r="115" spans="2:13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</row>
    <row r="116" spans="2:13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</row>
    <row r="117" spans="2:13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</row>
    <row r="118" spans="2:13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</row>
    <row r="119" spans="2:13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</row>
    <row r="120" spans="2:13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</row>
    <row r="121" spans="2:13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</row>
    <row r="122" spans="2:13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</row>
    <row r="123" spans="2:13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</row>
    <row r="124" spans="2:13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</row>
    <row r="125" spans="2:13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</row>
    <row r="126" spans="2:13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</row>
    <row r="127" spans="2:13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</row>
    <row r="128" spans="2:13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</row>
    <row r="129" spans="2:13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</row>
    <row r="130" spans="2:13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2:13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</row>
    <row r="132" spans="2:13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</row>
    <row r="133" spans="2:13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</row>
    <row r="134" spans="2:13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</row>
    <row r="135" spans="2:13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2:13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2:13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2:13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</row>
    <row r="139" spans="2:13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</row>
    <row r="140" spans="2:13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</row>
    <row r="141" spans="2:13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2:13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2:13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</row>
    <row r="144" spans="2:13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</row>
    <row r="145" spans="2:13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</row>
    <row r="146" spans="2:13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</row>
    <row r="147" spans="2:13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2:13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2:13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</row>
    <row r="150" spans="2:13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</row>
    <row r="151" spans="2:13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</row>
    <row r="152" spans="2:13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</row>
    <row r="153" spans="2:13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</row>
    <row r="154" spans="2:13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</row>
    <row r="155" spans="2:13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</row>
    <row r="156" spans="2:13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</row>
    <row r="157" spans="2:13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</row>
    <row r="158" spans="2:13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2:13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</row>
    <row r="160" spans="2:13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</row>
    <row r="161" spans="2:13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4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2"/>
  </sheetPr>
  <dimension ref="A1:M192"/>
  <sheetViews>
    <sheetView zoomScale="90" zoomScaleNormal="90" workbookViewId="0">
      <pane xSplit="1" ySplit="10" topLeftCell="B2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0" customFormat="1" ht="15.75" x14ac:dyDescent="0.25">
      <c r="A2" s="210" t="s">
        <v>2808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3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3" x14ac:dyDescent="0.2">
      <c r="B8" s="17"/>
      <c r="D8" s="17"/>
      <c r="F8" s="17"/>
      <c r="H8" s="17"/>
      <c r="J8" s="17"/>
      <c r="L8" s="17"/>
    </row>
    <row r="9" spans="1:13" x14ac:dyDescent="0.2">
      <c r="A9" s="9" t="s">
        <v>2809</v>
      </c>
    </row>
    <row r="10" spans="1:13" x14ac:dyDescent="0.2">
      <c r="A10" s="9" t="s">
        <v>2799</v>
      </c>
    </row>
    <row r="11" spans="1:13" x14ac:dyDescent="0.2">
      <c r="A11" s="3" t="s">
        <v>2810</v>
      </c>
      <c r="B11" s="14">
        <v>1564394.3699999999</v>
      </c>
      <c r="C11" s="14"/>
      <c r="D11" s="14">
        <v>0</v>
      </c>
      <c r="E11" s="14"/>
      <c r="F11" s="14">
        <v>0</v>
      </c>
      <c r="G11" s="14"/>
      <c r="H11" s="14">
        <v>0</v>
      </c>
      <c r="I11" s="14"/>
      <c r="J11" s="14">
        <f>H11+F11+D11</f>
        <v>0</v>
      </c>
      <c r="K11" s="14"/>
      <c r="L11" s="14">
        <f>J11+B11</f>
        <v>1564394.3699999999</v>
      </c>
      <c r="M11" s="28"/>
    </row>
    <row r="12" spans="1:13" x14ac:dyDescent="0.2">
      <c r="A12" s="3" t="s">
        <v>2811</v>
      </c>
      <c r="B12" s="14">
        <v>0</v>
      </c>
      <c r="C12" s="14"/>
      <c r="D12" s="14">
        <v>0</v>
      </c>
      <c r="E12" s="14"/>
      <c r="F12" s="14">
        <v>0</v>
      </c>
      <c r="G12" s="14"/>
      <c r="H12" s="14">
        <v>0</v>
      </c>
      <c r="I12" s="14"/>
      <c r="J12" s="14">
        <f t="shared" ref="J12:J40" si="0">H12+F12+D12</f>
        <v>0</v>
      </c>
      <c r="K12" s="14"/>
      <c r="L12" s="14">
        <f t="shared" ref="L12:L40" si="1">J12+B12</f>
        <v>0</v>
      </c>
      <c r="M12" s="28"/>
    </row>
    <row r="13" spans="1:13" x14ac:dyDescent="0.2">
      <c r="A13" s="3" t="s">
        <v>2812</v>
      </c>
      <c r="B13" s="14">
        <v>65813532.299999997</v>
      </c>
      <c r="C13" s="14"/>
      <c r="D13" s="14">
        <v>2588223.0099999998</v>
      </c>
      <c r="E13" s="14"/>
      <c r="F13" s="14">
        <v>-870805.71</v>
      </c>
      <c r="G13" s="14"/>
      <c r="H13" s="14">
        <v>0</v>
      </c>
      <c r="I13" s="14"/>
      <c r="J13" s="14">
        <f t="shared" si="0"/>
        <v>1717417.2999999998</v>
      </c>
      <c r="K13" s="14"/>
      <c r="L13" s="14">
        <f t="shared" si="1"/>
        <v>67530949.599999994</v>
      </c>
      <c r="M13" s="28"/>
    </row>
    <row r="14" spans="1:13" x14ac:dyDescent="0.2">
      <c r="A14" s="3" t="s">
        <v>2813</v>
      </c>
      <c r="B14" s="14">
        <v>412150.57</v>
      </c>
      <c r="C14" s="14"/>
      <c r="D14" s="14">
        <v>0</v>
      </c>
      <c r="E14" s="14"/>
      <c r="F14" s="14">
        <v>0</v>
      </c>
      <c r="G14" s="14"/>
      <c r="H14" s="14">
        <v>0</v>
      </c>
      <c r="I14" s="14"/>
      <c r="J14" s="14">
        <f t="shared" si="0"/>
        <v>0</v>
      </c>
      <c r="K14" s="14"/>
      <c r="L14" s="14">
        <f t="shared" si="1"/>
        <v>412150.57</v>
      </c>
      <c r="M14" s="28"/>
    </row>
    <row r="15" spans="1:13" x14ac:dyDescent="0.2">
      <c r="A15" s="3" t="s">
        <v>2814</v>
      </c>
      <c r="B15" s="14">
        <v>9935031.3599999994</v>
      </c>
      <c r="C15" s="14"/>
      <c r="D15" s="14">
        <v>0</v>
      </c>
      <c r="E15" s="14"/>
      <c r="F15" s="14">
        <v>-69403.289999999994</v>
      </c>
      <c r="G15" s="14"/>
      <c r="H15" s="14">
        <v>0</v>
      </c>
      <c r="I15" s="14"/>
      <c r="J15" s="14">
        <f t="shared" si="0"/>
        <v>-69403.289999999994</v>
      </c>
      <c r="K15" s="14"/>
      <c r="L15" s="14">
        <f t="shared" si="1"/>
        <v>9865628.0700000003</v>
      </c>
      <c r="M15" s="28"/>
    </row>
    <row r="16" spans="1:13" x14ac:dyDescent="0.2">
      <c r="A16" s="3" t="s">
        <v>2815</v>
      </c>
      <c r="B16" s="14">
        <v>707482.03999999992</v>
      </c>
      <c r="C16" s="14"/>
      <c r="D16" s="14">
        <v>0</v>
      </c>
      <c r="E16" s="14"/>
      <c r="F16" s="14">
        <v>0</v>
      </c>
      <c r="G16" s="14"/>
      <c r="H16" s="14">
        <v>0</v>
      </c>
      <c r="I16" s="14"/>
      <c r="J16" s="14">
        <f t="shared" si="0"/>
        <v>0</v>
      </c>
      <c r="K16" s="14"/>
      <c r="L16" s="14">
        <f t="shared" si="1"/>
        <v>707482.03999999992</v>
      </c>
      <c r="M16" s="28"/>
    </row>
    <row r="17" spans="1:13" x14ac:dyDescent="0.2">
      <c r="A17" s="3" t="s">
        <v>2816</v>
      </c>
      <c r="B17" s="14">
        <v>1101625.49</v>
      </c>
      <c r="C17" s="14"/>
      <c r="D17" s="14">
        <v>0</v>
      </c>
      <c r="E17" s="14"/>
      <c r="F17" s="14">
        <v>-1917.02</v>
      </c>
      <c r="G17" s="14"/>
      <c r="H17" s="14">
        <v>0</v>
      </c>
      <c r="I17" s="14"/>
      <c r="J17" s="14">
        <f t="shared" si="0"/>
        <v>-1917.02</v>
      </c>
      <c r="K17" s="14"/>
      <c r="L17" s="14">
        <f t="shared" si="1"/>
        <v>1099708.47</v>
      </c>
      <c r="M17" s="28"/>
    </row>
    <row r="18" spans="1:13" x14ac:dyDescent="0.2">
      <c r="A18" s="3" t="s">
        <v>2817</v>
      </c>
      <c r="B18" s="14">
        <v>6980531.04</v>
      </c>
      <c r="C18" s="14"/>
      <c r="D18" s="14">
        <v>861722</v>
      </c>
      <c r="E18" s="14"/>
      <c r="F18" s="14">
        <v>-248851.16</v>
      </c>
      <c r="G18" s="14"/>
      <c r="H18" s="14">
        <v>0</v>
      </c>
      <c r="I18" s="14"/>
      <c r="J18" s="14">
        <f t="shared" si="0"/>
        <v>612870.84</v>
      </c>
      <c r="K18" s="14"/>
      <c r="L18" s="14">
        <f t="shared" si="1"/>
        <v>7593401.8799999999</v>
      </c>
      <c r="M18" s="28"/>
    </row>
    <row r="19" spans="1:13" x14ac:dyDescent="0.2">
      <c r="A19" s="3" t="s">
        <v>2818</v>
      </c>
      <c r="B19" s="14">
        <v>986685.95999999973</v>
      </c>
      <c r="C19" s="14"/>
      <c r="D19" s="14">
        <v>331110.75</v>
      </c>
      <c r="E19" s="14"/>
      <c r="F19" s="14">
        <v>0</v>
      </c>
      <c r="G19" s="14"/>
      <c r="H19" s="14">
        <v>0</v>
      </c>
      <c r="I19" s="14"/>
      <c r="J19" s="14">
        <f t="shared" si="0"/>
        <v>331110.75</v>
      </c>
      <c r="K19" s="14"/>
      <c r="L19" s="14">
        <f t="shared" si="1"/>
        <v>1317796.7099999997</v>
      </c>
      <c r="M19" s="28"/>
    </row>
    <row r="20" spans="1:13" x14ac:dyDescent="0.2">
      <c r="A20" s="3" t="s">
        <v>2819</v>
      </c>
      <c r="B20" s="14">
        <v>18919012.849999998</v>
      </c>
      <c r="C20" s="14"/>
      <c r="D20" s="14">
        <v>4679482.38</v>
      </c>
      <c r="E20" s="14"/>
      <c r="F20" s="14">
        <v>-4080319.3</v>
      </c>
      <c r="G20" s="14"/>
      <c r="H20" s="14">
        <v>0</v>
      </c>
      <c r="I20" s="14"/>
      <c r="J20" s="14">
        <f t="shared" si="0"/>
        <v>599163.08000000007</v>
      </c>
      <c r="K20" s="14"/>
      <c r="L20" s="14">
        <f t="shared" si="1"/>
        <v>19518175.93</v>
      </c>
      <c r="M20" s="28"/>
    </row>
    <row r="21" spans="1:13" x14ac:dyDescent="0.2">
      <c r="A21" s="3" t="s">
        <v>2820</v>
      </c>
      <c r="B21" s="14">
        <v>5053034.7699999996</v>
      </c>
      <c r="C21" s="14"/>
      <c r="D21" s="14">
        <v>1687542.17</v>
      </c>
      <c r="E21" s="14"/>
      <c r="F21" s="14">
        <v>-1005087.57</v>
      </c>
      <c r="G21" s="14"/>
      <c r="H21" s="14">
        <v>0</v>
      </c>
      <c r="I21" s="14"/>
      <c r="J21" s="14">
        <f t="shared" si="0"/>
        <v>682454.6</v>
      </c>
      <c r="K21" s="14"/>
      <c r="L21" s="14">
        <f t="shared" si="1"/>
        <v>5735489.3699999992</v>
      </c>
      <c r="M21" s="28"/>
    </row>
    <row r="22" spans="1:13" x14ac:dyDescent="0.2">
      <c r="A22" s="21" t="s">
        <v>2821</v>
      </c>
      <c r="B22" s="14">
        <v>0</v>
      </c>
      <c r="C22" s="14"/>
      <c r="D22" s="14">
        <v>0</v>
      </c>
      <c r="E22" s="14"/>
      <c r="F22" s="14">
        <v>0</v>
      </c>
      <c r="G22" s="14"/>
      <c r="H22" s="14">
        <v>0</v>
      </c>
      <c r="I22" s="14"/>
      <c r="J22" s="14">
        <f t="shared" si="0"/>
        <v>0</v>
      </c>
      <c r="K22" s="14"/>
      <c r="L22" s="14">
        <f t="shared" si="1"/>
        <v>0</v>
      </c>
      <c r="M22" s="28"/>
    </row>
    <row r="23" spans="1:13" x14ac:dyDescent="0.2">
      <c r="A23" s="3" t="s">
        <v>2822</v>
      </c>
      <c r="B23" s="14">
        <v>915122.45999999961</v>
      </c>
      <c r="C23" s="14"/>
      <c r="D23" s="14">
        <v>0</v>
      </c>
      <c r="E23" s="14"/>
      <c r="F23" s="14">
        <v>0</v>
      </c>
      <c r="G23" s="14"/>
      <c r="H23" s="14">
        <v>0</v>
      </c>
      <c r="I23" s="14"/>
      <c r="J23" s="14">
        <f t="shared" si="0"/>
        <v>0</v>
      </c>
      <c r="K23" s="14"/>
      <c r="L23" s="14">
        <f t="shared" si="1"/>
        <v>915122.45999999961</v>
      </c>
      <c r="M23" s="28"/>
    </row>
    <row r="24" spans="1:13" x14ac:dyDescent="0.2">
      <c r="A24" s="3" t="s">
        <v>2823</v>
      </c>
      <c r="B24" s="14">
        <v>20757.36</v>
      </c>
      <c r="C24" s="14"/>
      <c r="D24" s="14">
        <v>0</v>
      </c>
      <c r="E24" s="14"/>
      <c r="F24" s="14">
        <v>-20757.36</v>
      </c>
      <c r="G24" s="14"/>
      <c r="H24" s="14">
        <v>0</v>
      </c>
      <c r="I24" s="14"/>
      <c r="J24" s="14">
        <f t="shared" si="0"/>
        <v>-20757.36</v>
      </c>
      <c r="K24" s="14"/>
      <c r="L24" s="14">
        <f t="shared" si="1"/>
        <v>0</v>
      </c>
      <c r="M24" s="28"/>
    </row>
    <row r="25" spans="1:13" x14ac:dyDescent="0.2">
      <c r="A25" s="3" t="s">
        <v>2824</v>
      </c>
      <c r="B25" s="14">
        <v>211576.31999999998</v>
      </c>
      <c r="C25" s="14"/>
      <c r="D25" s="14">
        <v>0</v>
      </c>
      <c r="E25" s="14"/>
      <c r="F25" s="14">
        <v>0</v>
      </c>
      <c r="G25" s="14"/>
      <c r="H25" s="14">
        <v>0</v>
      </c>
      <c r="I25" s="14"/>
      <c r="J25" s="14">
        <f t="shared" si="0"/>
        <v>0</v>
      </c>
      <c r="K25" s="14"/>
      <c r="L25" s="14">
        <f t="shared" si="1"/>
        <v>211576.31999999998</v>
      </c>
      <c r="M25" s="28"/>
    </row>
    <row r="26" spans="1:13" x14ac:dyDescent="0.2">
      <c r="A26" s="3" t="s">
        <v>2825</v>
      </c>
      <c r="B26" s="14">
        <v>41842.69</v>
      </c>
      <c r="C26" s="14"/>
      <c r="D26" s="14">
        <v>38564.449999999997</v>
      </c>
      <c r="E26" s="14"/>
      <c r="F26" s="14">
        <v>-13783.47</v>
      </c>
      <c r="G26" s="14"/>
      <c r="H26" s="14">
        <v>0</v>
      </c>
      <c r="I26" s="14"/>
      <c r="J26" s="14">
        <f t="shared" si="0"/>
        <v>24780.979999999996</v>
      </c>
      <c r="K26" s="14"/>
      <c r="L26" s="14">
        <f t="shared" si="1"/>
        <v>66623.67</v>
      </c>
      <c r="M26" s="28"/>
    </row>
    <row r="27" spans="1:13" x14ac:dyDescent="0.2">
      <c r="A27" s="3" t="s">
        <v>2826</v>
      </c>
      <c r="B27" s="14">
        <v>1471075.02</v>
      </c>
      <c r="C27" s="14"/>
      <c r="D27" s="14">
        <v>0</v>
      </c>
      <c r="E27" s="14"/>
      <c r="F27" s="14">
        <v>0</v>
      </c>
      <c r="G27" s="14"/>
      <c r="H27" s="14">
        <v>0</v>
      </c>
      <c r="I27" s="14"/>
      <c r="J27" s="14">
        <f t="shared" si="0"/>
        <v>0</v>
      </c>
      <c r="K27" s="14"/>
      <c r="L27" s="14">
        <f t="shared" si="1"/>
        <v>1471075.02</v>
      </c>
      <c r="M27" s="28"/>
    </row>
    <row r="28" spans="1:13" x14ac:dyDescent="0.2">
      <c r="A28" s="3" t="s">
        <v>2827</v>
      </c>
      <c r="B28" s="14">
        <v>3993932.7900000005</v>
      </c>
      <c r="C28" s="14"/>
      <c r="D28" s="14">
        <v>141819.07999999999</v>
      </c>
      <c r="E28" s="14"/>
      <c r="F28" s="14">
        <v>0</v>
      </c>
      <c r="G28" s="14"/>
      <c r="H28" s="14">
        <v>0</v>
      </c>
      <c r="I28" s="14"/>
      <c r="J28" s="14">
        <f t="shared" si="0"/>
        <v>141819.07999999999</v>
      </c>
      <c r="K28" s="14"/>
      <c r="L28" s="14">
        <f t="shared" si="1"/>
        <v>4135751.8700000006</v>
      </c>
      <c r="M28" s="28"/>
    </row>
    <row r="29" spans="1:13" x14ac:dyDescent="0.2">
      <c r="A29" s="3" t="s">
        <v>2828</v>
      </c>
      <c r="B29" s="14">
        <v>0</v>
      </c>
      <c r="C29" s="14"/>
      <c r="D29" s="14">
        <v>0</v>
      </c>
      <c r="E29" s="14"/>
      <c r="F29" s="14">
        <v>0</v>
      </c>
      <c r="G29" s="14"/>
      <c r="H29" s="14">
        <v>0</v>
      </c>
      <c r="I29" s="14"/>
      <c r="J29" s="14">
        <f t="shared" si="0"/>
        <v>0</v>
      </c>
      <c r="K29" s="14"/>
      <c r="L29" s="14">
        <f t="shared" si="1"/>
        <v>0</v>
      </c>
      <c r="M29" s="28"/>
    </row>
    <row r="30" spans="1:13" x14ac:dyDescent="0.2">
      <c r="A30" s="131" t="s">
        <v>2829</v>
      </c>
      <c r="B30" s="14">
        <v>328439.13</v>
      </c>
      <c r="C30" s="14"/>
      <c r="D30" s="14">
        <v>199130.06</v>
      </c>
      <c r="E30" s="14"/>
      <c r="F30" s="14">
        <v>0</v>
      </c>
      <c r="G30" s="14"/>
      <c r="H30" s="14">
        <v>0</v>
      </c>
      <c r="I30" s="14"/>
      <c r="J30" s="14">
        <f t="shared" si="0"/>
        <v>199130.06</v>
      </c>
      <c r="K30" s="14"/>
      <c r="L30" s="14">
        <f t="shared" si="1"/>
        <v>527569.18999999994</v>
      </c>
      <c r="M30" s="28"/>
    </row>
    <row r="31" spans="1:13" x14ac:dyDescent="0.2">
      <c r="A31" s="3" t="s">
        <v>2830</v>
      </c>
      <c r="B31" s="14">
        <v>14147.08</v>
      </c>
      <c r="C31" s="14"/>
      <c r="D31" s="14">
        <v>0</v>
      </c>
      <c r="E31" s="14"/>
      <c r="F31" s="14">
        <v>0</v>
      </c>
      <c r="G31" s="14"/>
      <c r="H31" s="14">
        <v>0</v>
      </c>
      <c r="I31" s="14"/>
      <c r="J31" s="14">
        <f t="shared" si="0"/>
        <v>0</v>
      </c>
      <c r="K31" s="14"/>
      <c r="L31" s="14">
        <f t="shared" si="1"/>
        <v>14147.08</v>
      </c>
      <c r="M31" s="28"/>
    </row>
    <row r="32" spans="1:13" x14ac:dyDescent="0.2">
      <c r="A32" s="3" t="s">
        <v>2831</v>
      </c>
      <c r="B32" s="14">
        <v>18234471.210000001</v>
      </c>
      <c r="C32" s="14"/>
      <c r="D32" s="14">
        <v>3159299.8</v>
      </c>
      <c r="E32" s="14"/>
      <c r="F32" s="14">
        <v>-2103725.5299999998</v>
      </c>
      <c r="G32" s="14"/>
      <c r="H32" s="14">
        <v>0</v>
      </c>
      <c r="I32" s="14"/>
      <c r="J32" s="14">
        <f t="shared" si="0"/>
        <v>1055574.27</v>
      </c>
      <c r="K32" s="14"/>
      <c r="L32" s="14">
        <f t="shared" si="1"/>
        <v>19290045.48</v>
      </c>
      <c r="M32" s="28"/>
    </row>
    <row r="33" spans="1:13" x14ac:dyDescent="0.2">
      <c r="A33" s="3" t="s">
        <v>2832</v>
      </c>
      <c r="B33" s="14">
        <v>13523215.02</v>
      </c>
      <c r="C33" s="14"/>
      <c r="D33" s="14">
        <v>737657.07</v>
      </c>
      <c r="E33" s="14"/>
      <c r="F33" s="14">
        <v>-6626.4</v>
      </c>
      <c r="G33" s="14"/>
      <c r="H33" s="14">
        <v>0</v>
      </c>
      <c r="I33" s="14"/>
      <c r="J33" s="14">
        <f t="shared" si="0"/>
        <v>731030.66999999993</v>
      </c>
      <c r="K33" s="14"/>
      <c r="L33" s="14">
        <f t="shared" si="1"/>
        <v>14254245.689999999</v>
      </c>
      <c r="M33" s="28"/>
    </row>
    <row r="34" spans="1:13" x14ac:dyDescent="0.2">
      <c r="A34" s="3" t="s">
        <v>2833</v>
      </c>
      <c r="B34" s="14">
        <v>0</v>
      </c>
      <c r="C34" s="14"/>
      <c r="D34" s="14">
        <v>0</v>
      </c>
      <c r="E34" s="14"/>
      <c r="F34" s="14">
        <v>0</v>
      </c>
      <c r="G34" s="14"/>
      <c r="H34" s="14">
        <v>0</v>
      </c>
      <c r="I34" s="14"/>
      <c r="J34" s="14">
        <f t="shared" si="0"/>
        <v>0</v>
      </c>
      <c r="K34" s="14"/>
      <c r="L34" s="14">
        <f t="shared" si="1"/>
        <v>0</v>
      </c>
      <c r="M34" s="28"/>
    </row>
    <row r="35" spans="1:13" x14ac:dyDescent="0.2">
      <c r="A35" s="3" t="s">
        <v>2834</v>
      </c>
      <c r="B35" s="14">
        <v>0</v>
      </c>
      <c r="C35" s="14"/>
      <c r="D35" s="14">
        <v>0</v>
      </c>
      <c r="E35" s="14"/>
      <c r="F35" s="14">
        <v>0</v>
      </c>
      <c r="G35" s="14"/>
      <c r="H35" s="14">
        <v>0</v>
      </c>
      <c r="I35" s="14"/>
      <c r="J35" s="14">
        <f t="shared" si="0"/>
        <v>0</v>
      </c>
      <c r="K35" s="14"/>
      <c r="L35" s="14">
        <f t="shared" si="1"/>
        <v>0</v>
      </c>
      <c r="M35" s="28"/>
    </row>
    <row r="36" spans="1:13" x14ac:dyDescent="0.2">
      <c r="A36" s="3" t="s">
        <v>2835</v>
      </c>
      <c r="B36" s="14">
        <v>83782.289999999994</v>
      </c>
      <c r="C36" s="14"/>
      <c r="D36" s="14">
        <v>0</v>
      </c>
      <c r="E36" s="14"/>
      <c r="F36" s="14">
        <v>0</v>
      </c>
      <c r="G36" s="14"/>
      <c r="H36" s="14">
        <v>0</v>
      </c>
      <c r="I36" s="14"/>
      <c r="J36" s="14">
        <f t="shared" si="0"/>
        <v>0</v>
      </c>
      <c r="K36" s="14"/>
      <c r="L36" s="14">
        <f t="shared" si="1"/>
        <v>83782.289999999994</v>
      </c>
      <c r="M36" s="28"/>
    </row>
    <row r="37" spans="1:13" x14ac:dyDescent="0.2">
      <c r="A37" s="3" t="s">
        <v>2836</v>
      </c>
      <c r="B37" s="14">
        <v>0</v>
      </c>
      <c r="C37" s="14"/>
      <c r="D37" s="14">
        <v>0</v>
      </c>
      <c r="E37" s="14"/>
      <c r="F37" s="14">
        <v>0</v>
      </c>
      <c r="G37" s="14"/>
      <c r="H37" s="14">
        <v>0</v>
      </c>
      <c r="I37" s="14"/>
      <c r="J37" s="14">
        <f t="shared" si="0"/>
        <v>0</v>
      </c>
      <c r="K37" s="14"/>
      <c r="L37" s="14">
        <f t="shared" si="1"/>
        <v>0</v>
      </c>
      <c r="M37" s="28"/>
    </row>
    <row r="38" spans="1:13" x14ac:dyDescent="0.2">
      <c r="A38" s="3" t="s">
        <v>2837</v>
      </c>
      <c r="B38" s="14">
        <v>46321727.969999999</v>
      </c>
      <c r="C38" s="14"/>
      <c r="D38" s="14">
        <v>9409045.7200000007</v>
      </c>
      <c r="E38" s="14"/>
      <c r="F38" s="14">
        <v>-8008540.6900000004</v>
      </c>
      <c r="G38" s="14"/>
      <c r="H38" s="14">
        <v>0</v>
      </c>
      <c r="I38" s="14"/>
      <c r="J38" s="14">
        <f t="shared" si="0"/>
        <v>1400505.0300000003</v>
      </c>
      <c r="K38" s="14"/>
      <c r="L38" s="14">
        <f t="shared" si="1"/>
        <v>47722233</v>
      </c>
      <c r="M38" s="28"/>
    </row>
    <row r="39" spans="1:13" x14ac:dyDescent="0.2">
      <c r="A39" s="3" t="s">
        <v>2838</v>
      </c>
      <c r="B39" s="14">
        <v>45350035.249999993</v>
      </c>
      <c r="C39" s="14"/>
      <c r="D39" s="14">
        <v>0</v>
      </c>
      <c r="E39" s="14"/>
      <c r="F39" s="14">
        <v>0</v>
      </c>
      <c r="G39" s="14"/>
      <c r="H39" s="14">
        <v>0</v>
      </c>
      <c r="I39" s="14"/>
      <c r="J39" s="14">
        <f t="shared" si="0"/>
        <v>0</v>
      </c>
      <c r="K39" s="14"/>
      <c r="L39" s="14">
        <f t="shared" si="1"/>
        <v>45350035.249999993</v>
      </c>
      <c r="M39" s="28"/>
    </row>
    <row r="40" spans="1:13" x14ac:dyDescent="0.2">
      <c r="A40" s="3" t="s">
        <v>2839</v>
      </c>
      <c r="B40" s="15">
        <v>0</v>
      </c>
      <c r="C40" s="16"/>
      <c r="D40" s="14">
        <v>0</v>
      </c>
      <c r="E40" s="14"/>
      <c r="F40" s="14">
        <v>0</v>
      </c>
      <c r="G40" s="14"/>
      <c r="H40" s="14">
        <v>0</v>
      </c>
      <c r="I40" s="16"/>
      <c r="J40" s="15">
        <f t="shared" si="0"/>
        <v>0</v>
      </c>
      <c r="K40" s="16"/>
      <c r="L40" s="15">
        <f t="shared" si="1"/>
        <v>0</v>
      </c>
      <c r="M40" s="132"/>
    </row>
    <row r="41" spans="1:13" x14ac:dyDescent="0.2">
      <c r="B41" s="16">
        <f>SUM(B11:B40)</f>
        <v>241983605.33999997</v>
      </c>
      <c r="C41" s="16"/>
      <c r="D41" s="19">
        <f>SUM(D11:D40)</f>
        <v>23833596.490000002</v>
      </c>
      <c r="E41" s="16"/>
      <c r="F41" s="19">
        <f>SUM(F11:F40)</f>
        <v>-16429817.5</v>
      </c>
      <c r="G41" s="16"/>
      <c r="H41" s="19">
        <f>SUM(H11:H40)</f>
        <v>0</v>
      </c>
      <c r="I41" s="16"/>
      <c r="J41" s="16">
        <f>SUM(J11:J40)</f>
        <v>7403778.9899999993</v>
      </c>
      <c r="K41" s="16"/>
      <c r="L41" s="16">
        <f>SUM(L11:L40)</f>
        <v>249387384.32999995</v>
      </c>
      <c r="M41" s="132"/>
    </row>
    <row r="42" spans="1:13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32"/>
    </row>
    <row r="43" spans="1:13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32"/>
    </row>
    <row r="44" spans="1:13" x14ac:dyDescent="0.2">
      <c r="A44" s="9" t="s">
        <v>2840</v>
      </c>
      <c r="B44" s="20">
        <f>B41</f>
        <v>241983605.33999997</v>
      </c>
      <c r="C44" s="132"/>
      <c r="D44" s="20">
        <f>D41</f>
        <v>23833596.490000002</v>
      </c>
      <c r="E44" s="132"/>
      <c r="F44" s="20">
        <f>F41</f>
        <v>-16429817.5</v>
      </c>
      <c r="G44" s="132"/>
      <c r="H44" s="20">
        <f>H41</f>
        <v>0</v>
      </c>
      <c r="I44" s="132"/>
      <c r="J44" s="20">
        <f>J41</f>
        <v>7403778.9899999993</v>
      </c>
      <c r="K44" s="132"/>
      <c r="L44" s="20">
        <f>L41</f>
        <v>249387384.32999995</v>
      </c>
      <c r="M44" s="132"/>
    </row>
    <row r="45" spans="1:13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2"/>
    </row>
    <row r="46" spans="1:13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2"/>
    </row>
    <row r="47" spans="1:13" x14ac:dyDescent="0.2">
      <c r="A47" s="9" t="s">
        <v>2841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2"/>
    </row>
    <row r="48" spans="1:13" x14ac:dyDescent="0.2">
      <c r="A48" s="9" t="s">
        <v>2799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2"/>
    </row>
    <row r="49" spans="1:13" x14ac:dyDescent="0.2">
      <c r="A49" s="3" t="s">
        <v>2842</v>
      </c>
      <c r="B49" s="16">
        <v>2158504.0099999998</v>
      </c>
      <c r="C49" s="16"/>
      <c r="D49" s="16">
        <v>-507184.67</v>
      </c>
      <c r="E49" s="16"/>
      <c r="F49" s="16">
        <v>0</v>
      </c>
      <c r="G49" s="16"/>
      <c r="H49" s="14">
        <v>0</v>
      </c>
      <c r="I49" s="16"/>
      <c r="J49" s="16">
        <f t="shared" ref="J49:J67" si="2">H49+F49+D49</f>
        <v>-507184.67</v>
      </c>
      <c r="K49" s="16"/>
      <c r="L49" s="16">
        <f t="shared" ref="L49:L67" si="3">J49+B49</f>
        <v>1651319.3399999999</v>
      </c>
      <c r="M49" s="132"/>
    </row>
    <row r="50" spans="1:13" x14ac:dyDescent="0.2">
      <c r="A50" s="21" t="s">
        <v>2843</v>
      </c>
      <c r="B50" s="16">
        <v>0</v>
      </c>
      <c r="C50" s="16"/>
      <c r="D50" s="16">
        <v>0</v>
      </c>
      <c r="E50" s="16"/>
      <c r="F50" s="16">
        <v>0</v>
      </c>
      <c r="G50" s="16"/>
      <c r="H50" s="14">
        <v>0</v>
      </c>
      <c r="I50" s="16"/>
      <c r="J50" s="16">
        <f t="shared" si="2"/>
        <v>0</v>
      </c>
      <c r="K50" s="16"/>
      <c r="L50" s="16">
        <f t="shared" si="3"/>
        <v>0</v>
      </c>
      <c r="M50" s="132"/>
    </row>
    <row r="51" spans="1:13" x14ac:dyDescent="0.2">
      <c r="A51" s="3" t="s">
        <v>2844</v>
      </c>
      <c r="B51" s="16">
        <v>0</v>
      </c>
      <c r="C51" s="16"/>
      <c r="D51" s="16">
        <v>16390</v>
      </c>
      <c r="E51" s="16"/>
      <c r="F51" s="16">
        <v>0</v>
      </c>
      <c r="G51" s="16"/>
      <c r="H51" s="14">
        <v>0</v>
      </c>
      <c r="I51" s="16"/>
      <c r="J51" s="16">
        <f t="shared" si="2"/>
        <v>16390</v>
      </c>
      <c r="K51" s="16"/>
      <c r="L51" s="16">
        <f t="shared" si="3"/>
        <v>16390</v>
      </c>
      <c r="M51" s="132"/>
    </row>
    <row r="52" spans="1:13" x14ac:dyDescent="0.2">
      <c r="A52" s="131" t="s">
        <v>2845</v>
      </c>
      <c r="B52" s="16">
        <v>0</v>
      </c>
      <c r="C52" s="16"/>
      <c r="D52" s="16">
        <v>0</v>
      </c>
      <c r="E52" s="16"/>
      <c r="F52" s="16">
        <v>0</v>
      </c>
      <c r="G52" s="16"/>
      <c r="H52" s="14">
        <v>0</v>
      </c>
      <c r="I52" s="16"/>
      <c r="J52" s="16">
        <f t="shared" si="2"/>
        <v>0</v>
      </c>
      <c r="K52" s="16"/>
      <c r="L52" s="16">
        <f>D52</f>
        <v>0</v>
      </c>
      <c r="M52" s="132"/>
    </row>
    <row r="53" spans="1:13" x14ac:dyDescent="0.2">
      <c r="A53" s="3" t="s">
        <v>2846</v>
      </c>
      <c r="B53" s="16">
        <v>0</v>
      </c>
      <c r="C53" s="16"/>
      <c r="D53" s="16">
        <v>0</v>
      </c>
      <c r="E53" s="16"/>
      <c r="F53" s="16">
        <v>0</v>
      </c>
      <c r="G53" s="16"/>
      <c r="H53" s="14">
        <v>0</v>
      </c>
      <c r="I53" s="16"/>
      <c r="J53" s="16">
        <f t="shared" si="2"/>
        <v>0</v>
      </c>
      <c r="K53" s="16"/>
      <c r="L53" s="16">
        <f t="shared" si="3"/>
        <v>0</v>
      </c>
      <c r="M53" s="132"/>
    </row>
    <row r="54" spans="1:13" x14ac:dyDescent="0.2">
      <c r="A54" s="3" t="s">
        <v>2847</v>
      </c>
      <c r="B54" s="16">
        <v>250484.7699999999</v>
      </c>
      <c r="C54" s="16"/>
      <c r="D54" s="16">
        <v>-154810.85999999999</v>
      </c>
      <c r="E54" s="16"/>
      <c r="F54" s="16">
        <v>0</v>
      </c>
      <c r="G54" s="16"/>
      <c r="H54" s="14">
        <v>0</v>
      </c>
      <c r="I54" s="16"/>
      <c r="J54" s="16">
        <f t="shared" si="2"/>
        <v>-154810.85999999999</v>
      </c>
      <c r="K54" s="16"/>
      <c r="L54" s="16">
        <f t="shared" si="3"/>
        <v>95673.909999999916</v>
      </c>
      <c r="M54" s="132"/>
    </row>
    <row r="55" spans="1:13" x14ac:dyDescent="0.2">
      <c r="A55" s="3" t="s">
        <v>2848</v>
      </c>
      <c r="B55" s="16">
        <v>142637.59999999998</v>
      </c>
      <c r="C55" s="16"/>
      <c r="D55" s="16">
        <v>-134196.25</v>
      </c>
      <c r="E55" s="16"/>
      <c r="F55" s="16">
        <v>0</v>
      </c>
      <c r="G55" s="16"/>
      <c r="H55" s="14">
        <v>0</v>
      </c>
      <c r="I55" s="16"/>
      <c r="J55" s="16">
        <f t="shared" si="2"/>
        <v>-134196.25</v>
      </c>
      <c r="K55" s="16"/>
      <c r="L55" s="16">
        <f t="shared" si="3"/>
        <v>8441.3499999999767</v>
      </c>
      <c r="M55" s="132"/>
    </row>
    <row r="56" spans="1:13" x14ac:dyDescent="0.2">
      <c r="A56" s="3" t="s">
        <v>2849</v>
      </c>
      <c r="B56" s="16">
        <v>3840165.6999999993</v>
      </c>
      <c r="C56" s="16"/>
      <c r="D56" s="16">
        <v>-3639916.24</v>
      </c>
      <c r="E56" s="16"/>
      <c r="F56" s="16">
        <v>0</v>
      </c>
      <c r="G56" s="16"/>
      <c r="H56" s="14">
        <v>0</v>
      </c>
      <c r="I56" s="16"/>
      <c r="J56" s="16">
        <f t="shared" si="2"/>
        <v>-3639916.24</v>
      </c>
      <c r="K56" s="16"/>
      <c r="L56" s="16">
        <f t="shared" si="3"/>
        <v>200249.45999999903</v>
      </c>
      <c r="M56" s="132"/>
    </row>
    <row r="57" spans="1:13" x14ac:dyDescent="0.2">
      <c r="A57" s="3" t="s">
        <v>2850</v>
      </c>
      <c r="B57" s="16">
        <v>24778.10999999987</v>
      </c>
      <c r="C57" s="16"/>
      <c r="D57" s="16">
        <v>-17488.43</v>
      </c>
      <c r="E57" s="16"/>
      <c r="F57" s="16">
        <v>0</v>
      </c>
      <c r="G57" s="16"/>
      <c r="H57" s="14">
        <v>0</v>
      </c>
      <c r="I57" s="16"/>
      <c r="J57" s="16">
        <f t="shared" si="2"/>
        <v>-17488.43</v>
      </c>
      <c r="K57" s="16"/>
      <c r="L57" s="16">
        <f t="shared" si="3"/>
        <v>7289.6799999998693</v>
      </c>
      <c r="M57" s="132"/>
    </row>
    <row r="58" spans="1:13" x14ac:dyDescent="0.2">
      <c r="A58" s="3" t="s">
        <v>2851</v>
      </c>
      <c r="B58" s="16">
        <v>289890.58</v>
      </c>
      <c r="C58" s="16"/>
      <c r="D58" s="16">
        <v>-289890.58</v>
      </c>
      <c r="E58" s="16"/>
      <c r="F58" s="16">
        <v>0</v>
      </c>
      <c r="G58" s="16"/>
      <c r="H58" s="14">
        <v>0</v>
      </c>
      <c r="I58" s="16"/>
      <c r="J58" s="16">
        <f t="shared" si="2"/>
        <v>-289890.58</v>
      </c>
      <c r="K58" s="16"/>
      <c r="L58" s="16">
        <f t="shared" si="3"/>
        <v>0</v>
      </c>
      <c r="M58" s="132"/>
    </row>
    <row r="59" spans="1:13" x14ac:dyDescent="0.2">
      <c r="A59" s="131" t="s">
        <v>2852</v>
      </c>
      <c r="B59" s="16">
        <v>0</v>
      </c>
      <c r="C59" s="16"/>
      <c r="D59" s="16">
        <v>0</v>
      </c>
      <c r="E59" s="16"/>
      <c r="F59" s="16">
        <v>0</v>
      </c>
      <c r="G59" s="16"/>
      <c r="H59" s="14">
        <v>0</v>
      </c>
      <c r="I59" s="16"/>
      <c r="J59" s="16">
        <f t="shared" si="2"/>
        <v>0</v>
      </c>
      <c r="K59" s="16"/>
      <c r="L59" s="16">
        <f t="shared" si="3"/>
        <v>0</v>
      </c>
      <c r="M59" s="132"/>
    </row>
    <row r="60" spans="1:13" x14ac:dyDescent="0.2">
      <c r="A60" s="3" t="s">
        <v>2853</v>
      </c>
      <c r="B60" s="16">
        <v>0</v>
      </c>
      <c r="C60" s="16"/>
      <c r="D60" s="16">
        <v>0</v>
      </c>
      <c r="E60" s="16"/>
      <c r="F60" s="16">
        <v>0</v>
      </c>
      <c r="G60" s="16"/>
      <c r="H60" s="14">
        <v>0</v>
      </c>
      <c r="I60" s="16"/>
      <c r="J60" s="16">
        <f t="shared" si="2"/>
        <v>0</v>
      </c>
      <c r="K60" s="16"/>
      <c r="L60" s="16">
        <f t="shared" si="3"/>
        <v>0</v>
      </c>
      <c r="M60" s="132"/>
    </row>
    <row r="61" spans="1:13" x14ac:dyDescent="0.2">
      <c r="A61" s="3" t="s">
        <v>2854</v>
      </c>
      <c r="B61" s="16">
        <v>72606.319999999992</v>
      </c>
      <c r="C61" s="16"/>
      <c r="D61" s="16">
        <v>-8302.64</v>
      </c>
      <c r="E61" s="16"/>
      <c r="F61" s="16">
        <v>0</v>
      </c>
      <c r="G61" s="16"/>
      <c r="H61" s="14">
        <v>0</v>
      </c>
      <c r="I61" s="16"/>
      <c r="J61" s="16">
        <f t="shared" si="2"/>
        <v>-8302.64</v>
      </c>
      <c r="K61" s="16"/>
      <c r="L61" s="16">
        <f t="shared" si="3"/>
        <v>64303.679999999993</v>
      </c>
      <c r="M61" s="132"/>
    </row>
    <row r="62" spans="1:13" x14ac:dyDescent="0.2">
      <c r="A62" s="80" t="s">
        <v>2855</v>
      </c>
      <c r="B62" s="16">
        <v>0</v>
      </c>
      <c r="C62" s="16"/>
      <c r="D62" s="16">
        <v>0</v>
      </c>
      <c r="E62" s="16"/>
      <c r="F62" s="16">
        <v>0</v>
      </c>
      <c r="G62" s="16"/>
      <c r="H62" s="14">
        <v>0</v>
      </c>
      <c r="I62" s="16"/>
      <c r="J62" s="16">
        <f t="shared" si="2"/>
        <v>0</v>
      </c>
      <c r="K62" s="16"/>
      <c r="L62" s="16">
        <f t="shared" si="3"/>
        <v>0</v>
      </c>
      <c r="M62" s="132"/>
    </row>
    <row r="63" spans="1:13" x14ac:dyDescent="0.2">
      <c r="A63" s="3" t="s">
        <v>2856</v>
      </c>
      <c r="B63" s="16">
        <v>2604997.7799999998</v>
      </c>
      <c r="C63" s="16"/>
      <c r="D63" s="16">
        <v>-2163542.5099999998</v>
      </c>
      <c r="E63" s="16"/>
      <c r="F63" s="16">
        <v>0</v>
      </c>
      <c r="G63" s="16"/>
      <c r="H63" s="14">
        <v>0</v>
      </c>
      <c r="I63" s="16"/>
      <c r="J63" s="16">
        <f t="shared" si="2"/>
        <v>-2163542.5099999998</v>
      </c>
      <c r="K63" s="16"/>
      <c r="L63" s="16">
        <f t="shared" si="3"/>
        <v>441455.27</v>
      </c>
      <c r="M63" s="132"/>
    </row>
    <row r="64" spans="1:13" x14ac:dyDescent="0.2">
      <c r="A64" s="3" t="s">
        <v>2857</v>
      </c>
      <c r="B64" s="16">
        <v>430614.0700000003</v>
      </c>
      <c r="C64" s="16"/>
      <c r="D64" s="16">
        <v>-398514.15</v>
      </c>
      <c r="E64" s="16"/>
      <c r="F64" s="16">
        <v>0</v>
      </c>
      <c r="G64" s="16"/>
      <c r="H64" s="14">
        <v>0</v>
      </c>
      <c r="I64" s="16"/>
      <c r="J64" s="16">
        <f t="shared" si="2"/>
        <v>-398514.15</v>
      </c>
      <c r="K64" s="16"/>
      <c r="L64" s="16">
        <f t="shared" si="3"/>
        <v>32099.920000000275</v>
      </c>
      <c r="M64" s="132"/>
    </row>
    <row r="65" spans="1:13" x14ac:dyDescent="0.2">
      <c r="A65" s="131" t="s">
        <v>2858</v>
      </c>
      <c r="B65" s="16">
        <v>0</v>
      </c>
      <c r="C65" s="16"/>
      <c r="D65" s="16">
        <v>0</v>
      </c>
      <c r="E65" s="16"/>
      <c r="F65" s="16">
        <v>0</v>
      </c>
      <c r="G65" s="16"/>
      <c r="H65" s="14">
        <v>0</v>
      </c>
      <c r="I65" s="16"/>
      <c r="J65" s="16">
        <f>H65+F65+D65</f>
        <v>0</v>
      </c>
      <c r="K65" s="16"/>
      <c r="L65" s="16">
        <f>J65+B65</f>
        <v>0</v>
      </c>
      <c r="M65" s="132"/>
    </row>
    <row r="66" spans="1:13" x14ac:dyDescent="0.2">
      <c r="A66" s="3" t="s">
        <v>2859</v>
      </c>
      <c r="B66" s="16">
        <v>7731602.6299999962</v>
      </c>
      <c r="C66" s="16"/>
      <c r="D66" s="16">
        <v>1536157.3399999999</v>
      </c>
      <c r="E66" s="16"/>
      <c r="F66" s="16">
        <v>0</v>
      </c>
      <c r="G66" s="16"/>
      <c r="H66" s="14">
        <v>0</v>
      </c>
      <c r="I66" s="16"/>
      <c r="J66" s="16">
        <f>H66+F66+D66</f>
        <v>1536157.3399999999</v>
      </c>
      <c r="K66" s="16"/>
      <c r="L66" s="16">
        <f>J66+B66</f>
        <v>9267759.9699999951</v>
      </c>
      <c r="M66" s="132"/>
    </row>
    <row r="67" spans="1:13" x14ac:dyDescent="0.2">
      <c r="A67" s="3" t="s">
        <v>2860</v>
      </c>
      <c r="B67" s="15">
        <v>0</v>
      </c>
      <c r="C67" s="16"/>
      <c r="D67" s="16">
        <v>11352680.050000001</v>
      </c>
      <c r="E67" s="16"/>
      <c r="F67" s="16">
        <v>0</v>
      </c>
      <c r="G67" s="16"/>
      <c r="H67" s="14">
        <v>0</v>
      </c>
      <c r="I67" s="16"/>
      <c r="J67" s="15">
        <f t="shared" si="2"/>
        <v>11352680.050000001</v>
      </c>
      <c r="K67" s="16"/>
      <c r="L67" s="15">
        <f t="shared" si="3"/>
        <v>11352680.050000001</v>
      </c>
      <c r="M67" s="132"/>
    </row>
    <row r="68" spans="1:13" x14ac:dyDescent="0.2">
      <c r="B68" s="16">
        <f>SUM(B49:B67)</f>
        <v>17546281.569999997</v>
      </c>
      <c r="C68" s="16"/>
      <c r="D68" s="16">
        <f>SUM(D49:D67)</f>
        <v>5591381.0600000005</v>
      </c>
      <c r="E68" s="16"/>
      <c r="F68" s="16">
        <f>SUM(F49:F67)</f>
        <v>0</v>
      </c>
      <c r="G68" s="16"/>
      <c r="H68" s="16">
        <f>SUM(H49:H67)</f>
        <v>0</v>
      </c>
      <c r="I68" s="16"/>
      <c r="J68" s="16">
        <f>SUM(J49:J67)</f>
        <v>5591381.0600000005</v>
      </c>
      <c r="K68" s="16"/>
      <c r="L68" s="16">
        <f>SUM(L49:L67)</f>
        <v>23137662.629999995</v>
      </c>
      <c r="M68" s="132"/>
    </row>
    <row r="69" spans="1:13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32"/>
    </row>
    <row r="70" spans="1:13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32"/>
    </row>
    <row r="71" spans="1:13" x14ac:dyDescent="0.2">
      <c r="A71" s="9" t="s">
        <v>2861</v>
      </c>
      <c r="B71" s="20">
        <f>B68</f>
        <v>17546281.569999997</v>
      </c>
      <c r="C71" s="132"/>
      <c r="D71" s="20">
        <f>D68</f>
        <v>5591381.0600000005</v>
      </c>
      <c r="E71" s="132"/>
      <c r="F71" s="20">
        <f>F68</f>
        <v>0</v>
      </c>
      <c r="G71" s="132"/>
      <c r="H71" s="20">
        <f>H68</f>
        <v>0</v>
      </c>
      <c r="I71" s="132"/>
      <c r="J71" s="20">
        <f>J68</f>
        <v>5591381.0600000005</v>
      </c>
      <c r="K71" s="132"/>
      <c r="L71" s="20">
        <f>L68</f>
        <v>23137662.629999995</v>
      </c>
      <c r="M71" s="132"/>
    </row>
    <row r="72" spans="1:13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32"/>
    </row>
    <row r="73" spans="1:13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8"/>
    </row>
    <row r="74" spans="1:13" ht="13.5" thickBot="1" x14ac:dyDescent="0.25">
      <c r="A74" s="9" t="s">
        <v>2807</v>
      </c>
      <c r="B74" s="39">
        <f>B44+B71</f>
        <v>259529886.90999997</v>
      </c>
      <c r="C74" s="14"/>
      <c r="D74" s="39">
        <f>D44+D71</f>
        <v>29424977.550000004</v>
      </c>
      <c r="E74" s="14"/>
      <c r="F74" s="39">
        <f>F44+F71</f>
        <v>-16429817.5</v>
      </c>
      <c r="G74" s="14"/>
      <c r="H74" s="39">
        <f>H44+H71</f>
        <v>0</v>
      </c>
      <c r="I74" s="14"/>
      <c r="J74" s="39">
        <f>J44+J71</f>
        <v>12995160.050000001</v>
      </c>
      <c r="K74" s="14"/>
      <c r="L74" s="39">
        <f>L44+L71</f>
        <v>272525046.95999992</v>
      </c>
      <c r="M74" s="28"/>
    </row>
    <row r="75" spans="1:13" ht="13.5" thickTop="1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8"/>
    </row>
    <row r="76" spans="1:13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x14ac:dyDescent="0.2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x14ac:dyDescent="0.2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x14ac:dyDescent="0.2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2:13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2:13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2:13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2:13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x14ac:dyDescent="0.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x14ac:dyDescent="0.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x14ac:dyDescent="0.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x14ac:dyDescent="0.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x14ac:dyDescent="0.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x14ac:dyDescent="0.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x14ac:dyDescent="0.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4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6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1.85546875" style="3" bestFit="1" customWidth="1"/>
    <col min="15" max="15" width="1.8554687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2862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04"/>
    </row>
    <row r="6" spans="1:16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P6" s="9" t="s">
        <v>2793</v>
      </c>
    </row>
    <row r="7" spans="1:16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L8" s="17"/>
    </row>
    <row r="9" spans="1:16" x14ac:dyDescent="0.2">
      <c r="A9" s="9" t="s">
        <v>2798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6" x14ac:dyDescent="0.2">
      <c r="A10" s="120" t="s">
        <v>249</v>
      </c>
      <c r="B10" s="133">
        <f>'IN_Cost Plant Acct-Com-P10(Reg)'!B11+'IN_Cost Plant Acct-Com-P10(Reg)'!B20</f>
        <v>0</v>
      </c>
      <c r="C10" s="133"/>
      <c r="D10" s="133">
        <f>'IN_Cost Plant Acct-Com-P10(Reg)'!D11+'IN_Cost Plant Acct-Com-P10(Reg)'!D20</f>
        <v>0</v>
      </c>
      <c r="E10" s="133"/>
      <c r="F10" s="133">
        <f>'IN_Cost Plant Acct-Com-P10(Reg)'!F11+'IN_Cost Plant Acct-Com-P10(Reg)'!F20</f>
        <v>0</v>
      </c>
      <c r="G10" s="133"/>
      <c r="H10" s="133">
        <f>'IN_Cost Plant Acct-Com-P10(Reg)'!H11+'IN_Cost Plant Acct-Com-P10(Reg)'!H20</f>
        <v>0</v>
      </c>
      <c r="I10" s="133"/>
      <c r="J10" s="133">
        <f>+D10+F10+H10</f>
        <v>0</v>
      </c>
      <c r="K10" s="133"/>
      <c r="L10" s="133">
        <f>J10+B10</f>
        <v>0</v>
      </c>
      <c r="M10" s="29"/>
      <c r="N10" s="36">
        <f>'IN_Res by Plant Acct-P30 (Reg)'!R42</f>
        <v>0</v>
      </c>
      <c r="O10" s="29"/>
      <c r="P10" s="36">
        <f>L10+N10</f>
        <v>0</v>
      </c>
    </row>
    <row r="11" spans="1:16" x14ac:dyDescent="0.2">
      <c r="A11" s="3" t="s">
        <v>253</v>
      </c>
      <c r="B11" s="151">
        <f>'IN_Cost Plant Acct-Com-P10(Reg)'!B12+'IN_Cost Plant Acct-Com-P10(Reg)'!B21</f>
        <v>74394.850000000006</v>
      </c>
      <c r="C11" s="136"/>
      <c r="D11" s="151">
        <f>'IN_Cost Plant Acct-Com-P10(Reg)'!D12+'IN_Cost Plant Acct-Com-P10(Reg)'!D21</f>
        <v>0</v>
      </c>
      <c r="E11" s="136"/>
      <c r="F11" s="151">
        <f>'IN_Cost Plant Acct-Com-P10(Reg)'!F12+'IN_Cost Plant Acct-Com-P10(Reg)'!F21</f>
        <v>0</v>
      </c>
      <c r="G11" s="136"/>
      <c r="H11" s="151">
        <f>'IN_Cost Plant Acct-Com-P10(Reg)'!H12+'IN_Cost Plant Acct-Com-P10(Reg)'!H21</f>
        <v>0</v>
      </c>
      <c r="I11" s="136"/>
      <c r="J11" s="151">
        <f>+D11+F11+H11</f>
        <v>0</v>
      </c>
      <c r="K11" s="136"/>
      <c r="L11" s="151">
        <f>J11+B11</f>
        <v>74394.850000000006</v>
      </c>
      <c r="N11" s="134">
        <f>'IN_Res by Plant Acct-P30 (Reg)'!R43</f>
        <v>10221.4999999999</v>
      </c>
      <c r="P11" s="134">
        <f>L11+N11</f>
        <v>84616.349999999904</v>
      </c>
    </row>
    <row r="12" spans="1:16" x14ac:dyDescent="0.2">
      <c r="B12" s="133">
        <f>SUM(B10:B11)</f>
        <v>74394.850000000006</v>
      </c>
      <c r="C12" s="133"/>
      <c r="D12" s="133">
        <f>SUM(D10:D11)</f>
        <v>0</v>
      </c>
      <c r="E12" s="133"/>
      <c r="F12" s="133">
        <f>SUM(F10:F11)</f>
        <v>0</v>
      </c>
      <c r="G12" s="133"/>
      <c r="H12" s="133">
        <f>SUM(H10:H11)</f>
        <v>0</v>
      </c>
      <c r="I12" s="133"/>
      <c r="J12" s="133">
        <f>SUM(J10:J11)</f>
        <v>0</v>
      </c>
      <c r="K12" s="133"/>
      <c r="L12" s="133">
        <f>SUM(L10:L11)</f>
        <v>74394.850000000006</v>
      </c>
      <c r="M12" s="29"/>
      <c r="N12" s="133">
        <f>SUM(N10:N11)</f>
        <v>10221.4999999999</v>
      </c>
      <c r="P12" s="133">
        <f>SUM(P10:P11)</f>
        <v>84616.349999999904</v>
      </c>
    </row>
    <row r="13" spans="1:16" x14ac:dyDescent="0.2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29"/>
    </row>
    <row r="14" spans="1:16" x14ac:dyDescent="0.2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6" ht="13.5" thickBot="1" x14ac:dyDescent="0.25">
      <c r="A15" s="9" t="s">
        <v>2863</v>
      </c>
      <c r="B15" s="141">
        <f>B12</f>
        <v>74394.850000000006</v>
      </c>
      <c r="C15" s="136"/>
      <c r="D15" s="141">
        <f>D12</f>
        <v>0</v>
      </c>
      <c r="E15" s="136"/>
      <c r="F15" s="141">
        <f>F12</f>
        <v>0</v>
      </c>
      <c r="G15" s="136"/>
      <c r="H15" s="141">
        <f>H12</f>
        <v>0</v>
      </c>
      <c r="I15" s="136"/>
      <c r="J15" s="141">
        <f>J12</f>
        <v>0</v>
      </c>
      <c r="K15" s="136"/>
      <c r="L15" s="141">
        <f>L12</f>
        <v>74394.850000000006</v>
      </c>
      <c r="N15" s="141">
        <f>N12</f>
        <v>10221.4999999999</v>
      </c>
      <c r="P15" s="141">
        <f>P12</f>
        <v>84616.349999999904</v>
      </c>
    </row>
    <row r="16" spans="1:16" ht="13.5" thickTop="1" x14ac:dyDescent="0.2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33"/>
  </sheetPr>
  <dimension ref="A1:N28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0" customFormat="1" ht="15.75" x14ac:dyDescent="0.25">
      <c r="A2" s="210" t="s">
        <v>2864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04"/>
      <c r="N3" s="104"/>
    </row>
    <row r="4" spans="1:14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04"/>
      <c r="N4" s="104"/>
    </row>
    <row r="6" spans="1:14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4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4" x14ac:dyDescent="0.2">
      <c r="B8" s="17"/>
      <c r="D8" s="17"/>
      <c r="F8" s="17"/>
      <c r="H8" s="17"/>
      <c r="J8" s="17"/>
      <c r="L8" s="17"/>
    </row>
    <row r="9" spans="1:14" x14ac:dyDescent="0.2">
      <c r="A9" s="9" t="s">
        <v>2865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4" x14ac:dyDescent="0.2">
      <c r="A10" s="9" t="s">
        <v>2799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4" x14ac:dyDescent="0.2">
      <c r="A11" s="120" t="s">
        <v>2827</v>
      </c>
      <c r="B11" s="14">
        <v>0</v>
      </c>
      <c r="C11" s="14"/>
      <c r="D11" s="16">
        <v>0</v>
      </c>
      <c r="E11" s="14"/>
      <c r="F11" s="14">
        <v>0</v>
      </c>
      <c r="G11" s="14"/>
      <c r="H11" s="16">
        <v>0</v>
      </c>
      <c r="I11" s="14"/>
      <c r="J11" s="16">
        <f>D11+F11+H11</f>
        <v>0</v>
      </c>
      <c r="K11" s="14"/>
      <c r="L11" s="16">
        <f>J11+B11</f>
        <v>0</v>
      </c>
    </row>
    <row r="12" spans="1:14" x14ac:dyDescent="0.2">
      <c r="A12" s="3" t="s">
        <v>2831</v>
      </c>
      <c r="B12" s="15">
        <v>74394.850000000006</v>
      </c>
      <c r="C12" s="14"/>
      <c r="D12" s="16">
        <v>0</v>
      </c>
      <c r="E12" s="14"/>
      <c r="F12" s="14">
        <v>0</v>
      </c>
      <c r="G12" s="14"/>
      <c r="H12" s="16">
        <v>0</v>
      </c>
      <c r="I12" s="14"/>
      <c r="J12" s="15">
        <f>D12+F12+H12</f>
        <v>0</v>
      </c>
      <c r="K12" s="14"/>
      <c r="L12" s="15">
        <f>J12+B12</f>
        <v>74394.850000000006</v>
      </c>
    </row>
    <row r="13" spans="1:14" x14ac:dyDescent="0.2">
      <c r="B13" s="16">
        <f>SUM(B11:B12)</f>
        <v>74394.850000000006</v>
      </c>
      <c r="C13" s="16"/>
      <c r="D13" s="19">
        <f>SUM(D11:D12)</f>
        <v>0</v>
      </c>
      <c r="E13" s="16"/>
      <c r="F13" s="19">
        <f>SUM(F11:F12)</f>
        <v>0</v>
      </c>
      <c r="G13" s="16"/>
      <c r="H13" s="19">
        <f>SUM(H11:H12)</f>
        <v>0</v>
      </c>
      <c r="I13" s="16"/>
      <c r="J13" s="16">
        <f>SUM(J11:J12)</f>
        <v>0</v>
      </c>
      <c r="K13" s="16"/>
      <c r="L13" s="16">
        <f>SUM(L11:L12)</f>
        <v>74394.850000000006</v>
      </c>
      <c r="M13" s="29"/>
    </row>
    <row r="14" spans="1:14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9"/>
    </row>
    <row r="15" spans="1:14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4" ht="13.5" thickBot="1" x14ac:dyDescent="0.25">
      <c r="A16" s="9" t="s">
        <v>2866</v>
      </c>
      <c r="B16" s="39">
        <f>B13</f>
        <v>74394.850000000006</v>
      </c>
      <c r="C16" s="14"/>
      <c r="D16" s="39">
        <f>D13</f>
        <v>0</v>
      </c>
      <c r="E16" s="14"/>
      <c r="F16" s="39">
        <f>F13</f>
        <v>0</v>
      </c>
      <c r="G16" s="14"/>
      <c r="H16" s="39">
        <f>H13</f>
        <v>0</v>
      </c>
      <c r="I16" s="14"/>
      <c r="J16" s="39">
        <f>J13</f>
        <v>0</v>
      </c>
      <c r="K16" s="14"/>
      <c r="L16" s="39">
        <f>L13</f>
        <v>74394.850000000006</v>
      </c>
    </row>
    <row r="17" spans="1:13" ht="13.5" thickTop="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9" spans="1:13" x14ac:dyDescent="0.2">
      <c r="A19" s="9" t="s">
        <v>2841</v>
      </c>
    </row>
    <row r="20" spans="1:13" x14ac:dyDescent="0.2">
      <c r="A20" s="9" t="s">
        <v>2799</v>
      </c>
    </row>
    <row r="21" spans="1:13" x14ac:dyDescent="0.2">
      <c r="A21" s="3" t="s">
        <v>2856</v>
      </c>
      <c r="B21" s="15">
        <v>0</v>
      </c>
      <c r="C21" s="14"/>
      <c r="D21" s="16">
        <v>0</v>
      </c>
      <c r="E21" s="14"/>
      <c r="F21" s="14">
        <v>0</v>
      </c>
      <c r="G21" s="14"/>
      <c r="H21" s="16">
        <v>0</v>
      </c>
      <c r="I21" s="14"/>
      <c r="J21" s="15">
        <f>D21+F21+H21</f>
        <v>0</v>
      </c>
      <c r="K21" s="14"/>
      <c r="L21" s="15">
        <f>J21+B21</f>
        <v>0</v>
      </c>
    </row>
    <row r="22" spans="1:13" x14ac:dyDescent="0.2">
      <c r="B22" s="16">
        <f>SUM(B21)</f>
        <v>0</v>
      </c>
      <c r="C22" s="16"/>
      <c r="D22" s="19">
        <f>SUM(D21)</f>
        <v>0</v>
      </c>
      <c r="E22" s="16"/>
      <c r="F22" s="19">
        <f>SUM(F21)</f>
        <v>0</v>
      </c>
      <c r="G22" s="16"/>
      <c r="H22" s="19">
        <f>SUM(H21)</f>
        <v>0</v>
      </c>
      <c r="I22" s="16"/>
      <c r="J22" s="16">
        <f>SUM(J21)</f>
        <v>0</v>
      </c>
      <c r="K22" s="16"/>
      <c r="L22" s="16">
        <f>SUM(L21)</f>
        <v>0</v>
      </c>
    </row>
    <row r="24" spans="1:13" x14ac:dyDescent="0.2">
      <c r="A24" s="9" t="s">
        <v>2867</v>
      </c>
      <c r="B24" s="20">
        <f>+B22</f>
        <v>0</v>
      </c>
      <c r="C24" s="132"/>
      <c r="D24" s="20">
        <f>+D22</f>
        <v>0</v>
      </c>
      <c r="E24" s="132"/>
      <c r="F24" s="20">
        <f>+F22</f>
        <v>0</v>
      </c>
      <c r="G24" s="132"/>
      <c r="H24" s="20">
        <f>+H22</f>
        <v>0</v>
      </c>
      <c r="I24" s="132"/>
      <c r="J24" s="20">
        <f>+J22</f>
        <v>0</v>
      </c>
      <c r="K24" s="132"/>
      <c r="L24" s="20">
        <f>+L22</f>
        <v>0</v>
      </c>
      <c r="M24" s="132"/>
    </row>
    <row r="25" spans="1:13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32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8"/>
    </row>
    <row r="27" spans="1:13" ht="13.5" thickBot="1" x14ac:dyDescent="0.25">
      <c r="A27" s="9" t="s">
        <v>2868</v>
      </c>
      <c r="B27" s="39">
        <f>+B16+B24</f>
        <v>74394.850000000006</v>
      </c>
      <c r="C27" s="14"/>
      <c r="D27" s="39">
        <f>+D16+D24</f>
        <v>0</v>
      </c>
      <c r="E27" s="14"/>
      <c r="F27" s="39">
        <f>+F16+F24</f>
        <v>0</v>
      </c>
      <c r="G27" s="14"/>
      <c r="H27" s="39">
        <f>+H16+H24</f>
        <v>0</v>
      </c>
      <c r="I27" s="14"/>
      <c r="J27" s="39">
        <f>+J16+J24</f>
        <v>0</v>
      </c>
      <c r="K27" s="14"/>
      <c r="L27" s="39">
        <f>+L16+L24</f>
        <v>74394.850000000006</v>
      </c>
      <c r="M27" s="28"/>
    </row>
    <row r="28" spans="1:13" ht="13.5" thickTop="1" x14ac:dyDescent="0.2"/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39"/>
  <sheetViews>
    <sheetView zoomScale="90" zoomScaleNormal="9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8.7109375" style="3" bestFit="1" customWidth="1"/>
    <col min="3" max="3" width="1.7109375" style="3" customWidth="1"/>
    <col min="4" max="4" width="16.28515625" style="3" bestFit="1" customWidth="1"/>
    <col min="5" max="5" width="1.7109375" style="3" customWidth="1"/>
    <col min="6" max="6" width="17" style="3" bestFit="1" customWidth="1"/>
    <col min="7" max="7" width="1.7109375" style="3" customWidth="1"/>
    <col min="8" max="8" width="17.5703125" style="3" bestFit="1" customWidth="1"/>
    <col min="9" max="9" width="1.7109375" style="3" customWidth="1"/>
    <col min="10" max="10" width="19.42578125" style="3" bestFit="1" customWidth="1"/>
    <col min="11" max="11" width="1.5703125" style="3" customWidth="1"/>
    <col min="12" max="12" width="18.28515625" style="3" bestFit="1" customWidth="1"/>
    <col min="13" max="13" width="1.7109375" style="3" customWidth="1"/>
    <col min="14" max="14" width="19" style="3" bestFit="1" customWidth="1"/>
    <col min="15" max="15" width="2.7109375" style="3" customWidth="1"/>
    <col min="16" max="16" width="25.57031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2869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6" x14ac:dyDescent="0.2">
      <c r="B6" s="7" t="s">
        <v>3</v>
      </c>
      <c r="D6" s="136"/>
      <c r="F6" s="136"/>
      <c r="H6" s="7" t="s">
        <v>4</v>
      </c>
      <c r="J6" s="7" t="s">
        <v>229</v>
      </c>
      <c r="K6" s="136"/>
      <c r="L6" s="7" t="s">
        <v>5</v>
      </c>
      <c r="P6" s="1" t="s">
        <v>2793</v>
      </c>
    </row>
    <row r="7" spans="1:16" x14ac:dyDescent="0.2">
      <c r="A7" s="9" t="s">
        <v>2794</v>
      </c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K7" s="17"/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K8" s="17"/>
      <c r="L8" s="17"/>
    </row>
    <row r="9" spans="1:16" x14ac:dyDescent="0.2">
      <c r="A9" s="9" t="s">
        <v>2798</v>
      </c>
    </row>
    <row r="10" spans="1:16" x14ac:dyDescent="0.2">
      <c r="A10" s="9" t="s">
        <v>263</v>
      </c>
    </row>
    <row r="11" spans="1:16" x14ac:dyDescent="0.2">
      <c r="A11" s="21" t="s">
        <v>264</v>
      </c>
      <c r="B11" s="136">
        <f>'KY_Cost Plant Acct-Elec-P14(Reg'!B11</f>
        <v>0</v>
      </c>
      <c r="C11" s="136"/>
      <c r="D11" s="136">
        <f>'KY_Cost Plant Acct-Elec-P14(Reg'!D11</f>
        <v>0</v>
      </c>
      <c r="E11" s="136"/>
      <c r="F11" s="136">
        <f>'KY_Cost Plant Acct-Elec-P14(Reg'!F11</f>
        <v>0</v>
      </c>
      <c r="G11" s="136"/>
      <c r="H11" s="136">
        <f>'KY_Cost Plant Acct-Elec-P14(Reg'!H11</f>
        <v>0</v>
      </c>
      <c r="I11" s="136"/>
      <c r="J11" s="136">
        <f>H11+F11+D11</f>
        <v>0</v>
      </c>
      <c r="K11" s="136"/>
      <c r="L11" s="136">
        <f>B11+J11</f>
        <v>0</v>
      </c>
      <c r="N11" s="37">
        <v>0</v>
      </c>
      <c r="P11" s="37">
        <f t="shared" ref="P11:P26" si="0">L11+N11</f>
        <v>0</v>
      </c>
    </row>
    <row r="12" spans="1:16" x14ac:dyDescent="0.2">
      <c r="A12" s="3" t="s">
        <v>265</v>
      </c>
      <c r="B12" s="136">
        <f>'KY_Cost Plant Acct-Elec-P14(Reg'!B12</f>
        <v>4100654.4700000007</v>
      </c>
      <c r="C12" s="136"/>
      <c r="D12" s="136">
        <f>'KY_Cost Plant Acct-Elec-P14(Reg'!D12</f>
        <v>0</v>
      </c>
      <c r="E12" s="136"/>
      <c r="F12" s="136">
        <f>'KY_Cost Plant Acct-Elec-P14(Reg'!F12</f>
        <v>0</v>
      </c>
      <c r="G12" s="136"/>
      <c r="H12" s="136">
        <f>'KY_Cost Plant Acct-Elec-P14(Reg'!H12</f>
        <v>0</v>
      </c>
      <c r="I12" s="136"/>
      <c r="J12" s="136">
        <f t="shared" ref="J12:J26" si="1">H12+F12+D12</f>
        <v>0</v>
      </c>
      <c r="K12" s="136"/>
      <c r="L12" s="136">
        <f t="shared" ref="L12:L26" si="2">B12+J12</f>
        <v>4100654.4700000007</v>
      </c>
      <c r="N12" s="37">
        <f>'KY_Res by Plant Acct-P29 (Reg)'!R11</f>
        <v>-3.5527136788005009E-15</v>
      </c>
      <c r="P12" s="37">
        <f t="shared" si="0"/>
        <v>4100654.4700000007</v>
      </c>
    </row>
    <row r="13" spans="1:16" x14ac:dyDescent="0.2">
      <c r="A13" s="3" t="s">
        <v>267</v>
      </c>
      <c r="B13" s="136">
        <f>'KY_Cost Plant Acct-Elec-P14(Reg'!B13+'KY_Cost Plant Acct-Elec-P14(Reg'!B108</f>
        <v>6833645.7999999989</v>
      </c>
      <c r="C13" s="136"/>
      <c r="D13" s="136">
        <f>'KY_Cost Plant Acct-Elec-P14(Reg'!D13+'KY_Cost Plant Acct-Elec-P14(Reg'!D108</f>
        <v>91613.65</v>
      </c>
      <c r="E13" s="136"/>
      <c r="F13" s="136">
        <f>'KY_Cost Plant Acct-Elec-P14(Reg'!F13</f>
        <v>-22759.97</v>
      </c>
      <c r="G13" s="136"/>
      <c r="H13" s="136">
        <f>'KY_Cost Plant Acct-Elec-P14(Reg'!H13</f>
        <v>72053.22</v>
      </c>
      <c r="I13" s="136"/>
      <c r="J13" s="136">
        <f t="shared" si="1"/>
        <v>140906.9</v>
      </c>
      <c r="K13" s="136"/>
      <c r="L13" s="136">
        <f t="shared" si="2"/>
        <v>6974552.6999999993</v>
      </c>
      <c r="N13" s="37">
        <f>'KY_Res by Plant Acct-P29 (Reg)'!R12</f>
        <v>-2347541.2999999993</v>
      </c>
      <c r="P13" s="37">
        <f t="shared" si="0"/>
        <v>4627011.4000000004</v>
      </c>
    </row>
    <row r="14" spans="1:16" x14ac:dyDescent="0.2">
      <c r="A14" s="3" t="s">
        <v>268</v>
      </c>
      <c r="B14" s="136">
        <f>'KY_Cost Plant Acct-Elec-P14(Reg'!B14+'KY_Cost Plant Acct-Elec-P14(Reg'!B109+'IN_Total PIS_Elec_NBV-P15 (Reg)'!B11</f>
        <v>131778748.72</v>
      </c>
      <c r="C14" s="136"/>
      <c r="D14" s="136">
        <f>'KY_Cost Plant Acct-Elec-P14(Reg'!D14+'KY_Cost Plant Acct-Elec-P14(Reg'!D109+'IN_Total PIS_Elec_NBV-P15 (Reg)'!D11</f>
        <v>9446992.6799999997</v>
      </c>
      <c r="E14" s="136"/>
      <c r="F14" s="136">
        <f>'KY_Cost Plant Acct-Elec-P14(Reg'!F14+'IN_Total PIS_Elec_NBV-P15 (Reg)'!F11</f>
        <v>-711864.94</v>
      </c>
      <c r="G14" s="136"/>
      <c r="H14" s="136">
        <f>'KY_Cost Plant Acct-Elec-P14(Reg'!H14+'IN_Total PIS_Elec_NBV-P15 (Reg)'!H11+'KY_Cost Plant Acct-Elec-P14(Reg'!H109</f>
        <v>-974073.2</v>
      </c>
      <c r="I14" s="136"/>
      <c r="J14" s="136">
        <f>H14+F14+D14</f>
        <v>7761054.54</v>
      </c>
      <c r="K14" s="136"/>
      <c r="L14" s="136">
        <f t="shared" si="2"/>
        <v>139539803.25999999</v>
      </c>
      <c r="N14" s="37">
        <f>'KY_Res by Plant Acct-P29 (Reg)'!R13+'IN_Total PIS_Elec_NBV-P15 (Reg)'!N11+'KY_Res by Plant Acct-P29 (Reg)'!R14</f>
        <v>-45310140.130000003</v>
      </c>
      <c r="P14" s="37">
        <f t="shared" si="0"/>
        <v>94229663.129999995</v>
      </c>
    </row>
    <row r="15" spans="1:16" x14ac:dyDescent="0.2">
      <c r="A15" s="3" t="s">
        <v>269</v>
      </c>
      <c r="B15" s="136">
        <f>'KY_Cost Plant Acct-Elec-P14(Reg'!B15+'KY_Cost Plant Acct-Elec-P14(Reg'!B110</f>
        <v>194802996.58000004</v>
      </c>
      <c r="C15" s="136"/>
      <c r="D15" s="136">
        <f>'KY_Cost Plant Acct-Elec-P14(Reg'!D15+'KY_Cost Plant Acct-Elec-P14(Reg'!D110</f>
        <v>10056904.060000001</v>
      </c>
      <c r="E15" s="136"/>
      <c r="F15" s="136">
        <f>'KY_Cost Plant Acct-Elec-P14(Reg'!F15</f>
        <v>-2893219.44</v>
      </c>
      <c r="G15" s="136"/>
      <c r="H15" s="136">
        <f>'KY_Cost Plant Acct-Elec-P14(Reg'!H15+'KY_Cost Plant Acct-Elec-P14(Reg'!H110</f>
        <v>0</v>
      </c>
      <c r="I15" s="136"/>
      <c r="J15" s="136">
        <f t="shared" si="1"/>
        <v>7163684.620000001</v>
      </c>
      <c r="K15" s="136"/>
      <c r="L15" s="136">
        <f t="shared" si="2"/>
        <v>201966681.20000005</v>
      </c>
      <c r="N15" s="37">
        <f>'KY_Res by Plant Acct-P29 (Reg)'!R15</f>
        <v>-81010624.220000014</v>
      </c>
      <c r="P15" s="37">
        <f t="shared" si="0"/>
        <v>120956056.98000003</v>
      </c>
    </row>
    <row r="16" spans="1:16" x14ac:dyDescent="0.2">
      <c r="A16" s="3" t="s">
        <v>270</v>
      </c>
      <c r="B16" s="136">
        <f>'KY_Cost Plant Acct-Elec-P14(Reg'!B16+'KY_Cost Plant Acct-Elec-P14(Reg'!B111</f>
        <v>312278915.31</v>
      </c>
      <c r="C16" s="136"/>
      <c r="D16" s="136">
        <f>'KY_Cost Plant Acct-Elec-P14(Reg'!D16+'KY_Cost Plant Acct-Elec-P14(Reg'!D111</f>
        <v>16453844.4</v>
      </c>
      <c r="E16" s="136"/>
      <c r="F16" s="136">
        <f>'KY_Cost Plant Acct-Elec-P14(Reg'!F16</f>
        <v>-2802229.8</v>
      </c>
      <c r="G16" s="136"/>
      <c r="H16" s="136">
        <f>'KY_Cost Plant Acct-Elec-P14(Reg'!H16+'KY_Cost Plant Acct-Elec-P14(Reg'!H111</f>
        <v>-1598.5</v>
      </c>
      <c r="I16" s="136"/>
      <c r="J16" s="136">
        <f t="shared" si="1"/>
        <v>13650016.100000001</v>
      </c>
      <c r="K16" s="136"/>
      <c r="L16" s="136">
        <f t="shared" si="2"/>
        <v>325928931.41000003</v>
      </c>
      <c r="N16" s="37">
        <f>'KY_Res by Plant Acct-P29 (Reg)'!R16</f>
        <v>-122611960.89999998</v>
      </c>
      <c r="P16" s="37">
        <f t="shared" si="0"/>
        <v>203316970.51000005</v>
      </c>
    </row>
    <row r="17" spans="1:16" x14ac:dyDescent="0.2">
      <c r="A17" s="3" t="s">
        <v>271</v>
      </c>
      <c r="B17" s="136">
        <f>'KY_Cost Plant Acct-Elec-P14(Reg'!B17+'KY_Cost Plant Acct-Elec-P14(Reg'!B112</f>
        <v>79875476.189999983</v>
      </c>
      <c r="C17" s="136"/>
      <c r="D17" s="136">
        <f>'KY_Cost Plant Acct-Elec-P14(Reg'!D17+'KY_Cost Plant Acct-Elec-P14(Reg'!D112</f>
        <v>4682820.1399999997</v>
      </c>
      <c r="E17" s="136"/>
      <c r="F17" s="136">
        <f>'KY_Cost Plant Acct-Elec-P14(Reg'!F17</f>
        <v>-408131.74</v>
      </c>
      <c r="G17" s="136"/>
      <c r="H17" s="136">
        <f>'KY_Cost Plant Acct-Elec-P14(Reg'!H17+'KY_Cost Plant Acct-Elec-P14(Reg'!H112</f>
        <v>0</v>
      </c>
      <c r="I17" s="136"/>
      <c r="J17" s="136">
        <f t="shared" si="1"/>
        <v>4274688.3999999994</v>
      </c>
      <c r="K17" s="136"/>
      <c r="L17" s="136">
        <f t="shared" si="2"/>
        <v>84150164.589999989</v>
      </c>
      <c r="N17" s="37">
        <f>'KY_Res by Plant Acct-P29 (Reg)'!R17</f>
        <v>-31952447.139999993</v>
      </c>
      <c r="P17" s="37">
        <f t="shared" si="0"/>
        <v>52197717.449999996</v>
      </c>
    </row>
    <row r="18" spans="1:16" x14ac:dyDescent="0.2">
      <c r="A18" s="3" t="s">
        <v>272</v>
      </c>
      <c r="B18" s="136">
        <f>'KY_Cost Plant Acct-Elec-P14(Reg'!B18+'KY_Cost Plant Acct-Elec-P14(Reg'!B113</f>
        <v>226911352.22999999</v>
      </c>
      <c r="C18" s="136"/>
      <c r="D18" s="136">
        <f>'KY_Cost Plant Acct-Elec-P14(Reg'!D18+'KY_Cost Plant Acct-Elec-P14(Reg'!D113</f>
        <v>28888043.600000001</v>
      </c>
      <c r="E18" s="136"/>
      <c r="F18" s="136">
        <f>'KY_Cost Plant Acct-Elec-P14(Reg'!F18</f>
        <v>-1580438.9</v>
      </c>
      <c r="G18" s="136"/>
      <c r="H18" s="136">
        <f>'KY_Cost Plant Acct-Elec-P14(Reg'!H18+'KY_Cost Plant Acct-Elec-P14(Reg'!H113</f>
        <v>0</v>
      </c>
      <c r="I18" s="136"/>
      <c r="J18" s="136">
        <f t="shared" si="1"/>
        <v>27307604.700000003</v>
      </c>
      <c r="K18" s="136"/>
      <c r="L18" s="136">
        <f t="shared" si="2"/>
        <v>254218956.93000001</v>
      </c>
      <c r="N18" s="37">
        <f>'KY_Res by Plant Acct-P29 (Reg)'!R18</f>
        <v>-61200794.080000028</v>
      </c>
      <c r="P18" s="37">
        <f t="shared" si="0"/>
        <v>193018162.84999996</v>
      </c>
    </row>
    <row r="19" spans="1:16" x14ac:dyDescent="0.2">
      <c r="A19" s="3" t="s">
        <v>273</v>
      </c>
      <c r="B19" s="136">
        <f>'KY_Cost Plant Acct-Elec-P14(Reg'!B19+'KY_Cost Plant Acct-Elec-P14(Reg'!B114</f>
        <v>162525778.69999999</v>
      </c>
      <c r="C19" s="136"/>
      <c r="D19" s="136">
        <f>'KY_Cost Plant Acct-Elec-P14(Reg'!D19+'KY_Cost Plant Acct-Elec-P14(Reg'!D114</f>
        <v>6237630.6200000001</v>
      </c>
      <c r="E19" s="136"/>
      <c r="F19" s="136">
        <f>'KY_Cost Plant Acct-Elec-P14(Reg'!F19</f>
        <v>-2952153.8</v>
      </c>
      <c r="G19" s="136"/>
      <c r="H19" s="136">
        <f>'KY_Cost Plant Acct-Elec-P14(Reg'!H19+'KY_Cost Plant Acct-Elec-P14(Reg'!H114</f>
        <v>0</v>
      </c>
      <c r="I19" s="136"/>
      <c r="J19" s="136">
        <f t="shared" si="1"/>
        <v>3285476.8200000003</v>
      </c>
      <c r="K19" s="136"/>
      <c r="L19" s="136">
        <f t="shared" si="2"/>
        <v>165811255.51999998</v>
      </c>
      <c r="N19" s="37">
        <f>'KY_Res by Plant Acct-P29 (Reg)'!R19</f>
        <v>-78157021.340000018</v>
      </c>
      <c r="P19" s="37">
        <f t="shared" si="0"/>
        <v>87654234.179999962</v>
      </c>
    </row>
    <row r="20" spans="1:16" x14ac:dyDescent="0.2">
      <c r="A20" s="3" t="s">
        <v>274</v>
      </c>
      <c r="B20" s="136">
        <f>'KY_Cost Plant Acct-Elec-P14(Reg'!B20+'KY_Cost Plant Acct-Elec-P14(Reg'!B115</f>
        <v>9093549.1600000001</v>
      </c>
      <c r="C20" s="136"/>
      <c r="D20" s="136">
        <f>'KY_Cost Plant Acct-Elec-P14(Reg'!D20+'KY_Cost Plant Acct-Elec-P14(Reg'!D115</f>
        <v>2038021</v>
      </c>
      <c r="E20" s="136"/>
      <c r="F20" s="136">
        <f>'KY_Cost Plant Acct-Elec-P14(Reg'!F20</f>
        <v>-37302.65</v>
      </c>
      <c r="G20" s="136"/>
      <c r="H20" s="136">
        <f>'KY_Cost Plant Acct-Elec-P14(Reg'!H20</f>
        <v>0</v>
      </c>
      <c r="I20" s="136"/>
      <c r="J20" s="136">
        <f t="shared" si="1"/>
        <v>2000718.35</v>
      </c>
      <c r="K20" s="136"/>
      <c r="L20" s="136">
        <f t="shared" si="2"/>
        <v>11094267.51</v>
      </c>
      <c r="N20" s="37">
        <f>'KY_Res by Plant Acct-P29 (Reg)'!R20</f>
        <v>-1731539.8499999996</v>
      </c>
      <c r="P20" s="37">
        <f t="shared" si="0"/>
        <v>9362727.6600000001</v>
      </c>
    </row>
    <row r="21" spans="1:16" x14ac:dyDescent="0.2">
      <c r="A21" s="3" t="s">
        <v>275</v>
      </c>
      <c r="B21" s="136">
        <f>'KY_Cost Plant Acct-Elec-P14(Reg'!B21</f>
        <v>23447071.800000004</v>
      </c>
      <c r="C21" s="136"/>
      <c r="D21" s="136">
        <f>'KY_Cost Plant Acct-Elec-P14(Reg'!D21</f>
        <v>726793.06</v>
      </c>
      <c r="E21" s="136"/>
      <c r="F21" s="136">
        <f>'KY_Cost Plant Acct-Elec-P14(Reg'!F21</f>
        <v>-41292.160000000003</v>
      </c>
      <c r="G21" s="136"/>
      <c r="H21" s="136">
        <f>'KY_Cost Plant Acct-Elec-P14(Reg'!H21</f>
        <v>0</v>
      </c>
      <c r="I21" s="136"/>
      <c r="J21" s="136">
        <f t="shared" si="1"/>
        <v>685500.9</v>
      </c>
      <c r="K21" s="136"/>
      <c r="L21" s="136">
        <f t="shared" si="2"/>
        <v>24132572.700000003</v>
      </c>
      <c r="N21" s="37">
        <f>'KY_Res by Plant Acct-P29 (Reg)'!R21</f>
        <v>-23977641.490000002</v>
      </c>
      <c r="P21" s="37">
        <f t="shared" si="0"/>
        <v>154931.21000000089</v>
      </c>
    </row>
    <row r="22" spans="1:16" x14ac:dyDescent="0.2">
      <c r="A22" s="3" t="s">
        <v>277</v>
      </c>
      <c r="B22" s="136">
        <f>'KY_Cost Plant Acct-Elec-P14(Reg'!B22+'KY_Cost Plant Acct-Elec-P14(Reg'!B116</f>
        <v>42441311.350000001</v>
      </c>
      <c r="C22" s="136"/>
      <c r="D22" s="136">
        <f>'KY_Cost Plant Acct-Elec-P14(Reg'!D22+'KY_Cost Plant Acct-Elec-P14(Reg'!D116</f>
        <v>511817.67000000004</v>
      </c>
      <c r="E22" s="136"/>
      <c r="F22" s="136">
        <f>'KY_Cost Plant Acct-Elec-P14(Reg'!F22</f>
        <v>-3083601.81</v>
      </c>
      <c r="G22" s="136"/>
      <c r="H22" s="136">
        <f>'KY_Cost Plant Acct-Elec-P14(Reg'!H22</f>
        <v>-5776821.0199999996</v>
      </c>
      <c r="I22" s="136"/>
      <c r="J22" s="136">
        <f>H22+F22+D22</f>
        <v>-8348605.1600000001</v>
      </c>
      <c r="K22" s="136"/>
      <c r="L22" s="136">
        <f t="shared" si="2"/>
        <v>34092706.189999998</v>
      </c>
      <c r="N22" s="37">
        <f>'KY_Res by Plant Acct-P29 (Reg)'!R22</f>
        <v>-19480343.210000001</v>
      </c>
      <c r="P22" s="37">
        <f t="shared" si="0"/>
        <v>14612362.979999997</v>
      </c>
    </row>
    <row r="23" spans="1:16" x14ac:dyDescent="0.2">
      <c r="A23" s="3" t="s">
        <v>2870</v>
      </c>
      <c r="B23" s="136">
        <f>'KY_Cost Plant Acct-Elec-P14(Reg'!B23+'KY_Cost Plant Acct-Elec-P14(Reg'!B117</f>
        <v>1798431.82</v>
      </c>
      <c r="C23" s="136">
        <f>'KY_Cost Plant Acct-Elec-P14(Reg'!C117</f>
        <v>0</v>
      </c>
      <c r="D23" s="136">
        <f>'KY_Cost Plant Acct-Elec-P14(Reg'!D23+'KY_Cost Plant Acct-Elec-P14(Reg'!D117</f>
        <v>19744.599999999999</v>
      </c>
      <c r="E23" s="136">
        <f>'KY_Cost Plant Acct-Elec-P14(Reg'!E117</f>
        <v>0</v>
      </c>
      <c r="F23" s="136">
        <f>'KY_Cost Plant Acct-Elec-P14(Reg'!F23</f>
        <v>-77652.320000000007</v>
      </c>
      <c r="G23" s="136">
        <f>'KY_Cost Plant Acct-Elec-P14(Reg'!G117</f>
        <v>0</v>
      </c>
      <c r="H23" s="136">
        <f>'KY_Cost Plant Acct-Elec-P14(Reg'!H23</f>
        <v>0</v>
      </c>
      <c r="I23" s="136"/>
      <c r="J23" s="136">
        <f t="shared" si="1"/>
        <v>-57907.720000000008</v>
      </c>
      <c r="K23" s="136"/>
      <c r="L23" s="136">
        <f t="shared" si="2"/>
        <v>1740524.1</v>
      </c>
      <c r="N23" s="37">
        <f>'KY_Res by Plant Acct-P29 (Reg)'!R23</f>
        <v>-137964.04999999999</v>
      </c>
      <c r="P23" s="37">
        <f t="shared" si="0"/>
        <v>1602560.05</v>
      </c>
    </row>
    <row r="24" spans="1:16" x14ac:dyDescent="0.2">
      <c r="A24" s="3" t="s">
        <v>278</v>
      </c>
      <c r="B24" s="136">
        <f>'KY_Cost Plant Acct-Elec-P14(Reg'!B24</f>
        <v>0</v>
      </c>
      <c r="C24" s="136">
        <f>'KY_Cost Plant Acct-Elec-P14(Reg'!C24</f>
        <v>0</v>
      </c>
      <c r="D24" s="136">
        <f>'KY_Cost Plant Acct-Elec-P14(Reg'!D24</f>
        <v>145496.41</v>
      </c>
      <c r="E24" s="136">
        <f>'KY_Cost Plant Acct-Elec-P14(Reg'!E24</f>
        <v>0</v>
      </c>
      <c r="F24" s="136">
        <f>'KY_Cost Plant Acct-Elec-P14(Reg'!F24</f>
        <v>0</v>
      </c>
      <c r="G24" s="136">
        <f>'KY_Cost Plant Acct-Elec-P14(Reg'!G24</f>
        <v>1</v>
      </c>
      <c r="H24" s="136">
        <f>'KY_Cost Plant Acct-Elec-P14(Reg'!H24</f>
        <v>5776821.0199999996</v>
      </c>
      <c r="I24" s="136">
        <f>'KY_Cost Plant Acct-Elec-P14(Reg'!I24</f>
        <v>0</v>
      </c>
      <c r="J24" s="136">
        <f t="shared" si="1"/>
        <v>5922317.4299999997</v>
      </c>
      <c r="K24" s="136">
        <f>'KY_Cost Plant Acct-Elec-P14(Reg'!K24</f>
        <v>0</v>
      </c>
      <c r="L24" s="136">
        <f t="shared" si="2"/>
        <v>5922317.4299999997</v>
      </c>
      <c r="M24" s="136">
        <f>'KY_Cost Plant Acct-Elec-P14(Reg'!M24</f>
        <v>0</v>
      </c>
      <c r="N24" s="37">
        <f>'KY_Res by Plant Acct-P29 (Reg)'!R24</f>
        <v>-3748674.3600000003</v>
      </c>
      <c r="O24" s="136">
        <f>'KY_Cost Plant Acct-Elec-P14(Reg'!O24</f>
        <v>0</v>
      </c>
      <c r="P24" s="136">
        <f>'KY_Cost Plant Acct-Elec-P14(Reg'!P24</f>
        <v>0</v>
      </c>
    </row>
    <row r="25" spans="1:16" x14ac:dyDescent="0.2">
      <c r="A25" s="3" t="s">
        <v>279</v>
      </c>
      <c r="B25" s="136">
        <f>'KY_Cost Plant Acct-Elec-P14(Reg'!B25+'KY_Cost Plant Acct-Elec-P14(Reg'!B118</f>
        <v>44126727.329999998</v>
      </c>
      <c r="C25" s="136"/>
      <c r="D25" s="136">
        <f>'KY_Cost Plant Acct-Elec-P14(Reg'!D118+'KY_Cost Plant Acct-Elec-P14(Reg'!D25</f>
        <v>3957167.85</v>
      </c>
      <c r="E25" s="136"/>
      <c r="F25" s="136">
        <f>'KY_Cost Plant Acct-Elec-P14(Reg'!F25</f>
        <v>-82893.62</v>
      </c>
      <c r="G25" s="136"/>
      <c r="H25" s="136">
        <f>'KY_Cost Plant Acct-Elec-P14(Reg'!H25</f>
        <v>0</v>
      </c>
      <c r="I25" s="136"/>
      <c r="J25" s="136">
        <f t="shared" si="1"/>
        <v>3874274.23</v>
      </c>
      <c r="K25" s="136"/>
      <c r="L25" s="136">
        <f t="shared" si="2"/>
        <v>48001001.559999995</v>
      </c>
      <c r="N25" s="37">
        <f>'KY_Res by Plant Acct-P29 (Reg)'!R26</f>
        <v>-12223123.130000001</v>
      </c>
      <c r="P25" s="37">
        <f t="shared" si="0"/>
        <v>35777878.429999992</v>
      </c>
    </row>
    <row r="26" spans="1:16" x14ac:dyDescent="0.2">
      <c r="A26" s="3" t="s">
        <v>280</v>
      </c>
      <c r="B26" s="136">
        <f>'KY_Cost Plant Acct-Elec-P14(Reg'!B26+'KY_Cost Plant Acct-Elec-P14(Reg'!B119</f>
        <v>60075863.940000013</v>
      </c>
      <c r="C26" s="136"/>
      <c r="D26" s="136">
        <f>'KY_Cost Plant Acct-Elec-P14(Reg'!D26+'KY_Cost Plant Acct-Elec-P14(Reg'!D119</f>
        <v>2637164.4700000002</v>
      </c>
      <c r="E26" s="136"/>
      <c r="F26" s="136">
        <f>'KY_Cost Plant Acct-Elec-P14(Reg'!F26</f>
        <v>-205459.6</v>
      </c>
      <c r="G26" s="136"/>
      <c r="H26" s="136">
        <f>'KY_Cost Plant Acct-Elec-P14(Reg'!H26</f>
        <v>0</v>
      </c>
      <c r="I26" s="136"/>
      <c r="J26" s="136">
        <f t="shared" si="1"/>
        <v>2431704.87</v>
      </c>
      <c r="K26" s="136"/>
      <c r="L26" s="136">
        <f t="shared" si="2"/>
        <v>62507568.81000001</v>
      </c>
      <c r="N26" s="37">
        <f>'KY_Res by Plant Acct-P29 (Reg)'!R27</f>
        <v>-27772837.230000008</v>
      </c>
      <c r="P26" s="37">
        <f t="shared" si="0"/>
        <v>34734731.579999998</v>
      </c>
    </row>
    <row r="27" spans="1:16" x14ac:dyDescent="0.2">
      <c r="A27" s="3" t="s">
        <v>281</v>
      </c>
      <c r="B27" s="136">
        <f>'KY_Cost Plant Acct-Elec-P14(Reg'!B27</f>
        <v>0</v>
      </c>
      <c r="C27" s="136"/>
      <c r="D27" s="136">
        <f>'KY_Cost Plant Acct-Elec-P14(Reg'!D27</f>
        <v>0</v>
      </c>
      <c r="E27" s="136"/>
      <c r="F27" s="136">
        <f>'KY_Cost Plant Acct-Elec-P14(Reg'!F27</f>
        <v>0</v>
      </c>
      <c r="G27" s="136"/>
      <c r="H27" s="136">
        <f>'KY_Cost Plant Acct-Elec-P14(Reg'!H27</f>
        <v>0</v>
      </c>
      <c r="I27" s="136"/>
      <c r="J27" s="136">
        <f>H27+F27+D27</f>
        <v>0</v>
      </c>
      <c r="K27" s="136"/>
      <c r="L27" s="136">
        <f>B27+J27</f>
        <v>0</v>
      </c>
      <c r="N27" s="37">
        <f>'KY_Res by Plant Acct-P29 (Reg)'!R28</f>
        <v>0</v>
      </c>
      <c r="P27" s="37">
        <f>L27+N27</f>
        <v>0</v>
      </c>
    </row>
    <row r="28" spans="1:16" x14ac:dyDescent="0.2">
      <c r="A28" s="3" t="s">
        <v>283</v>
      </c>
      <c r="B28" s="136">
        <f>'KY_Cost Plant Acct-Elec-P14(Reg'!B28</f>
        <v>411288.1</v>
      </c>
      <c r="C28" s="136"/>
      <c r="D28" s="136">
        <f>'KY_Cost Plant Acct-Elec-P14(Reg'!D28</f>
        <v>0</v>
      </c>
      <c r="E28" s="136"/>
      <c r="F28" s="136">
        <f>'KY_Cost Plant Acct-Elec-P14(Reg'!F28</f>
        <v>-16644.41</v>
      </c>
      <c r="G28" s="136"/>
      <c r="H28" s="136">
        <f>'KY_Cost Plant Acct-Elec-P14(Reg'!H28</f>
        <v>-74674.94</v>
      </c>
      <c r="I28" s="136"/>
      <c r="J28" s="136">
        <f>H28+F28+D28</f>
        <v>-91319.35</v>
      </c>
      <c r="K28" s="133"/>
      <c r="L28" s="136">
        <f>B28+J28</f>
        <v>319968.75</v>
      </c>
      <c r="N28" s="37">
        <f>'KY_Res by Plant Acct-P29 (Reg)'!R29</f>
        <v>-38581.230000000069</v>
      </c>
      <c r="P28" s="37">
        <f>L28+N28</f>
        <v>281387.5199999999</v>
      </c>
    </row>
    <row r="29" spans="1:16" x14ac:dyDescent="0.2">
      <c r="A29" s="21" t="s">
        <v>2871</v>
      </c>
      <c r="B29" s="151">
        <f>'KY_Cost Plant Acct-Elec-P14(Reg'!B29</f>
        <v>30005.309999999983</v>
      </c>
      <c r="C29" s="136"/>
      <c r="D29" s="151">
        <f>'KY_Cost Plant Acct-Elec-P14(Reg'!D29</f>
        <v>0</v>
      </c>
      <c r="E29" s="136"/>
      <c r="F29" s="151">
        <f>'KY_Cost Plant Acct-Elec-P14(Reg'!F29</f>
        <v>-25506.84</v>
      </c>
      <c r="G29" s="136"/>
      <c r="H29" s="151">
        <f>'KY_Cost Plant Acct-Elec-P14(Reg'!H29</f>
        <v>43496.65</v>
      </c>
      <c r="I29" s="136"/>
      <c r="J29" s="151">
        <f>H29+F29+D29</f>
        <v>17989.810000000001</v>
      </c>
      <c r="K29" s="136"/>
      <c r="L29" s="151">
        <f>B29+J29</f>
        <v>47995.119999999981</v>
      </c>
      <c r="N29" s="134">
        <f>'KY_Res by Plant Acct-P29 (Reg)'!R30</f>
        <v>-10826.41</v>
      </c>
      <c r="P29" s="134">
        <f>L29+N29</f>
        <v>37168.709999999977</v>
      </c>
    </row>
    <row r="30" spans="1:16" x14ac:dyDescent="0.2">
      <c r="B30" s="133">
        <f>SUM(B11:B29)</f>
        <v>1300531816.8099997</v>
      </c>
      <c r="C30" s="133"/>
      <c r="D30" s="133">
        <f>SUM(D11:D29)</f>
        <v>85894054.209999993</v>
      </c>
      <c r="E30" s="133"/>
      <c r="F30" s="133">
        <f>SUM(F11:F29)</f>
        <v>-14941152</v>
      </c>
      <c r="G30" s="133"/>
      <c r="H30" s="133">
        <f>SUM(H11:H29)</f>
        <v>-934796.77000000037</v>
      </c>
      <c r="I30" s="133"/>
      <c r="J30" s="133">
        <f>SUM(J11:J29)</f>
        <v>70018105.440000013</v>
      </c>
      <c r="K30" s="133"/>
      <c r="L30" s="133">
        <f>SUM(L11:L29)</f>
        <v>1370549922.2499998</v>
      </c>
      <c r="N30" s="133">
        <f>SUM(N11:N29)</f>
        <v>-511712060.07000017</v>
      </c>
      <c r="P30" s="133">
        <f>SUM(P11:P29)</f>
        <v>856664219.1099999</v>
      </c>
    </row>
    <row r="31" spans="1:16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6" x14ac:dyDescent="0.2">
      <c r="A32" s="9" t="s">
        <v>287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6" x14ac:dyDescent="0.2">
      <c r="A33" s="21" t="s">
        <v>288</v>
      </c>
      <c r="B33" s="133">
        <f>'KY_Cost Plant Acct-Elec-P14(Reg'!B33</f>
        <v>888547.25</v>
      </c>
      <c r="C33" s="133"/>
      <c r="D33" s="133">
        <f>'KY_Cost Plant Acct-Elec-P14(Reg'!D33</f>
        <v>0</v>
      </c>
      <c r="E33" s="133"/>
      <c r="F33" s="133">
        <f>'KY_Cost Plant Acct-Elec-P14(Reg'!F33</f>
        <v>0</v>
      </c>
      <c r="G33" s="133"/>
      <c r="H33" s="133">
        <f>'KY_Cost Plant Acct-Elec-P14(Reg'!H33</f>
        <v>0</v>
      </c>
      <c r="I33" s="133"/>
      <c r="J33" s="133">
        <f>H33+F33+D33</f>
        <v>0</v>
      </c>
      <c r="K33" s="133"/>
      <c r="L33" s="136">
        <f>B33+J33</f>
        <v>888547.25</v>
      </c>
      <c r="N33" s="37">
        <f>'KY_Res by Plant Acct-P29 (Reg)'!R34</f>
        <v>-581502.02</v>
      </c>
      <c r="P33" s="37">
        <f>L33+N33</f>
        <v>307045.23</v>
      </c>
    </row>
    <row r="34" spans="1:16" x14ac:dyDescent="0.2">
      <c r="A34" s="3" t="s">
        <v>2872</v>
      </c>
      <c r="B34" s="133">
        <f>'KY_Cost Plant Acct-Elec-P14(Reg'!B34</f>
        <v>4629899.4800000004</v>
      </c>
      <c r="C34" s="133"/>
      <c r="D34" s="133">
        <f>'KY_Cost Plant Acct-Elec-P14(Reg'!D34</f>
        <v>75392.210000000006</v>
      </c>
      <c r="E34" s="133"/>
      <c r="F34" s="133">
        <f>'KY_Cost Plant Acct-Elec-P14(Reg'!F34</f>
        <v>-43755.68</v>
      </c>
      <c r="G34" s="133"/>
      <c r="H34" s="133">
        <f>'KY_Cost Plant Acct-Elec-P14(Reg'!H34</f>
        <v>0</v>
      </c>
      <c r="I34" s="133"/>
      <c r="J34" s="133">
        <f t="shared" ref="J34:J40" si="3">H34+F34+D34</f>
        <v>31636.530000000006</v>
      </c>
      <c r="K34" s="133"/>
      <c r="L34" s="136">
        <f t="shared" ref="L34:L40" si="4">B34+J34</f>
        <v>4661536.0100000007</v>
      </c>
      <c r="N34" s="37">
        <f>'KY_Res by Plant Acct-P29 (Reg)'!R35</f>
        <v>-2329808.4200000018</v>
      </c>
      <c r="P34" s="37">
        <f t="shared" ref="P34:P40" si="5">L34+N34</f>
        <v>2331727.5899999989</v>
      </c>
    </row>
    <row r="35" spans="1:16" x14ac:dyDescent="0.2">
      <c r="A35" s="3" t="s">
        <v>290</v>
      </c>
      <c r="B35" s="133">
        <f>'KY_Cost Plant Acct-Elec-P14(Reg'!B35+'KY_Cost Plant Acct-Elec-P14(Reg'!B123</f>
        <v>517229.81</v>
      </c>
      <c r="C35" s="133"/>
      <c r="D35" s="133">
        <f>'KY_Cost Plant Acct-Elec-P14(Reg'!D35+'KY_Cost Plant Acct-Elec-P14(Reg'!D123</f>
        <v>121922.42</v>
      </c>
      <c r="E35" s="133"/>
      <c r="F35" s="133">
        <f>'KY_Cost Plant Acct-Elec-P14(Reg'!F35</f>
        <v>-120866.21</v>
      </c>
      <c r="G35" s="133"/>
      <c r="H35" s="133">
        <f>'KY_Cost Plant Acct-Elec-P14(Reg'!H35</f>
        <v>0</v>
      </c>
      <c r="I35" s="133"/>
      <c r="J35" s="133">
        <f t="shared" si="3"/>
        <v>1056.2099999999919</v>
      </c>
      <c r="K35" s="133"/>
      <c r="L35" s="136">
        <f t="shared" si="4"/>
        <v>518286.02</v>
      </c>
      <c r="N35" s="37">
        <f>'KY_Res by Plant Acct-P29 (Reg)'!R36</f>
        <v>-66143.950000000026</v>
      </c>
      <c r="P35" s="37">
        <f t="shared" si="5"/>
        <v>452142.07</v>
      </c>
    </row>
    <row r="36" spans="1:16" x14ac:dyDescent="0.2">
      <c r="A36" s="3" t="s">
        <v>292</v>
      </c>
      <c r="B36" s="133">
        <f>'KY_Cost Plant Acct-Elec-P14(Reg'!B36+'KY_Cost Plant Acct-Elec-P14(Reg'!B124</f>
        <v>6390921.7400000012</v>
      </c>
      <c r="C36" s="133"/>
      <c r="D36" s="133">
        <f>'KY_Cost Plant Acct-Elec-P14(Reg'!D36+'KY_Cost Plant Acct-Elec-P14(Reg'!D124</f>
        <v>44828.76999999996</v>
      </c>
      <c r="E36" s="133"/>
      <c r="F36" s="133">
        <f>'KY_Cost Plant Acct-Elec-P14(Reg'!F36</f>
        <v>-143955.4</v>
      </c>
      <c r="G36" s="133"/>
      <c r="H36" s="133">
        <f>'KY_Cost Plant Acct-Elec-P14(Reg'!H36</f>
        <v>0</v>
      </c>
      <c r="I36" s="133"/>
      <c r="J36" s="133">
        <f t="shared" si="3"/>
        <v>-99126.630000000034</v>
      </c>
      <c r="K36" s="133"/>
      <c r="L36" s="136">
        <f t="shared" si="4"/>
        <v>6291795.1100000013</v>
      </c>
      <c r="N36" s="37">
        <f>'KY_Res by Plant Acct-P29 (Reg)'!R37</f>
        <v>-2648344.9</v>
      </c>
      <c r="P36" s="37">
        <f t="shared" si="5"/>
        <v>3643450.2100000014</v>
      </c>
    </row>
    <row r="37" spans="1:16" x14ac:dyDescent="0.2">
      <c r="A37" s="3" t="s">
        <v>293</v>
      </c>
      <c r="B37" s="133">
        <f>'KY_Cost Plant Acct-Elec-P14(Reg'!B37+'KY_Cost Plant Acct-Elec-P14(Reg'!B125</f>
        <v>0</v>
      </c>
      <c r="C37" s="133"/>
      <c r="D37" s="133">
        <f>'KY_Cost Plant Acct-Elec-P14(Reg'!D37</f>
        <v>0</v>
      </c>
      <c r="E37" s="133"/>
      <c r="F37" s="133">
        <f>'KY_Cost Plant Acct-Elec-P14(Reg'!F37</f>
        <v>0</v>
      </c>
      <c r="G37" s="133"/>
      <c r="H37" s="133">
        <f>'KY_Cost Plant Acct-Elec-P14(Reg'!H37+'KY_Cost Plant Acct-Elec-P14(Reg'!H125</f>
        <v>0</v>
      </c>
      <c r="I37" s="133"/>
      <c r="J37" s="133">
        <f t="shared" si="3"/>
        <v>0</v>
      </c>
      <c r="K37" s="133"/>
      <c r="L37" s="136">
        <f t="shared" si="4"/>
        <v>0</v>
      </c>
      <c r="N37" s="37">
        <f>'KY_Res by Plant Acct-P29 (Reg)'!R38</f>
        <v>1.3096723705530167E-10</v>
      </c>
      <c r="P37" s="37">
        <f t="shared" si="5"/>
        <v>1.3096723705530167E-10</v>
      </c>
    </row>
    <row r="38" spans="1:16" x14ac:dyDescent="0.2">
      <c r="A38" s="3" t="s">
        <v>294</v>
      </c>
      <c r="B38" s="133">
        <f>'KY_Cost Plant Acct-Elec-P14(Reg'!B38</f>
        <v>2113558.65</v>
      </c>
      <c r="C38" s="133"/>
      <c r="D38" s="133">
        <f>'KY_Cost Plant Acct-Elec-P14(Reg'!D38</f>
        <v>110496.62</v>
      </c>
      <c r="E38" s="133"/>
      <c r="F38" s="133">
        <f>'KY_Cost Plant Acct-Elec-P14(Reg'!F38</f>
        <v>-421228.56</v>
      </c>
      <c r="G38" s="133"/>
      <c r="H38" s="133">
        <f>'KY_Cost Plant Acct-Elec-P14(Reg'!H38</f>
        <v>0</v>
      </c>
      <c r="I38" s="133"/>
      <c r="J38" s="133">
        <f t="shared" si="3"/>
        <v>-310731.94</v>
      </c>
      <c r="K38" s="133"/>
      <c r="L38" s="136">
        <f t="shared" si="4"/>
        <v>1802826.71</v>
      </c>
      <c r="N38" s="37">
        <f>'KY_Res by Plant Acct-P29 (Reg)'!R39</f>
        <v>-1487246.1200000003</v>
      </c>
      <c r="P38" s="37">
        <f t="shared" si="5"/>
        <v>315580.58999999962</v>
      </c>
    </row>
    <row r="39" spans="1:16" x14ac:dyDescent="0.2">
      <c r="A39" s="3" t="s">
        <v>295</v>
      </c>
      <c r="B39" s="133">
        <f>'KY_Cost Plant Acct-Elec-P14(Reg'!B39+'KY_Cost Plant Acct-Elec-P14(Reg'!B126</f>
        <v>196248.24</v>
      </c>
      <c r="C39" s="133"/>
      <c r="D39" s="133">
        <f>'KY_Cost Plant Acct-Elec-P14(Reg'!D39+'KY_Cost Plant Acct-Elec-P14(Reg'!D126</f>
        <v>0</v>
      </c>
      <c r="E39" s="133"/>
      <c r="F39" s="133">
        <f>'KY_Cost Plant Acct-Elec-P14(Reg'!F39+'KY_Cost Plant Acct-Elec-P14(Reg'!F126</f>
        <v>0</v>
      </c>
      <c r="G39" s="133"/>
      <c r="H39" s="133">
        <f>'KY_Cost Plant Acct-Elec-P14(Reg'!H39+'KY_Cost Plant Acct-Elec-P14(Reg'!H126</f>
        <v>0</v>
      </c>
      <c r="I39" s="133"/>
      <c r="J39" s="133">
        <f t="shared" si="3"/>
        <v>0</v>
      </c>
      <c r="K39" s="133"/>
      <c r="L39" s="133">
        <f t="shared" si="4"/>
        <v>196248.24</v>
      </c>
      <c r="M39" s="29"/>
      <c r="N39" s="36">
        <f>'KY_Res by Plant Acct-P29 (Reg)'!R40</f>
        <v>-105408.37</v>
      </c>
      <c r="O39" s="29"/>
      <c r="P39" s="36">
        <f t="shared" si="5"/>
        <v>90839.87</v>
      </c>
    </row>
    <row r="40" spans="1:16" x14ac:dyDescent="0.2">
      <c r="A40" s="21" t="s">
        <v>297</v>
      </c>
      <c r="B40" s="133">
        <f>'KY_Cost Plant Acct-Elec-P14(Reg'!B40+'KY_Cost Plant Acct-Elec-P14(Reg'!B127</f>
        <v>5970921.7999999989</v>
      </c>
      <c r="C40" s="133"/>
      <c r="D40" s="133">
        <f>'KY_Cost Plant Acct-Elec-P14(Reg'!D40+'KY_Cost Plant Acct-Elec-P14(Reg'!D127</f>
        <v>881370.94</v>
      </c>
      <c r="E40" s="133"/>
      <c r="F40" s="133">
        <f>'KY_Cost Plant Acct-Elec-P14(Reg'!F40+'KY_Cost Plant Acct-Elec-P14(Reg'!F127</f>
        <v>0</v>
      </c>
      <c r="G40" s="133"/>
      <c r="H40" s="133">
        <f>'KY_Cost Plant Acct-Elec-P14(Reg'!H40+'KY_Cost Plant Acct-Elec-P14(Reg'!H127</f>
        <v>0</v>
      </c>
      <c r="I40" s="133"/>
      <c r="J40" s="133">
        <f t="shared" si="3"/>
        <v>881370.94</v>
      </c>
      <c r="K40" s="133"/>
      <c r="L40" s="133">
        <f t="shared" si="4"/>
        <v>6852292.7399999984</v>
      </c>
      <c r="N40" s="36">
        <f>'KY_Res by Plant Acct-P29 (Reg)'!R41</f>
        <v>-2515718.94</v>
      </c>
      <c r="P40" s="36">
        <f t="shared" si="5"/>
        <v>4336573.7999999989</v>
      </c>
    </row>
    <row r="41" spans="1:16" x14ac:dyDescent="0.2">
      <c r="B41" s="150">
        <f>SUM(B33:B40)</f>
        <v>20707326.969999999</v>
      </c>
      <c r="C41" s="133"/>
      <c r="D41" s="150">
        <f>SUM(D33:D40)</f>
        <v>1234010.96</v>
      </c>
      <c r="E41" s="133"/>
      <c r="F41" s="150">
        <f>SUM(F33:F40)</f>
        <v>-729805.85000000009</v>
      </c>
      <c r="G41" s="133"/>
      <c r="H41" s="150">
        <f>SUM(H33:H40)</f>
        <v>0</v>
      </c>
      <c r="I41" s="133"/>
      <c r="J41" s="150">
        <f>SUM(J33:J40)</f>
        <v>504205.10999999987</v>
      </c>
      <c r="K41" s="133"/>
      <c r="L41" s="150">
        <f>SUM(L33:L40)</f>
        <v>21211532.079999998</v>
      </c>
      <c r="N41" s="150">
        <f>SUM(N33:N40)</f>
        <v>-9734172.7200000025</v>
      </c>
      <c r="P41" s="150">
        <f>SUM(P33:P40)</f>
        <v>11477359.359999999</v>
      </c>
    </row>
    <row r="42" spans="1:16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6" x14ac:dyDescent="0.2">
      <c r="A43" s="9" t="s">
        <v>299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6" x14ac:dyDescent="0.2">
      <c r="A44" s="3" t="s">
        <v>300</v>
      </c>
      <c r="B44" s="133">
        <f>'KY_Cost Plant Acct-Elec-P14(Reg'!B44</f>
        <v>6.5</v>
      </c>
      <c r="C44" s="133"/>
      <c r="D44" s="133">
        <f>'KY_Cost Plant Acct-Elec-P14(Reg'!D44</f>
        <v>0</v>
      </c>
      <c r="E44" s="133"/>
      <c r="F44" s="133">
        <f>'KY_Cost Plant Acct-Elec-P14(Reg'!F44</f>
        <v>0</v>
      </c>
      <c r="G44" s="133"/>
      <c r="H44" s="133">
        <f>'KY_Cost Plant Acct-Elec-P14(Reg'!H44</f>
        <v>0</v>
      </c>
      <c r="I44" s="133"/>
      <c r="J44" s="133">
        <f t="shared" ref="J44:J51" si="6">H44+F44+D44</f>
        <v>0</v>
      </c>
      <c r="K44" s="133"/>
      <c r="L44" s="136">
        <f t="shared" ref="L44:L51" si="7">B44+J44</f>
        <v>6.5</v>
      </c>
      <c r="N44" s="37">
        <v>0</v>
      </c>
      <c r="P44" s="37">
        <f t="shared" ref="P44:P51" si="8">L44+N44</f>
        <v>6.5</v>
      </c>
    </row>
    <row r="45" spans="1:16" x14ac:dyDescent="0.2">
      <c r="A45" s="3" t="s">
        <v>301</v>
      </c>
      <c r="B45" s="133">
        <f>'KY_Cost Plant Acct-Elec-P14(Reg'!B45+'KY_Cost Plant Acct-Elec-P14(Reg'!B131</f>
        <v>10880394.109999999</v>
      </c>
      <c r="C45" s="133"/>
      <c r="D45" s="133">
        <f>'KY_Cost Plant Acct-Elec-P14(Reg'!D45+'KY_Cost Plant Acct-Elec-P14(Reg'!D131</f>
        <v>2018580.84</v>
      </c>
      <c r="E45" s="133"/>
      <c r="F45" s="133">
        <f>'KY_Cost Plant Acct-Elec-P14(Reg'!F45</f>
        <v>-28266.74</v>
      </c>
      <c r="G45" s="133"/>
      <c r="H45" s="133">
        <f>'KY_Cost Plant Acct-Elec-P14(Reg'!H45</f>
        <v>0</v>
      </c>
      <c r="I45" s="133"/>
      <c r="J45" s="133">
        <f t="shared" si="6"/>
        <v>1990314.1</v>
      </c>
      <c r="K45" s="133"/>
      <c r="L45" s="136">
        <f t="shared" si="7"/>
        <v>12870708.209999999</v>
      </c>
      <c r="N45" s="37">
        <f>'KY_Res by Plant Acct-P29 (Reg)'!R47+'KY_Res by Plant Acct-P29 (Reg)'!R48</f>
        <v>-4436195.16</v>
      </c>
      <c r="P45" s="37">
        <f t="shared" si="8"/>
        <v>8434513.0499999989</v>
      </c>
    </row>
    <row r="46" spans="1:16" x14ac:dyDescent="0.2">
      <c r="A46" s="3" t="s">
        <v>302</v>
      </c>
      <c r="B46" s="133">
        <f>'KY_Cost Plant Acct-Elec-P14(Reg'!B46+'KY_Cost Plant Acct-Elec-P14(Reg'!B132</f>
        <v>21534080.82</v>
      </c>
      <c r="C46" s="133"/>
      <c r="D46" s="133">
        <f>'KY_Cost Plant Acct-Elec-P14(Reg'!D46+'KY_Cost Plant Acct-Elec-P14(Reg'!D132</f>
        <v>2966174.71</v>
      </c>
      <c r="E46" s="133"/>
      <c r="F46" s="133">
        <f>'KY_Cost Plant Acct-Elec-P14(Reg'!F46</f>
        <v>-7416.11</v>
      </c>
      <c r="G46" s="133"/>
      <c r="H46" s="133">
        <f>'KY_Cost Plant Acct-Elec-P14(Reg'!H46</f>
        <v>0</v>
      </c>
      <c r="I46" s="133"/>
      <c r="J46" s="133">
        <f t="shared" si="6"/>
        <v>2958758.6</v>
      </c>
      <c r="K46" s="133"/>
      <c r="L46" s="136">
        <f t="shared" si="7"/>
        <v>24492839.420000002</v>
      </c>
      <c r="N46" s="37">
        <f>'KY_Res by Plant Acct-P29 (Reg)'!R49</f>
        <v>-3760531.2100000004</v>
      </c>
      <c r="P46" s="37">
        <f t="shared" si="8"/>
        <v>20732308.210000001</v>
      </c>
    </row>
    <row r="47" spans="1:16" x14ac:dyDescent="0.2">
      <c r="A47" s="3" t="s">
        <v>303</v>
      </c>
      <c r="B47" s="133">
        <f>'KY_Cost Plant Acct-Elec-P14(Reg'!B47+'KY_Cost Plant Acct-Elec-P14(Reg'!B133</f>
        <v>80676834.010000005</v>
      </c>
      <c r="C47" s="133"/>
      <c r="D47" s="133">
        <f>'KY_Cost Plant Acct-Elec-P14(Reg'!D47+'KY_Cost Plant Acct-Elec-P14(Reg'!D133</f>
        <v>11104240.51</v>
      </c>
      <c r="E47" s="133"/>
      <c r="F47" s="133">
        <f>'KY_Cost Plant Acct-Elec-P14(Reg'!F47</f>
        <v>-153828.44</v>
      </c>
      <c r="G47" s="133"/>
      <c r="H47" s="133">
        <f>'KY_Cost Plant Acct-Elec-P14(Reg'!H47</f>
        <v>0</v>
      </c>
      <c r="I47" s="133"/>
      <c r="J47" s="133">
        <f t="shared" si="6"/>
        <v>10950412.07</v>
      </c>
      <c r="K47" s="133"/>
      <c r="L47" s="136">
        <f t="shared" si="7"/>
        <v>91627246.080000013</v>
      </c>
      <c r="N47" s="37">
        <f>'KY_Res by Plant Acct-P29 (Reg)'!R50</f>
        <v>-8226780.2799999984</v>
      </c>
      <c r="P47" s="37">
        <f t="shared" si="8"/>
        <v>83400465.800000012</v>
      </c>
    </row>
    <row r="48" spans="1:16" x14ac:dyDescent="0.2">
      <c r="A48" s="3" t="s">
        <v>304</v>
      </c>
      <c r="B48" s="133">
        <f>'KY_Cost Plant Acct-Elec-P14(Reg'!B48+'KY_Cost Plant Acct-Elec-P14(Reg'!B134</f>
        <v>11240773.48</v>
      </c>
      <c r="C48" s="133"/>
      <c r="D48" s="133">
        <f>'KY_Cost Plant Acct-Elec-P14(Reg'!D48+'KY_Cost Plant Acct-Elec-P14(Reg'!D134</f>
        <v>1850706.71</v>
      </c>
      <c r="E48" s="133"/>
      <c r="F48" s="133">
        <f>'KY_Cost Plant Acct-Elec-P14(Reg'!F48</f>
        <v>-21090.5</v>
      </c>
      <c r="G48" s="133"/>
      <c r="H48" s="133">
        <f>'KY_Cost Plant Acct-Elec-P14(Reg'!H48</f>
        <v>0</v>
      </c>
      <c r="I48" s="133"/>
      <c r="J48" s="133">
        <f t="shared" si="6"/>
        <v>1829616.21</v>
      </c>
      <c r="K48" s="133"/>
      <c r="L48" s="136">
        <f t="shared" si="7"/>
        <v>13070389.690000001</v>
      </c>
      <c r="N48" s="37">
        <f>'KY_Res by Plant Acct-P29 (Reg)'!R51</f>
        <v>-2990019.64</v>
      </c>
      <c r="P48" s="37">
        <f t="shared" si="8"/>
        <v>10080370.050000001</v>
      </c>
    </row>
    <row r="49" spans="1:16" x14ac:dyDescent="0.2">
      <c r="A49" s="3" t="s">
        <v>305</v>
      </c>
      <c r="B49" s="133">
        <f>'KY_Cost Plant Acct-Elec-P14(Reg'!B49+'KY_Cost Plant Acct-Elec-P14(Reg'!B135</f>
        <v>2664249.16</v>
      </c>
      <c r="C49" s="133"/>
      <c r="D49" s="133">
        <f>'KY_Cost Plant Acct-Elec-P14(Reg'!D49+'KY_Cost Plant Acct-Elec-P14(Reg'!D135</f>
        <v>925353.46</v>
      </c>
      <c r="E49" s="133"/>
      <c r="F49" s="133">
        <f>'KY_Cost Plant Acct-Elec-P14(Reg'!F49</f>
        <v>-3309.58</v>
      </c>
      <c r="G49" s="133"/>
      <c r="H49" s="133">
        <f>'KY_Cost Plant Acct-Elec-P14(Reg'!H49</f>
        <v>0</v>
      </c>
      <c r="I49" s="133"/>
      <c r="J49" s="133">
        <f t="shared" si="6"/>
        <v>922043.88</v>
      </c>
      <c r="K49" s="133"/>
      <c r="L49" s="136">
        <f t="shared" si="7"/>
        <v>3586293.04</v>
      </c>
      <c r="N49" s="37">
        <f>'KY_Res by Plant Acct-P29 (Reg)'!R53+'KY_Res by Plant Acct-P29 (Reg)'!R52</f>
        <v>-270308.60999999993</v>
      </c>
      <c r="P49" s="37">
        <f t="shared" si="8"/>
        <v>3315984.43</v>
      </c>
    </row>
    <row r="50" spans="1:16" x14ac:dyDescent="0.2">
      <c r="A50" s="3" t="s">
        <v>306</v>
      </c>
      <c r="B50" s="133">
        <f>'KY_Cost Plant Acct-Elec-P14(Reg'!B50</f>
        <v>29930.61</v>
      </c>
      <c r="C50" s="133"/>
      <c r="D50" s="133">
        <f>'KY_Cost Plant Acct-Elec-P14(Reg'!D50</f>
        <v>0</v>
      </c>
      <c r="E50" s="133"/>
      <c r="F50" s="133">
        <f>'KY_Cost Plant Acct-Elec-P14(Reg'!F50</f>
        <v>0</v>
      </c>
      <c r="G50" s="133"/>
      <c r="H50" s="133">
        <f>'KY_Cost Plant Acct-Elec-P14(Reg'!H50</f>
        <v>0</v>
      </c>
      <c r="I50" s="133"/>
      <c r="J50" s="133">
        <f t="shared" si="6"/>
        <v>0</v>
      </c>
      <c r="K50" s="133"/>
      <c r="L50" s="136">
        <f t="shared" si="7"/>
        <v>29930.61</v>
      </c>
      <c r="N50" s="37">
        <f>'KY_Res by Plant Acct-P29 (Reg)'!R54+'KY_Res by Plant Acct-P29 (Reg)'!R55</f>
        <v>-21068.649999999998</v>
      </c>
      <c r="P50" s="37">
        <f t="shared" si="8"/>
        <v>8861.9600000000028</v>
      </c>
    </row>
    <row r="51" spans="1:16" x14ac:dyDescent="0.2">
      <c r="A51" s="3" t="s">
        <v>307</v>
      </c>
      <c r="B51" s="151">
        <f>'KY_Cost Plant Acct-Elec-P14(Reg'!B51</f>
        <v>466645.73</v>
      </c>
      <c r="C51" s="133"/>
      <c r="D51" s="151">
        <f>'KY_Cost Plant Acct-Elec-P14(Reg'!D51</f>
        <v>0</v>
      </c>
      <c r="E51" s="133"/>
      <c r="F51" s="151">
        <f>'KY_Cost Plant Acct-Elec-P14(Reg'!F51</f>
        <v>0</v>
      </c>
      <c r="G51" s="133"/>
      <c r="H51" s="151">
        <f>'KY_Cost Plant Acct-Elec-P14(Reg'!H51</f>
        <v>0</v>
      </c>
      <c r="I51" s="133"/>
      <c r="J51" s="151">
        <f t="shared" si="6"/>
        <v>0</v>
      </c>
      <c r="K51" s="133"/>
      <c r="L51" s="151">
        <f t="shared" si="7"/>
        <v>466645.73</v>
      </c>
      <c r="N51" s="134">
        <f>'KY_Res by Plant Acct-P29 (Reg)'!R56</f>
        <v>-22331.130000000012</v>
      </c>
      <c r="P51" s="134">
        <f t="shared" si="8"/>
        <v>444314.6</v>
      </c>
    </row>
    <row r="52" spans="1:16" x14ac:dyDescent="0.2">
      <c r="B52" s="133">
        <f>SUM(B44:B51)</f>
        <v>127492914.42</v>
      </c>
      <c r="C52" s="133"/>
      <c r="D52" s="133">
        <f>SUM(D44:D51)</f>
        <v>18865056.23</v>
      </c>
      <c r="E52" s="133"/>
      <c r="F52" s="133">
        <f>SUM(F44:F51)</f>
        <v>-213911.37</v>
      </c>
      <c r="G52" s="133"/>
      <c r="H52" s="133">
        <f>SUM(H44:H51)</f>
        <v>0</v>
      </c>
      <c r="I52" s="133"/>
      <c r="J52" s="133">
        <f>SUM(J44:J51)</f>
        <v>18651144.859999999</v>
      </c>
      <c r="K52" s="133"/>
      <c r="L52" s="133">
        <f>SUM(L44:L51)</f>
        <v>146144059.28</v>
      </c>
      <c r="N52" s="37">
        <f>SUM(N44:N51)</f>
        <v>-19727234.679999996</v>
      </c>
      <c r="P52" s="37">
        <f>SUM(P44:P51)</f>
        <v>126416824.59999999</v>
      </c>
    </row>
    <row r="53" spans="1:16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1:16" x14ac:dyDescent="0.2">
      <c r="A54" s="9" t="s">
        <v>309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1:16" x14ac:dyDescent="0.2">
      <c r="A55" s="3" t="s">
        <v>310</v>
      </c>
      <c r="B55" s="133">
        <f>'KY_Cost Plant Acct-Elec-P14(Reg'!B55</f>
        <v>2240.29</v>
      </c>
      <c r="C55" s="133"/>
      <c r="D55" s="133">
        <f>'KY_Cost Plant Acct-Elec-P14(Reg'!D55</f>
        <v>0</v>
      </c>
      <c r="E55" s="133"/>
      <c r="F55" s="133">
        <f>'KY_Cost Plant Acct-Elec-P14(Reg'!F55</f>
        <v>0</v>
      </c>
      <c r="G55" s="133"/>
      <c r="H55" s="133">
        <f>'KY_Cost Plant Acct-Elec-P14(Reg'!H55</f>
        <v>0</v>
      </c>
      <c r="I55" s="133"/>
      <c r="J55" s="133">
        <f>H55+F55+D55</f>
        <v>0</v>
      </c>
      <c r="K55" s="133"/>
      <c r="L55" s="136">
        <f>B55+J55</f>
        <v>2240.29</v>
      </c>
      <c r="N55" s="37">
        <f>'KY_Res by Plant Acct-P29 (Reg)'!R396</f>
        <v>0</v>
      </c>
      <c r="P55" s="37">
        <f>L55+N55</f>
        <v>2240.29</v>
      </c>
    </row>
    <row r="56" spans="1:16" x14ac:dyDescent="0.2">
      <c r="A56" s="3" t="s">
        <v>311</v>
      </c>
      <c r="B56" s="151">
        <f>'KY_Cost Plant Acct-Elec-P14(Reg'!B56</f>
        <v>0</v>
      </c>
      <c r="C56" s="133"/>
      <c r="D56" s="151">
        <f>'KY_Cost Plant Acct-Elec-P14(Reg'!D56</f>
        <v>0</v>
      </c>
      <c r="E56" s="133"/>
      <c r="F56" s="151">
        <f>'KY_Cost Plant Acct-Elec-P14(Reg'!F56</f>
        <v>0</v>
      </c>
      <c r="G56" s="133"/>
      <c r="H56" s="151">
        <f>'KY_Cost Plant Acct-Elec-P14(Reg'!H56</f>
        <v>0</v>
      </c>
      <c r="I56" s="133"/>
      <c r="J56" s="151">
        <f>H56+F56+D56</f>
        <v>0</v>
      </c>
      <c r="K56" s="133"/>
      <c r="L56" s="151">
        <f>B56+J56</f>
        <v>0</v>
      </c>
      <c r="N56" s="134">
        <f>'KY_Res by Plant Acct-P29 (Reg)'!R397</f>
        <v>0</v>
      </c>
      <c r="P56" s="134">
        <f>L56+N56</f>
        <v>0</v>
      </c>
    </row>
    <row r="57" spans="1:16" x14ac:dyDescent="0.2">
      <c r="B57" s="133">
        <f>SUM(B55:B56)</f>
        <v>2240.29</v>
      </c>
      <c r="C57" s="133"/>
      <c r="D57" s="133">
        <f>SUM(D55:D56)</f>
        <v>0</v>
      </c>
      <c r="E57" s="133"/>
      <c r="F57" s="133">
        <f>SUM(F55:F56)</f>
        <v>0</v>
      </c>
      <c r="G57" s="133"/>
      <c r="H57" s="133">
        <f>SUM(H55:H56)</f>
        <v>0</v>
      </c>
      <c r="I57" s="133"/>
      <c r="J57" s="133">
        <f>SUM(J55:J56)</f>
        <v>0</v>
      </c>
      <c r="K57" s="133"/>
      <c r="L57" s="133">
        <f>SUM(L55:L56)</f>
        <v>2240.29</v>
      </c>
      <c r="N57" s="37">
        <f>SUM(N55:N56)</f>
        <v>0</v>
      </c>
      <c r="P57" s="37">
        <f>SUM(P55:P56)</f>
        <v>2240.29</v>
      </c>
    </row>
    <row r="58" spans="1:16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6" x14ac:dyDescent="0.2">
      <c r="A59" s="9" t="s">
        <v>313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6" x14ac:dyDescent="0.2">
      <c r="A60" s="3" t="s">
        <v>314</v>
      </c>
      <c r="B60" s="136">
        <f>'KY_Cost Plant Acct-Elec-P14(Reg'!B60</f>
        <v>123878.65999999997</v>
      </c>
      <c r="C60" s="136"/>
      <c r="D60" s="136">
        <f>'KY_Cost Plant Acct-Elec-P14(Reg'!D60</f>
        <v>0</v>
      </c>
      <c r="E60" s="136"/>
      <c r="F60" s="136">
        <f>'KY_Cost Plant Acct-Elec-P14(Reg'!F60</f>
        <v>0</v>
      </c>
      <c r="G60" s="136"/>
      <c r="H60" s="136">
        <f>'KY_Cost Plant Acct-Elec-P14(Reg'!H60</f>
        <v>0</v>
      </c>
      <c r="I60" s="136"/>
      <c r="J60" s="136">
        <f t="shared" ref="J60:J68" si="9">H60+F60+D60</f>
        <v>0</v>
      </c>
      <c r="K60" s="136"/>
      <c r="L60" s="136">
        <f t="shared" ref="L60:L68" si="10">B60+J60</f>
        <v>123878.65999999997</v>
      </c>
      <c r="N60" s="37">
        <f>'KY_Res by Plant Acct-P29 (Reg)'!R60+'KY_Res by Plant Acct-P29 (Reg)'!R62</f>
        <v>0</v>
      </c>
      <c r="P60" s="37">
        <f t="shared" ref="P60:P68" si="11">L60+N60</f>
        <v>123878.65999999997</v>
      </c>
    </row>
    <row r="61" spans="1:16" x14ac:dyDescent="0.2">
      <c r="A61" s="3" t="s">
        <v>315</v>
      </c>
      <c r="B61" s="136">
        <f>'KY_Cost Plant Acct-Elec-P14(Reg'!B61+'KY_Cost Plant Acct-Elec-P14(Reg'!B139</f>
        <v>33095857.450000003</v>
      </c>
      <c r="C61" s="136"/>
      <c r="D61" s="136">
        <f>'KY_Cost Plant Acct-Elec-P14(Reg'!D61+'KY_Cost Plant Acct-Elec-P14(Reg'!D139</f>
        <v>519485.57000000007</v>
      </c>
      <c r="E61" s="136">
        <f>'KY_Cost Plant Acct-Elec-P14(Reg'!E61+'KY_Cost Plant Acct-Elec-P14(Reg'!E139</f>
        <v>0</v>
      </c>
      <c r="F61" s="136">
        <f>'KY_Cost Plant Acct-Elec-P14(Reg'!F61+'KY_Cost Plant Acct-Elec-P14(Reg'!F139</f>
        <v>0</v>
      </c>
      <c r="G61" s="136">
        <f>'KY_Cost Plant Acct-Elec-P14(Reg'!G61+'KY_Cost Plant Acct-Elec-P14(Reg'!G139</f>
        <v>0</v>
      </c>
      <c r="H61" s="136">
        <f>'KY_Cost Plant Acct-Elec-P14(Reg'!H61+'KY_Cost Plant Acct-Elec-P14(Reg'!H139</f>
        <v>0</v>
      </c>
      <c r="I61" s="136"/>
      <c r="J61" s="136">
        <f>H61+F61+D61</f>
        <v>519485.57000000007</v>
      </c>
      <c r="K61" s="136"/>
      <c r="L61" s="136">
        <f>B61+J61</f>
        <v>33615343.020000003</v>
      </c>
      <c r="N61" s="37">
        <f>'KY_Res by Plant Acct-P29 (Reg)'!R79</f>
        <v>-12371856.73</v>
      </c>
      <c r="P61" s="37">
        <f>L61+N61</f>
        <v>21243486.290000003</v>
      </c>
    </row>
    <row r="62" spans="1:16" x14ac:dyDescent="0.2">
      <c r="A62" s="3" t="s">
        <v>316</v>
      </c>
      <c r="B62" s="136">
        <f>'KY_Cost Plant Acct-Elec-P14(Reg'!B62+'KY_Cost Plant Acct-Elec-P14(Reg'!B140</f>
        <v>24267178.530000001</v>
      </c>
      <c r="C62" s="136"/>
      <c r="D62" s="136">
        <f>'KY_Cost Plant Acct-Elec-P14(Reg'!D62+'KY_Cost Plant Acct-Elec-P14(Reg'!D140</f>
        <v>396411.68000000063</v>
      </c>
      <c r="E62" s="136"/>
      <c r="F62" s="136">
        <f>'KY_Cost Plant Acct-Elec-P14(Reg'!F62</f>
        <v>-21564.32</v>
      </c>
      <c r="G62" s="136"/>
      <c r="H62" s="136">
        <f>'KY_Cost Plant Acct-Elec-P14(Reg'!H62</f>
        <v>0</v>
      </c>
      <c r="I62" s="136"/>
      <c r="J62" s="136">
        <f t="shared" si="9"/>
        <v>374847.36000000063</v>
      </c>
      <c r="K62" s="136"/>
      <c r="L62" s="136">
        <f t="shared" si="10"/>
        <v>24642025.890000001</v>
      </c>
      <c r="N62" s="37">
        <f>'KY_Res by Plant Acct-P29 (Reg)'!R99</f>
        <v>-5833344.3399999999</v>
      </c>
      <c r="P62" s="37">
        <f t="shared" si="11"/>
        <v>18808681.550000001</v>
      </c>
    </row>
    <row r="63" spans="1:16" x14ac:dyDescent="0.2">
      <c r="A63" s="3" t="s">
        <v>317</v>
      </c>
      <c r="B63" s="136">
        <f>'KY_Cost Plant Acct-Elec-P14(Reg'!B63+'KY_Cost Plant Acct-Elec-P14(Reg'!B141</f>
        <v>235710050.76999998</v>
      </c>
      <c r="C63" s="136"/>
      <c r="D63" s="136">
        <f>'KY_Cost Plant Acct-Elec-P14(Reg'!D63+'KY_Cost Plant Acct-Elec-P14(Reg'!D141</f>
        <v>9518424.6400000006</v>
      </c>
      <c r="E63" s="136"/>
      <c r="F63" s="136">
        <f>'KY_Cost Plant Acct-Elec-P14(Reg'!F63</f>
        <v>-890334.67</v>
      </c>
      <c r="G63" s="136"/>
      <c r="H63" s="136">
        <f>'KY_Cost Plant Acct-Elec-P14(Reg'!H63</f>
        <v>-285046.86</v>
      </c>
      <c r="I63" s="136"/>
      <c r="J63" s="136">
        <f t="shared" si="9"/>
        <v>8343043.1100000003</v>
      </c>
      <c r="K63" s="136"/>
      <c r="L63" s="136">
        <f t="shared" si="10"/>
        <v>244053093.88</v>
      </c>
      <c r="N63" s="37">
        <f>'KY_Res by Plant Acct-P29 (Reg)'!R112</f>
        <v>-78419238.120000005</v>
      </c>
      <c r="P63" s="37">
        <f t="shared" si="11"/>
        <v>165633855.75999999</v>
      </c>
    </row>
    <row r="64" spans="1:16" x14ac:dyDescent="0.2">
      <c r="A64" s="3" t="s">
        <v>318</v>
      </c>
      <c r="B64" s="136">
        <f>'KY_Cost Plant Acct-Elec-P14(Reg'!B64+'KY_Cost Plant Acct-Elec-P14(Reg'!B142</f>
        <v>59076999.049999997</v>
      </c>
      <c r="C64" s="136"/>
      <c r="D64" s="136">
        <f>'KY_Cost Plant Acct-Elec-P14(Reg'!D64+'KY_Cost Plant Acct-Elec-P14(Reg'!D142</f>
        <v>-28677.800000000745</v>
      </c>
      <c r="E64" s="136">
        <f>'KY_Cost Plant Acct-Elec-P14(Reg'!E64+'KY_Cost Plant Acct-Elec-P14(Reg'!E142</f>
        <v>0</v>
      </c>
      <c r="F64" s="136">
        <f>'KY_Cost Plant Acct-Elec-P14(Reg'!F64+'KY_Cost Plant Acct-Elec-P14(Reg'!F142</f>
        <v>-308016.34999999998</v>
      </c>
      <c r="G64" s="136">
        <f>'KY_Cost Plant Acct-Elec-P14(Reg'!G64+'KY_Cost Plant Acct-Elec-P14(Reg'!G142</f>
        <v>0</v>
      </c>
      <c r="H64" s="136">
        <f>'KY_Cost Plant Acct-Elec-P14(Reg'!H64+'KY_Cost Plant Acct-Elec-P14(Reg'!H142</f>
        <v>285046.86</v>
      </c>
      <c r="I64" s="136"/>
      <c r="J64" s="136">
        <f t="shared" si="9"/>
        <v>-51647.290000000736</v>
      </c>
      <c r="K64" s="136"/>
      <c r="L64" s="136">
        <f t="shared" si="10"/>
        <v>59025351.759999998</v>
      </c>
      <c r="N64" s="37">
        <f>'KY_Res by Plant Acct-P29 (Reg)'!R130</f>
        <v>-24421868.510000002</v>
      </c>
      <c r="P64" s="37">
        <f t="shared" si="11"/>
        <v>34603483.25</v>
      </c>
    </row>
    <row r="65" spans="1:16" x14ac:dyDescent="0.2">
      <c r="A65" s="3" t="s">
        <v>319</v>
      </c>
      <c r="B65" s="136">
        <f>'KY_Cost Plant Acct-Elec-P14(Reg'!B65+'KY_Cost Plant Acct-Elec-P14(Reg'!B143</f>
        <v>27643007.049999997</v>
      </c>
      <c r="C65" s="136"/>
      <c r="D65" s="136">
        <f>'KY_Cost Plant Acct-Elec-P14(Reg'!D65+'KY_Cost Plant Acct-Elec-P14(Reg'!D143</f>
        <v>4421052.76</v>
      </c>
      <c r="E65" s="136">
        <f>'KY_Cost Plant Acct-Elec-P14(Reg'!E65+'KY_Cost Plant Acct-Elec-P14(Reg'!E143</f>
        <v>0</v>
      </c>
      <c r="F65" s="136">
        <f>'KY_Cost Plant Acct-Elec-P14(Reg'!F65+'KY_Cost Plant Acct-Elec-P14(Reg'!F143</f>
        <v>0</v>
      </c>
      <c r="G65" s="136">
        <f>'KY_Cost Plant Acct-Elec-P14(Reg'!G65+'KY_Cost Plant Acct-Elec-P14(Reg'!G143</f>
        <v>0</v>
      </c>
      <c r="H65" s="136">
        <f>'KY_Cost Plant Acct-Elec-P14(Reg'!H65+'KY_Cost Plant Acct-Elec-P14(Reg'!H143</f>
        <v>0</v>
      </c>
      <c r="I65" s="136"/>
      <c r="J65" s="136">
        <f t="shared" si="9"/>
        <v>4421052.76</v>
      </c>
      <c r="K65" s="136"/>
      <c r="L65" s="136">
        <f t="shared" si="10"/>
        <v>32064059.809999995</v>
      </c>
      <c r="N65" s="37">
        <f>'KY_Res by Plant Acct-P29 (Reg)'!R148</f>
        <v>-11541912.949999999</v>
      </c>
      <c r="P65" s="37">
        <f t="shared" si="11"/>
        <v>20522146.859999996</v>
      </c>
    </row>
    <row r="66" spans="1:16" x14ac:dyDescent="0.2">
      <c r="A66" s="3" t="s">
        <v>320</v>
      </c>
      <c r="B66" s="136">
        <f>'KY_Cost Plant Acct-Elec-P14(Reg'!B66+'KY_Cost Plant Acct-Elec-P14(Reg'!B144</f>
        <v>4924768.88</v>
      </c>
      <c r="C66" s="136"/>
      <c r="D66" s="136">
        <f>'KY_Cost Plant Acct-Elec-P14(Reg'!D66+'KY_Cost Plant Acct-Elec-P14(Reg'!D144</f>
        <v>100335.85</v>
      </c>
      <c r="E66" s="136">
        <f>'KY_Cost Plant Acct-Elec-P14(Reg'!E66+'KY_Cost Plant Acct-Elec-P14(Reg'!E144</f>
        <v>0</v>
      </c>
      <c r="F66" s="136">
        <f>'KY_Cost Plant Acct-Elec-P14(Reg'!F66+'KY_Cost Plant Acct-Elec-P14(Reg'!F144</f>
        <v>-22884.799999999999</v>
      </c>
      <c r="G66" s="136">
        <f>'KY_Cost Plant Acct-Elec-P14(Reg'!G66+'KY_Cost Plant Acct-Elec-P14(Reg'!G144</f>
        <v>0</v>
      </c>
      <c r="H66" s="136">
        <f>'KY_Cost Plant Acct-Elec-P14(Reg'!H66+'KY_Cost Plant Acct-Elec-P14(Reg'!H144</f>
        <v>0</v>
      </c>
      <c r="I66" s="136"/>
      <c r="J66" s="136">
        <f t="shared" si="9"/>
        <v>77451.05</v>
      </c>
      <c r="K66" s="136"/>
      <c r="L66" s="136">
        <f t="shared" si="10"/>
        <v>5002219.93</v>
      </c>
      <c r="N66" s="37">
        <f>'KY_Res by Plant Acct-P29 (Reg)'!R164</f>
        <v>-2119593.7799999998</v>
      </c>
      <c r="P66" s="37">
        <f t="shared" si="11"/>
        <v>2882626.15</v>
      </c>
    </row>
    <row r="67" spans="1:16" x14ac:dyDescent="0.2">
      <c r="A67" s="3" t="s">
        <v>321</v>
      </c>
      <c r="B67" s="136">
        <f>'KY_Cost Plant Acct-Elec-P14(Reg'!B67</f>
        <v>15555.48</v>
      </c>
      <c r="C67" s="136"/>
      <c r="D67" s="136">
        <f>'KY_Cost Plant Acct-Elec-P14(Reg'!D67</f>
        <v>0</v>
      </c>
      <c r="E67" s="136"/>
      <c r="F67" s="136">
        <f>'KY_Cost Plant Acct-Elec-P14(Reg'!F67</f>
        <v>0</v>
      </c>
      <c r="G67" s="136"/>
      <c r="H67" s="136">
        <f>'KY_Cost Plant Acct-Elec-P14(Reg'!H67</f>
        <v>0</v>
      </c>
      <c r="I67" s="136"/>
      <c r="J67" s="136">
        <f t="shared" si="9"/>
        <v>0</v>
      </c>
      <c r="K67" s="136"/>
      <c r="L67" s="136">
        <f t="shared" si="10"/>
        <v>15555.48</v>
      </c>
      <c r="N67" s="37">
        <f>'KY_Res by Plant Acct-P29 (Reg)'!R165</f>
        <v>-5610.7199999999975</v>
      </c>
      <c r="P67" s="37">
        <f t="shared" si="11"/>
        <v>9944.760000000002</v>
      </c>
    </row>
    <row r="68" spans="1:16" x14ac:dyDescent="0.2">
      <c r="A68" s="3" t="s">
        <v>322</v>
      </c>
      <c r="B68" s="151">
        <f>'KY_Cost Plant Acct-Elec-P14(Reg'!B68</f>
        <v>62543.96</v>
      </c>
      <c r="C68" s="136"/>
      <c r="D68" s="151">
        <f>'KY_Cost Plant Acct-Elec-P14(Reg'!D68</f>
        <v>0</v>
      </c>
      <c r="E68" s="136"/>
      <c r="F68" s="151">
        <f>'KY_Cost Plant Acct-Elec-P14(Reg'!F68</f>
        <v>0</v>
      </c>
      <c r="G68" s="136"/>
      <c r="H68" s="151">
        <f>'KY_Cost Plant Acct-Elec-P14(Reg'!H68</f>
        <v>33884.6</v>
      </c>
      <c r="I68" s="136"/>
      <c r="J68" s="151">
        <f t="shared" si="9"/>
        <v>33884.6</v>
      </c>
      <c r="K68" s="133"/>
      <c r="L68" s="151">
        <f t="shared" si="10"/>
        <v>96428.56</v>
      </c>
      <c r="N68" s="134">
        <f>'KY_Res by Plant Acct-P29 (Reg)'!R166</f>
        <v>-8008.09</v>
      </c>
      <c r="P68" s="134">
        <f t="shared" si="11"/>
        <v>88420.47</v>
      </c>
    </row>
    <row r="69" spans="1:16" x14ac:dyDescent="0.2">
      <c r="B69" s="133">
        <f>SUM(B60:B68)</f>
        <v>384919839.82999998</v>
      </c>
      <c r="C69" s="133"/>
      <c r="D69" s="133">
        <f>SUM(D60:D68)</f>
        <v>14927032.699999999</v>
      </c>
      <c r="E69" s="133"/>
      <c r="F69" s="133">
        <f>SUM(F60:F68)</f>
        <v>-1242800.1399999999</v>
      </c>
      <c r="G69" s="133"/>
      <c r="H69" s="133">
        <f>SUM(H60:H68)</f>
        <v>33884.6</v>
      </c>
      <c r="I69" s="133"/>
      <c r="J69" s="133">
        <f>SUM(J60:J68)</f>
        <v>13718117.16</v>
      </c>
      <c r="K69" s="133"/>
      <c r="L69" s="133">
        <f>SUM(L60:L68)</f>
        <v>398637956.99000001</v>
      </c>
      <c r="N69" s="37">
        <f>SUM(N60:N68)</f>
        <v>-134721433.24000001</v>
      </c>
      <c r="P69" s="37">
        <f>SUM(P60:P68)</f>
        <v>263916523.74999997</v>
      </c>
    </row>
    <row r="70" spans="1:16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1:16" x14ac:dyDescent="0.2">
      <c r="A71" s="9" t="s">
        <v>325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1:16" x14ac:dyDescent="0.2">
      <c r="A72" s="3" t="s">
        <v>326</v>
      </c>
      <c r="B72" s="133">
        <f>'KY_Cost Plant Acct-Elec-P14(Reg'!B72+'KY_Cost Plant Acct-Elec-P14(Reg'!B147</f>
        <v>7266610.4499999993</v>
      </c>
      <c r="C72" s="133"/>
      <c r="D72" s="133">
        <f>'KY_Cost Plant Acct-Elec-P14(Reg'!D72+'KY_Cost Plant Acct-Elec-P14(Reg'!D147</f>
        <v>1245242.0900000001</v>
      </c>
      <c r="E72" s="133"/>
      <c r="F72" s="133">
        <f>'KY_Cost Plant Acct-Elec-P14(Reg'!F72+'KY_Cost Plant Acct-Elec-P14(Reg'!F147</f>
        <v>0</v>
      </c>
      <c r="G72" s="133"/>
      <c r="H72" s="133">
        <f>'KY_Cost Plant Acct-Elec-P14(Reg'!H72+'KY_Cost Plant Acct-Elec-P14(Reg'!H147</f>
        <v>0</v>
      </c>
      <c r="I72" s="133"/>
      <c r="J72" s="133">
        <f t="shared" ref="J72:J83" si="12">H72+F72+D72</f>
        <v>1245242.0900000001</v>
      </c>
      <c r="K72" s="133"/>
      <c r="L72" s="136">
        <f t="shared" ref="L72:L83" si="13">B72+J72</f>
        <v>8511852.5399999991</v>
      </c>
      <c r="N72" s="37">
        <f>'KY_Res by Plant Acct-P29 (Reg)'!R170</f>
        <v>0</v>
      </c>
      <c r="P72" s="37">
        <f t="shared" ref="P72:P84" si="14">L72+N72</f>
        <v>8511852.5399999991</v>
      </c>
    </row>
    <row r="73" spans="1:16" x14ac:dyDescent="0.2">
      <c r="A73" s="3" t="s">
        <v>327</v>
      </c>
      <c r="B73" s="133">
        <f>'KY_Cost Plant Acct-Elec-P14(Reg'!B73</f>
        <v>0</v>
      </c>
      <c r="C73" s="133"/>
      <c r="D73" s="133">
        <f>'KY_Cost Plant Acct-Elec-P14(Reg'!D73</f>
        <v>0</v>
      </c>
      <c r="E73" s="133"/>
      <c r="F73" s="133">
        <f>'KY_Cost Plant Acct-Elec-P14(Reg'!F73</f>
        <v>0</v>
      </c>
      <c r="G73" s="133"/>
      <c r="H73" s="133">
        <f>'KY_Cost Plant Acct-Elec-P14(Reg'!H73</f>
        <v>0</v>
      </c>
      <c r="I73" s="133"/>
      <c r="J73" s="133">
        <f>H73+F73+D73</f>
        <v>0</v>
      </c>
      <c r="K73" s="133"/>
      <c r="L73" s="136">
        <f>B73+J73</f>
        <v>0</v>
      </c>
      <c r="N73" s="37">
        <f>'KY_Res by Plant Acct-P29 (Reg)'!R172</f>
        <v>0</v>
      </c>
      <c r="P73" s="37">
        <f>L73+N73</f>
        <v>0</v>
      </c>
    </row>
    <row r="74" spans="1:16" x14ac:dyDescent="0.2">
      <c r="A74" s="3" t="s">
        <v>328</v>
      </c>
      <c r="B74" s="133">
        <f>'KY_Cost Plant Acct-Elec-P14(Reg'!B74</f>
        <v>360851.26</v>
      </c>
      <c r="C74" s="133"/>
      <c r="D74" s="133">
        <f>'KY_Cost Plant Acct-Elec-P14(Reg'!D74</f>
        <v>0</v>
      </c>
      <c r="E74" s="133"/>
      <c r="F74" s="133">
        <f>'KY_Cost Plant Acct-Elec-P14(Reg'!F74</f>
        <v>0</v>
      </c>
      <c r="G74" s="133"/>
      <c r="H74" s="133">
        <f>'KY_Cost Plant Acct-Elec-P14(Reg'!H74</f>
        <v>0</v>
      </c>
      <c r="I74" s="133"/>
      <c r="J74" s="133">
        <f>H74+F74+D74</f>
        <v>0</v>
      </c>
      <c r="K74" s="133"/>
      <c r="L74" s="136">
        <f>B74+J74</f>
        <v>360851.26</v>
      </c>
      <c r="N74" s="37">
        <f>'KY_Res by Plant Acct-P29 (Reg)'!R173</f>
        <v>0</v>
      </c>
      <c r="P74" s="37">
        <f>L74+N74</f>
        <v>360851.26</v>
      </c>
    </row>
    <row r="75" spans="1:16" x14ac:dyDescent="0.2">
      <c r="A75" s="3" t="s">
        <v>330</v>
      </c>
      <c r="B75" s="133">
        <f>'KY_Cost Plant Acct-Elec-P14(Reg'!B75+'KY_Cost Plant Acct-Elec-P14(Reg'!B148+'Capital Leased Prop P25 (Reg)'!B10</f>
        <v>299174387.54000002</v>
      </c>
      <c r="C75" s="133"/>
      <c r="D75" s="133">
        <f>'KY_Cost Plant Acct-Elec-P14(Reg'!D75+'KY_Cost Plant Acct-Elec-P14(Reg'!D148</f>
        <v>3070494.13</v>
      </c>
      <c r="E75" s="133"/>
      <c r="F75" s="133">
        <f>'KY_Cost Plant Acct-Elec-P14(Reg'!F75</f>
        <v>-209322.45</v>
      </c>
      <c r="G75" s="133"/>
      <c r="H75" s="133">
        <f>'KY_Cost Plant Acct-Elec-P14(Reg'!H75+'Capital Leased Prop P25 (Reg)'!H10</f>
        <v>0</v>
      </c>
      <c r="I75" s="133"/>
      <c r="J75" s="133">
        <f t="shared" si="12"/>
        <v>2861171.6799999997</v>
      </c>
      <c r="K75" s="133"/>
      <c r="L75" s="136">
        <f t="shared" si="13"/>
        <v>302035559.22000003</v>
      </c>
      <c r="N75" s="37">
        <f>'KY_Res by Plant Acct-P29 (Reg)'!R210+'KY_Res by Plant Acct-P29 (Reg)'!R223+'KY_Res by Plant Acct-P29 (Reg)'!R220</f>
        <v>-184898205.53999999</v>
      </c>
      <c r="P75" s="37">
        <f t="shared" si="14"/>
        <v>117137353.68000004</v>
      </c>
    </row>
    <row r="76" spans="1:16" x14ac:dyDescent="0.2">
      <c r="A76" s="3" t="s">
        <v>331</v>
      </c>
      <c r="B76" s="133">
        <f>'KY_Cost Plant Acct-Elec-P14(Reg'!B76+'KY_Cost Plant Acct-Elec-P14(Reg'!B149</f>
        <v>0</v>
      </c>
      <c r="C76" s="133"/>
      <c r="D76" s="133">
        <f>'KY_Cost Plant Acct-Elec-P14(Reg'!D76+'KY_Cost Plant Acct-Elec-P14(Reg'!D149</f>
        <v>0</v>
      </c>
      <c r="E76" s="133"/>
      <c r="F76" s="133">
        <f>'KY_Cost Plant Acct-Elec-P14(Reg'!F76+'KY_Cost Plant Acct-Elec-P14(Reg'!F149</f>
        <v>0</v>
      </c>
      <c r="G76" s="133"/>
      <c r="H76" s="133">
        <f>'KY_Cost Plant Acct-Elec-P14(Reg'!H76+'KY_Cost Plant Acct-Elec-P14(Reg'!H149</f>
        <v>0</v>
      </c>
      <c r="I76" s="133"/>
      <c r="J76" s="133">
        <f t="shared" si="12"/>
        <v>0</v>
      </c>
      <c r="K76" s="133"/>
      <c r="L76" s="136">
        <f t="shared" si="13"/>
        <v>0</v>
      </c>
      <c r="N76" s="37">
        <f>'KY_Res by Plant Acct-P29 (Reg)'!R219</f>
        <v>7.8580342233181E-10</v>
      </c>
      <c r="P76" s="37">
        <f t="shared" si="14"/>
        <v>7.8580342233181E-10</v>
      </c>
    </row>
    <row r="77" spans="1:16" x14ac:dyDescent="0.2">
      <c r="A77" s="3" t="s">
        <v>333</v>
      </c>
      <c r="B77" s="133">
        <f>'KY_Cost Plant Acct-Elec-P14(Reg'!B77+'KY_Cost Plant Acct-Elec-P14(Reg'!B150</f>
        <v>2158959344.3000002</v>
      </c>
      <c r="C77" s="133"/>
      <c r="D77" s="133">
        <f>'KY_Cost Plant Acct-Elec-P14(Reg'!D77+'KY_Cost Plant Acct-Elec-P14(Reg'!D150</f>
        <v>40762146.579999998</v>
      </c>
      <c r="E77" s="133"/>
      <c r="F77" s="133">
        <f>'KY_Cost Plant Acct-Elec-P14(Reg'!F77</f>
        <v>-13091124.68</v>
      </c>
      <c r="G77" s="133"/>
      <c r="H77" s="133">
        <f>'KY_Cost Plant Acct-Elec-P14(Reg'!H77+'KY_Cost Plant Acct-Elec-P14(Reg'!H150</f>
        <v>0</v>
      </c>
      <c r="I77" s="133"/>
      <c r="J77" s="133">
        <f t="shared" si="12"/>
        <v>27671021.899999999</v>
      </c>
      <c r="K77" s="133"/>
      <c r="L77" s="136">
        <f t="shared" si="13"/>
        <v>2186630366.2000003</v>
      </c>
      <c r="N77" s="37">
        <f>'KY_Res by Plant Acct-P29 (Reg)'!R285</f>
        <v>-470119170.32999986</v>
      </c>
      <c r="P77" s="37">
        <f t="shared" si="14"/>
        <v>1716511195.8700004</v>
      </c>
    </row>
    <row r="78" spans="1:16" x14ac:dyDescent="0.2">
      <c r="A78" s="3" t="s">
        <v>334</v>
      </c>
      <c r="B78" s="133">
        <f>'KY_Cost Plant Acct-Elec-P14(Reg'!B78</f>
        <v>0</v>
      </c>
      <c r="C78" s="133"/>
      <c r="D78" s="133">
        <f>'KY_Cost Plant Acct-Elec-P14(Reg'!D78</f>
        <v>0</v>
      </c>
      <c r="E78" s="133"/>
      <c r="F78" s="133">
        <f>'KY_Cost Plant Acct-Elec-P14(Reg'!F78</f>
        <v>0</v>
      </c>
      <c r="G78" s="133"/>
      <c r="H78" s="133">
        <f>'KY_Cost Plant Acct-Elec-P14(Reg'!H78</f>
        <v>0</v>
      </c>
      <c r="I78" s="133"/>
      <c r="J78" s="133">
        <f t="shared" si="12"/>
        <v>0</v>
      </c>
      <c r="K78" s="133"/>
      <c r="L78" s="136">
        <f t="shared" si="13"/>
        <v>0</v>
      </c>
      <c r="N78" s="37">
        <f>'KY_Res by Plant Acct-P29 (Reg)'!R288</f>
        <v>0</v>
      </c>
      <c r="P78" s="37">
        <f t="shared" si="14"/>
        <v>0</v>
      </c>
    </row>
    <row r="79" spans="1:16" x14ac:dyDescent="0.2">
      <c r="A79" s="3" t="s">
        <v>336</v>
      </c>
      <c r="B79" s="133">
        <f>'KY_Cost Plant Acct-Elec-P14(Reg'!B79+'KY_Cost Plant Acct-Elec-P14(Reg'!B151</f>
        <v>225183311.04999998</v>
      </c>
      <c r="C79" s="133"/>
      <c r="D79" s="133">
        <f>'KY_Cost Plant Acct-Elec-P14(Reg'!D79+'KY_Cost Plant Acct-Elec-P14(Reg'!D151</f>
        <v>2873479.43</v>
      </c>
      <c r="E79" s="133"/>
      <c r="F79" s="133">
        <f>'KY_Cost Plant Acct-Elec-P14(Reg'!F79</f>
        <v>-1207097.31</v>
      </c>
      <c r="G79" s="133"/>
      <c r="H79" s="133">
        <f>'KY_Cost Plant Acct-Elec-P14(Reg'!H79</f>
        <v>0</v>
      </c>
      <c r="I79" s="133"/>
      <c r="J79" s="133">
        <f t="shared" si="12"/>
        <v>1666382.12</v>
      </c>
      <c r="K79" s="133"/>
      <c r="L79" s="136">
        <f t="shared" si="13"/>
        <v>226849693.16999999</v>
      </c>
      <c r="N79" s="37">
        <f>'KY_Res by Plant Acct-P29 (Reg)'!R302</f>
        <v>-104828089.14000002</v>
      </c>
      <c r="P79" s="37">
        <f t="shared" si="14"/>
        <v>122021604.02999997</v>
      </c>
    </row>
    <row r="80" spans="1:16" x14ac:dyDescent="0.2">
      <c r="A80" s="3" t="s">
        <v>337</v>
      </c>
      <c r="B80" s="133">
        <f>'KY_Cost Plant Acct-Elec-P14(Reg'!B80+'KY_Cost Plant Acct-Elec-P14(Reg'!B152</f>
        <v>165273718.11999997</v>
      </c>
      <c r="C80" s="133"/>
      <c r="D80" s="133">
        <f>'KY_Cost Plant Acct-Elec-P14(Reg'!D80+'KY_Cost Plant Acct-Elec-P14(Reg'!D152</f>
        <v>17143820.5</v>
      </c>
      <c r="E80" s="133"/>
      <c r="F80" s="133">
        <f>'KY_Cost Plant Acct-Elec-P14(Reg'!F80</f>
        <v>-22054.35</v>
      </c>
      <c r="G80" s="133"/>
      <c r="H80" s="133">
        <f>'KY_Cost Plant Acct-Elec-P14(Reg'!H80</f>
        <v>0</v>
      </c>
      <c r="I80" s="133"/>
      <c r="J80" s="133">
        <f t="shared" si="12"/>
        <v>17121766.149999999</v>
      </c>
      <c r="K80" s="133"/>
      <c r="L80" s="136">
        <f t="shared" si="13"/>
        <v>182395484.26999998</v>
      </c>
      <c r="N80" s="37">
        <f>'KY_Res by Plant Acct-P29 (Reg)'!R334</f>
        <v>-86748968.900000006</v>
      </c>
      <c r="P80" s="37">
        <f t="shared" si="14"/>
        <v>95646515.369999975</v>
      </c>
    </row>
    <row r="81" spans="1:16" x14ac:dyDescent="0.2">
      <c r="A81" s="3" t="s">
        <v>338</v>
      </c>
      <c r="B81" s="133">
        <f>'KY_Cost Plant Acct-Elec-P14(Reg'!B81</f>
        <v>0</v>
      </c>
      <c r="C81" s="133"/>
      <c r="D81" s="133">
        <f>'KY_Cost Plant Acct-Elec-P14(Reg'!D81</f>
        <v>0</v>
      </c>
      <c r="E81" s="133"/>
      <c r="F81" s="133">
        <f>'KY_Cost Plant Acct-Elec-P14(Reg'!F81</f>
        <v>0</v>
      </c>
      <c r="G81" s="133"/>
      <c r="H81" s="133">
        <f>'KY_Cost Plant Acct-Elec-P14(Reg'!H81</f>
        <v>0</v>
      </c>
      <c r="I81" s="133"/>
      <c r="J81" s="133">
        <f t="shared" si="12"/>
        <v>0</v>
      </c>
      <c r="K81" s="133"/>
      <c r="L81" s="136">
        <f t="shared" si="13"/>
        <v>0</v>
      </c>
      <c r="N81" s="37">
        <f>'KY_Res by Plant Acct-P29 (Reg)'!R343</f>
        <v>0</v>
      </c>
      <c r="P81" s="37">
        <f t="shared" si="14"/>
        <v>0</v>
      </c>
    </row>
    <row r="82" spans="1:16" x14ac:dyDescent="0.2">
      <c r="A82" s="3" t="s">
        <v>340</v>
      </c>
      <c r="B82" s="133">
        <f>'KY_Cost Plant Acct-Elec-P14(Reg'!B82+'KY_Cost Plant Acct-Elec-P14(Reg'!B153</f>
        <v>18704349.430000007</v>
      </c>
      <c r="C82" s="133"/>
      <c r="D82" s="133">
        <f>'KY_Cost Plant Acct-Elec-P14(Reg'!D82+'KY_Cost Plant Acct-Elec-P14(Reg'!D153</f>
        <v>1820692.33</v>
      </c>
      <c r="E82" s="133">
        <f>'KY_Cost Plant Acct-Elec-P14(Reg'!E82+'KY_Cost Plant Acct-Elec-P14(Reg'!E153</f>
        <v>0</v>
      </c>
      <c r="F82" s="133">
        <f>'KY_Cost Plant Acct-Elec-P14(Reg'!F82+'KY_Cost Plant Acct-Elec-P14(Reg'!F153</f>
        <v>-207366.95</v>
      </c>
      <c r="G82" s="133">
        <f>'KY_Cost Plant Acct-Elec-P14(Reg'!G82+'KY_Cost Plant Acct-Elec-P14(Reg'!G153</f>
        <v>0</v>
      </c>
      <c r="H82" s="133">
        <f>'KY_Cost Plant Acct-Elec-P14(Reg'!H82+'KY_Cost Plant Acct-Elec-P14(Reg'!H153</f>
        <v>0</v>
      </c>
      <c r="I82" s="133"/>
      <c r="J82" s="133">
        <f t="shared" si="12"/>
        <v>1613325.3800000001</v>
      </c>
      <c r="K82" s="133"/>
      <c r="L82" s="136">
        <f t="shared" si="13"/>
        <v>20317674.810000006</v>
      </c>
      <c r="N82" s="37">
        <f>'KY_Res by Plant Acct-P29 (Reg)'!R364</f>
        <v>-6903069.0900000008</v>
      </c>
      <c r="P82" s="37">
        <f t="shared" si="14"/>
        <v>13414605.720000006</v>
      </c>
    </row>
    <row r="83" spans="1:16" x14ac:dyDescent="0.2">
      <c r="A83" s="3" t="s">
        <v>341</v>
      </c>
      <c r="B83" s="133">
        <f>'KY_Cost Plant Acct-Elec-P14(Reg'!B83</f>
        <v>45021427.200000003</v>
      </c>
      <c r="C83" s="133"/>
      <c r="D83" s="133">
        <f>'KY_Cost Plant Acct-Elec-P14(Reg'!D83</f>
        <v>0</v>
      </c>
      <c r="E83" s="133"/>
      <c r="F83" s="133">
        <f>'KY_Cost Plant Acct-Elec-P14(Reg'!F83</f>
        <v>-20817965.800000001</v>
      </c>
      <c r="G83" s="133"/>
      <c r="H83" s="133">
        <f>'KY_Cost Plant Acct-Elec-P14(Reg'!H83</f>
        <v>-803347.02</v>
      </c>
      <c r="I83" s="133"/>
      <c r="J83" s="133">
        <f t="shared" si="12"/>
        <v>-21621312.82</v>
      </c>
      <c r="K83" s="133"/>
      <c r="L83" s="133">
        <f t="shared" si="13"/>
        <v>23400114.380000003</v>
      </c>
      <c r="M83" s="29"/>
      <c r="N83" s="36">
        <f>'KY_Res by Plant Acct-P29 (Reg)'!R365</f>
        <v>-7931756.0799999945</v>
      </c>
      <c r="O83" s="29"/>
      <c r="P83" s="36">
        <f t="shared" si="14"/>
        <v>15468358.300000008</v>
      </c>
    </row>
    <row r="84" spans="1:16" x14ac:dyDescent="0.2">
      <c r="A84" s="3" t="s">
        <v>342</v>
      </c>
      <c r="B84" s="151">
        <f>'KY_Cost Plant Acct-Elec-P14(Reg'!B84</f>
        <v>81908780.349999994</v>
      </c>
      <c r="C84" s="133"/>
      <c r="D84" s="151">
        <f>'KY_Cost Plant Acct-Elec-P14(Reg'!D84</f>
        <v>0</v>
      </c>
      <c r="E84" s="133"/>
      <c r="F84" s="151">
        <f>'KY_Cost Plant Acct-Elec-P14(Reg'!F84</f>
        <v>0</v>
      </c>
      <c r="G84" s="133"/>
      <c r="H84" s="151">
        <f>'KY_Cost Plant Acct-Elec-P14(Reg'!H84</f>
        <v>-8312784.9499999993</v>
      </c>
      <c r="I84" s="133"/>
      <c r="J84" s="151">
        <f>'KY_Cost Plant Acct-Elec-P14(Reg'!J84</f>
        <v>-8312784.9499999993</v>
      </c>
      <c r="K84" s="133"/>
      <c r="L84" s="151">
        <f>'KY_Cost Plant Acct-Elec-P14(Reg'!L84</f>
        <v>73595995.399999991</v>
      </c>
      <c r="N84" s="36">
        <f>'KY_Res by Plant Acct-P29 (Reg)'!R366</f>
        <v>-28080861.100000001</v>
      </c>
      <c r="P84" s="36">
        <f t="shared" si="14"/>
        <v>45515134.29999999</v>
      </c>
    </row>
    <row r="85" spans="1:16" x14ac:dyDescent="0.2">
      <c r="B85" s="133">
        <f>SUM(B72:B84)</f>
        <v>3001852779.6999998</v>
      </c>
      <c r="C85" s="133"/>
      <c r="D85" s="133">
        <f>SUM(D72:D84)</f>
        <v>66915875.059999995</v>
      </c>
      <c r="E85" s="133"/>
      <c r="F85" s="133">
        <f>SUM(F72:F84)</f>
        <v>-35554931.539999999</v>
      </c>
      <c r="G85" s="133"/>
      <c r="H85" s="133">
        <f>SUM(H72:H84)</f>
        <v>-9116131.9699999988</v>
      </c>
      <c r="I85" s="133"/>
      <c r="J85" s="133">
        <f>SUM(J72:J84)</f>
        <v>22244811.550000001</v>
      </c>
      <c r="K85" s="133"/>
      <c r="L85" s="133">
        <f>SUM(L72:L84)</f>
        <v>3024097591.2500005</v>
      </c>
      <c r="N85" s="150">
        <f>SUM(N72:N84)</f>
        <v>-889510120.17999995</v>
      </c>
      <c r="P85" s="150">
        <f>SUM(P72:P84)</f>
        <v>2134587471.0700002</v>
      </c>
    </row>
    <row r="86" spans="1:16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6" x14ac:dyDescent="0.2">
      <c r="A87" s="9" t="s">
        <v>24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  <row r="88" spans="1:16" x14ac:dyDescent="0.2">
      <c r="A88" s="3" t="s">
        <v>344</v>
      </c>
      <c r="B88" s="133">
        <f>'KY_Cost Plant Acct-Elec-P14(Reg'!B88+'IN_Total PIS_Elec_NBV-P15 (Reg)'!B15</f>
        <v>8587652.5899999999</v>
      </c>
      <c r="C88" s="133"/>
      <c r="D88" s="133">
        <f>'KY_Cost Plant Acct-Elec-P14(Reg'!D88+'IN_Total PIS_Elec_NBV-P15 (Reg)'!D15</f>
        <v>0</v>
      </c>
      <c r="E88" s="133"/>
      <c r="F88" s="133">
        <f>'KY_Cost Plant Acct-Elec-P14(Reg'!F88+'IN_Total PIS_Elec_NBV-P15 (Reg)'!F15</f>
        <v>0</v>
      </c>
      <c r="G88" s="133"/>
      <c r="H88" s="133">
        <f>'KY_Cost Plant Acct-Elec-P14(Reg'!H88+'IN_Total PIS_Elec_NBV-P15 (Reg)'!H15</f>
        <v>0</v>
      </c>
      <c r="I88" s="133"/>
      <c r="J88" s="133">
        <f t="shared" ref="J88:J101" si="15">H88+F88+D88</f>
        <v>0</v>
      </c>
      <c r="K88" s="133"/>
      <c r="L88" s="136">
        <f t="shared" ref="L88:L101" si="16">B88+J88</f>
        <v>8587652.5899999999</v>
      </c>
      <c r="N88" s="37">
        <f>'KY_Res by Plant Acct-P29 (Reg)'!R370+'IN_Total PIS_Elec_NBV-P15 (Reg)'!N15</f>
        <v>-3207208.3000000003</v>
      </c>
      <c r="P88" s="37">
        <f t="shared" ref="P88:P101" si="17">L88+N88</f>
        <v>5380444.2899999991</v>
      </c>
    </row>
    <row r="89" spans="1:16" x14ac:dyDescent="0.2">
      <c r="A89" s="3" t="s">
        <v>345</v>
      </c>
      <c r="B89" s="133">
        <f>'KY_Cost Plant Acct-Elec-P14(Reg'!B89+'IN_Total PIS_Elec_NBV-P15 (Reg)'!B16</f>
        <v>2556509.4299999997</v>
      </c>
      <c r="C89" s="133"/>
      <c r="D89" s="133">
        <f>'KY_Cost Plant Acct-Elec-P14(Reg'!D89+'IN_Cost Plant Acct-Elec-P16(Reg'!D12</f>
        <v>0</v>
      </c>
      <c r="E89" s="133"/>
      <c r="F89" s="133">
        <f>'KY_Cost Plant Acct-Elec-P14(Reg'!F89+'IN_Cost Plant Acct-Elec-P16(Reg'!F12</f>
        <v>0</v>
      </c>
      <c r="G89" s="133"/>
      <c r="H89" s="133">
        <f>'KY_Cost Plant Acct-Elec-P14(Reg'!H89+'IN_Cost Plant Acct-Elec-P16(Reg'!H12</f>
        <v>0</v>
      </c>
      <c r="I89" s="133"/>
      <c r="J89" s="133">
        <f t="shared" si="15"/>
        <v>0</v>
      </c>
      <c r="K89" s="133"/>
      <c r="L89" s="136">
        <f t="shared" si="16"/>
        <v>2556509.4299999997</v>
      </c>
      <c r="N89" s="37">
        <f>'IN_Total PIS_Elec_NBV-P15 (Reg)'!N16+'KY_Res by Plant Acct-P29 (Reg)'!R371</f>
        <v>0</v>
      </c>
      <c r="P89" s="37">
        <f t="shared" si="17"/>
        <v>2556509.4299999997</v>
      </c>
    </row>
    <row r="90" spans="1:16" x14ac:dyDescent="0.2">
      <c r="A90" s="21" t="s">
        <v>347</v>
      </c>
      <c r="B90" s="133">
        <f>'KY_Cost Plant Acct-Elec-P14(Reg'!B90+'KY_Cost Plant Acct-Elec-P14(Reg'!B158+'IN_Total PIS_Elec_NBV-P15 (Reg)'!B17</f>
        <v>17097340.370000001</v>
      </c>
      <c r="C90" s="133"/>
      <c r="D90" s="133">
        <f>'KY_Cost Plant Acct-Elec-P14(Reg'!D90+'KY_Cost Plant Acct-Elec-P14(Reg'!D158+'IN_Total PIS_Elec_NBV-P15 (Reg)'!D17</f>
        <v>127435.23000000001</v>
      </c>
      <c r="E90" s="133"/>
      <c r="F90" s="133">
        <f>'KY_Cost Plant Acct-Elec-P14(Reg'!F90+'IN_Total PIS_Elec_NBV-P15 (Reg)'!F17</f>
        <v>-26705.65</v>
      </c>
      <c r="G90" s="133"/>
      <c r="H90" s="133">
        <f>'KY_Cost Plant Acct-Elec-P14(Reg'!H90+'IN_Total PIS_Elec_NBV-P15 (Reg)'!H17</f>
        <v>-72053.22</v>
      </c>
      <c r="I90" s="133"/>
      <c r="J90" s="133">
        <f t="shared" si="15"/>
        <v>28676.360000000015</v>
      </c>
      <c r="K90" s="133"/>
      <c r="L90" s="136">
        <f>B90+J90</f>
        <v>17126016.73</v>
      </c>
      <c r="N90" s="37">
        <f>'KY_Res by Plant Acct-P29 (Reg)'!R372+'KY_Res by Plant Acct-P29 (Reg)'!R373+'IN_Total PIS_Elec_NBV-P15 (Reg)'!N17+'KY_Res by Plant Acct-P29 (Reg)'!R375</f>
        <v>-2388981.0499999998</v>
      </c>
      <c r="P90" s="37">
        <f t="shared" si="17"/>
        <v>14737035.68</v>
      </c>
    </row>
    <row r="91" spans="1:16" x14ac:dyDescent="0.2">
      <c r="A91" s="21" t="s">
        <v>2873</v>
      </c>
      <c r="B91" s="133">
        <f>'KY_Cost Plant Acct-Elec-P14(Reg'!B159</f>
        <v>0</v>
      </c>
      <c r="C91" s="133"/>
      <c r="D91" s="133">
        <f>'KY_Cost Plant Acct-Elec-P14(Reg'!D159</f>
        <v>0</v>
      </c>
      <c r="E91" s="133"/>
      <c r="F91" s="133">
        <f>'KY_Cost Plant Acct-Elec-P14(Reg'!F159</f>
        <v>0</v>
      </c>
      <c r="G91" s="133"/>
      <c r="H91" s="133">
        <f>'KY_Cost Plant Acct-Elec-P14(Reg'!H159</f>
        <v>0</v>
      </c>
      <c r="I91" s="133"/>
      <c r="J91" s="133">
        <f t="shared" si="15"/>
        <v>0</v>
      </c>
      <c r="K91" s="133"/>
      <c r="L91" s="136">
        <f>B91+J91</f>
        <v>0</v>
      </c>
      <c r="N91" s="37">
        <f>'KY_Res by Plant Acct-P29 (Reg)'!R374</f>
        <v>-33.840000000000003</v>
      </c>
      <c r="P91" s="37">
        <f t="shared" si="17"/>
        <v>-33.840000000000003</v>
      </c>
    </row>
    <row r="92" spans="1:16" x14ac:dyDescent="0.2">
      <c r="A92" s="3" t="s">
        <v>349</v>
      </c>
      <c r="B92" s="133">
        <f>+'KY_Cost Plant Acct-Elec-P14(Reg'!B91+'KY_Cost Plant Acct-Elec-P14(Reg'!B160+'IN_Cost Plant Acct-Elec-P16(Reg'!B14+'IN_Cost Plant Acct-Elec-P16(Reg'!B31</f>
        <v>193112566.86999997</v>
      </c>
      <c r="C92" s="133"/>
      <c r="D92" s="133">
        <f>+'KY_Cost Plant Acct-Elec-P14(Reg'!D91+'KY_Cost Plant Acct-Elec-P14(Reg'!D160+'IN_Cost Plant Acct-Elec-P16(Reg'!D14+'IN_Cost Plant Acct-Elec-P16(Reg'!D31</f>
        <v>3765217.2699999996</v>
      </c>
      <c r="E92" s="133"/>
      <c r="F92" s="133">
        <f>+'KY_Cost Plant Acct-Elec-P14(Reg'!F91+'KY_Cost Plant Acct-Elec-P14(Reg'!F160+'IN_Cost Plant Acct-Elec-P16(Reg'!F14+'IN_Cost Plant Acct-Elec-P16(Reg'!F31</f>
        <v>-1324026.52</v>
      </c>
      <c r="G92" s="133"/>
      <c r="H92" s="133">
        <f>+'KY_Cost Plant Acct-Elec-P14(Reg'!H91+'KY_Cost Plant Acct-Elec-P14(Reg'!H160+'IN_Cost Plant Acct-Elec-P16(Reg'!H14+'IN_Cost Plant Acct-Elec-P16(Reg'!H31</f>
        <v>1041297.96</v>
      </c>
      <c r="I92" s="133"/>
      <c r="J92" s="133">
        <f>H92+F92+D92</f>
        <v>3482488.7099999995</v>
      </c>
      <c r="K92" s="133"/>
      <c r="L92" s="136">
        <f t="shared" si="16"/>
        <v>196595055.57999998</v>
      </c>
      <c r="N92" s="37">
        <f>'KY_Res by Plant Acct-P29 (Reg)'!R376+'KY_Res by Plant Acct-P29 (Reg)'!R377+'KY_Res by Plant Acct-P29 (Reg)'!R378+'IN_Total PIS_Elec_NBV-P15 (Reg)'!N18</f>
        <v>-69510378.540000007</v>
      </c>
      <c r="P92" s="37">
        <f t="shared" si="17"/>
        <v>127084677.03999998</v>
      </c>
    </row>
    <row r="93" spans="1:16" x14ac:dyDescent="0.2">
      <c r="A93" s="3" t="s">
        <v>350</v>
      </c>
      <c r="B93" s="133">
        <f>'KY_Cost Plant Acct-Elec-P14(Reg'!B92</f>
        <v>0</v>
      </c>
      <c r="C93" s="133"/>
      <c r="D93" s="133">
        <f>'KY_Cost Plant Acct-Elec-P14(Reg'!D92</f>
        <v>0</v>
      </c>
      <c r="E93" s="133"/>
      <c r="F93" s="133">
        <f>'KY_Cost Plant Acct-Elec-P14(Reg'!F92</f>
        <v>0</v>
      </c>
      <c r="G93" s="133"/>
      <c r="H93" s="133">
        <f>'KY_Cost Plant Acct-Elec-P14(Reg'!H92</f>
        <v>0</v>
      </c>
      <c r="I93" s="133"/>
      <c r="J93" s="133">
        <f t="shared" si="15"/>
        <v>0</v>
      </c>
      <c r="K93" s="133"/>
      <c r="L93" s="136">
        <f t="shared" si="16"/>
        <v>0</v>
      </c>
      <c r="N93" s="37">
        <f>'KY_Res by Plant Acct-P29 (Reg)'!R379+'KY_Res by Plant Acct-P29 (Reg)'!R380</f>
        <v>-3.5879565984942019E-10</v>
      </c>
      <c r="P93" s="37">
        <f t="shared" si="17"/>
        <v>-3.5879565984942019E-10</v>
      </c>
    </row>
    <row r="94" spans="1:16" x14ac:dyDescent="0.2">
      <c r="A94" s="166" t="s">
        <v>351</v>
      </c>
      <c r="B94" s="133">
        <f>'KY_Cost Plant Acct-Elec-P14(Reg'!B161</f>
        <v>0</v>
      </c>
      <c r="C94" s="133">
        <f>'KY_Cost Plant Acct-Elec-P14(Reg'!C161</f>
        <v>0</v>
      </c>
      <c r="D94" s="133">
        <f>'KY_Cost Plant Acct-Elec-P14(Reg'!D93</f>
        <v>65626.259999999995</v>
      </c>
      <c r="E94" s="133">
        <f>'KY_Cost Plant Acct-Elec-P14(Reg'!E161</f>
        <v>0</v>
      </c>
      <c r="F94" s="133">
        <f>'KY_Cost Plant Acct-Elec-P14(Reg'!F93</f>
        <v>0</v>
      </c>
      <c r="G94" s="133">
        <f>'KY_Cost Plant Acct-Elec-P14(Reg'!G161</f>
        <v>0</v>
      </c>
      <c r="H94" s="133">
        <f>'KY_Cost Plant Acct-Elec-P14(Reg'!H93</f>
        <v>-65626.259999999995</v>
      </c>
      <c r="I94" s="133">
        <f>'KY_Cost Plant Acct-Elec-P14(Reg'!I161</f>
        <v>0</v>
      </c>
      <c r="J94" s="133">
        <f>H94+F94+D94</f>
        <v>0</v>
      </c>
      <c r="K94" s="133"/>
      <c r="L94" s="136">
        <f t="shared" si="16"/>
        <v>0</v>
      </c>
      <c r="N94" s="37">
        <f>'KY_Res by Plant Acct-P29 (Reg)'!R380+'KY_Res by Plant Acct-P29 (Reg)'!R381</f>
        <v>-36.090000000098229</v>
      </c>
      <c r="P94" s="37">
        <f t="shared" si="17"/>
        <v>-36.090000000098229</v>
      </c>
    </row>
    <row r="95" spans="1:16" x14ac:dyDescent="0.2">
      <c r="A95" s="3" t="s">
        <v>353</v>
      </c>
      <c r="B95" s="133">
        <f>'KY_Cost Plant Acct-Elec-P14(Reg'!B94+'IN_Total PIS_Elec_NBV-P15 (Reg)'!B19+'KY_Cost Plant Acct-Elec-P14(Reg'!B162</f>
        <v>43757247.889999993</v>
      </c>
      <c r="C95" s="133"/>
      <c r="D95" s="133">
        <f>'KY_Cost Plant Acct-Elec-P14(Reg'!D94+'IN_Total PIS_Elec_NBV-P15 (Reg)'!D19+'KY_Cost Plant Acct-Elec-P14(Reg'!D162</f>
        <v>-1918.33</v>
      </c>
      <c r="E95" s="133"/>
      <c r="F95" s="133">
        <f>'KY_Cost Plant Acct-Elec-P14(Reg'!F94+'IN_Total PIS_Elec_NBV-P15 (Reg)'!F19</f>
        <v>91139.37</v>
      </c>
      <c r="G95" s="133"/>
      <c r="H95" s="133">
        <f>'KY_Cost Plant Acct-Elec-P14(Reg'!H94+'IN_Total PIS_Elec_NBV-P15 (Reg)'!H19</f>
        <v>0</v>
      </c>
      <c r="I95" s="133"/>
      <c r="J95" s="133">
        <f t="shared" si="15"/>
        <v>89221.04</v>
      </c>
      <c r="K95" s="133"/>
      <c r="L95" s="136">
        <f t="shared" si="16"/>
        <v>43846468.929999992</v>
      </c>
      <c r="N95" s="37">
        <f>'KY_Res by Plant Acct-P29 (Reg)'!R382+'IN_Total PIS_Elec_NBV-P15 (Reg)'!N19</f>
        <v>-25889707.749999993</v>
      </c>
      <c r="P95" s="37">
        <f t="shared" si="17"/>
        <v>17956761.18</v>
      </c>
    </row>
    <row r="96" spans="1:16" x14ac:dyDescent="0.2">
      <c r="A96" s="3" t="s">
        <v>354</v>
      </c>
      <c r="B96" s="133">
        <f>'KY_Cost Plant Acct-Elec-P14(Reg'!B95+'KY_Cost Plant Acct-Elec-P14(Reg'!B163+'IN_Total PIS_Elec_NBV-P15 (Reg)'!B20</f>
        <v>91256421.739999995</v>
      </c>
      <c r="C96" s="133"/>
      <c r="D96" s="133">
        <f>'KY_Cost Plant Acct-Elec-P14(Reg'!D95+'KY_Cost Plant Acct-Elec-P14(Reg'!D163+'IN_Total PIS_Elec_NBV-P15 (Reg)'!D20</f>
        <v>4285242.49</v>
      </c>
      <c r="E96" s="133"/>
      <c r="F96" s="133">
        <f>'KY_Cost Plant Acct-Elec-P14(Reg'!F95+'IN_Total PIS_Elec_NBV-P15 (Reg)'!F20</f>
        <v>-468266.03</v>
      </c>
      <c r="G96" s="133"/>
      <c r="H96" s="133">
        <f>'KY_Cost Plant Acct-Elec-P14(Reg'!H95+'IN_Total PIS_Elec_NBV-P15 (Reg)'!H20</f>
        <v>0</v>
      </c>
      <c r="I96" s="133"/>
      <c r="J96" s="133">
        <f t="shared" si="15"/>
        <v>3816976.46</v>
      </c>
      <c r="K96" s="133"/>
      <c r="L96" s="136">
        <f t="shared" si="16"/>
        <v>95073398.199999988</v>
      </c>
      <c r="N96" s="37">
        <f>'KY_Res by Plant Acct-P29 (Reg)'!R383+'IN_Total PIS_Elec_NBV-P15 (Reg)'!N20</f>
        <v>-26042179.790000003</v>
      </c>
      <c r="P96" s="37">
        <f t="shared" si="17"/>
        <v>69031218.409999982</v>
      </c>
    </row>
    <row r="97" spans="1:16" x14ac:dyDescent="0.2">
      <c r="A97" s="3" t="s">
        <v>355</v>
      </c>
      <c r="B97" s="133">
        <f>'KY_Cost Plant Acct-Elec-P14(Reg'!B96+'KY_Cost Plant Acct-Elec-P14(Reg'!B164+'IN_Total PIS_Elec_NBV-P15 (Reg)'!B21</f>
        <v>59326539.07</v>
      </c>
      <c r="C97" s="133"/>
      <c r="D97" s="133">
        <f>'KY_Cost Plant Acct-Elec-P14(Reg'!D96+'KY_Cost Plant Acct-Elec-P14(Reg'!D164+'IN_Total PIS_Elec_NBV-P15 (Reg)'!D21</f>
        <v>606745.79999999993</v>
      </c>
      <c r="E97" s="133"/>
      <c r="F97" s="133">
        <f>'KY_Cost Plant Acct-Elec-P14(Reg'!F96+'IN_Total PIS_Elec_NBV-P15 (Reg)'!F21</f>
        <v>-241276.93</v>
      </c>
      <c r="G97" s="133"/>
      <c r="H97" s="133">
        <f>'KY_Cost Plant Acct-Elec-P14(Reg'!H96+'IN_Total PIS_Elec_NBV-P15 (Reg)'!H21</f>
        <v>0</v>
      </c>
      <c r="I97" s="133"/>
      <c r="J97" s="133">
        <f t="shared" si="15"/>
        <v>365468.86999999994</v>
      </c>
      <c r="K97" s="133"/>
      <c r="L97" s="136">
        <f t="shared" si="16"/>
        <v>59692007.939999998</v>
      </c>
      <c r="N97" s="37">
        <f>'KY_Res by Plant Acct-P29 (Reg)'!R384+'IN_Total PIS_Elec_NBV-P15 (Reg)'!N21</f>
        <v>-28523036.149999991</v>
      </c>
      <c r="P97" s="37">
        <f t="shared" si="17"/>
        <v>31168971.790000007</v>
      </c>
    </row>
    <row r="98" spans="1:16" x14ac:dyDescent="0.2">
      <c r="A98" s="3" t="s">
        <v>356</v>
      </c>
      <c r="B98" s="133">
        <f>'KY_Cost Plant Acct-Elec-P14(Reg'!B97+'KY_Cost Plant Acct-Elec-P14(Reg'!B165</f>
        <v>1687812.96</v>
      </c>
      <c r="C98" s="133"/>
      <c r="D98" s="133">
        <f>'KY_Cost Plant Acct-Elec-P14(Reg'!D97+'KY_Cost Plant Acct-Elec-P14(Reg'!D165</f>
        <v>95630.36</v>
      </c>
      <c r="E98" s="133"/>
      <c r="F98" s="133">
        <f>'KY_Cost Plant Acct-Elec-P14(Reg'!F97+'KY_Cost Plant Acct-Elec-P14(Reg'!F165</f>
        <v>0</v>
      </c>
      <c r="G98" s="133"/>
      <c r="H98" s="133">
        <f>'KY_Cost Plant Acct-Elec-P14(Reg'!H97+'KY_Cost Plant Acct-Elec-P14(Reg'!H165</f>
        <v>0</v>
      </c>
      <c r="I98" s="133"/>
      <c r="J98" s="133">
        <f t="shared" si="15"/>
        <v>95630.36</v>
      </c>
      <c r="K98" s="133"/>
      <c r="L98" s="136">
        <f t="shared" si="16"/>
        <v>1783443.32</v>
      </c>
      <c r="N98" s="37">
        <f>'KY_Res by Plant Acct-P29 (Reg)'!R385</f>
        <v>-639832.1399999999</v>
      </c>
      <c r="P98" s="37">
        <f t="shared" si="17"/>
        <v>1143611.1800000002</v>
      </c>
    </row>
    <row r="99" spans="1:16" x14ac:dyDescent="0.2">
      <c r="A99" s="3" t="s">
        <v>357</v>
      </c>
      <c r="B99" s="133">
        <f>'KY_Cost Plant Acct-Elec-P14(Reg'!B98</f>
        <v>7365472.6799999997</v>
      </c>
      <c r="C99" s="133"/>
      <c r="D99" s="133">
        <f>'KY_Cost Plant Acct-Elec-P14(Reg'!D98</f>
        <v>6593.47</v>
      </c>
      <c r="E99" s="133"/>
      <c r="F99" s="133">
        <f>'KY_Cost Plant Acct-Elec-P14(Reg'!F98</f>
        <v>0</v>
      </c>
      <c r="G99" s="133"/>
      <c r="H99" s="133">
        <f>'KY_Cost Plant Acct-Elec-P14(Reg'!H98</f>
        <v>0</v>
      </c>
      <c r="I99" s="133"/>
      <c r="J99" s="133">
        <f t="shared" si="15"/>
        <v>6593.47</v>
      </c>
      <c r="K99" s="133"/>
      <c r="L99" s="136">
        <f t="shared" si="16"/>
        <v>7372066.1499999994</v>
      </c>
      <c r="N99" s="37">
        <f>'KY_Res by Plant Acct-P29 (Reg)'!R386</f>
        <v>-3328334.0500000003</v>
      </c>
      <c r="P99" s="37">
        <f t="shared" si="17"/>
        <v>4043732.0999999992</v>
      </c>
    </row>
    <row r="100" spans="1:16" x14ac:dyDescent="0.2">
      <c r="A100" s="3" t="s">
        <v>358</v>
      </c>
      <c r="B100" s="133">
        <f>'KY_Cost Plant Acct-Elec-P14(Reg'!B99</f>
        <v>21323.05</v>
      </c>
      <c r="C100" s="133"/>
      <c r="D100" s="133">
        <f>'KY_Cost Plant Acct-Elec-P14(Reg'!D99</f>
        <v>0</v>
      </c>
      <c r="E100" s="133"/>
      <c r="F100" s="133">
        <f>'KY_Cost Plant Acct-Elec-P14(Reg'!F99</f>
        <v>0</v>
      </c>
      <c r="G100" s="133"/>
      <c r="H100" s="133">
        <f>'KY_Cost Plant Acct-Elec-P14(Reg'!H99</f>
        <v>-3757.49</v>
      </c>
      <c r="I100" s="133"/>
      <c r="J100" s="133">
        <f t="shared" si="15"/>
        <v>-3757.49</v>
      </c>
      <c r="K100" s="133"/>
      <c r="L100" s="136">
        <f t="shared" si="16"/>
        <v>17565.559999999998</v>
      </c>
      <c r="N100" s="37">
        <f>'KY_Res by Plant Acct-P29 (Reg)'!R387</f>
        <v>-1199.1599999999996</v>
      </c>
      <c r="P100" s="37">
        <f t="shared" si="17"/>
        <v>16366.399999999998</v>
      </c>
    </row>
    <row r="101" spans="1:16" x14ac:dyDescent="0.2">
      <c r="A101" s="3" t="s">
        <v>359</v>
      </c>
      <c r="B101" s="151">
        <f>'KY_Cost Plant Acct-Elec-P14(Reg'!B100</f>
        <v>186976.65</v>
      </c>
      <c r="C101" s="133"/>
      <c r="D101" s="151">
        <f>'KY_Cost Plant Acct-Elec-P14(Reg'!D100</f>
        <v>0</v>
      </c>
      <c r="E101" s="133"/>
      <c r="F101" s="151">
        <f>'KY_Cost Plant Acct-Elec-P14(Reg'!F100</f>
        <v>-7370.88</v>
      </c>
      <c r="G101" s="133"/>
      <c r="H101" s="151">
        <f>'KY_Cost Plant Acct-Elec-P14(Reg'!H100</f>
        <v>0</v>
      </c>
      <c r="I101" s="133"/>
      <c r="J101" s="151">
        <f t="shared" si="15"/>
        <v>-7370.88</v>
      </c>
      <c r="K101" s="133"/>
      <c r="L101" s="151">
        <f t="shared" si="16"/>
        <v>179605.77</v>
      </c>
      <c r="N101" s="134">
        <f>'KY_Res by Plant Acct-P29 (Reg)'!R388</f>
        <v>-34450.1</v>
      </c>
      <c r="P101" s="134">
        <f t="shared" si="17"/>
        <v>145155.66999999998</v>
      </c>
    </row>
    <row r="102" spans="1:16" x14ac:dyDescent="0.2">
      <c r="B102" s="133">
        <f>SUM(B88:B101)</f>
        <v>424955863.29999995</v>
      </c>
      <c r="C102" s="133"/>
      <c r="D102" s="133">
        <f>SUM(D88:D101)</f>
        <v>8950572.5500000007</v>
      </c>
      <c r="E102" s="133"/>
      <c r="F102" s="133">
        <f>SUM(F88:F101)</f>
        <v>-1976506.6399999997</v>
      </c>
      <c r="G102" s="133"/>
      <c r="H102" s="133">
        <f>SUM(H88:H101)</f>
        <v>899860.99</v>
      </c>
      <c r="I102" s="133"/>
      <c r="J102" s="133">
        <f>SUM(J88:J101)</f>
        <v>7873926.8999999994</v>
      </c>
      <c r="K102" s="133"/>
      <c r="L102" s="133">
        <f>SUM(L88:L101)</f>
        <v>432829790.19999993</v>
      </c>
      <c r="N102" s="133">
        <f>SUM(N88:N101)</f>
        <v>-159565376.95999998</v>
      </c>
      <c r="P102" s="37">
        <f>SUM(P88:P101)</f>
        <v>273264413.24000001</v>
      </c>
    </row>
    <row r="103" spans="1:16" x14ac:dyDescent="0.2">
      <c r="B103" s="133"/>
      <c r="C103" s="133"/>
      <c r="D103" s="133">
        <f>+D102-'KY_Cost Plant Acct-Elec-P14(Reg'!D166-'KY_Cost Plant Acct-Elec-P14(Reg'!D101-'IN_Cost Plant Acct-Elec-P16(Reg'!D35-'IN_Cost Plant Acct-Elec-P16(Reg'!D18</f>
        <v>1.5643308870494366E-9</v>
      </c>
      <c r="E103" s="133"/>
      <c r="F103" s="133"/>
      <c r="G103" s="133"/>
      <c r="H103" s="133"/>
      <c r="I103" s="133"/>
      <c r="J103" s="133"/>
      <c r="K103" s="133"/>
      <c r="L103" s="133"/>
    </row>
    <row r="104" spans="1:16" x14ac:dyDescent="0.2"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1:16" x14ac:dyDescent="0.2">
      <c r="A105" s="9" t="s">
        <v>2874</v>
      </c>
      <c r="B105" s="165">
        <f>B102+B85+B69+B57+B52+B41+B30</f>
        <v>5260462781.3199997</v>
      </c>
      <c r="C105" s="133"/>
      <c r="D105" s="165">
        <f>D102+D85+D69+D57+D52+D41+D30</f>
        <v>196786601.70999998</v>
      </c>
      <c r="E105" s="133"/>
      <c r="F105" s="165">
        <f>F102+F85+F69+F57+F52+F41+F30</f>
        <v>-54659107.539999999</v>
      </c>
      <c r="G105" s="133"/>
      <c r="H105" s="165">
        <f>H102+H85+H69+H57+H52+H41+H30</f>
        <v>-9117183.1499999985</v>
      </c>
      <c r="I105" s="133"/>
      <c r="J105" s="165">
        <f>J102+J85+J69+J57+J52+J41+J30</f>
        <v>133010311.02000001</v>
      </c>
      <c r="K105" s="133"/>
      <c r="L105" s="165">
        <f>L102+L85+L69+L57+L52+L41+L30</f>
        <v>5393473092.3400002</v>
      </c>
      <c r="N105" s="165">
        <f>N102+N85+N69+N57+N52+N41+N30</f>
        <v>-1724970397.8500001</v>
      </c>
      <c r="P105" s="165">
        <f>P102+P85+P69+P57+P52+P41+P30</f>
        <v>3666329051.4200001</v>
      </c>
    </row>
    <row r="106" spans="1:16" x14ac:dyDescent="0.2"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1:16" x14ac:dyDescent="0.2">
      <c r="B107" s="133"/>
      <c r="C107" s="136"/>
      <c r="D107" s="133"/>
      <c r="E107" s="136"/>
      <c r="F107" s="133"/>
      <c r="G107" s="136"/>
      <c r="H107" s="133"/>
      <c r="I107" s="136"/>
      <c r="J107" s="133"/>
      <c r="K107" s="133"/>
      <c r="L107" s="133"/>
      <c r="N107" s="133"/>
    </row>
    <row r="108" spans="1:16" x14ac:dyDescent="0.2"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1:16" x14ac:dyDescent="0.2"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1:16" x14ac:dyDescent="0.2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1:16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</row>
    <row r="112" spans="1:16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</row>
    <row r="113" spans="2:12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2:12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2:12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2:12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2:12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2:12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2:12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2:12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2:12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</row>
    <row r="122" spans="2:12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</row>
    <row r="123" spans="2:12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</row>
    <row r="124" spans="2:12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</row>
    <row r="125" spans="2:12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</row>
    <row r="126" spans="2:12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</row>
    <row r="127" spans="2:12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</row>
    <row r="128" spans="2:12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</row>
    <row r="129" spans="2:12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</row>
    <row r="130" spans="2:12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</row>
    <row r="131" spans="2:12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</row>
    <row r="132" spans="2:12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</row>
    <row r="133" spans="2:12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</row>
    <row r="134" spans="2:12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</row>
    <row r="135" spans="2:12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</row>
    <row r="136" spans="2:12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</row>
    <row r="137" spans="2:12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</row>
    <row r="138" spans="2:12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</row>
    <row r="139" spans="2:12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174"/>
  <sheetViews>
    <sheetView zoomScaleNormal="100"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9.42578125" style="3" bestFit="1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5703125" style="3" customWidth="1"/>
    <col min="12" max="12" width="17.7109375" style="3" customWidth="1"/>
    <col min="13" max="13" width="1.7109375" style="3" customWidth="1"/>
    <col min="14" max="14" width="15" style="3" bestFit="1" customWidth="1"/>
    <col min="15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30" customFormat="1" ht="15.75" x14ac:dyDescent="0.25">
      <c r="A2" s="210" t="s">
        <v>2875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36"/>
      <c r="F6" s="136"/>
      <c r="H6" s="7" t="s">
        <v>4</v>
      </c>
      <c r="J6" s="7" t="s">
        <v>229</v>
      </c>
      <c r="K6" s="136"/>
      <c r="L6" s="7" t="s">
        <v>5</v>
      </c>
    </row>
    <row r="7" spans="1:13" x14ac:dyDescent="0.2">
      <c r="A7" s="9" t="s">
        <v>2794</v>
      </c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K7" s="17"/>
      <c r="L7" s="11" t="s">
        <v>7</v>
      </c>
    </row>
    <row r="8" spans="1:13" x14ac:dyDescent="0.2">
      <c r="A8" s="9" t="s">
        <v>2803</v>
      </c>
      <c r="B8" s="17"/>
      <c r="D8" s="17"/>
      <c r="F8" s="17"/>
      <c r="H8" s="17"/>
      <c r="J8" s="17"/>
      <c r="K8" s="17"/>
      <c r="L8" s="17"/>
    </row>
    <row r="9" spans="1:13" x14ac:dyDescent="0.2">
      <c r="A9" s="9" t="s">
        <v>2798</v>
      </c>
    </row>
    <row r="10" spans="1:13" x14ac:dyDescent="0.2">
      <c r="A10" s="9" t="s">
        <v>263</v>
      </c>
    </row>
    <row r="11" spans="1:13" x14ac:dyDescent="0.2">
      <c r="A11" s="21" t="s">
        <v>264</v>
      </c>
      <c r="B11" s="136">
        <f>'KY_Cost Plant Acct-Elec-P14(Reg'!B11</f>
        <v>0</v>
      </c>
      <c r="C11" s="136"/>
      <c r="D11" s="136">
        <f>'KY_Cost Plant Acct-Elec-P14(Reg'!D11</f>
        <v>0</v>
      </c>
      <c r="E11" s="136"/>
      <c r="F11" s="136">
        <f>'KY_Cost Plant Acct-Elec-P14(Reg'!F11</f>
        <v>0</v>
      </c>
      <c r="G11" s="136"/>
      <c r="H11" s="136">
        <f>'KY_Cost Plant Acct-Elec-P14(Reg'!H11</f>
        <v>0</v>
      </c>
      <c r="I11" s="136"/>
      <c r="J11" s="136">
        <f>H11+F11+D11</f>
        <v>0</v>
      </c>
      <c r="K11" s="136"/>
      <c r="L11" s="136">
        <f>B11+J11</f>
        <v>0</v>
      </c>
    </row>
    <row r="12" spans="1:13" x14ac:dyDescent="0.2">
      <c r="A12" s="3" t="s">
        <v>265</v>
      </c>
      <c r="B12" s="136">
        <f>'KY_Cost Plant Acct-Elec-P14(Reg'!B12</f>
        <v>4100654.4700000007</v>
      </c>
      <c r="C12" s="136"/>
      <c r="D12" s="136">
        <f>'KY_Cost Plant Acct-Elec-P14(Reg'!D12</f>
        <v>0</v>
      </c>
      <c r="E12" s="136"/>
      <c r="F12" s="136">
        <f>'KY_Cost Plant Acct-Elec-P14(Reg'!F12</f>
        <v>0</v>
      </c>
      <c r="G12" s="136"/>
      <c r="H12" s="136">
        <f>'KY_Cost Plant Acct-Elec-P14(Reg'!H12</f>
        <v>0</v>
      </c>
      <c r="I12" s="136"/>
      <c r="J12" s="136">
        <f t="shared" ref="J12:J26" si="0">H12+F12+D12</f>
        <v>0</v>
      </c>
      <c r="K12" s="136"/>
      <c r="L12" s="136">
        <f t="shared" ref="L12:L26" si="1">B12+J12</f>
        <v>4100654.4700000007</v>
      </c>
    </row>
    <row r="13" spans="1:13" x14ac:dyDescent="0.2">
      <c r="A13" s="3" t="s">
        <v>267</v>
      </c>
      <c r="B13" s="136">
        <f>'KY_Cost Plant Acct-Elec-P14(Reg'!B13</f>
        <v>6833645.7999999989</v>
      </c>
      <c r="C13" s="136"/>
      <c r="D13" s="136">
        <f>'KY_Cost Plant Acct-Elec-P14(Reg'!D13</f>
        <v>91613.65</v>
      </c>
      <c r="E13" s="136"/>
      <c r="F13" s="136">
        <f>'KY_Cost Plant Acct-Elec-P14(Reg'!F13</f>
        <v>-22759.97</v>
      </c>
      <c r="G13" s="136"/>
      <c r="H13" s="136">
        <f>'KY_Cost Plant Acct-Elec-P14(Reg'!H13</f>
        <v>72053.22</v>
      </c>
      <c r="I13" s="136"/>
      <c r="J13" s="136">
        <f t="shared" si="0"/>
        <v>140906.9</v>
      </c>
      <c r="K13" s="136"/>
      <c r="L13" s="136">
        <f t="shared" si="1"/>
        <v>6974552.6999999993</v>
      </c>
    </row>
    <row r="14" spans="1:13" x14ac:dyDescent="0.2">
      <c r="A14" s="3" t="s">
        <v>268</v>
      </c>
      <c r="B14" s="136">
        <f>'KY_Cost Plant Acct-Elec-P14(Reg'!B14</f>
        <v>129363562.78999999</v>
      </c>
      <c r="C14" s="136"/>
      <c r="D14" s="136">
        <f>'KY_Cost Plant Acct-Elec-P14(Reg'!D14</f>
        <v>8053057.0099999998</v>
      </c>
      <c r="E14" s="136"/>
      <c r="F14" s="136">
        <f>'KY_Cost Plant Acct-Elec-P14(Reg'!F14</f>
        <v>-711864.94</v>
      </c>
      <c r="G14" s="136"/>
      <c r="H14" s="136">
        <f>'KY_Cost Plant Acct-Elec-P14(Reg'!H14</f>
        <v>-974073.2</v>
      </c>
      <c r="I14" s="136"/>
      <c r="J14" s="136">
        <f t="shared" si="0"/>
        <v>6367118.8700000001</v>
      </c>
      <c r="K14" s="136"/>
      <c r="L14" s="136">
        <f t="shared" si="1"/>
        <v>135730681.66</v>
      </c>
    </row>
    <row r="15" spans="1:13" x14ac:dyDescent="0.2">
      <c r="A15" s="3" t="s">
        <v>269</v>
      </c>
      <c r="B15" s="136">
        <f>'KY_Cost Plant Acct-Elec-P14(Reg'!B15</f>
        <v>177811424.81000003</v>
      </c>
      <c r="C15" s="136"/>
      <c r="D15" s="136">
        <f>'KY_Cost Plant Acct-Elec-P14(Reg'!D15</f>
        <v>12193700.890000001</v>
      </c>
      <c r="E15" s="136"/>
      <c r="F15" s="136">
        <f>'KY_Cost Plant Acct-Elec-P14(Reg'!F15</f>
        <v>-2893219.44</v>
      </c>
      <c r="G15" s="136"/>
      <c r="H15" s="136">
        <f>'KY_Cost Plant Acct-Elec-P14(Reg'!H15</f>
        <v>0</v>
      </c>
      <c r="I15" s="136"/>
      <c r="J15" s="136">
        <f t="shared" si="0"/>
        <v>9300481.4500000011</v>
      </c>
      <c r="K15" s="136"/>
      <c r="L15" s="136">
        <f t="shared" si="1"/>
        <v>187111906.26000002</v>
      </c>
    </row>
    <row r="16" spans="1:13" x14ac:dyDescent="0.2">
      <c r="A16" s="3" t="s">
        <v>270</v>
      </c>
      <c r="B16" s="136">
        <f>'KY_Cost Plant Acct-Elec-P14(Reg'!B16</f>
        <v>296973187.38</v>
      </c>
      <c r="C16" s="136"/>
      <c r="D16" s="136">
        <f>'KY_Cost Plant Acct-Elec-P14(Reg'!D16</f>
        <v>11365349.9</v>
      </c>
      <c r="E16" s="136"/>
      <c r="F16" s="136">
        <f>'KY_Cost Plant Acct-Elec-P14(Reg'!F16</f>
        <v>-2802229.8</v>
      </c>
      <c r="G16" s="136"/>
      <c r="H16" s="136">
        <f>'KY_Cost Plant Acct-Elec-P14(Reg'!H16</f>
        <v>-1598.5</v>
      </c>
      <c r="I16" s="136"/>
      <c r="J16" s="136">
        <f t="shared" si="0"/>
        <v>8561521.6000000015</v>
      </c>
      <c r="K16" s="136"/>
      <c r="L16" s="136">
        <f t="shared" si="1"/>
        <v>305534708.98000002</v>
      </c>
    </row>
    <row r="17" spans="1:12" x14ac:dyDescent="0.2">
      <c r="A17" s="3" t="s">
        <v>271</v>
      </c>
      <c r="B17" s="136">
        <f>'KY_Cost Plant Acct-Elec-P14(Reg'!B17</f>
        <v>79164390.199999988</v>
      </c>
      <c r="C17" s="136"/>
      <c r="D17" s="136">
        <f>'KY_Cost Plant Acct-Elec-P14(Reg'!D17</f>
        <v>4546340.42</v>
      </c>
      <c r="E17" s="136"/>
      <c r="F17" s="136">
        <f>'KY_Cost Plant Acct-Elec-P14(Reg'!F17</f>
        <v>-408131.74</v>
      </c>
      <c r="G17" s="136"/>
      <c r="H17" s="136">
        <f>'KY_Cost Plant Acct-Elec-P14(Reg'!H17</f>
        <v>0</v>
      </c>
      <c r="I17" s="136"/>
      <c r="J17" s="136">
        <f t="shared" si="0"/>
        <v>4138208.6799999997</v>
      </c>
      <c r="K17" s="136"/>
      <c r="L17" s="136">
        <f t="shared" si="1"/>
        <v>83302598.879999995</v>
      </c>
    </row>
    <row r="18" spans="1:12" x14ac:dyDescent="0.2">
      <c r="A18" s="3" t="s">
        <v>272</v>
      </c>
      <c r="B18" s="136">
        <f>'KY_Cost Plant Acct-Elec-P14(Reg'!B18</f>
        <v>203806296.16999999</v>
      </c>
      <c r="C18" s="136"/>
      <c r="D18" s="136">
        <f>'KY_Cost Plant Acct-Elec-P14(Reg'!D18</f>
        <v>28473768</v>
      </c>
      <c r="E18" s="136"/>
      <c r="F18" s="136">
        <f>'KY_Cost Plant Acct-Elec-P14(Reg'!F18</f>
        <v>-1580438.9</v>
      </c>
      <c r="G18" s="136"/>
      <c r="H18" s="136">
        <f>'KY_Cost Plant Acct-Elec-P14(Reg'!H18</f>
        <v>0</v>
      </c>
      <c r="I18" s="136"/>
      <c r="J18" s="136">
        <f t="shared" si="0"/>
        <v>26893329.100000001</v>
      </c>
      <c r="K18" s="136"/>
      <c r="L18" s="136">
        <f t="shared" si="1"/>
        <v>230699625.26999998</v>
      </c>
    </row>
    <row r="19" spans="1:12" x14ac:dyDescent="0.2">
      <c r="A19" s="3" t="s">
        <v>273</v>
      </c>
      <c r="B19" s="136">
        <f>'KY_Cost Plant Acct-Elec-P14(Reg'!B19</f>
        <v>161115459.86999997</v>
      </c>
      <c r="C19" s="136"/>
      <c r="D19" s="136">
        <f>'KY_Cost Plant Acct-Elec-P14(Reg'!D19</f>
        <v>3946107.68</v>
      </c>
      <c r="E19" s="136"/>
      <c r="F19" s="136">
        <f>'KY_Cost Plant Acct-Elec-P14(Reg'!F19</f>
        <v>-2952153.8</v>
      </c>
      <c r="G19" s="136"/>
      <c r="H19" s="136">
        <f>'KY_Cost Plant Acct-Elec-P14(Reg'!H19</f>
        <v>0</v>
      </c>
      <c r="I19" s="136"/>
      <c r="J19" s="136">
        <f t="shared" si="0"/>
        <v>993953.88000000035</v>
      </c>
      <c r="K19" s="136"/>
      <c r="L19" s="136">
        <f t="shared" si="1"/>
        <v>162109413.74999997</v>
      </c>
    </row>
    <row r="20" spans="1:12" x14ac:dyDescent="0.2">
      <c r="A20" s="3" t="s">
        <v>274</v>
      </c>
      <c r="B20" s="136">
        <f>'KY_Cost Plant Acct-Elec-P14(Reg'!B20</f>
        <v>9101456.6799999997</v>
      </c>
      <c r="C20" s="136"/>
      <c r="D20" s="136">
        <f>'KY_Cost Plant Acct-Elec-P14(Reg'!D20</f>
        <v>1756675.7</v>
      </c>
      <c r="E20" s="136"/>
      <c r="F20" s="136">
        <f>'KY_Cost Plant Acct-Elec-P14(Reg'!F20</f>
        <v>-37302.65</v>
      </c>
      <c r="G20" s="136"/>
      <c r="H20" s="136">
        <f>'KY_Cost Plant Acct-Elec-P14(Reg'!H20</f>
        <v>0</v>
      </c>
      <c r="I20" s="136"/>
      <c r="J20" s="136">
        <f t="shared" si="0"/>
        <v>1719373.05</v>
      </c>
      <c r="K20" s="136"/>
      <c r="L20" s="136">
        <f t="shared" si="1"/>
        <v>10820829.73</v>
      </c>
    </row>
    <row r="21" spans="1:12" x14ac:dyDescent="0.2">
      <c r="A21" s="3" t="s">
        <v>275</v>
      </c>
      <c r="B21" s="136">
        <f>'KY_Cost Plant Acct-Elec-P14(Reg'!B21</f>
        <v>23447071.800000004</v>
      </c>
      <c r="C21" s="136"/>
      <c r="D21" s="136">
        <f>'KY_Cost Plant Acct-Elec-P14(Reg'!D21</f>
        <v>726793.06</v>
      </c>
      <c r="E21" s="136"/>
      <c r="F21" s="136">
        <f>'KY_Cost Plant Acct-Elec-P14(Reg'!F21</f>
        <v>-41292.160000000003</v>
      </c>
      <c r="G21" s="136"/>
      <c r="H21" s="136">
        <f>'KY_Cost Plant Acct-Elec-P14(Reg'!H21</f>
        <v>0</v>
      </c>
      <c r="I21" s="136"/>
      <c r="J21" s="136">
        <f t="shared" si="0"/>
        <v>685500.9</v>
      </c>
      <c r="K21" s="136"/>
      <c r="L21" s="136">
        <f t="shared" si="1"/>
        <v>24132572.700000003</v>
      </c>
    </row>
    <row r="22" spans="1:12" x14ac:dyDescent="0.2">
      <c r="A22" s="3" t="s">
        <v>277</v>
      </c>
      <c r="B22" s="136">
        <f>'KY_Cost Plant Acct-Elec-P14(Reg'!B22</f>
        <v>42441311.350000001</v>
      </c>
      <c r="C22" s="136"/>
      <c r="D22" s="136">
        <f>'KY_Cost Plant Acct-Elec-P14(Reg'!D22</f>
        <v>355196.25</v>
      </c>
      <c r="E22" s="136"/>
      <c r="F22" s="136">
        <f>'KY_Cost Plant Acct-Elec-P14(Reg'!F22</f>
        <v>-3083601.81</v>
      </c>
      <c r="G22" s="136"/>
      <c r="H22" s="136">
        <f>'KY_Cost Plant Acct-Elec-P14(Reg'!H22</f>
        <v>-5776821.0199999996</v>
      </c>
      <c r="I22" s="136"/>
      <c r="J22" s="136">
        <f t="shared" si="0"/>
        <v>-8505226.5800000001</v>
      </c>
      <c r="K22" s="136"/>
      <c r="L22" s="136">
        <f t="shared" si="1"/>
        <v>33936084.770000003</v>
      </c>
    </row>
    <row r="23" spans="1:12" x14ac:dyDescent="0.2">
      <c r="A23" s="3" t="s">
        <v>2870</v>
      </c>
      <c r="B23" s="136">
        <f>'KY_Cost Plant Acct-Elec-P14(Reg'!B23</f>
        <v>1795362.03</v>
      </c>
      <c r="C23" s="136"/>
      <c r="D23" s="136">
        <f>'KY_Cost Plant Acct-Elec-P14(Reg'!D23</f>
        <v>20922.009999999998</v>
      </c>
      <c r="E23" s="136"/>
      <c r="F23" s="136">
        <f>'KY_Cost Plant Acct-Elec-P14(Reg'!F23</f>
        <v>-77652.320000000007</v>
      </c>
      <c r="G23" s="136"/>
      <c r="H23" s="136">
        <f>'KY_Cost Plant Acct-Elec-P14(Reg'!H23</f>
        <v>0</v>
      </c>
      <c r="I23" s="136"/>
      <c r="J23" s="136">
        <f t="shared" si="0"/>
        <v>-56730.310000000012</v>
      </c>
      <c r="K23" s="136"/>
      <c r="L23" s="136">
        <f t="shared" si="1"/>
        <v>1738631.72</v>
      </c>
    </row>
    <row r="24" spans="1:12" x14ac:dyDescent="0.2">
      <c r="A24" s="3" t="s">
        <v>2876</v>
      </c>
      <c r="B24" s="136">
        <f>'KY_Cost Plant Acct-Elec-P14(Reg'!B24</f>
        <v>0</v>
      </c>
      <c r="C24" s="136"/>
      <c r="D24" s="136">
        <f>'KY_Cost Plant Acct-Elec-P14(Reg'!D24</f>
        <v>145496.41</v>
      </c>
      <c r="E24" s="136"/>
      <c r="F24" s="136">
        <f>'KY_Cost Plant Acct-Elec-P14(Reg'!F24</f>
        <v>0</v>
      </c>
      <c r="G24" s="136"/>
      <c r="H24" s="136">
        <f>'KY_Cost Plant Acct-Elec-P14(Reg'!H24</f>
        <v>5776821.0199999996</v>
      </c>
      <c r="I24" s="136"/>
      <c r="J24" s="136">
        <f t="shared" si="0"/>
        <v>5922317.4299999997</v>
      </c>
      <c r="K24" s="136"/>
      <c r="L24" s="136">
        <f t="shared" si="1"/>
        <v>5922317.4299999997</v>
      </c>
    </row>
    <row r="25" spans="1:12" ht="12" customHeight="1" x14ac:dyDescent="0.2">
      <c r="A25" s="3" t="s">
        <v>279</v>
      </c>
      <c r="B25" s="136">
        <f>'KY_Cost Plant Acct-Elec-P14(Reg'!B25</f>
        <v>41274020.140000001</v>
      </c>
      <c r="C25" s="136"/>
      <c r="D25" s="136">
        <f>'KY_Cost Plant Acct-Elec-P14(Reg'!D25</f>
        <v>4795863.25</v>
      </c>
      <c r="E25" s="136"/>
      <c r="F25" s="136">
        <f>'KY_Cost Plant Acct-Elec-P14(Reg'!F25</f>
        <v>-82893.62</v>
      </c>
      <c r="G25" s="136"/>
      <c r="H25" s="136">
        <f>'KY_Cost Plant Acct-Elec-P14(Reg'!H25</f>
        <v>0</v>
      </c>
      <c r="I25" s="136"/>
      <c r="J25" s="136">
        <f t="shared" si="0"/>
        <v>4712969.63</v>
      </c>
      <c r="K25" s="136"/>
      <c r="L25" s="136">
        <f t="shared" si="1"/>
        <v>45986989.770000003</v>
      </c>
    </row>
    <row r="26" spans="1:12" x14ac:dyDescent="0.2">
      <c r="A26" s="3" t="s">
        <v>280</v>
      </c>
      <c r="B26" s="136">
        <f>'KY_Cost Plant Acct-Elec-P14(Reg'!B26</f>
        <v>59578316.480000012</v>
      </c>
      <c r="C26" s="136"/>
      <c r="D26" s="136">
        <f>'KY_Cost Plant Acct-Elec-P14(Reg'!D26</f>
        <v>2419205.33</v>
      </c>
      <c r="E26" s="136"/>
      <c r="F26" s="136">
        <f>'KY_Cost Plant Acct-Elec-P14(Reg'!F26</f>
        <v>-205459.6</v>
      </c>
      <c r="G26" s="136"/>
      <c r="H26" s="136">
        <f>'KY_Cost Plant Acct-Elec-P14(Reg'!H26</f>
        <v>0</v>
      </c>
      <c r="I26" s="136"/>
      <c r="J26" s="136">
        <f t="shared" si="0"/>
        <v>2213745.73</v>
      </c>
      <c r="K26" s="136"/>
      <c r="L26" s="136">
        <f t="shared" si="1"/>
        <v>61792062.210000008</v>
      </c>
    </row>
    <row r="27" spans="1:12" x14ac:dyDescent="0.2">
      <c r="A27" s="3" t="s">
        <v>281</v>
      </c>
      <c r="B27" s="136">
        <f>'KY_Cost Plant Acct-Elec-P14(Reg'!B27</f>
        <v>0</v>
      </c>
      <c r="C27" s="136"/>
      <c r="D27" s="136">
        <f>'KY_Cost Plant Acct-Elec-P14(Reg'!D27</f>
        <v>0</v>
      </c>
      <c r="E27" s="136"/>
      <c r="F27" s="136">
        <f>'KY_Cost Plant Acct-Elec-P14(Reg'!F27</f>
        <v>0</v>
      </c>
      <c r="G27" s="136"/>
      <c r="H27" s="136">
        <f>'KY_Cost Plant Acct-Elec-P14(Reg'!H27</f>
        <v>0</v>
      </c>
      <c r="I27" s="136"/>
      <c r="J27" s="136">
        <f>H27+F27+D27</f>
        <v>0</v>
      </c>
      <c r="K27" s="136"/>
      <c r="L27" s="136">
        <f>B27+J27</f>
        <v>0</v>
      </c>
    </row>
    <row r="28" spans="1:12" x14ac:dyDescent="0.2">
      <c r="A28" s="3" t="s">
        <v>283</v>
      </c>
      <c r="B28" s="136">
        <f>'KY_Cost Plant Acct-Elec-P14(Reg'!B28</f>
        <v>411288.1</v>
      </c>
      <c r="C28" s="136"/>
      <c r="D28" s="136">
        <f>'KY_Cost Plant Acct-Elec-P14(Reg'!D28</f>
        <v>0</v>
      </c>
      <c r="E28" s="136"/>
      <c r="F28" s="136">
        <f>'KY_Cost Plant Acct-Elec-P14(Reg'!F28</f>
        <v>-16644.41</v>
      </c>
      <c r="G28" s="136"/>
      <c r="H28" s="136">
        <f>'KY_Cost Plant Acct-Elec-P14(Reg'!H28</f>
        <v>-74674.94</v>
      </c>
      <c r="I28" s="136"/>
      <c r="J28" s="136">
        <f>H28+F28+D28</f>
        <v>-91319.35</v>
      </c>
      <c r="K28" s="133"/>
      <c r="L28" s="136">
        <f>B28+J28</f>
        <v>319968.75</v>
      </c>
    </row>
    <row r="29" spans="1:12" x14ac:dyDescent="0.2">
      <c r="A29" s="21" t="s">
        <v>2871</v>
      </c>
      <c r="B29" s="151">
        <f>'KY_Cost Plant Acct-Elec-P14(Reg'!B29</f>
        <v>30005.309999999983</v>
      </c>
      <c r="C29" s="136"/>
      <c r="D29" s="151">
        <f>'KY_Cost Plant Acct-Elec-P14(Reg'!D29</f>
        <v>0</v>
      </c>
      <c r="E29" s="136"/>
      <c r="F29" s="151">
        <f>'KY_Cost Plant Acct-Elec-P14(Reg'!F29</f>
        <v>-25506.84</v>
      </c>
      <c r="G29" s="136"/>
      <c r="H29" s="151">
        <f>'KY_Cost Plant Acct-Elec-P14(Reg'!H29</f>
        <v>43496.65</v>
      </c>
      <c r="I29" s="136"/>
      <c r="J29" s="151">
        <f>H29+F29+D29</f>
        <v>17989.810000000001</v>
      </c>
      <c r="K29" s="136"/>
      <c r="L29" s="151">
        <f>B29+J29</f>
        <v>47995.119999999981</v>
      </c>
    </row>
    <row r="30" spans="1:12" x14ac:dyDescent="0.2">
      <c r="B30" s="133">
        <f>SUM(B11:B29)</f>
        <v>1237247453.3799999</v>
      </c>
      <c r="C30" s="133"/>
      <c r="D30" s="133">
        <f>SUM(D11:D29)</f>
        <v>78890089.560000017</v>
      </c>
      <c r="E30" s="133"/>
      <c r="F30" s="133">
        <f>SUM(F11:F29)</f>
        <v>-14941152</v>
      </c>
      <c r="G30" s="133"/>
      <c r="H30" s="133">
        <f>SUM(H11:H29)</f>
        <v>-934796.77000000037</v>
      </c>
      <c r="I30" s="133"/>
      <c r="J30" s="133">
        <f>SUM(J11:J29)</f>
        <v>63014140.790000007</v>
      </c>
      <c r="K30" s="133"/>
      <c r="L30" s="133">
        <f>SUM(L11:L29)</f>
        <v>1300261594.1700001</v>
      </c>
    </row>
    <row r="31" spans="1:12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2" x14ac:dyDescent="0.2">
      <c r="A32" s="9" t="s">
        <v>287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2" x14ac:dyDescent="0.2">
      <c r="A33" s="21" t="s">
        <v>288</v>
      </c>
      <c r="B33" s="133">
        <f>'KY_Cost Plant Acct-Elec-P14(Reg'!B33</f>
        <v>888547.25</v>
      </c>
      <c r="C33" s="133"/>
      <c r="D33" s="133">
        <f>'KY_Cost Plant Acct-Elec-P14(Reg'!D33</f>
        <v>0</v>
      </c>
      <c r="E33" s="133"/>
      <c r="F33" s="133">
        <f>'KY_Cost Plant Acct-Elec-P14(Reg'!F33</f>
        <v>0</v>
      </c>
      <c r="G33" s="133"/>
      <c r="H33" s="133">
        <f>'KY_Cost Plant Acct-Elec-P14(Reg'!H33</f>
        <v>0</v>
      </c>
      <c r="I33" s="133"/>
      <c r="J33" s="133">
        <f>H33+F33+D33</f>
        <v>0</v>
      </c>
      <c r="K33" s="133"/>
      <c r="L33" s="136">
        <f>B33+J33</f>
        <v>888547.25</v>
      </c>
    </row>
    <row r="34" spans="1:12" x14ac:dyDescent="0.2">
      <c r="A34" s="3" t="s">
        <v>2872</v>
      </c>
      <c r="B34" s="133">
        <f>'KY_Cost Plant Acct-Elec-P14(Reg'!B34</f>
        <v>4629899.4800000004</v>
      </c>
      <c r="C34" s="133"/>
      <c r="D34" s="133">
        <f>'KY_Cost Plant Acct-Elec-P14(Reg'!D34</f>
        <v>75392.210000000006</v>
      </c>
      <c r="E34" s="133"/>
      <c r="F34" s="133">
        <f>'KY_Cost Plant Acct-Elec-P14(Reg'!F34</f>
        <v>-43755.68</v>
      </c>
      <c r="G34" s="133"/>
      <c r="H34" s="133">
        <f>'KY_Cost Plant Acct-Elec-P14(Reg'!H34</f>
        <v>0</v>
      </c>
      <c r="I34" s="133"/>
      <c r="J34" s="133">
        <f t="shared" ref="J34:J40" si="2">H34+F34+D34</f>
        <v>31636.530000000006</v>
      </c>
      <c r="K34" s="133"/>
      <c r="L34" s="136">
        <f t="shared" ref="L34:L40" si="3">B34+J34</f>
        <v>4661536.0100000007</v>
      </c>
    </row>
    <row r="35" spans="1:12" x14ac:dyDescent="0.2">
      <c r="A35" s="3" t="s">
        <v>290</v>
      </c>
      <c r="B35" s="133">
        <f>'KY_Cost Plant Acct-Elec-P14(Reg'!B35</f>
        <v>499404.83</v>
      </c>
      <c r="C35" s="133"/>
      <c r="D35" s="133">
        <f>'KY_Cost Plant Acct-Elec-P14(Reg'!D35</f>
        <v>139747.4</v>
      </c>
      <c r="E35" s="133"/>
      <c r="F35" s="133">
        <f>'KY_Cost Plant Acct-Elec-P14(Reg'!F35</f>
        <v>-120866.21</v>
      </c>
      <c r="G35" s="133"/>
      <c r="H35" s="133">
        <f>'KY_Cost Plant Acct-Elec-P14(Reg'!H35</f>
        <v>0</v>
      </c>
      <c r="I35" s="133"/>
      <c r="J35" s="133">
        <f t="shared" si="2"/>
        <v>18881.189999999988</v>
      </c>
      <c r="K35" s="133"/>
      <c r="L35" s="136">
        <f t="shared" si="3"/>
        <v>518286.02</v>
      </c>
    </row>
    <row r="36" spans="1:12" x14ac:dyDescent="0.2">
      <c r="A36" s="3" t="s">
        <v>292</v>
      </c>
      <c r="B36" s="133">
        <f>'KY_Cost Plant Acct-Elec-P14(Reg'!B36</f>
        <v>5911029.8200000012</v>
      </c>
      <c r="C36" s="133"/>
      <c r="D36" s="133">
        <f>'KY_Cost Plant Acct-Elec-P14(Reg'!D36</f>
        <v>291164.40999999997</v>
      </c>
      <c r="E36" s="133"/>
      <c r="F36" s="133">
        <f>'KY_Cost Plant Acct-Elec-P14(Reg'!F36</f>
        <v>-143955.4</v>
      </c>
      <c r="G36" s="133"/>
      <c r="H36" s="133">
        <f>'KY_Cost Plant Acct-Elec-P14(Reg'!H36</f>
        <v>0</v>
      </c>
      <c r="I36" s="133"/>
      <c r="J36" s="133">
        <f t="shared" si="2"/>
        <v>147209.00999999998</v>
      </c>
      <c r="K36" s="133"/>
      <c r="L36" s="136">
        <f t="shared" si="3"/>
        <v>6058238.830000001</v>
      </c>
    </row>
    <row r="37" spans="1:12" x14ac:dyDescent="0.2">
      <c r="A37" s="3" t="s">
        <v>293</v>
      </c>
      <c r="B37" s="133">
        <f>'KY_Cost Plant Acct-Elec-P14(Reg'!B37</f>
        <v>0</v>
      </c>
      <c r="C37" s="133"/>
      <c r="D37" s="133">
        <f>'KY_Cost Plant Acct-Elec-P14(Reg'!D37</f>
        <v>0</v>
      </c>
      <c r="E37" s="133"/>
      <c r="F37" s="133">
        <f>'KY_Cost Plant Acct-Elec-P14(Reg'!F37</f>
        <v>0</v>
      </c>
      <c r="G37" s="133"/>
      <c r="H37" s="133">
        <f>'KY_Cost Plant Acct-Elec-P14(Reg'!H37</f>
        <v>0</v>
      </c>
      <c r="I37" s="133"/>
      <c r="J37" s="133">
        <f t="shared" si="2"/>
        <v>0</v>
      </c>
      <c r="K37" s="133"/>
      <c r="L37" s="136">
        <f t="shared" si="3"/>
        <v>0</v>
      </c>
    </row>
    <row r="38" spans="1:12" x14ac:dyDescent="0.2">
      <c r="A38" s="3" t="s">
        <v>294</v>
      </c>
      <c r="B38" s="133">
        <f>'KY_Cost Plant Acct-Elec-P14(Reg'!B38</f>
        <v>2113558.65</v>
      </c>
      <c r="C38" s="133"/>
      <c r="D38" s="133">
        <f>'KY_Cost Plant Acct-Elec-P14(Reg'!D38</f>
        <v>110496.62</v>
      </c>
      <c r="E38" s="133"/>
      <c r="F38" s="133">
        <f>'KY_Cost Plant Acct-Elec-P14(Reg'!F38</f>
        <v>-421228.56</v>
      </c>
      <c r="G38" s="133"/>
      <c r="H38" s="133">
        <f>'KY_Cost Plant Acct-Elec-P14(Reg'!H38</f>
        <v>0</v>
      </c>
      <c r="I38" s="133"/>
      <c r="J38" s="133">
        <f t="shared" si="2"/>
        <v>-310731.94</v>
      </c>
      <c r="K38" s="133"/>
      <c r="L38" s="136">
        <f t="shared" si="3"/>
        <v>1802826.71</v>
      </c>
    </row>
    <row r="39" spans="1:12" x14ac:dyDescent="0.2">
      <c r="A39" s="3" t="s">
        <v>295</v>
      </c>
      <c r="B39" s="133">
        <f>'KY_Cost Plant Acct-Elec-P14(Reg'!B39</f>
        <v>196248.24</v>
      </c>
      <c r="C39" s="133"/>
      <c r="D39" s="133">
        <f>'KY_Cost Plant Acct-Elec-P14(Reg'!D39</f>
        <v>0</v>
      </c>
      <c r="E39" s="133"/>
      <c r="F39" s="133">
        <f>'KY_Cost Plant Acct-Elec-P14(Reg'!F39</f>
        <v>0</v>
      </c>
      <c r="G39" s="133"/>
      <c r="H39" s="133">
        <f>'KY_Cost Plant Acct-Elec-P14(Reg'!H39</f>
        <v>0</v>
      </c>
      <c r="I39" s="133"/>
      <c r="J39" s="133">
        <f t="shared" si="2"/>
        <v>0</v>
      </c>
      <c r="K39" s="133"/>
      <c r="L39" s="133">
        <f t="shared" si="3"/>
        <v>196248.24</v>
      </c>
    </row>
    <row r="40" spans="1:12" x14ac:dyDescent="0.2">
      <c r="A40" s="21" t="s">
        <v>297</v>
      </c>
      <c r="B40" s="133">
        <f>'KY_Cost Plant Acct-Elec-P14(Reg'!B40</f>
        <v>5793406.5299999993</v>
      </c>
      <c r="C40" s="133"/>
      <c r="D40" s="133">
        <f>'KY_Cost Plant Acct-Elec-P14(Reg'!D40</f>
        <v>941346</v>
      </c>
      <c r="E40" s="133"/>
      <c r="F40" s="133">
        <f>'KY_Cost Plant Acct-Elec-P14(Reg'!F40</f>
        <v>0</v>
      </c>
      <c r="G40" s="133"/>
      <c r="H40" s="133">
        <f>'KY_Cost Plant Acct-Elec-P14(Reg'!H40</f>
        <v>0</v>
      </c>
      <c r="I40" s="133"/>
      <c r="J40" s="133">
        <f t="shared" si="2"/>
        <v>941346</v>
      </c>
      <c r="K40" s="133"/>
      <c r="L40" s="133">
        <f t="shared" si="3"/>
        <v>6734752.5299999993</v>
      </c>
    </row>
    <row r="41" spans="1:12" x14ac:dyDescent="0.2">
      <c r="B41" s="150">
        <f>SUM(B33:B40)</f>
        <v>20032094.800000004</v>
      </c>
      <c r="C41" s="133"/>
      <c r="D41" s="150">
        <f>SUM(D33:D40)</f>
        <v>1558146.64</v>
      </c>
      <c r="E41" s="133"/>
      <c r="F41" s="150">
        <f>SUM(F33:F40)</f>
        <v>-729805.85000000009</v>
      </c>
      <c r="G41" s="133"/>
      <c r="H41" s="150">
        <f>SUM(H33:H40)</f>
        <v>0</v>
      </c>
      <c r="I41" s="133"/>
      <c r="J41" s="150">
        <f>SUM(J33:J40)</f>
        <v>828340.79</v>
      </c>
      <c r="K41" s="133"/>
      <c r="L41" s="150">
        <f>SUM(L33:L40)</f>
        <v>20860435.590000004</v>
      </c>
    </row>
    <row r="42" spans="1:12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2" x14ac:dyDescent="0.2">
      <c r="A43" s="9" t="s">
        <v>299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x14ac:dyDescent="0.2">
      <c r="A44" s="3" t="s">
        <v>300</v>
      </c>
      <c r="B44" s="133">
        <f>'KY_Cost Plant Acct-Elec-P14(Reg'!B44</f>
        <v>6.5</v>
      </c>
      <c r="C44" s="133"/>
      <c r="D44" s="133">
        <f>'KY_Cost Plant Acct-Elec-P14(Reg'!D44</f>
        <v>0</v>
      </c>
      <c r="E44" s="133"/>
      <c r="F44" s="133">
        <f>'KY_Cost Plant Acct-Elec-P14(Reg'!F44</f>
        <v>0</v>
      </c>
      <c r="G44" s="133"/>
      <c r="H44" s="133">
        <f>'KY_Cost Plant Acct-Elec-P14(Reg'!H44</f>
        <v>0</v>
      </c>
      <c r="I44" s="133"/>
      <c r="J44" s="133">
        <f t="shared" ref="J44:J51" si="4">H44+F44+D44</f>
        <v>0</v>
      </c>
      <c r="K44" s="133"/>
      <c r="L44" s="136">
        <f t="shared" ref="L44:L51" si="5">B44+J44</f>
        <v>6.5</v>
      </c>
    </row>
    <row r="45" spans="1:12" x14ac:dyDescent="0.2">
      <c r="A45" s="3" t="s">
        <v>301</v>
      </c>
      <c r="B45" s="133">
        <f>'KY_Cost Plant Acct-Elec-P14(Reg'!B45</f>
        <v>6221095.3700000001</v>
      </c>
      <c r="C45" s="133"/>
      <c r="D45" s="133">
        <f>'KY_Cost Plant Acct-Elec-P14(Reg'!D45</f>
        <v>0</v>
      </c>
      <c r="E45" s="133"/>
      <c r="F45" s="133">
        <f>'KY_Cost Plant Acct-Elec-P14(Reg'!F45</f>
        <v>-28266.74</v>
      </c>
      <c r="G45" s="133"/>
      <c r="H45" s="133">
        <f>'KY_Cost Plant Acct-Elec-P14(Reg'!H45</f>
        <v>0</v>
      </c>
      <c r="I45" s="133"/>
      <c r="J45" s="133">
        <f t="shared" si="4"/>
        <v>-28266.74</v>
      </c>
      <c r="K45" s="133"/>
      <c r="L45" s="136">
        <f t="shared" si="5"/>
        <v>6192828.6299999999</v>
      </c>
    </row>
    <row r="46" spans="1:12" x14ac:dyDescent="0.2">
      <c r="A46" s="3" t="s">
        <v>302</v>
      </c>
      <c r="B46" s="133">
        <f>'KY_Cost Plant Acct-Elec-P14(Reg'!B46</f>
        <v>13218970.020000001</v>
      </c>
      <c r="C46" s="133"/>
      <c r="D46" s="133">
        <f>'KY_Cost Plant Acct-Elec-P14(Reg'!D46</f>
        <v>0</v>
      </c>
      <c r="E46" s="133"/>
      <c r="F46" s="133">
        <f>'KY_Cost Plant Acct-Elec-P14(Reg'!F46</f>
        <v>-7416.11</v>
      </c>
      <c r="G46" s="133"/>
      <c r="H46" s="133">
        <f>'KY_Cost Plant Acct-Elec-P14(Reg'!H46</f>
        <v>0</v>
      </c>
      <c r="I46" s="133"/>
      <c r="J46" s="133">
        <f t="shared" si="4"/>
        <v>-7416.11</v>
      </c>
      <c r="K46" s="133"/>
      <c r="L46" s="136">
        <f t="shared" si="5"/>
        <v>13211553.910000002</v>
      </c>
    </row>
    <row r="47" spans="1:12" x14ac:dyDescent="0.2">
      <c r="A47" s="3" t="s">
        <v>303</v>
      </c>
      <c r="B47" s="133">
        <f>'KY_Cost Plant Acct-Elec-P14(Reg'!B47</f>
        <v>36170896.440000005</v>
      </c>
      <c r="C47" s="133"/>
      <c r="D47" s="133">
        <f>'KY_Cost Plant Acct-Elec-P14(Reg'!D47</f>
        <v>0</v>
      </c>
      <c r="E47" s="133"/>
      <c r="F47" s="133">
        <f>'KY_Cost Plant Acct-Elec-P14(Reg'!F47</f>
        <v>-153828.44</v>
      </c>
      <c r="G47" s="133"/>
      <c r="H47" s="133">
        <f>'KY_Cost Plant Acct-Elec-P14(Reg'!H47</f>
        <v>0</v>
      </c>
      <c r="I47" s="133"/>
      <c r="J47" s="133">
        <f t="shared" si="4"/>
        <v>-153828.44</v>
      </c>
      <c r="K47" s="133"/>
      <c r="L47" s="136">
        <f t="shared" si="5"/>
        <v>36017068.000000007</v>
      </c>
    </row>
    <row r="48" spans="1:12" x14ac:dyDescent="0.2">
      <c r="A48" s="3" t="s">
        <v>304</v>
      </c>
      <c r="B48" s="133">
        <f>'KY_Cost Plant Acct-Elec-P14(Reg'!B48</f>
        <v>6147899.2199999997</v>
      </c>
      <c r="C48" s="133"/>
      <c r="D48" s="133">
        <f>'KY_Cost Plant Acct-Elec-P14(Reg'!D48</f>
        <v>0</v>
      </c>
      <c r="E48" s="133"/>
      <c r="F48" s="133">
        <f>'KY_Cost Plant Acct-Elec-P14(Reg'!F48</f>
        <v>-21090.5</v>
      </c>
      <c r="G48" s="133"/>
      <c r="H48" s="133">
        <f>'KY_Cost Plant Acct-Elec-P14(Reg'!H48</f>
        <v>0</v>
      </c>
      <c r="I48" s="133"/>
      <c r="J48" s="133">
        <f t="shared" si="4"/>
        <v>-21090.5</v>
      </c>
      <c r="K48" s="133"/>
      <c r="L48" s="136">
        <f t="shared" si="5"/>
        <v>6126808.7199999997</v>
      </c>
    </row>
    <row r="49" spans="1:12" x14ac:dyDescent="0.2">
      <c r="A49" s="3" t="s">
        <v>305</v>
      </c>
      <c r="B49" s="133">
        <f>'KY_Cost Plant Acct-Elec-P14(Reg'!B49</f>
        <v>338524.52</v>
      </c>
      <c r="C49" s="133"/>
      <c r="D49" s="133">
        <f>'KY_Cost Plant Acct-Elec-P14(Reg'!D49</f>
        <v>0</v>
      </c>
      <c r="E49" s="133"/>
      <c r="F49" s="133">
        <f>'KY_Cost Plant Acct-Elec-P14(Reg'!F49</f>
        <v>-3309.58</v>
      </c>
      <c r="G49" s="133"/>
      <c r="H49" s="133">
        <f>'KY_Cost Plant Acct-Elec-P14(Reg'!H49</f>
        <v>0</v>
      </c>
      <c r="I49" s="133"/>
      <c r="J49" s="133">
        <f t="shared" si="4"/>
        <v>-3309.58</v>
      </c>
      <c r="K49" s="133"/>
      <c r="L49" s="136">
        <f t="shared" si="5"/>
        <v>335214.94</v>
      </c>
    </row>
    <row r="50" spans="1:12" x14ac:dyDescent="0.2">
      <c r="A50" s="3" t="s">
        <v>306</v>
      </c>
      <c r="B50" s="133">
        <f>'KY_Cost Plant Acct-Elec-P14(Reg'!B50</f>
        <v>29930.61</v>
      </c>
      <c r="C50" s="133"/>
      <c r="D50" s="133">
        <f>'KY_Cost Plant Acct-Elec-P14(Reg'!D50</f>
        <v>0</v>
      </c>
      <c r="E50" s="133"/>
      <c r="F50" s="133">
        <f>'KY_Cost Plant Acct-Elec-P14(Reg'!F50</f>
        <v>0</v>
      </c>
      <c r="G50" s="133"/>
      <c r="H50" s="133">
        <f>'KY_Cost Plant Acct-Elec-P14(Reg'!H50</f>
        <v>0</v>
      </c>
      <c r="I50" s="133"/>
      <c r="J50" s="133">
        <f t="shared" si="4"/>
        <v>0</v>
      </c>
      <c r="K50" s="133"/>
      <c r="L50" s="136">
        <f t="shared" si="5"/>
        <v>29930.61</v>
      </c>
    </row>
    <row r="51" spans="1:12" x14ac:dyDescent="0.2">
      <c r="A51" s="3" t="s">
        <v>307</v>
      </c>
      <c r="B51" s="151">
        <f>'KY_Cost Plant Acct-Elec-P14(Reg'!B51</f>
        <v>466645.73</v>
      </c>
      <c r="C51" s="133"/>
      <c r="D51" s="151">
        <f>'KY_Cost Plant Acct-Elec-P14(Reg'!D51</f>
        <v>0</v>
      </c>
      <c r="E51" s="133"/>
      <c r="F51" s="151">
        <f>'KY_Cost Plant Acct-Elec-P14(Reg'!F51</f>
        <v>0</v>
      </c>
      <c r="G51" s="133"/>
      <c r="H51" s="151">
        <f>'KY_Cost Plant Acct-Elec-P14(Reg'!H51</f>
        <v>0</v>
      </c>
      <c r="I51" s="133"/>
      <c r="J51" s="151">
        <f t="shared" si="4"/>
        <v>0</v>
      </c>
      <c r="K51" s="133"/>
      <c r="L51" s="151">
        <f t="shared" si="5"/>
        <v>466645.73</v>
      </c>
    </row>
    <row r="52" spans="1:12" x14ac:dyDescent="0.2">
      <c r="B52" s="133">
        <f>SUM(B44:B51)</f>
        <v>62593968.410000004</v>
      </c>
      <c r="C52" s="133"/>
      <c r="D52" s="133">
        <f>SUM(D44:D51)</f>
        <v>0</v>
      </c>
      <c r="E52" s="133"/>
      <c r="F52" s="133">
        <f>SUM(F44:F51)</f>
        <v>-213911.37</v>
      </c>
      <c r="G52" s="133"/>
      <c r="H52" s="133">
        <f>SUM(H44:H51)</f>
        <v>0</v>
      </c>
      <c r="I52" s="133"/>
      <c r="J52" s="133">
        <f>SUM(J44:J51)</f>
        <v>-213911.37</v>
      </c>
      <c r="K52" s="133"/>
      <c r="L52" s="133">
        <f>SUM(L44:L51)</f>
        <v>62380057.039999999</v>
      </c>
    </row>
    <row r="53" spans="1:12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1:12" x14ac:dyDescent="0.2">
      <c r="A54" s="9" t="s">
        <v>309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1:12" x14ac:dyDescent="0.2">
      <c r="A55" s="3" t="s">
        <v>310</v>
      </c>
      <c r="B55" s="133">
        <f>'KY_Cost Plant Acct-Elec-P14(Reg'!B55</f>
        <v>2240.29</v>
      </c>
      <c r="C55" s="133"/>
      <c r="D55" s="133">
        <f>'KY_Cost Plant Acct-Elec-P14(Reg'!D55</f>
        <v>0</v>
      </c>
      <c r="E55" s="133"/>
      <c r="F55" s="133">
        <f>'KY_Cost Plant Acct-Elec-P14(Reg'!F55</f>
        <v>0</v>
      </c>
      <c r="G55" s="133"/>
      <c r="H55" s="133">
        <f>'KY_Cost Plant Acct-Elec-P14(Reg'!H55</f>
        <v>0</v>
      </c>
      <c r="I55" s="133"/>
      <c r="J55" s="133">
        <f>H55+F55+D55</f>
        <v>0</v>
      </c>
      <c r="K55" s="133"/>
      <c r="L55" s="136">
        <f>B55+J55</f>
        <v>2240.29</v>
      </c>
    </row>
    <row r="56" spans="1:12" x14ac:dyDescent="0.2">
      <c r="A56" s="3" t="s">
        <v>311</v>
      </c>
      <c r="B56" s="151">
        <f>'KY_Cost Plant Acct-Elec-P14(Reg'!B56</f>
        <v>0</v>
      </c>
      <c r="C56" s="133"/>
      <c r="D56" s="151">
        <f>'KY_Cost Plant Acct-Elec-P14(Reg'!D56</f>
        <v>0</v>
      </c>
      <c r="E56" s="133"/>
      <c r="F56" s="151">
        <f>'KY_Cost Plant Acct-Elec-P14(Reg'!F56</f>
        <v>0</v>
      </c>
      <c r="G56" s="133"/>
      <c r="H56" s="151">
        <f>'KY_Cost Plant Acct-Elec-P14(Reg'!H56</f>
        <v>0</v>
      </c>
      <c r="I56" s="133"/>
      <c r="J56" s="151">
        <f>H56+F56+D56</f>
        <v>0</v>
      </c>
      <c r="K56" s="133"/>
      <c r="L56" s="151">
        <f>B56+J56</f>
        <v>0</v>
      </c>
    </row>
    <row r="57" spans="1:12" x14ac:dyDescent="0.2">
      <c r="B57" s="133">
        <f>SUM(B55:B56)</f>
        <v>2240.29</v>
      </c>
      <c r="C57" s="133"/>
      <c r="D57" s="133">
        <f>SUM(D55:D56)</f>
        <v>0</v>
      </c>
      <c r="E57" s="133"/>
      <c r="F57" s="133">
        <f>SUM(F55:F56)</f>
        <v>0</v>
      </c>
      <c r="G57" s="133"/>
      <c r="H57" s="133">
        <f>SUM(H55:H56)</f>
        <v>0</v>
      </c>
      <c r="I57" s="133"/>
      <c r="J57" s="133">
        <f>SUM(J55:J56)</f>
        <v>0</v>
      </c>
      <c r="K57" s="133"/>
      <c r="L57" s="133">
        <f>SUM(L55:L56)</f>
        <v>2240.29</v>
      </c>
    </row>
    <row r="58" spans="1:12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x14ac:dyDescent="0.2">
      <c r="A59" s="9" t="s">
        <v>313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x14ac:dyDescent="0.2">
      <c r="A60" s="3" t="s">
        <v>314</v>
      </c>
      <c r="B60" s="136">
        <f>'KY_Cost Plant Acct-Elec-P14(Reg'!B60</f>
        <v>123878.65999999997</v>
      </c>
      <c r="C60" s="136"/>
      <c r="D60" s="136">
        <f>'KY_Cost Plant Acct-Elec-P14(Reg'!D60</f>
        <v>0</v>
      </c>
      <c r="E60" s="136"/>
      <c r="F60" s="136">
        <f>'KY_Cost Plant Acct-Elec-P14(Reg'!F60</f>
        <v>0</v>
      </c>
      <c r="G60" s="136"/>
      <c r="H60" s="136">
        <f>'KY_Cost Plant Acct-Elec-P14(Reg'!H60</f>
        <v>0</v>
      </c>
      <c r="I60" s="136"/>
      <c r="J60" s="136">
        <f t="shared" ref="J60:J68" si="6">H60+F60+D60</f>
        <v>0</v>
      </c>
      <c r="K60" s="136"/>
      <c r="L60" s="136">
        <f t="shared" ref="L60:L68" si="7">B60+J60</f>
        <v>123878.65999999997</v>
      </c>
    </row>
    <row r="61" spans="1:12" x14ac:dyDescent="0.2">
      <c r="A61" s="3" t="s">
        <v>315</v>
      </c>
      <c r="B61" s="136">
        <f>'KY_Cost Plant Acct-Elec-P14(Reg'!B61</f>
        <v>32387066.030000001</v>
      </c>
      <c r="C61" s="136"/>
      <c r="D61" s="136">
        <f>'KY_Cost Plant Acct-Elec-P14(Reg'!D61</f>
        <v>1083639.3</v>
      </c>
      <c r="E61" s="136"/>
      <c r="F61" s="136">
        <f>'KY_Cost Plant Acct-Elec-P14(Reg'!F61</f>
        <v>0</v>
      </c>
      <c r="G61" s="136"/>
      <c r="H61" s="136">
        <f>'KY_Cost Plant Acct-Elec-P14(Reg'!H61</f>
        <v>0</v>
      </c>
      <c r="I61" s="136"/>
      <c r="J61" s="136">
        <f t="shared" si="6"/>
        <v>1083639.3</v>
      </c>
      <c r="K61" s="136"/>
      <c r="L61" s="136">
        <f t="shared" si="7"/>
        <v>33470705.330000002</v>
      </c>
    </row>
    <row r="62" spans="1:12" x14ac:dyDescent="0.2">
      <c r="A62" s="3" t="s">
        <v>316</v>
      </c>
      <c r="B62" s="136">
        <f>'KY_Cost Plant Acct-Elec-P14(Reg'!B62</f>
        <v>16648803.710000001</v>
      </c>
      <c r="C62" s="136"/>
      <c r="D62" s="136">
        <f>'KY_Cost Plant Acct-Elec-P14(Reg'!D62</f>
        <v>7695108.4000000004</v>
      </c>
      <c r="E62" s="136"/>
      <c r="F62" s="136">
        <f>'KY_Cost Plant Acct-Elec-P14(Reg'!F62</f>
        <v>-21564.32</v>
      </c>
      <c r="G62" s="136"/>
      <c r="H62" s="136">
        <f>'KY_Cost Plant Acct-Elec-P14(Reg'!H62</f>
        <v>0</v>
      </c>
      <c r="I62" s="136"/>
      <c r="J62" s="136">
        <f t="shared" si="6"/>
        <v>7673544.0800000001</v>
      </c>
      <c r="K62" s="136"/>
      <c r="L62" s="136">
        <f t="shared" si="7"/>
        <v>24322347.789999999</v>
      </c>
    </row>
    <row r="63" spans="1:12" x14ac:dyDescent="0.2">
      <c r="A63" s="3" t="s">
        <v>317</v>
      </c>
      <c r="B63" s="136">
        <f>'KY_Cost Plant Acct-Elec-P14(Reg'!B63</f>
        <v>234254823.43999997</v>
      </c>
      <c r="C63" s="136"/>
      <c r="D63" s="136">
        <f>'KY_Cost Plant Acct-Elec-P14(Reg'!D63</f>
        <v>1652371.75</v>
      </c>
      <c r="E63" s="136"/>
      <c r="F63" s="136">
        <f>'KY_Cost Plant Acct-Elec-P14(Reg'!F63</f>
        <v>-890334.67</v>
      </c>
      <c r="G63" s="136"/>
      <c r="H63" s="136">
        <f>'KY_Cost Plant Acct-Elec-P14(Reg'!H63</f>
        <v>-285046.86</v>
      </c>
      <c r="I63" s="136"/>
      <c r="J63" s="136">
        <f t="shared" si="6"/>
        <v>476990.22</v>
      </c>
      <c r="K63" s="136"/>
      <c r="L63" s="136">
        <f t="shared" si="7"/>
        <v>234731813.65999997</v>
      </c>
    </row>
    <row r="64" spans="1:12" x14ac:dyDescent="0.2">
      <c r="A64" s="3" t="s">
        <v>318</v>
      </c>
      <c r="B64" s="136">
        <f>'KY_Cost Plant Acct-Elec-P14(Reg'!B64</f>
        <v>49859845.339999996</v>
      </c>
      <c r="C64" s="136"/>
      <c r="D64" s="136">
        <f>'KY_Cost Plant Acct-Elec-P14(Reg'!D64</f>
        <v>9121728.5299999993</v>
      </c>
      <c r="E64" s="136"/>
      <c r="F64" s="136">
        <f>'KY_Cost Plant Acct-Elec-P14(Reg'!F64</f>
        <v>-308016.34999999998</v>
      </c>
      <c r="G64" s="136"/>
      <c r="H64" s="136">
        <f>'KY_Cost Plant Acct-Elec-P14(Reg'!H64</f>
        <v>285046.86</v>
      </c>
      <c r="I64" s="136"/>
      <c r="J64" s="136">
        <f t="shared" si="6"/>
        <v>9098759.0399999991</v>
      </c>
      <c r="K64" s="136"/>
      <c r="L64" s="136">
        <f t="shared" si="7"/>
        <v>58958604.379999995</v>
      </c>
    </row>
    <row r="65" spans="1:12" x14ac:dyDescent="0.2">
      <c r="A65" s="3" t="s">
        <v>319</v>
      </c>
      <c r="B65" s="136">
        <f>'KY_Cost Plant Acct-Elec-P14(Reg'!B65</f>
        <v>27197963.949999999</v>
      </c>
      <c r="C65" s="136"/>
      <c r="D65" s="136">
        <f>'KY_Cost Plant Acct-Elec-P14(Reg'!D65</f>
        <v>301468.36</v>
      </c>
      <c r="E65" s="136"/>
      <c r="F65" s="136">
        <f>'KY_Cost Plant Acct-Elec-P14(Reg'!F65</f>
        <v>0</v>
      </c>
      <c r="G65" s="136"/>
      <c r="H65" s="136">
        <f>'KY_Cost Plant Acct-Elec-P14(Reg'!H65</f>
        <v>0</v>
      </c>
      <c r="I65" s="136"/>
      <c r="J65" s="136">
        <f t="shared" si="6"/>
        <v>301468.36</v>
      </c>
      <c r="K65" s="136"/>
      <c r="L65" s="136">
        <f t="shared" si="7"/>
        <v>27499432.309999999</v>
      </c>
    </row>
    <row r="66" spans="1:12" x14ac:dyDescent="0.2">
      <c r="A66" s="3" t="s">
        <v>320</v>
      </c>
      <c r="B66" s="136">
        <f>'KY_Cost Plant Acct-Elec-P14(Reg'!B66</f>
        <v>4679827.6499999994</v>
      </c>
      <c r="C66" s="136"/>
      <c r="D66" s="136">
        <f>'KY_Cost Plant Acct-Elec-P14(Reg'!D66</f>
        <v>345277.08</v>
      </c>
      <c r="E66" s="136"/>
      <c r="F66" s="136">
        <f>'KY_Cost Plant Acct-Elec-P14(Reg'!F66</f>
        <v>-22884.799999999999</v>
      </c>
      <c r="G66" s="136"/>
      <c r="H66" s="136">
        <f>'KY_Cost Plant Acct-Elec-P14(Reg'!H66</f>
        <v>0</v>
      </c>
      <c r="I66" s="136"/>
      <c r="J66" s="136">
        <f t="shared" si="6"/>
        <v>322392.28000000003</v>
      </c>
      <c r="K66" s="136"/>
      <c r="L66" s="136">
        <f t="shared" si="7"/>
        <v>5002219.93</v>
      </c>
    </row>
    <row r="67" spans="1:12" x14ac:dyDescent="0.2">
      <c r="A67" s="3" t="s">
        <v>321</v>
      </c>
      <c r="B67" s="136">
        <f>'KY_Cost Plant Acct-Elec-P14(Reg'!B67</f>
        <v>15555.48</v>
      </c>
      <c r="C67" s="136"/>
      <c r="D67" s="136">
        <f>'KY_Cost Plant Acct-Elec-P14(Reg'!D67</f>
        <v>0</v>
      </c>
      <c r="E67" s="136"/>
      <c r="F67" s="136">
        <f>'KY_Cost Plant Acct-Elec-P14(Reg'!F67</f>
        <v>0</v>
      </c>
      <c r="G67" s="136"/>
      <c r="H67" s="136">
        <f>'KY_Cost Plant Acct-Elec-P14(Reg'!H67</f>
        <v>0</v>
      </c>
      <c r="I67" s="136"/>
      <c r="J67" s="136">
        <f t="shared" si="6"/>
        <v>0</v>
      </c>
      <c r="K67" s="136"/>
      <c r="L67" s="136">
        <f t="shared" si="7"/>
        <v>15555.48</v>
      </c>
    </row>
    <row r="68" spans="1:12" x14ac:dyDescent="0.2">
      <c r="A68" s="3" t="s">
        <v>322</v>
      </c>
      <c r="B68" s="151">
        <f>'KY_Cost Plant Acct-Elec-P14(Reg'!B68</f>
        <v>62543.96</v>
      </c>
      <c r="C68" s="136"/>
      <c r="D68" s="151">
        <f>'KY_Cost Plant Acct-Elec-P14(Reg'!D68</f>
        <v>0</v>
      </c>
      <c r="E68" s="136"/>
      <c r="F68" s="151">
        <f>'KY_Cost Plant Acct-Elec-P14(Reg'!F68</f>
        <v>0</v>
      </c>
      <c r="G68" s="136"/>
      <c r="H68" s="151">
        <f>'KY_Cost Plant Acct-Elec-P14(Reg'!H68</f>
        <v>33884.6</v>
      </c>
      <c r="I68" s="136"/>
      <c r="J68" s="151">
        <f t="shared" si="6"/>
        <v>33884.6</v>
      </c>
      <c r="K68" s="133"/>
      <c r="L68" s="151">
        <f t="shared" si="7"/>
        <v>96428.56</v>
      </c>
    </row>
    <row r="69" spans="1:12" x14ac:dyDescent="0.2">
      <c r="B69" s="133">
        <f>SUM(B60:B68)</f>
        <v>365230308.21999991</v>
      </c>
      <c r="C69" s="133"/>
      <c r="D69" s="133">
        <f>SUM(D60:D68)</f>
        <v>20199593.419999998</v>
      </c>
      <c r="E69" s="133"/>
      <c r="F69" s="133">
        <f>SUM(F60:F68)</f>
        <v>-1242800.1399999999</v>
      </c>
      <c r="G69" s="133"/>
      <c r="H69" s="133">
        <f>SUM(H60:H68)</f>
        <v>33884.6</v>
      </c>
      <c r="I69" s="133"/>
      <c r="J69" s="133">
        <f>SUM(J60:J68)</f>
        <v>18990677.880000003</v>
      </c>
      <c r="K69" s="133"/>
      <c r="L69" s="133">
        <f>SUM(L60:L68)</f>
        <v>384220986.09999996</v>
      </c>
    </row>
    <row r="70" spans="1:12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1:12" x14ac:dyDescent="0.2">
      <c r="A71" s="9" t="s">
        <v>325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1:12" x14ac:dyDescent="0.2">
      <c r="A72" s="3" t="s">
        <v>326</v>
      </c>
      <c r="B72" s="133">
        <f>'KY_Cost Plant Acct-Elec-P14(Reg'!B72</f>
        <v>7266610.4499999993</v>
      </c>
      <c r="C72" s="133"/>
      <c r="D72" s="133">
        <f>'KY_Cost Plant Acct-Elec-P14(Reg'!D72</f>
        <v>0</v>
      </c>
      <c r="E72" s="133"/>
      <c r="F72" s="133">
        <f>'KY_Cost Plant Acct-Elec-P14(Reg'!F72</f>
        <v>0</v>
      </c>
      <c r="G72" s="133"/>
      <c r="H72" s="133">
        <f>'KY_Cost Plant Acct-Elec-P14(Reg'!H72</f>
        <v>0</v>
      </c>
      <c r="I72" s="133"/>
      <c r="J72" s="133">
        <f t="shared" ref="J72:J84" si="8">H72+F72+D72</f>
        <v>0</v>
      </c>
      <c r="K72" s="133"/>
      <c r="L72" s="136">
        <f t="shared" ref="L72:L84" si="9">B72+J72</f>
        <v>7266610.4499999993</v>
      </c>
    </row>
    <row r="73" spans="1:12" x14ac:dyDescent="0.2">
      <c r="A73" s="3" t="s">
        <v>327</v>
      </c>
      <c r="B73" s="133">
        <f>'KY_Cost Plant Acct-Elec-P14(Reg'!B73</f>
        <v>0</v>
      </c>
      <c r="C73" s="133"/>
      <c r="D73" s="133">
        <f>'KY_Cost Plant Acct-Elec-P14(Reg'!D73</f>
        <v>0</v>
      </c>
      <c r="E73" s="133"/>
      <c r="F73" s="133">
        <f>'KY_Cost Plant Acct-Elec-P14(Reg'!F73</f>
        <v>0</v>
      </c>
      <c r="G73" s="133"/>
      <c r="H73" s="133">
        <f>'KY_Cost Plant Acct-Elec-P14(Reg'!H73</f>
        <v>0</v>
      </c>
      <c r="I73" s="133"/>
      <c r="J73" s="133">
        <f>H73+F73+D73</f>
        <v>0</v>
      </c>
      <c r="K73" s="133"/>
      <c r="L73" s="136">
        <f>B73+J73</f>
        <v>0</v>
      </c>
    </row>
    <row r="74" spans="1:12" x14ac:dyDescent="0.2">
      <c r="A74" s="3" t="s">
        <v>328</v>
      </c>
      <c r="B74" s="133">
        <f>'KY_Cost Plant Acct-Elec-P14(Reg'!B74</f>
        <v>360851.26</v>
      </c>
      <c r="C74" s="133"/>
      <c r="D74" s="133">
        <f>'KY_Cost Plant Acct-Elec-P14(Reg'!D74</f>
        <v>0</v>
      </c>
      <c r="E74" s="133"/>
      <c r="F74" s="133">
        <f>'KY_Cost Plant Acct-Elec-P14(Reg'!F74</f>
        <v>0</v>
      </c>
      <c r="G74" s="133"/>
      <c r="H74" s="133">
        <f>'KY_Cost Plant Acct-Elec-P14(Reg'!H74</f>
        <v>0</v>
      </c>
      <c r="I74" s="133"/>
      <c r="J74" s="133">
        <f>H74+F74+D74</f>
        <v>0</v>
      </c>
      <c r="K74" s="133"/>
      <c r="L74" s="136">
        <f>B74+J74</f>
        <v>360851.26</v>
      </c>
    </row>
    <row r="75" spans="1:12" x14ac:dyDescent="0.2">
      <c r="A75" s="3" t="s">
        <v>330</v>
      </c>
      <c r="B75" s="133">
        <f>'KY_Cost Plant Acct-Elec-P14(Reg'!B75+'Capital Leased Prop P25 (Reg)'!B10</f>
        <v>272487031.18000001</v>
      </c>
      <c r="C75" s="133"/>
      <c r="D75" s="133">
        <f>'KY_Cost Plant Acct-Elec-P14(Reg'!D75+'Capital Leased Prop P25 (Reg)'!D10</f>
        <v>1365061.34</v>
      </c>
      <c r="E75" s="133"/>
      <c r="F75" s="133">
        <f>'KY_Cost Plant Acct-Elec-P14(Reg'!F75+'Capital Leased Prop P25 (Reg)'!F10</f>
        <v>-209322.45</v>
      </c>
      <c r="G75" s="133"/>
      <c r="H75" s="133">
        <f>'KY_Cost Plant Acct-Elec-P14(Reg'!H75+'Capital Leased Prop P25 (Reg)'!H10</f>
        <v>0</v>
      </c>
      <c r="I75" s="133"/>
      <c r="J75" s="133">
        <f t="shared" si="8"/>
        <v>1155738.8900000001</v>
      </c>
      <c r="K75" s="133"/>
      <c r="L75" s="136">
        <f t="shared" si="9"/>
        <v>273642770.06999999</v>
      </c>
    </row>
    <row r="76" spans="1:12" x14ac:dyDescent="0.2">
      <c r="A76" s="3" t="s">
        <v>331</v>
      </c>
      <c r="B76" s="133">
        <f>'KY_Cost Plant Acct-Elec-P14(Reg'!B76</f>
        <v>0</v>
      </c>
      <c r="C76" s="133"/>
      <c r="D76" s="133">
        <f>'KY_Cost Plant Acct-Elec-P14(Reg'!D76</f>
        <v>0</v>
      </c>
      <c r="E76" s="133"/>
      <c r="F76" s="133">
        <f>'KY_Cost Plant Acct-Elec-P14(Reg'!F76</f>
        <v>0</v>
      </c>
      <c r="G76" s="133"/>
      <c r="H76" s="133">
        <f>'KY_Cost Plant Acct-Elec-P14(Reg'!H76</f>
        <v>0</v>
      </c>
      <c r="I76" s="133"/>
      <c r="J76" s="133">
        <f t="shared" si="8"/>
        <v>0</v>
      </c>
      <c r="K76" s="133"/>
      <c r="L76" s="136">
        <f t="shared" si="9"/>
        <v>0</v>
      </c>
    </row>
    <row r="77" spans="1:12" x14ac:dyDescent="0.2">
      <c r="A77" s="3" t="s">
        <v>333</v>
      </c>
      <c r="B77" s="133">
        <f>'KY_Cost Plant Acct-Elec-P14(Reg'!B77</f>
        <v>1083396331.54</v>
      </c>
      <c r="C77" s="133"/>
      <c r="D77" s="133">
        <f>'KY_Cost Plant Acct-Elec-P14(Reg'!D77</f>
        <v>116648191.84</v>
      </c>
      <c r="E77" s="133"/>
      <c r="F77" s="133">
        <f>'KY_Cost Plant Acct-Elec-P14(Reg'!F77</f>
        <v>-13091124.68</v>
      </c>
      <c r="G77" s="133"/>
      <c r="H77" s="133">
        <f>'KY_Cost Plant Acct-Elec-P14(Reg'!H77</f>
        <v>0</v>
      </c>
      <c r="I77" s="133"/>
      <c r="J77" s="133">
        <f t="shared" si="8"/>
        <v>103557067.16</v>
      </c>
      <c r="K77" s="133"/>
      <c r="L77" s="136">
        <f t="shared" si="9"/>
        <v>1186953398.7</v>
      </c>
    </row>
    <row r="78" spans="1:12" x14ac:dyDescent="0.2">
      <c r="A78" s="3" t="s">
        <v>334</v>
      </c>
      <c r="B78" s="133">
        <f>'KY_Cost Plant Acct-Elec-P14(Reg'!B78</f>
        <v>0</v>
      </c>
      <c r="C78" s="133"/>
      <c r="D78" s="133">
        <f>'KY_Cost Plant Acct-Elec-P14(Reg'!D78</f>
        <v>0</v>
      </c>
      <c r="E78" s="133"/>
      <c r="F78" s="133">
        <f>'KY_Cost Plant Acct-Elec-P14(Reg'!F78</f>
        <v>0</v>
      </c>
      <c r="G78" s="133"/>
      <c r="H78" s="133">
        <f>'KY_Cost Plant Acct-Elec-P14(Reg'!H78</f>
        <v>0</v>
      </c>
      <c r="I78" s="133"/>
      <c r="J78" s="133">
        <f t="shared" si="8"/>
        <v>0</v>
      </c>
      <c r="K78" s="133"/>
      <c r="L78" s="136">
        <f t="shared" si="9"/>
        <v>0</v>
      </c>
    </row>
    <row r="79" spans="1:12" x14ac:dyDescent="0.2">
      <c r="A79" s="3" t="s">
        <v>336</v>
      </c>
      <c r="B79" s="133">
        <f>'KY_Cost Plant Acct-Elec-P14(Reg'!B79</f>
        <v>224142188.50999999</v>
      </c>
      <c r="C79" s="133"/>
      <c r="D79" s="133">
        <f>'KY_Cost Plant Acct-Elec-P14(Reg'!D79</f>
        <v>1212101.81</v>
      </c>
      <c r="E79" s="133"/>
      <c r="F79" s="133">
        <f>'KY_Cost Plant Acct-Elec-P14(Reg'!F79</f>
        <v>-1207097.31</v>
      </c>
      <c r="G79" s="133"/>
      <c r="H79" s="133">
        <f>'KY_Cost Plant Acct-Elec-P14(Reg'!H79</f>
        <v>0</v>
      </c>
      <c r="I79" s="133"/>
      <c r="J79" s="133">
        <f t="shared" si="8"/>
        <v>5004.5</v>
      </c>
      <c r="K79" s="133"/>
      <c r="L79" s="136">
        <f t="shared" si="9"/>
        <v>224147193.00999999</v>
      </c>
    </row>
    <row r="80" spans="1:12" x14ac:dyDescent="0.2">
      <c r="A80" s="3" t="s">
        <v>337</v>
      </c>
      <c r="B80" s="133">
        <f>'KY_Cost Plant Acct-Elec-P14(Reg'!B80</f>
        <v>130538814.32999997</v>
      </c>
      <c r="C80" s="133"/>
      <c r="D80" s="133">
        <f>'KY_Cost Plant Acct-Elec-P14(Reg'!D80</f>
        <v>20385091.629999999</v>
      </c>
      <c r="E80" s="133"/>
      <c r="F80" s="133">
        <f>'KY_Cost Plant Acct-Elec-P14(Reg'!F80</f>
        <v>-22054.35</v>
      </c>
      <c r="G80" s="133"/>
      <c r="H80" s="133">
        <f>'KY_Cost Plant Acct-Elec-P14(Reg'!H80</f>
        <v>0</v>
      </c>
      <c r="I80" s="133"/>
      <c r="J80" s="133">
        <f t="shared" si="8"/>
        <v>20363037.279999997</v>
      </c>
      <c r="K80" s="133"/>
      <c r="L80" s="136">
        <f t="shared" si="9"/>
        <v>150901851.60999995</v>
      </c>
    </row>
    <row r="81" spans="1:12" x14ac:dyDescent="0.2">
      <c r="A81" s="3" t="s">
        <v>338</v>
      </c>
      <c r="B81" s="133">
        <f>'KY_Cost Plant Acct-Elec-P14(Reg'!B81</f>
        <v>0</v>
      </c>
      <c r="C81" s="133"/>
      <c r="D81" s="133">
        <f>'KY_Cost Plant Acct-Elec-P14(Reg'!D81</f>
        <v>0</v>
      </c>
      <c r="E81" s="133"/>
      <c r="F81" s="133">
        <f>'KY_Cost Plant Acct-Elec-P14(Reg'!F81</f>
        <v>0</v>
      </c>
      <c r="G81" s="133"/>
      <c r="H81" s="133">
        <f>'KY_Cost Plant Acct-Elec-P14(Reg'!H81</f>
        <v>0</v>
      </c>
      <c r="I81" s="133"/>
      <c r="J81" s="133">
        <f t="shared" si="8"/>
        <v>0</v>
      </c>
      <c r="K81" s="133"/>
      <c r="L81" s="136">
        <f t="shared" si="9"/>
        <v>0</v>
      </c>
    </row>
    <row r="82" spans="1:12" x14ac:dyDescent="0.2">
      <c r="A82" s="3" t="s">
        <v>340</v>
      </c>
      <c r="B82" s="133">
        <f>'KY_Cost Plant Acct-Elec-P14(Reg'!B82</f>
        <v>17767309.590000007</v>
      </c>
      <c r="C82" s="133"/>
      <c r="D82" s="133">
        <f>'KY_Cost Plant Acct-Elec-P14(Reg'!D82</f>
        <v>748535.4</v>
      </c>
      <c r="E82" s="133"/>
      <c r="F82" s="133">
        <f>'KY_Cost Plant Acct-Elec-P14(Reg'!F82</f>
        <v>-207366.95</v>
      </c>
      <c r="G82" s="133"/>
      <c r="H82" s="133">
        <f>'KY_Cost Plant Acct-Elec-P14(Reg'!H82</f>
        <v>0</v>
      </c>
      <c r="I82" s="133"/>
      <c r="J82" s="133">
        <f t="shared" si="8"/>
        <v>541168.44999999995</v>
      </c>
      <c r="K82" s="133"/>
      <c r="L82" s="136">
        <f t="shared" si="9"/>
        <v>18308478.040000007</v>
      </c>
    </row>
    <row r="83" spans="1:12" x14ac:dyDescent="0.2">
      <c r="A83" s="3" t="s">
        <v>341</v>
      </c>
      <c r="B83" s="133">
        <f>'KY_Cost Plant Acct-Elec-P14(Reg'!B83</f>
        <v>45021427.200000003</v>
      </c>
      <c r="C83" s="133"/>
      <c r="D83" s="133">
        <f>'KY_Cost Plant Acct-Elec-P14(Reg'!D83</f>
        <v>0</v>
      </c>
      <c r="E83" s="133"/>
      <c r="F83" s="133">
        <f>'KY_Cost Plant Acct-Elec-P14(Reg'!F83</f>
        <v>-20817965.800000001</v>
      </c>
      <c r="G83" s="133"/>
      <c r="H83" s="133">
        <f>'KY_Cost Plant Acct-Elec-P14(Reg'!H83</f>
        <v>-803347.02</v>
      </c>
      <c r="I83" s="133"/>
      <c r="J83" s="133">
        <f t="shared" si="8"/>
        <v>-21621312.82</v>
      </c>
      <c r="K83" s="133"/>
      <c r="L83" s="133">
        <f t="shared" si="9"/>
        <v>23400114.380000003</v>
      </c>
    </row>
    <row r="84" spans="1:12" x14ac:dyDescent="0.2">
      <c r="A84" s="3" t="s">
        <v>342</v>
      </c>
      <c r="B84" s="151">
        <f>'KY_Cost Plant Acct-Elec-P14(Reg'!B84</f>
        <v>81908780.349999994</v>
      </c>
      <c r="C84" s="133"/>
      <c r="D84" s="151">
        <f>'KY_Cost Plant Acct-Elec-P14(Reg'!D84</f>
        <v>0</v>
      </c>
      <c r="E84" s="133"/>
      <c r="F84" s="151">
        <f>'KY_Cost Plant Acct-Elec-P14(Reg'!F84</f>
        <v>0</v>
      </c>
      <c r="G84" s="133"/>
      <c r="H84" s="151">
        <f>'KY_Cost Plant Acct-Elec-P14(Reg'!H84</f>
        <v>-8312784.9499999993</v>
      </c>
      <c r="I84" s="133"/>
      <c r="J84" s="151">
        <f t="shared" si="8"/>
        <v>-8312784.9499999993</v>
      </c>
      <c r="K84" s="133"/>
      <c r="L84" s="151">
        <f t="shared" si="9"/>
        <v>73595995.399999991</v>
      </c>
    </row>
    <row r="85" spans="1:12" x14ac:dyDescent="0.2">
      <c r="B85" s="133">
        <f>SUM(B72:B84)</f>
        <v>1862889344.4099996</v>
      </c>
      <c r="C85" s="133"/>
      <c r="D85" s="133">
        <f>SUM(D72:D84)</f>
        <v>140358982.02000001</v>
      </c>
      <c r="E85" s="133"/>
      <c r="F85" s="133">
        <f>SUM(F72:F84)</f>
        <v>-35554931.539999999</v>
      </c>
      <c r="G85" s="133"/>
      <c r="H85" s="133">
        <f>SUM(H72:H84)</f>
        <v>-9116131.9699999988</v>
      </c>
      <c r="I85" s="133"/>
      <c r="J85" s="133">
        <f>SUM(J72:J84)</f>
        <v>95687918.510000005</v>
      </c>
      <c r="K85" s="133"/>
      <c r="L85" s="133">
        <f>SUM(L72:L84)</f>
        <v>1958577262.9200001</v>
      </c>
    </row>
    <row r="86" spans="1:12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x14ac:dyDescent="0.2">
      <c r="A87" s="9" t="s">
        <v>24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  <row r="88" spans="1:12" x14ac:dyDescent="0.2">
      <c r="A88" s="3" t="s">
        <v>344</v>
      </c>
      <c r="B88" s="133">
        <f>'KY_Cost Plant Acct-Elec-P14(Reg'!B88+'IN_Cost Plant Acct-Elec-P16(Reg'!B11</f>
        <v>8587652.5899999999</v>
      </c>
      <c r="C88" s="133"/>
      <c r="D88" s="133">
        <f>'KY_Cost Plant Acct-Elec-P14(Reg'!D88+'IN_Cost Plant Acct-Elec-P16(Reg'!D11</f>
        <v>0</v>
      </c>
      <c r="E88" s="133"/>
      <c r="F88" s="133">
        <f>'KY_Cost Plant Acct-Elec-P14(Reg'!F88+'IN_Cost Plant Acct-Elec-P16(Reg'!F11</f>
        <v>0</v>
      </c>
      <c r="G88" s="133"/>
      <c r="H88" s="133">
        <f>'KY_Cost Plant Acct-Elec-P14(Reg'!H88+'IN_Cost Plant Acct-Elec-P16(Reg'!H11</f>
        <v>0</v>
      </c>
      <c r="I88" s="133"/>
      <c r="J88" s="133">
        <f t="shared" ref="J88:J100" si="10">H88+F88+D88</f>
        <v>0</v>
      </c>
      <c r="K88" s="133"/>
      <c r="L88" s="136">
        <f t="shared" ref="L88:L100" si="11">B88+J88</f>
        <v>8587652.5899999999</v>
      </c>
    </row>
    <row r="89" spans="1:12" x14ac:dyDescent="0.2">
      <c r="A89" s="3" t="s">
        <v>345</v>
      </c>
      <c r="B89" s="133">
        <f>'KY_Cost Plant Acct-Elec-P14(Reg'!B89+'IN_Cost Plant Acct-Elec-P16(Reg'!B12</f>
        <v>2556509.4299999997</v>
      </c>
      <c r="C89" s="133"/>
      <c r="D89" s="133">
        <f>'KY_Cost Plant Acct-Elec-P14(Reg'!D89+'IN_Cost Plant Acct-Elec-P16(Reg'!D12</f>
        <v>0</v>
      </c>
      <c r="E89" s="133"/>
      <c r="F89" s="133">
        <f>'KY_Cost Plant Acct-Elec-P14(Reg'!F89+'IN_Cost Plant Acct-Elec-P16(Reg'!F12</f>
        <v>0</v>
      </c>
      <c r="G89" s="133"/>
      <c r="H89" s="133">
        <f>'KY_Cost Plant Acct-Elec-P14(Reg'!H89+'IN_Cost Plant Acct-Elec-P16(Reg'!H12</f>
        <v>0</v>
      </c>
      <c r="I89" s="133"/>
      <c r="J89" s="133">
        <f t="shared" si="10"/>
        <v>0</v>
      </c>
      <c r="K89" s="133"/>
      <c r="L89" s="136">
        <f t="shared" si="11"/>
        <v>2556509.4299999997</v>
      </c>
    </row>
    <row r="90" spans="1:12" x14ac:dyDescent="0.2">
      <c r="A90" s="3" t="s">
        <v>347</v>
      </c>
      <c r="B90" s="133">
        <f>'KY_Cost Plant Acct-Elec-P14(Reg'!B90+'IN_Cost Plant Acct-Elec-P16(Reg'!B13</f>
        <v>16871480.27</v>
      </c>
      <c r="C90" s="133"/>
      <c r="D90" s="133">
        <f>'KY_Cost Plant Acct-Elec-P14(Reg'!D90+'IN_Cost Plant Acct-Elec-P16(Reg'!D13</f>
        <v>352834.67</v>
      </c>
      <c r="E90" s="133"/>
      <c r="F90" s="133">
        <f>'KY_Cost Plant Acct-Elec-P14(Reg'!F90+'IN_Cost Plant Acct-Elec-P16(Reg'!F13</f>
        <v>-26705.65</v>
      </c>
      <c r="G90" s="133"/>
      <c r="H90" s="133">
        <f>'KY_Cost Plant Acct-Elec-P14(Reg'!H90+'IN_Cost Plant Acct-Elec-P16(Reg'!H13</f>
        <v>-72053.22</v>
      </c>
      <c r="I90" s="133"/>
      <c r="J90" s="133">
        <f t="shared" si="10"/>
        <v>254075.8</v>
      </c>
      <c r="K90" s="133"/>
      <c r="L90" s="136">
        <f t="shared" si="11"/>
        <v>17125556.07</v>
      </c>
    </row>
    <row r="91" spans="1:12" x14ac:dyDescent="0.2">
      <c r="A91" s="3" t="s">
        <v>349</v>
      </c>
      <c r="B91" s="133">
        <f>'KY_Cost Plant Acct-Elec-P14(Reg'!B91+'IN_Cost Plant Acct-Elec-P16(Reg'!B14</f>
        <v>183215085.82999998</v>
      </c>
      <c r="C91" s="133"/>
      <c r="D91" s="133">
        <f>'KY_Cost Plant Acct-Elec-P14(Reg'!D91+'IN_Cost Plant Acct-Elec-P16(Reg'!D14</f>
        <v>8834043.2699999996</v>
      </c>
      <c r="E91" s="133"/>
      <c r="F91" s="133">
        <f>'KY_Cost Plant Acct-Elec-P14(Reg'!F91+'IN_Cost Plant Acct-Elec-P16(Reg'!F14</f>
        <v>-1324026.52</v>
      </c>
      <c r="G91" s="133"/>
      <c r="H91" s="133">
        <f>'KY_Cost Plant Acct-Elec-P14(Reg'!H91+'IN_Cost Plant Acct-Elec-P16(Reg'!H14</f>
        <v>1041297.96</v>
      </c>
      <c r="I91" s="133"/>
      <c r="J91" s="133">
        <f t="shared" si="10"/>
        <v>8551314.709999999</v>
      </c>
      <c r="K91" s="133"/>
      <c r="L91" s="136">
        <f t="shared" si="11"/>
        <v>191766400.53999999</v>
      </c>
    </row>
    <row r="92" spans="1:12" x14ac:dyDescent="0.2">
      <c r="A92" s="3" t="s">
        <v>350</v>
      </c>
      <c r="B92" s="133">
        <f>'KY_Cost Plant Acct-Elec-P14(Reg'!B92</f>
        <v>0</v>
      </c>
      <c r="C92" s="133"/>
      <c r="D92" s="133">
        <f>'KY_Cost Plant Acct-Elec-P14(Reg'!D92</f>
        <v>0</v>
      </c>
      <c r="E92" s="133"/>
      <c r="F92" s="133">
        <f>'KY_Cost Plant Acct-Elec-P14(Reg'!F92</f>
        <v>0</v>
      </c>
      <c r="G92" s="133"/>
      <c r="H92" s="133">
        <f>'KY_Cost Plant Acct-Elec-P14(Reg'!H92</f>
        <v>0</v>
      </c>
      <c r="I92" s="133"/>
      <c r="J92" s="133">
        <f t="shared" si="10"/>
        <v>0</v>
      </c>
      <c r="K92" s="133"/>
      <c r="L92" s="136">
        <f t="shared" si="11"/>
        <v>0</v>
      </c>
    </row>
    <row r="93" spans="1:12" x14ac:dyDescent="0.2">
      <c r="A93" s="21" t="s">
        <v>351</v>
      </c>
      <c r="B93" s="133">
        <f>'KY_Cost Plant Acct-Elec-P14(Reg'!B93</f>
        <v>0</v>
      </c>
      <c r="C93" s="133"/>
      <c r="D93" s="133">
        <f>'KY_Cost Plant Acct-Elec-P14(Reg'!D93</f>
        <v>65626.259999999995</v>
      </c>
      <c r="E93" s="133"/>
      <c r="F93" s="133">
        <f>'KY_Cost Plant Acct-Elec-P14(Reg'!F93</f>
        <v>0</v>
      </c>
      <c r="G93" s="133"/>
      <c r="H93" s="133">
        <f>'KY_Cost Plant Acct-Elec-P14(Reg'!H93</f>
        <v>-65626.259999999995</v>
      </c>
      <c r="I93" s="133"/>
      <c r="J93" s="133">
        <f t="shared" si="10"/>
        <v>0</v>
      </c>
      <c r="K93" s="133"/>
      <c r="L93" s="136">
        <f t="shared" si="11"/>
        <v>0</v>
      </c>
    </row>
    <row r="94" spans="1:12" x14ac:dyDescent="0.2">
      <c r="A94" s="3" t="s">
        <v>353</v>
      </c>
      <c r="B94" s="133">
        <f>'KY_Cost Plant Acct-Elec-P14(Reg'!B94+'IN_Cost Plant Acct-Elec-P16(Reg'!B15</f>
        <v>43755329.559999995</v>
      </c>
      <c r="C94" s="133"/>
      <c r="D94" s="133">
        <f>'KY_Cost Plant Acct-Elec-P14(Reg'!D94+'IN_Cost Plant Acct-Elec-P16(Reg'!D15</f>
        <v>0</v>
      </c>
      <c r="E94" s="133"/>
      <c r="F94" s="133">
        <f>'KY_Cost Plant Acct-Elec-P14(Reg'!F94+'IN_Cost Plant Acct-Elec-P16(Reg'!F15</f>
        <v>91139.37</v>
      </c>
      <c r="G94" s="133"/>
      <c r="H94" s="133">
        <f>'KY_Cost Plant Acct-Elec-P14(Reg'!H94+'IN_Cost Plant Acct-Elec-P16(Reg'!H15</f>
        <v>0</v>
      </c>
      <c r="I94" s="133"/>
      <c r="J94" s="133">
        <f t="shared" si="10"/>
        <v>91139.37</v>
      </c>
      <c r="K94" s="133"/>
      <c r="L94" s="136">
        <f t="shared" si="11"/>
        <v>43846468.929999992</v>
      </c>
    </row>
    <row r="95" spans="1:12" x14ac:dyDescent="0.2">
      <c r="A95" s="3" t="s">
        <v>354</v>
      </c>
      <c r="B95" s="133">
        <f>'KY_Cost Plant Acct-Elec-P14(Reg'!B95+'IN_Cost Plant Acct-Elec-P16(Reg'!B16</f>
        <v>87051875.86999999</v>
      </c>
      <c r="C95" s="133"/>
      <c r="D95" s="133">
        <f>'KY_Cost Plant Acct-Elec-P14(Reg'!D95+'IN_Cost Plant Acct-Elec-P16(Reg'!D16</f>
        <v>4486491.53</v>
      </c>
      <c r="E95" s="133"/>
      <c r="F95" s="133">
        <f>'KY_Cost Plant Acct-Elec-P14(Reg'!F95+'IN_Cost Plant Acct-Elec-P16(Reg'!F16</f>
        <v>-468266.03</v>
      </c>
      <c r="G95" s="133"/>
      <c r="H95" s="133">
        <f>'KY_Cost Plant Acct-Elec-P14(Reg'!H95+'IN_Cost Plant Acct-Elec-P16(Reg'!H16</f>
        <v>0</v>
      </c>
      <c r="I95" s="133"/>
      <c r="J95" s="133">
        <f t="shared" si="10"/>
        <v>4018225.5</v>
      </c>
      <c r="K95" s="133"/>
      <c r="L95" s="136">
        <f t="shared" si="11"/>
        <v>91070101.36999999</v>
      </c>
    </row>
    <row r="96" spans="1:12" x14ac:dyDescent="0.2">
      <c r="A96" s="3" t="s">
        <v>355</v>
      </c>
      <c r="B96" s="133">
        <f>'KY_Cost Plant Acct-Elec-P14(Reg'!B96+'IN_Cost Plant Acct-Elec-P16(Reg'!B17</f>
        <v>58176825.520000003</v>
      </c>
      <c r="C96" s="133"/>
      <c r="D96" s="133">
        <f>'KY_Cost Plant Acct-Elec-P14(Reg'!D96+'IN_Cost Plant Acct-Elec-P16(Reg'!D17</f>
        <v>657081.84</v>
      </c>
      <c r="E96" s="133"/>
      <c r="F96" s="133">
        <f>'KY_Cost Plant Acct-Elec-P14(Reg'!F96+'IN_Cost Plant Acct-Elec-P16(Reg'!F17</f>
        <v>-241276.93</v>
      </c>
      <c r="G96" s="133"/>
      <c r="H96" s="133">
        <f>'KY_Cost Plant Acct-Elec-P14(Reg'!H96+'IN_Cost Plant Acct-Elec-P16(Reg'!H17</f>
        <v>0</v>
      </c>
      <c r="I96" s="133"/>
      <c r="J96" s="133">
        <f t="shared" si="10"/>
        <v>415804.91</v>
      </c>
      <c r="K96" s="133"/>
      <c r="L96" s="136">
        <f t="shared" si="11"/>
        <v>58592630.43</v>
      </c>
    </row>
    <row r="97" spans="1:12" x14ac:dyDescent="0.2">
      <c r="A97" s="3" t="s">
        <v>356</v>
      </c>
      <c r="B97" s="133">
        <f>'KY_Cost Plant Acct-Elec-P14(Reg'!B97</f>
        <v>1687812.96</v>
      </c>
      <c r="C97" s="133"/>
      <c r="D97" s="133">
        <f>'KY_Cost Plant Acct-Elec-P14(Reg'!D97</f>
        <v>0</v>
      </c>
      <c r="E97" s="133"/>
      <c r="F97" s="133">
        <f>'KY_Cost Plant Acct-Elec-P14(Reg'!F97</f>
        <v>0</v>
      </c>
      <c r="G97" s="133"/>
      <c r="H97" s="133">
        <f>'KY_Cost Plant Acct-Elec-P14(Reg'!H97</f>
        <v>0</v>
      </c>
      <c r="I97" s="133"/>
      <c r="J97" s="133">
        <f t="shared" si="10"/>
        <v>0</v>
      </c>
      <c r="K97" s="133"/>
      <c r="L97" s="136">
        <f t="shared" si="11"/>
        <v>1687812.96</v>
      </c>
    </row>
    <row r="98" spans="1:12" x14ac:dyDescent="0.2">
      <c r="A98" s="3" t="s">
        <v>357</v>
      </c>
      <c r="B98" s="133">
        <f>'KY_Cost Plant Acct-Elec-P14(Reg'!B98</f>
        <v>7365472.6799999997</v>
      </c>
      <c r="C98" s="133"/>
      <c r="D98" s="133">
        <f>'KY_Cost Plant Acct-Elec-P14(Reg'!D98</f>
        <v>6593.47</v>
      </c>
      <c r="E98" s="133"/>
      <c r="F98" s="133">
        <f>'KY_Cost Plant Acct-Elec-P14(Reg'!F98</f>
        <v>0</v>
      </c>
      <c r="G98" s="133"/>
      <c r="H98" s="133">
        <f>'KY_Cost Plant Acct-Elec-P14(Reg'!H98</f>
        <v>0</v>
      </c>
      <c r="I98" s="133"/>
      <c r="J98" s="133">
        <f t="shared" si="10"/>
        <v>6593.47</v>
      </c>
      <c r="K98" s="133"/>
      <c r="L98" s="136">
        <f t="shared" si="11"/>
        <v>7372066.1499999994</v>
      </c>
    </row>
    <row r="99" spans="1:12" x14ac:dyDescent="0.2">
      <c r="A99" s="3" t="s">
        <v>358</v>
      </c>
      <c r="B99" s="133">
        <f>'KY_Cost Plant Acct-Elec-P14(Reg'!B99</f>
        <v>21323.05</v>
      </c>
      <c r="C99" s="133"/>
      <c r="D99" s="133">
        <f>'KY_Cost Plant Acct-Elec-P14(Reg'!D99</f>
        <v>0</v>
      </c>
      <c r="E99" s="133"/>
      <c r="F99" s="133">
        <f>'KY_Cost Plant Acct-Elec-P14(Reg'!F99</f>
        <v>0</v>
      </c>
      <c r="G99" s="133"/>
      <c r="H99" s="133">
        <f>'KY_Cost Plant Acct-Elec-P14(Reg'!H99</f>
        <v>-3757.49</v>
      </c>
      <c r="I99" s="133"/>
      <c r="J99" s="133">
        <f t="shared" si="10"/>
        <v>-3757.49</v>
      </c>
      <c r="K99" s="133"/>
      <c r="L99" s="136">
        <f t="shared" si="11"/>
        <v>17565.559999999998</v>
      </c>
    </row>
    <row r="100" spans="1:12" x14ac:dyDescent="0.2">
      <c r="A100" s="3" t="s">
        <v>359</v>
      </c>
      <c r="B100" s="151">
        <f>'KY_Cost Plant Acct-Elec-P14(Reg'!B100</f>
        <v>186976.65</v>
      </c>
      <c r="C100" s="133"/>
      <c r="D100" s="151">
        <f>'KY_Cost Plant Acct-Elec-P14(Reg'!D100</f>
        <v>0</v>
      </c>
      <c r="E100" s="133"/>
      <c r="F100" s="151">
        <f>'KY_Cost Plant Acct-Elec-P14(Reg'!F100</f>
        <v>-7370.88</v>
      </c>
      <c r="G100" s="133"/>
      <c r="H100" s="151">
        <f>'KY_Cost Plant Acct-Elec-P14(Reg'!H100</f>
        <v>0</v>
      </c>
      <c r="I100" s="133"/>
      <c r="J100" s="151">
        <f t="shared" si="10"/>
        <v>-7370.88</v>
      </c>
      <c r="K100" s="133"/>
      <c r="L100" s="151">
        <f t="shared" si="11"/>
        <v>179605.77</v>
      </c>
    </row>
    <row r="101" spans="1:12" x14ac:dyDescent="0.2">
      <c r="B101" s="133">
        <f>SUM(B88:B100)</f>
        <v>409476344.40999991</v>
      </c>
      <c r="C101" s="133"/>
      <c r="D101" s="133">
        <f>SUM(D88:D100)</f>
        <v>14402671.040000001</v>
      </c>
      <c r="E101" s="133"/>
      <c r="F101" s="133">
        <f>SUM(F88:F100)</f>
        <v>-1976506.6399999997</v>
      </c>
      <c r="G101" s="133"/>
      <c r="H101" s="133">
        <f>SUM(H88:H100)</f>
        <v>899860.99</v>
      </c>
      <c r="I101" s="133"/>
      <c r="J101" s="133">
        <f>SUM(J88:J100)</f>
        <v>13326025.389999999</v>
      </c>
      <c r="K101" s="133"/>
      <c r="L101" s="133">
        <f>SUM(L88:L100)</f>
        <v>422802369.79999995</v>
      </c>
    </row>
    <row r="102" spans="1:12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</row>
    <row r="103" spans="1:12" x14ac:dyDescent="0.2"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1:12" x14ac:dyDescent="0.2">
      <c r="A104" s="9" t="s">
        <v>2877</v>
      </c>
      <c r="B104" s="165">
        <f>B101+B85+B69+B57+B52+B41+B30</f>
        <v>3957471753.9199991</v>
      </c>
      <c r="C104" s="133"/>
      <c r="D104" s="165">
        <f>D101+D85+D69+D57+D52+D41+D30</f>
        <v>255409482.68000001</v>
      </c>
      <c r="E104" s="133"/>
      <c r="F104" s="165">
        <f>F101+F85+F69+F57+F52+F41+F30</f>
        <v>-54659107.539999999</v>
      </c>
      <c r="G104" s="133"/>
      <c r="H104" s="165">
        <f>H101+H85+H69+H57+H52+H41+H30</f>
        <v>-9117183.1499999985</v>
      </c>
      <c r="I104" s="133"/>
      <c r="J104" s="165">
        <f>J101+J85+J69+J57+J52+J41+J30</f>
        <v>191633191.99000001</v>
      </c>
      <c r="K104" s="133"/>
      <c r="L104" s="165">
        <f>L101+L85+L69+L57+L52+L41+L30</f>
        <v>4149104945.9100003</v>
      </c>
    </row>
    <row r="105" spans="1:12" x14ac:dyDescent="0.2"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1:12" x14ac:dyDescent="0.2">
      <c r="B106" s="133"/>
      <c r="C106" s="136"/>
      <c r="D106" s="133"/>
      <c r="E106" s="136"/>
      <c r="F106" s="133"/>
      <c r="G106" s="136"/>
      <c r="H106" s="133"/>
      <c r="I106" s="136"/>
      <c r="J106" s="133"/>
      <c r="K106" s="133"/>
      <c r="L106" s="133"/>
    </row>
    <row r="107" spans="1:12" x14ac:dyDescent="0.2">
      <c r="A107" s="9" t="s">
        <v>2878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x14ac:dyDescent="0.2">
      <c r="A108" s="9" t="s">
        <v>263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x14ac:dyDescent="0.2">
      <c r="A109" s="3" t="s">
        <v>267</v>
      </c>
      <c r="B109" s="14">
        <f>'KY_Cost Plant Acct-Elec-P14(Reg'!B108</f>
        <v>0</v>
      </c>
      <c r="C109" s="14"/>
      <c r="D109" s="14">
        <f>'KY_Cost Plant Acct-Elec-P14(Reg'!D108</f>
        <v>0</v>
      </c>
      <c r="E109" s="14"/>
      <c r="F109" s="14">
        <f>'KY_Cost Plant Acct-Elec-P14(Reg'!F108</f>
        <v>0</v>
      </c>
      <c r="G109" s="14"/>
      <c r="H109" s="14">
        <f>'KY_Cost Plant Acct-Elec-P14(Reg'!H108</f>
        <v>0</v>
      </c>
      <c r="I109" s="14"/>
      <c r="J109" s="14">
        <f>D109+F109+H109</f>
        <v>0</v>
      </c>
      <c r="K109" s="14"/>
      <c r="L109" s="14">
        <f>J109+B109</f>
        <v>0</v>
      </c>
    </row>
    <row r="110" spans="1:12" x14ac:dyDescent="0.2">
      <c r="A110" s="3" t="s">
        <v>268</v>
      </c>
      <c r="B110" s="14">
        <f>'KY_Cost Plant Acct-Elec-P14(Reg'!B109+'IN_Cost Plant Acct-Elec-P16(Reg'!B26</f>
        <v>2415185.9300000006</v>
      </c>
      <c r="C110" s="14"/>
      <c r="D110" s="14">
        <f>'KY_Cost Plant Acct-Elec-P14(Reg'!D109+'IN_Cost Plant Acct-Elec-P16(Reg'!D26</f>
        <v>1393935.67</v>
      </c>
      <c r="E110" s="14"/>
      <c r="F110" s="14">
        <f>'KY_Cost Plant Acct-Elec-P14(Reg'!F109</f>
        <v>0</v>
      </c>
      <c r="G110" s="14"/>
      <c r="H110" s="14">
        <f>'KY_Cost Plant Acct-Elec-P14(Reg'!H109</f>
        <v>0</v>
      </c>
      <c r="I110" s="14"/>
      <c r="J110" s="14">
        <f t="shared" ref="J110:J120" si="12">D110+F110+H110</f>
        <v>1393935.67</v>
      </c>
      <c r="K110" s="14"/>
      <c r="L110" s="14">
        <f t="shared" ref="L110:L120" si="13">J110+B110</f>
        <v>3809121.6000000006</v>
      </c>
    </row>
    <row r="111" spans="1:12" x14ac:dyDescent="0.2">
      <c r="A111" s="3" t="s">
        <v>269</v>
      </c>
      <c r="B111" s="14">
        <f>'KY_Cost Plant Acct-Elec-P14(Reg'!B110</f>
        <v>16991571.770000003</v>
      </c>
      <c r="C111" s="14"/>
      <c r="D111" s="14">
        <f>'KY_Cost Plant Acct-Elec-P14(Reg'!D110</f>
        <v>-2136796.83</v>
      </c>
      <c r="E111" s="14"/>
      <c r="F111" s="14">
        <f>'KY_Cost Plant Acct-Elec-P14(Reg'!F110</f>
        <v>0</v>
      </c>
      <c r="G111" s="14"/>
      <c r="H111" s="14">
        <f>'KY_Cost Plant Acct-Elec-P14(Reg'!H110</f>
        <v>0</v>
      </c>
      <c r="I111" s="14"/>
      <c r="J111" s="14">
        <f t="shared" si="12"/>
        <v>-2136796.83</v>
      </c>
      <c r="K111" s="14"/>
      <c r="L111" s="14">
        <f t="shared" si="13"/>
        <v>14854774.940000003</v>
      </c>
    </row>
    <row r="112" spans="1:12" x14ac:dyDescent="0.2">
      <c r="A112" s="3" t="s">
        <v>270</v>
      </c>
      <c r="B112" s="14">
        <f>'KY_Cost Plant Acct-Elec-P14(Reg'!B111</f>
        <v>15305727.930000002</v>
      </c>
      <c r="C112" s="14"/>
      <c r="D112" s="14">
        <f>'KY_Cost Plant Acct-Elec-P14(Reg'!D111</f>
        <v>5088494.5</v>
      </c>
      <c r="E112" s="14"/>
      <c r="F112" s="14">
        <f>'KY_Cost Plant Acct-Elec-P14(Reg'!F111</f>
        <v>0</v>
      </c>
      <c r="G112" s="14"/>
      <c r="H112" s="14">
        <f>'KY_Cost Plant Acct-Elec-P14(Reg'!H111</f>
        <v>0</v>
      </c>
      <c r="I112" s="14"/>
      <c r="J112" s="14">
        <f t="shared" si="12"/>
        <v>5088494.5</v>
      </c>
      <c r="K112" s="14"/>
      <c r="L112" s="14">
        <f t="shared" si="13"/>
        <v>20394222.43</v>
      </c>
    </row>
    <row r="113" spans="1:13" x14ac:dyDescent="0.2">
      <c r="A113" s="3" t="s">
        <v>271</v>
      </c>
      <c r="B113" s="14">
        <f>'KY_Cost Plant Acct-Elec-P14(Reg'!B112</f>
        <v>711085.98999999929</v>
      </c>
      <c r="C113" s="14"/>
      <c r="D113" s="14">
        <f>'KY_Cost Plant Acct-Elec-P14(Reg'!D112</f>
        <v>136479.72</v>
      </c>
      <c r="E113" s="14"/>
      <c r="F113" s="14">
        <f>'KY_Cost Plant Acct-Elec-P14(Reg'!F112</f>
        <v>0</v>
      </c>
      <c r="G113" s="14"/>
      <c r="H113" s="14">
        <f>'KY_Cost Plant Acct-Elec-P14(Reg'!H112</f>
        <v>0</v>
      </c>
      <c r="I113" s="14"/>
      <c r="J113" s="14">
        <f t="shared" si="12"/>
        <v>136479.72</v>
      </c>
      <c r="K113" s="14"/>
      <c r="L113" s="14">
        <f t="shared" si="13"/>
        <v>847565.70999999926</v>
      </c>
    </row>
    <row r="114" spans="1:13" x14ac:dyDescent="0.2">
      <c r="A114" s="3" t="s">
        <v>272</v>
      </c>
      <c r="B114" s="14">
        <f>'KY_Cost Plant Acct-Elec-P14(Reg'!B113</f>
        <v>23105056.059999995</v>
      </c>
      <c r="C114" s="14"/>
      <c r="D114" s="14">
        <f>'KY_Cost Plant Acct-Elec-P14(Reg'!D113</f>
        <v>414275.6</v>
      </c>
      <c r="E114" s="14"/>
      <c r="F114" s="14">
        <f>'KY_Cost Plant Acct-Elec-P14(Reg'!F113</f>
        <v>0</v>
      </c>
      <c r="G114" s="14"/>
      <c r="H114" s="14">
        <f>'KY_Cost Plant Acct-Elec-P14(Reg'!H113</f>
        <v>0</v>
      </c>
      <c r="I114" s="14"/>
      <c r="J114" s="14">
        <f t="shared" si="12"/>
        <v>414275.6</v>
      </c>
      <c r="K114" s="14"/>
      <c r="L114" s="14">
        <f t="shared" si="13"/>
        <v>23519331.659999996</v>
      </c>
    </row>
    <row r="115" spans="1:13" x14ac:dyDescent="0.2">
      <c r="A115" s="3" t="s">
        <v>273</v>
      </c>
      <c r="B115" s="14">
        <f>'KY_Cost Plant Acct-Elec-P14(Reg'!B114</f>
        <v>1410318.83</v>
      </c>
      <c r="C115" s="14"/>
      <c r="D115" s="14">
        <f>'KY_Cost Plant Acct-Elec-P14(Reg'!D114</f>
        <v>2291522.94</v>
      </c>
      <c r="E115" s="14"/>
      <c r="F115" s="14">
        <f>'KY_Cost Plant Acct-Elec-P14(Reg'!F114</f>
        <v>0</v>
      </c>
      <c r="G115" s="14"/>
      <c r="H115" s="14">
        <f>'KY_Cost Plant Acct-Elec-P14(Reg'!H114</f>
        <v>0</v>
      </c>
      <c r="I115" s="14"/>
      <c r="J115" s="14">
        <f t="shared" si="12"/>
        <v>2291522.94</v>
      </c>
      <c r="K115" s="14"/>
      <c r="L115" s="14">
        <f t="shared" si="13"/>
        <v>3701841.77</v>
      </c>
    </row>
    <row r="116" spans="1:13" x14ac:dyDescent="0.2">
      <c r="A116" s="3" t="s">
        <v>274</v>
      </c>
      <c r="B116" s="14">
        <f>'KY_Cost Plant Acct-Elec-P14(Reg'!B115</f>
        <v>-7907.5199999997276</v>
      </c>
      <c r="C116" s="14"/>
      <c r="D116" s="14">
        <f>'KY_Cost Plant Acct-Elec-P14(Reg'!D115</f>
        <v>281345.3</v>
      </c>
      <c r="E116" s="14"/>
      <c r="F116" s="14">
        <f>'KY_Cost Plant Acct-Elec-P14(Reg'!F115</f>
        <v>0</v>
      </c>
      <c r="G116" s="14"/>
      <c r="H116" s="14">
        <f>'KY_Cost Plant Acct-Elec-P14(Reg'!H115</f>
        <v>0</v>
      </c>
      <c r="I116" s="14"/>
      <c r="J116" s="14">
        <f t="shared" si="12"/>
        <v>281345.3</v>
      </c>
      <c r="K116" s="14"/>
      <c r="L116" s="14">
        <f t="shared" si="13"/>
        <v>273437.78000000026</v>
      </c>
    </row>
    <row r="117" spans="1:13" x14ac:dyDescent="0.2">
      <c r="A117" s="3" t="s">
        <v>277</v>
      </c>
      <c r="B117" s="14">
        <f>'KY_Cost Plant Acct-Elec-P14(Reg'!B116</f>
        <v>0</v>
      </c>
      <c r="C117" s="14"/>
      <c r="D117" s="14">
        <f>'KY_Cost Plant Acct-Elec-P14(Reg'!D116</f>
        <v>156621.42000000001</v>
      </c>
      <c r="E117" s="14"/>
      <c r="F117" s="14">
        <f>'KY_Cost Plant Acct-Elec-P14(Reg'!F116</f>
        <v>0</v>
      </c>
      <c r="G117" s="14"/>
      <c r="H117" s="14">
        <f>'KY_Cost Plant Acct-Elec-P14(Reg'!H116</f>
        <v>0</v>
      </c>
      <c r="I117" s="14"/>
      <c r="J117" s="14">
        <f t="shared" si="12"/>
        <v>156621.42000000001</v>
      </c>
      <c r="K117" s="14"/>
      <c r="L117" s="14">
        <f t="shared" si="13"/>
        <v>156621.42000000001</v>
      </c>
    </row>
    <row r="118" spans="1:13" x14ac:dyDescent="0.2">
      <c r="A118" s="3" t="s">
        <v>2879</v>
      </c>
      <c r="B118" s="14">
        <f>'KY_Cost Plant Acct-Elec-P14(Reg'!B117</f>
        <v>3069.7900000000373</v>
      </c>
      <c r="C118" s="14">
        <f>'KY_Cost Plant Acct-Elec-P14(Reg'!C117</f>
        <v>0</v>
      </c>
      <c r="D118" s="14">
        <f>'KY_Cost Plant Acct-Elec-P14(Reg'!D117</f>
        <v>-1177.4100000000001</v>
      </c>
      <c r="E118" s="14">
        <f>'KY_Cost Plant Acct-Elec-P14(Reg'!E117</f>
        <v>0</v>
      </c>
      <c r="F118" s="14">
        <f>'KY_Cost Plant Acct-Elec-P14(Reg'!F117</f>
        <v>0</v>
      </c>
      <c r="G118" s="14">
        <f>'KY_Cost Plant Acct-Elec-P14(Reg'!G117</f>
        <v>0</v>
      </c>
      <c r="H118" s="14">
        <f>'KY_Cost Plant Acct-Elec-P14(Reg'!H117</f>
        <v>0</v>
      </c>
      <c r="I118" s="14">
        <f>'KY_Cost Plant Acct-Elec-P14(Reg'!I117</f>
        <v>0</v>
      </c>
      <c r="J118" s="14">
        <f t="shared" si="12"/>
        <v>-1177.4100000000001</v>
      </c>
      <c r="K118" s="14"/>
      <c r="L118" s="14">
        <f>J118+B118</f>
        <v>1892.3800000000372</v>
      </c>
    </row>
    <row r="119" spans="1:13" x14ac:dyDescent="0.2">
      <c r="A119" s="3" t="s">
        <v>279</v>
      </c>
      <c r="B119" s="14">
        <f>'KY_Cost Plant Acct-Elec-P14(Reg'!B118</f>
        <v>2852707.1900000004</v>
      </c>
      <c r="C119" s="14"/>
      <c r="D119" s="14">
        <f>'KY_Cost Plant Acct-Elec-P14(Reg'!D118</f>
        <v>-838695.4</v>
      </c>
      <c r="E119" s="14"/>
      <c r="F119" s="14">
        <f>'KY_Cost Plant Acct-Elec-P14(Reg'!F118</f>
        <v>0</v>
      </c>
      <c r="G119" s="14"/>
      <c r="H119" s="14">
        <f>'KY_Cost Plant Acct-Elec-P14(Reg'!H118</f>
        <v>0</v>
      </c>
      <c r="I119" s="14"/>
      <c r="J119" s="14">
        <f t="shared" si="12"/>
        <v>-838695.4</v>
      </c>
      <c r="K119" s="14"/>
      <c r="L119" s="14">
        <f t="shared" si="13"/>
        <v>2014011.7900000005</v>
      </c>
    </row>
    <row r="120" spans="1:13" x14ac:dyDescent="0.2">
      <c r="A120" s="3" t="s">
        <v>280</v>
      </c>
      <c r="B120" s="15">
        <f>'KY_Cost Plant Acct-Elec-P14(Reg'!B119</f>
        <v>497547.46000000025</v>
      </c>
      <c r="C120" s="16"/>
      <c r="D120" s="15">
        <f>'KY_Cost Plant Acct-Elec-P14(Reg'!D119</f>
        <v>217959.14</v>
      </c>
      <c r="E120" s="16"/>
      <c r="F120" s="15">
        <f>'KY_Cost Plant Acct-Elec-P14(Reg'!F119</f>
        <v>0</v>
      </c>
      <c r="G120" s="16"/>
      <c r="H120" s="15">
        <f>'KY_Cost Plant Acct-Elec-P14(Reg'!H119</f>
        <v>0</v>
      </c>
      <c r="I120" s="16"/>
      <c r="J120" s="15">
        <f t="shared" si="12"/>
        <v>217959.14</v>
      </c>
      <c r="K120" s="16"/>
      <c r="L120" s="15">
        <f t="shared" si="13"/>
        <v>715506.60000000033</v>
      </c>
      <c r="M120" s="29"/>
    </row>
    <row r="121" spans="1:13" x14ac:dyDescent="0.2">
      <c r="B121" s="16">
        <f>SUM(B109:B120)</f>
        <v>63284363.429999992</v>
      </c>
      <c r="C121" s="16"/>
      <c r="D121" s="16">
        <f>SUM(D109:D120)</f>
        <v>7003964.6499999985</v>
      </c>
      <c r="E121" s="16"/>
      <c r="F121" s="16">
        <f>SUM(F109:F120)</f>
        <v>0</v>
      </c>
      <c r="G121" s="16"/>
      <c r="H121" s="16">
        <f>SUM(H109:H120)</f>
        <v>0</v>
      </c>
      <c r="I121" s="16"/>
      <c r="J121" s="16">
        <f>SUM(J109:J120)</f>
        <v>7003964.6499999985</v>
      </c>
      <c r="K121" s="16"/>
      <c r="L121" s="16">
        <f>SUM(L109:L120)</f>
        <v>70288328.079999998</v>
      </c>
      <c r="M121" s="29"/>
    </row>
    <row r="122" spans="1:13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9"/>
    </row>
    <row r="123" spans="1:13" x14ac:dyDescent="0.2">
      <c r="A123" s="9" t="s">
        <v>2880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9"/>
    </row>
    <row r="124" spans="1:13" x14ac:dyDescent="0.2">
      <c r="A124" s="3" t="s">
        <v>290</v>
      </c>
      <c r="B124" s="16">
        <f>'KY_Cost Plant Acct-Elec-P14(Reg'!B123</f>
        <v>17824.98</v>
      </c>
      <c r="C124" s="16"/>
      <c r="D124" s="16">
        <f>'KY_Cost Plant Acct-Elec-P14(Reg'!D123</f>
        <v>-17824.98</v>
      </c>
      <c r="E124" s="16"/>
      <c r="F124" s="16">
        <f>'KY_Cost Plant Acct-Elec-P14(Reg'!F123</f>
        <v>0</v>
      </c>
      <c r="G124" s="16"/>
      <c r="H124" s="16">
        <f>'KY_Cost Plant Acct-Elec-P14(Reg'!H123</f>
        <v>0</v>
      </c>
      <c r="I124" s="16"/>
      <c r="J124" s="16">
        <f>D124+F124+H124</f>
        <v>-17824.98</v>
      </c>
      <c r="K124" s="16"/>
      <c r="L124" s="16">
        <f>J124+B124</f>
        <v>0</v>
      </c>
      <c r="M124" s="29"/>
    </row>
    <row r="125" spans="1:13" x14ac:dyDescent="0.2">
      <c r="A125" s="3" t="s">
        <v>2881</v>
      </c>
      <c r="B125" s="16">
        <f>'KY_Cost Plant Acct-Elec-P14(Reg'!B124</f>
        <v>479891.91999999993</v>
      </c>
      <c r="C125" s="16"/>
      <c r="D125" s="16">
        <f>'KY_Cost Plant Acct-Elec-P14(Reg'!D124</f>
        <v>-246335.64</v>
      </c>
      <c r="E125" s="16"/>
      <c r="F125" s="16">
        <f>'KY_Cost Plant Acct-Elec-P14(Reg'!F124</f>
        <v>0</v>
      </c>
      <c r="G125" s="16"/>
      <c r="H125" s="16">
        <f>'KY_Cost Plant Acct-Elec-P14(Reg'!H124</f>
        <v>0</v>
      </c>
      <c r="I125" s="16"/>
      <c r="J125" s="16">
        <f>D125+F125+H125</f>
        <v>-246335.64</v>
      </c>
      <c r="K125" s="16"/>
      <c r="L125" s="16">
        <f>J125+B125</f>
        <v>233556.27999999991</v>
      </c>
      <c r="M125" s="29"/>
    </row>
    <row r="126" spans="1:13" x14ac:dyDescent="0.2">
      <c r="A126" s="3" t="s">
        <v>293</v>
      </c>
      <c r="B126" s="16">
        <f>'KY_Cost Plant Acct-Elec-P14(Reg'!B125</f>
        <v>0</v>
      </c>
      <c r="C126" s="16"/>
      <c r="D126" s="16">
        <f>'KY_Cost Plant Acct-Elec-P14(Reg'!D125</f>
        <v>0</v>
      </c>
      <c r="E126" s="16"/>
      <c r="F126" s="16">
        <f>'KY_Cost Plant Acct-Elec-P14(Reg'!F125</f>
        <v>0</v>
      </c>
      <c r="G126" s="16"/>
      <c r="H126" s="16">
        <f>'KY_Cost Plant Acct-Elec-P14(Reg'!H125</f>
        <v>0</v>
      </c>
      <c r="I126" s="16"/>
      <c r="J126" s="16">
        <f>D126+F126+H126</f>
        <v>0</v>
      </c>
      <c r="K126" s="16"/>
      <c r="L126" s="16">
        <f>J126+B126</f>
        <v>0</v>
      </c>
      <c r="M126" s="29"/>
    </row>
    <row r="127" spans="1:13" x14ac:dyDescent="0.2">
      <c r="A127" s="3" t="s">
        <v>295</v>
      </c>
      <c r="B127" s="16">
        <f>+'KY_Cost Plant Acct-Elec-P14(Reg'!B126</f>
        <v>0</v>
      </c>
      <c r="C127" s="16"/>
      <c r="D127" s="16">
        <f>+'KY_Cost Plant Acct-Elec-P14(Reg'!D126</f>
        <v>0</v>
      </c>
      <c r="E127" s="16"/>
      <c r="F127" s="16">
        <f>+'KY_Cost Plant Acct-Elec-P14(Reg'!F126</f>
        <v>0</v>
      </c>
      <c r="G127" s="16"/>
      <c r="H127" s="16">
        <f>+'KY_Cost Plant Acct-Elec-P14(Reg'!H126</f>
        <v>0</v>
      </c>
      <c r="I127" s="16"/>
      <c r="J127" s="16">
        <f>D127+F127+H127</f>
        <v>0</v>
      </c>
      <c r="K127" s="16"/>
      <c r="L127" s="16">
        <f>J127+B127</f>
        <v>0</v>
      </c>
      <c r="M127" s="29"/>
    </row>
    <row r="128" spans="1:13" x14ac:dyDescent="0.2">
      <c r="A128" s="21" t="s">
        <v>297</v>
      </c>
      <c r="B128" s="16">
        <f>+'KY_Cost Plant Acct-Elec-P14(Reg'!B127</f>
        <v>177515.27</v>
      </c>
      <c r="C128" s="16"/>
      <c r="D128" s="16">
        <f>+'KY_Cost Plant Acct-Elec-P14(Reg'!D127</f>
        <v>-59975.06</v>
      </c>
      <c r="E128" s="16"/>
      <c r="F128" s="16">
        <f>+'KY_Cost Plant Acct-Elec-P14(Reg'!F127</f>
        <v>0</v>
      </c>
      <c r="G128" s="16"/>
      <c r="H128" s="16">
        <f>+'KY_Cost Plant Acct-Elec-P14(Reg'!H127</f>
        <v>0</v>
      </c>
      <c r="I128" s="16"/>
      <c r="J128" s="16">
        <f>D128+F128+H128</f>
        <v>-59975.06</v>
      </c>
      <c r="K128" s="16"/>
      <c r="L128" s="16">
        <f>J128+B128</f>
        <v>117540.20999999999</v>
      </c>
      <c r="M128" s="29"/>
    </row>
    <row r="129" spans="1:13" x14ac:dyDescent="0.2">
      <c r="B129" s="19">
        <f>SUM(B124:B128)</f>
        <v>675232.16999999993</v>
      </c>
      <c r="C129" s="16"/>
      <c r="D129" s="19">
        <f>SUM(D124:D128)</f>
        <v>-324135.67999999999</v>
      </c>
      <c r="E129" s="16"/>
      <c r="F129" s="19">
        <f>SUM(F124:F128)</f>
        <v>0</v>
      </c>
      <c r="G129" s="16"/>
      <c r="H129" s="19">
        <f>SUM(H124:H128)</f>
        <v>0</v>
      </c>
      <c r="I129" s="16"/>
      <c r="J129" s="19">
        <f>SUM(J124:J128)</f>
        <v>-324135.67999999999</v>
      </c>
      <c r="K129" s="16"/>
      <c r="L129" s="19">
        <f>SUM(L124:L128)</f>
        <v>351096.48999999987</v>
      </c>
      <c r="M129" s="29"/>
    </row>
    <row r="130" spans="1:13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9"/>
    </row>
    <row r="131" spans="1:13" x14ac:dyDescent="0.2">
      <c r="A131" s="9" t="s">
        <v>299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9"/>
    </row>
    <row r="132" spans="1:13" x14ac:dyDescent="0.2">
      <c r="A132" s="3" t="s">
        <v>301</v>
      </c>
      <c r="B132" s="16">
        <f>'KY_Cost Plant Acct-Elec-P14(Reg'!B131</f>
        <v>4659298.7399999993</v>
      </c>
      <c r="C132" s="16"/>
      <c r="D132" s="16">
        <f>'KY_Cost Plant Acct-Elec-P14(Reg'!D131</f>
        <v>2018580.84</v>
      </c>
      <c r="E132" s="16"/>
      <c r="F132" s="16">
        <f>'KY_Cost Plant Acct-Elec-P14(Reg'!F131</f>
        <v>0</v>
      </c>
      <c r="G132" s="16"/>
      <c r="H132" s="16">
        <f>'KY_Cost Plant Acct-Elec-P14(Reg'!H131</f>
        <v>0</v>
      </c>
      <c r="I132" s="16"/>
      <c r="J132" s="16">
        <f>D132+F132+H132</f>
        <v>2018580.84</v>
      </c>
      <c r="K132" s="16"/>
      <c r="L132" s="16">
        <f>J132+B132</f>
        <v>6677879.5799999991</v>
      </c>
      <c r="M132" s="29"/>
    </row>
    <row r="133" spans="1:13" x14ac:dyDescent="0.2">
      <c r="A133" s="3" t="s">
        <v>302</v>
      </c>
      <c r="B133" s="16">
        <f>'KY_Cost Plant Acct-Elec-P14(Reg'!B132</f>
        <v>8315110.8000000007</v>
      </c>
      <c r="C133" s="16"/>
      <c r="D133" s="16">
        <f>'KY_Cost Plant Acct-Elec-P14(Reg'!D132</f>
        <v>2966174.71</v>
      </c>
      <c r="E133" s="16"/>
      <c r="F133" s="16">
        <f>'KY_Cost Plant Acct-Elec-P14(Reg'!F132</f>
        <v>0</v>
      </c>
      <c r="G133" s="16"/>
      <c r="H133" s="16">
        <f>'KY_Cost Plant Acct-Elec-P14(Reg'!H132</f>
        <v>0</v>
      </c>
      <c r="I133" s="16"/>
      <c r="J133" s="16">
        <f>D133+F133+H133</f>
        <v>2966174.71</v>
      </c>
      <c r="K133" s="16"/>
      <c r="L133" s="16">
        <f>J133+B133</f>
        <v>11281285.510000002</v>
      </c>
      <c r="M133" s="29"/>
    </row>
    <row r="134" spans="1:13" x14ac:dyDescent="0.2">
      <c r="A134" s="3" t="s">
        <v>303</v>
      </c>
      <c r="B134" s="16">
        <f>'KY_Cost Plant Acct-Elec-P14(Reg'!B133</f>
        <v>44505937.57</v>
      </c>
      <c r="C134" s="16"/>
      <c r="D134" s="16">
        <f>'KY_Cost Plant Acct-Elec-P14(Reg'!D133</f>
        <v>11104240.51</v>
      </c>
      <c r="E134" s="16"/>
      <c r="F134" s="16">
        <f>'KY_Cost Plant Acct-Elec-P14(Reg'!F133</f>
        <v>0</v>
      </c>
      <c r="G134" s="16"/>
      <c r="H134" s="16">
        <f>'KY_Cost Plant Acct-Elec-P14(Reg'!H133</f>
        <v>0</v>
      </c>
      <c r="I134" s="16"/>
      <c r="J134" s="16">
        <f>D134+F134+H134</f>
        <v>11104240.51</v>
      </c>
      <c r="K134" s="16"/>
      <c r="L134" s="16">
        <f>J134+B134</f>
        <v>55610178.079999998</v>
      </c>
      <c r="M134" s="29"/>
    </row>
    <row r="135" spans="1:13" s="29" customFormat="1" x14ac:dyDescent="0.2">
      <c r="A135" s="29" t="s">
        <v>304</v>
      </c>
      <c r="B135" s="16">
        <f>'KY_Cost Plant Acct-Elec-P14(Reg'!B134</f>
        <v>5092874.26</v>
      </c>
      <c r="C135" s="16"/>
      <c r="D135" s="16">
        <f>'KY_Cost Plant Acct-Elec-P14(Reg'!D134</f>
        <v>1850706.71</v>
      </c>
      <c r="E135" s="16"/>
      <c r="F135" s="16">
        <f>'KY_Cost Plant Acct-Elec-P14(Reg'!F133</f>
        <v>0</v>
      </c>
      <c r="G135" s="16"/>
      <c r="H135" s="16">
        <f>'KY_Cost Plant Acct-Elec-P14(Reg'!H133</f>
        <v>0</v>
      </c>
      <c r="I135" s="16"/>
      <c r="J135" s="16">
        <f>D135+F135+H135</f>
        <v>1850706.71</v>
      </c>
      <c r="K135" s="16"/>
      <c r="L135" s="16">
        <f>J135+B135</f>
        <v>6943580.9699999997</v>
      </c>
    </row>
    <row r="136" spans="1:13" x14ac:dyDescent="0.2">
      <c r="A136" s="3" t="s">
        <v>2882</v>
      </c>
      <c r="B136" s="15">
        <f>'KY_Cost Plant Acct-Elec-P14(Reg'!B135</f>
        <v>2325724.64</v>
      </c>
      <c r="C136" s="16"/>
      <c r="D136" s="15">
        <f>'KY_Cost Plant Acct-Elec-P14(Reg'!D135</f>
        <v>925353.46</v>
      </c>
      <c r="E136" s="16"/>
      <c r="F136" s="15">
        <f>'KY_Cost Plant Acct-Elec-P14(Reg'!F134</f>
        <v>0</v>
      </c>
      <c r="G136" s="16"/>
      <c r="H136" s="15">
        <f>'KY_Cost Plant Acct-Elec-P14(Reg'!H134</f>
        <v>0</v>
      </c>
      <c r="I136" s="16"/>
      <c r="J136" s="15">
        <f>D136+F136+H136</f>
        <v>925353.46</v>
      </c>
      <c r="K136" s="16"/>
      <c r="L136" s="15">
        <f>J136+B136</f>
        <v>3251078.1</v>
      </c>
      <c r="M136" s="29"/>
    </row>
    <row r="137" spans="1:13" x14ac:dyDescent="0.2">
      <c r="B137" s="16">
        <f>SUM(B132:B136)</f>
        <v>64898946.009999998</v>
      </c>
      <c r="C137" s="16"/>
      <c r="D137" s="16">
        <f>SUM(D132:D136)</f>
        <v>18865056.23</v>
      </c>
      <c r="E137" s="16"/>
      <c r="F137" s="16">
        <f>SUM(F132:F136)</f>
        <v>0</v>
      </c>
      <c r="G137" s="16"/>
      <c r="H137" s="16">
        <f>SUM(H132:H136)</f>
        <v>0</v>
      </c>
      <c r="I137" s="16"/>
      <c r="J137" s="16">
        <f>SUM(J132:J136)</f>
        <v>18865056.23</v>
      </c>
      <c r="K137" s="16"/>
      <c r="L137" s="16">
        <f>SUM(L132:L136)</f>
        <v>83764002.239999995</v>
      </c>
      <c r="M137" s="29"/>
    </row>
    <row r="138" spans="1:13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9"/>
    </row>
    <row r="139" spans="1:13" x14ac:dyDescent="0.2">
      <c r="A139" s="9" t="s">
        <v>313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9"/>
    </row>
    <row r="140" spans="1:13" x14ac:dyDescent="0.2">
      <c r="A140" s="3" t="s">
        <v>315</v>
      </c>
      <c r="B140" s="16">
        <f>'KY_Cost Plant Acct-Elec-P14(Reg'!B139</f>
        <v>708791.41999999993</v>
      </c>
      <c r="C140" s="16"/>
      <c r="D140" s="16">
        <f>'KY_Cost Plant Acct-Elec-P14(Reg'!D139</f>
        <v>-564153.73</v>
      </c>
      <c r="E140" s="16">
        <f>'KY_Cost Plant Acct-Elec-P14(Reg'!E139</f>
        <v>0</v>
      </c>
      <c r="F140" s="16">
        <f>'KY_Cost Plant Acct-Elec-P14(Reg'!F139</f>
        <v>0</v>
      </c>
      <c r="G140" s="16">
        <f>'KY_Cost Plant Acct-Elec-P14(Reg'!G139</f>
        <v>0</v>
      </c>
      <c r="H140" s="16">
        <f>'KY_Cost Plant Acct-Elec-P14(Reg'!H139</f>
        <v>0</v>
      </c>
      <c r="I140" s="16"/>
      <c r="J140" s="16">
        <f t="shared" ref="J140:J145" si="14">D140+F140+H140</f>
        <v>-564153.73</v>
      </c>
      <c r="K140" s="16"/>
      <c r="L140" s="16">
        <f t="shared" ref="L140:L145" si="15">J140+B140</f>
        <v>144637.68999999994</v>
      </c>
      <c r="M140" s="29"/>
    </row>
    <row r="141" spans="1:13" x14ac:dyDescent="0.2">
      <c r="A141" s="3" t="s">
        <v>316</v>
      </c>
      <c r="B141" s="16">
        <f>'KY_Cost Plant Acct-Elec-P14(Reg'!B140</f>
        <v>7618374.8200000003</v>
      </c>
      <c r="C141" s="16"/>
      <c r="D141" s="16">
        <f>'KY_Cost Plant Acct-Elec-P14(Reg'!D140</f>
        <v>-7298696.7199999997</v>
      </c>
      <c r="E141" s="16"/>
      <c r="F141" s="16">
        <v>0</v>
      </c>
      <c r="G141" s="16"/>
      <c r="H141" s="16">
        <v>0</v>
      </c>
      <c r="I141" s="16"/>
      <c r="J141" s="16">
        <f t="shared" si="14"/>
        <v>-7298696.7199999997</v>
      </c>
      <c r="K141" s="16"/>
      <c r="L141" s="16">
        <f t="shared" si="15"/>
        <v>319678.10000000056</v>
      </c>
      <c r="M141" s="29"/>
    </row>
    <row r="142" spans="1:13" x14ac:dyDescent="0.2">
      <c r="A142" s="3" t="s">
        <v>317</v>
      </c>
      <c r="B142" s="16">
        <f>'KY_Cost Plant Acct-Elec-P14(Reg'!B141</f>
        <v>1455227.3300000019</v>
      </c>
      <c r="C142" s="16"/>
      <c r="D142" s="16">
        <f>'KY_Cost Plant Acct-Elec-P14(Reg'!D141</f>
        <v>7866052.8899999997</v>
      </c>
      <c r="E142" s="16"/>
      <c r="F142" s="16">
        <f>'KY_Cost Plant Acct-Elec-P14(Reg'!F141</f>
        <v>0</v>
      </c>
      <c r="G142" s="16"/>
      <c r="H142" s="16">
        <f>'KY_Cost Plant Acct-Elec-P14(Reg'!H141</f>
        <v>0</v>
      </c>
      <c r="I142" s="16"/>
      <c r="J142" s="16">
        <f t="shared" si="14"/>
        <v>7866052.8899999997</v>
      </c>
      <c r="K142" s="16"/>
      <c r="L142" s="16">
        <f t="shared" si="15"/>
        <v>9321280.2200000025</v>
      </c>
      <c r="M142" s="29"/>
    </row>
    <row r="143" spans="1:13" x14ac:dyDescent="0.2">
      <c r="A143" s="3" t="s">
        <v>318</v>
      </c>
      <c r="B143" s="16">
        <f>'KY_Cost Plant Acct-Elec-P14(Reg'!B142</f>
        <v>9217153.7100000009</v>
      </c>
      <c r="C143" s="16"/>
      <c r="D143" s="16">
        <f>'KY_Cost Plant Acct-Elec-P14(Reg'!D142</f>
        <v>-9150406.3300000001</v>
      </c>
      <c r="E143" s="16"/>
      <c r="F143" s="16">
        <f>'KY_Cost Plant Acct-Elec-P14(Reg'!F142</f>
        <v>0</v>
      </c>
      <c r="G143" s="16"/>
      <c r="H143" s="16">
        <f>'KY_Cost Plant Acct-Elec-P14(Reg'!H142</f>
        <v>0</v>
      </c>
      <c r="I143" s="16"/>
      <c r="J143" s="16">
        <f t="shared" si="14"/>
        <v>-9150406.3300000001</v>
      </c>
      <c r="K143" s="16"/>
      <c r="L143" s="16">
        <f t="shared" si="15"/>
        <v>66747.38000000082</v>
      </c>
      <c r="M143" s="29"/>
    </row>
    <row r="144" spans="1:13" x14ac:dyDescent="0.2">
      <c r="A144" s="3" t="s">
        <v>2883</v>
      </c>
      <c r="B144" s="16">
        <f>'KY_Cost Plant Acct-Elec-P14(Reg'!B143</f>
        <v>445043.09999999963</v>
      </c>
      <c r="C144" s="16"/>
      <c r="D144" s="16">
        <f>'KY_Cost Plant Acct-Elec-P14(Reg'!D143</f>
        <v>4119584.4</v>
      </c>
      <c r="E144" s="16">
        <f>'KY_Cost Plant Acct-Elec-P14(Reg'!E143</f>
        <v>0</v>
      </c>
      <c r="F144" s="16">
        <f>'KY_Cost Plant Acct-Elec-P14(Reg'!F143</f>
        <v>0</v>
      </c>
      <c r="G144" s="16">
        <f>'KY_Cost Plant Acct-Elec-P14(Reg'!G143</f>
        <v>0</v>
      </c>
      <c r="H144" s="16">
        <f>'KY_Cost Plant Acct-Elec-P14(Reg'!H143</f>
        <v>0</v>
      </c>
      <c r="I144" s="16"/>
      <c r="J144" s="16">
        <f t="shared" si="14"/>
        <v>4119584.4</v>
      </c>
      <c r="K144" s="16"/>
      <c r="L144" s="16">
        <f t="shared" si="15"/>
        <v>4564627.5</v>
      </c>
      <c r="M144" s="29"/>
    </row>
    <row r="145" spans="1:14" x14ac:dyDescent="0.2">
      <c r="A145" s="3" t="s">
        <v>2884</v>
      </c>
      <c r="B145" s="15">
        <f>'KY_Cost Plant Acct-Elec-P14(Reg'!B144</f>
        <v>244941.23</v>
      </c>
      <c r="C145" s="16"/>
      <c r="D145" s="15">
        <f>'KY_Cost Plant Acct-Elec-P14(Reg'!D144</f>
        <v>-244941.23</v>
      </c>
      <c r="E145" s="15">
        <f>'KY_Cost Plant Acct-Elec-P14(Reg'!E144</f>
        <v>0</v>
      </c>
      <c r="F145" s="15">
        <f>'KY_Cost Plant Acct-Elec-P14(Reg'!F144</f>
        <v>0</v>
      </c>
      <c r="G145" s="15">
        <f>'KY_Cost Plant Acct-Elec-P14(Reg'!G144</f>
        <v>0</v>
      </c>
      <c r="H145" s="15">
        <f>'KY_Cost Plant Acct-Elec-P14(Reg'!H144</f>
        <v>0</v>
      </c>
      <c r="I145" s="16"/>
      <c r="J145" s="15">
        <f t="shared" si="14"/>
        <v>-244941.23</v>
      </c>
      <c r="K145" s="16"/>
      <c r="L145" s="15">
        <f t="shared" si="15"/>
        <v>0</v>
      </c>
      <c r="M145" s="29"/>
    </row>
    <row r="146" spans="1:14" x14ac:dyDescent="0.2">
      <c r="B146" s="16">
        <f>SUM(B140:B145)</f>
        <v>19689531.610000003</v>
      </c>
      <c r="C146" s="16"/>
      <c r="D146" s="16">
        <f>SUM(D140:D145)</f>
        <v>-5272560.7200000007</v>
      </c>
      <c r="E146" s="16"/>
      <c r="F146" s="16">
        <f>SUM(F140:F145)</f>
        <v>0</v>
      </c>
      <c r="G146" s="16"/>
      <c r="H146" s="16">
        <f>SUM(H140:H145)</f>
        <v>0</v>
      </c>
      <c r="I146" s="16"/>
      <c r="J146" s="16">
        <f>SUM(J140:J145)</f>
        <v>-5272560.7200000007</v>
      </c>
      <c r="K146" s="16"/>
      <c r="L146" s="16">
        <f>SUM(L140:L145)</f>
        <v>14416970.890000004</v>
      </c>
      <c r="M146" s="29"/>
      <c r="N146" s="37"/>
    </row>
    <row r="147" spans="1:14" x14ac:dyDescent="0.2">
      <c r="A147" s="9" t="s">
        <v>325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9"/>
    </row>
    <row r="148" spans="1:14" x14ac:dyDescent="0.2">
      <c r="A148" s="3" t="s">
        <v>326</v>
      </c>
      <c r="B148" s="16">
        <f>'KY_Cost Plant Acct-Elec-P14(Reg'!B147</f>
        <v>0</v>
      </c>
      <c r="C148" s="16"/>
      <c r="D148" s="16">
        <f>'KY_Cost Plant Acct-Elec-P14(Reg'!D147</f>
        <v>1245242.0900000001</v>
      </c>
      <c r="E148" s="16"/>
      <c r="F148" s="16">
        <f>'KY_Cost Plant Acct-Elec-P14(Reg'!F147</f>
        <v>0</v>
      </c>
      <c r="G148" s="16"/>
      <c r="H148" s="16">
        <f>'KY_Cost Plant Acct-Elec-P14(Reg'!H147</f>
        <v>0</v>
      </c>
      <c r="I148" s="16"/>
      <c r="J148" s="16">
        <f t="shared" ref="J148:J154" si="16">D148+F148+H148</f>
        <v>1245242.0900000001</v>
      </c>
      <c r="K148" s="16"/>
      <c r="L148" s="16">
        <f t="shared" ref="L148:L154" si="17">J148+B148</f>
        <v>1245242.0900000001</v>
      </c>
      <c r="M148" s="29"/>
    </row>
    <row r="149" spans="1:14" x14ac:dyDescent="0.2">
      <c r="A149" s="3" t="s">
        <v>330</v>
      </c>
      <c r="B149" s="16">
        <f>'KY_Cost Plant Acct-Elec-P14(Reg'!B148</f>
        <v>26687356.359999999</v>
      </c>
      <c r="C149" s="16"/>
      <c r="D149" s="16">
        <f>'KY_Cost Plant Acct-Elec-P14(Reg'!D148</f>
        <v>1705432.79</v>
      </c>
      <c r="E149" s="16"/>
      <c r="F149" s="16">
        <f>'KY_Cost Plant Acct-Elec-P14(Reg'!F148</f>
        <v>0</v>
      </c>
      <c r="G149" s="16"/>
      <c r="H149" s="16">
        <f>'KY_Cost Plant Acct-Elec-P14(Reg'!H148</f>
        <v>0</v>
      </c>
      <c r="I149" s="16"/>
      <c r="J149" s="16">
        <f t="shared" si="16"/>
        <v>1705432.79</v>
      </c>
      <c r="K149" s="16"/>
      <c r="L149" s="16">
        <f t="shared" si="17"/>
        <v>28392789.149999999</v>
      </c>
      <c r="M149" s="29"/>
    </row>
    <row r="150" spans="1:14" x14ac:dyDescent="0.2">
      <c r="A150" s="3" t="s">
        <v>2885</v>
      </c>
      <c r="B150" s="16">
        <f>'KY_Cost Plant Acct-Elec-P14(Reg'!B149</f>
        <v>0</v>
      </c>
      <c r="C150" s="16"/>
      <c r="D150" s="16">
        <f>'KY_Cost Plant Acct-Elec-P14(Reg'!D149</f>
        <v>0</v>
      </c>
      <c r="E150" s="16"/>
      <c r="F150" s="16">
        <f>'KY_Cost Plant Acct-Elec-P14(Reg'!F149</f>
        <v>0</v>
      </c>
      <c r="G150" s="16"/>
      <c r="H150" s="16">
        <f>'KY_Cost Plant Acct-Elec-P14(Reg'!H149</f>
        <v>0</v>
      </c>
      <c r="I150" s="16"/>
      <c r="J150" s="16">
        <f t="shared" si="16"/>
        <v>0</v>
      </c>
      <c r="K150" s="16"/>
      <c r="L150" s="16">
        <f t="shared" si="17"/>
        <v>0</v>
      </c>
      <c r="M150" s="29"/>
    </row>
    <row r="151" spans="1:14" x14ac:dyDescent="0.2">
      <c r="A151" s="3" t="s">
        <v>333</v>
      </c>
      <c r="B151" s="16">
        <f>'KY_Cost Plant Acct-Elec-P14(Reg'!B150</f>
        <v>1075563012.76</v>
      </c>
      <c r="C151" s="16"/>
      <c r="D151" s="16">
        <f>'KY_Cost Plant Acct-Elec-P14(Reg'!D150</f>
        <v>-75886045.260000005</v>
      </c>
      <c r="E151" s="16"/>
      <c r="F151" s="16">
        <f>'KY_Cost Plant Acct-Elec-P14(Reg'!F150</f>
        <v>0</v>
      </c>
      <c r="G151" s="16"/>
      <c r="H151" s="16">
        <f>'KY_Cost Plant Acct-Elec-P14(Reg'!H150</f>
        <v>0</v>
      </c>
      <c r="I151" s="16"/>
      <c r="J151" s="16">
        <f t="shared" si="16"/>
        <v>-75886045.260000005</v>
      </c>
      <c r="K151" s="16"/>
      <c r="L151" s="16">
        <f t="shared" si="17"/>
        <v>999676967.5</v>
      </c>
      <c r="M151" s="29"/>
    </row>
    <row r="152" spans="1:14" x14ac:dyDescent="0.2">
      <c r="A152" s="3" t="s">
        <v>336</v>
      </c>
      <c r="B152" s="16">
        <f>'KY_Cost Plant Acct-Elec-P14(Reg'!B151</f>
        <v>1041122.5400000028</v>
      </c>
      <c r="C152" s="16"/>
      <c r="D152" s="16">
        <f>'KY_Cost Plant Acct-Elec-P14(Reg'!D151</f>
        <v>1661377.62</v>
      </c>
      <c r="E152" s="16"/>
      <c r="F152" s="16">
        <f>'KY_Cost Plant Acct-Elec-P14(Reg'!F151</f>
        <v>0</v>
      </c>
      <c r="G152" s="16"/>
      <c r="H152" s="16">
        <f>'KY_Cost Plant Acct-Elec-P14(Reg'!H151</f>
        <v>0</v>
      </c>
      <c r="I152" s="16"/>
      <c r="J152" s="16">
        <f t="shared" si="16"/>
        <v>1661377.62</v>
      </c>
      <c r="K152" s="16"/>
      <c r="L152" s="16">
        <f t="shared" si="17"/>
        <v>2702500.1600000029</v>
      </c>
      <c r="M152" s="29"/>
    </row>
    <row r="153" spans="1:14" x14ac:dyDescent="0.2">
      <c r="A153" s="3" t="s">
        <v>337</v>
      </c>
      <c r="B153" s="16">
        <f>'KY_Cost Plant Acct-Elec-P14(Reg'!B152</f>
        <v>34734903.789999999</v>
      </c>
      <c r="C153" s="16"/>
      <c r="D153" s="16">
        <f>'KY_Cost Plant Acct-Elec-P14(Reg'!D152</f>
        <v>-3241271.13</v>
      </c>
      <c r="E153" s="16"/>
      <c r="F153" s="16">
        <f>'KY_Cost Plant Acct-Elec-P14(Reg'!F152</f>
        <v>0</v>
      </c>
      <c r="G153" s="16"/>
      <c r="H153" s="16">
        <f>'KY_Cost Plant Acct-Elec-P14(Reg'!H152</f>
        <v>0</v>
      </c>
      <c r="I153" s="16"/>
      <c r="J153" s="16">
        <f t="shared" si="16"/>
        <v>-3241271.13</v>
      </c>
      <c r="K153" s="16"/>
      <c r="L153" s="16">
        <f t="shared" si="17"/>
        <v>31493632.66</v>
      </c>
      <c r="M153" s="29"/>
    </row>
    <row r="154" spans="1:14" x14ac:dyDescent="0.2">
      <c r="A154" s="3" t="s">
        <v>340</v>
      </c>
      <c r="B154" s="15">
        <f>'KY_Cost Plant Acct-Elec-P14(Reg'!B153</f>
        <v>937039.84000000043</v>
      </c>
      <c r="C154" s="16"/>
      <c r="D154" s="15">
        <f>'KY_Cost Plant Acct-Elec-P14(Reg'!D153</f>
        <v>1072156.93</v>
      </c>
      <c r="E154" s="16"/>
      <c r="F154" s="15">
        <f>'KY_Cost Plant Acct-Elec-P14(Reg'!F153</f>
        <v>0</v>
      </c>
      <c r="G154" s="16"/>
      <c r="H154" s="15">
        <f>'KY_Cost Plant Acct-Elec-P14(Reg'!H153</f>
        <v>0</v>
      </c>
      <c r="I154" s="16"/>
      <c r="J154" s="15">
        <f t="shared" si="16"/>
        <v>1072156.93</v>
      </c>
      <c r="K154" s="16"/>
      <c r="L154" s="15">
        <f t="shared" si="17"/>
        <v>2009196.7700000005</v>
      </c>
      <c r="M154" s="29"/>
    </row>
    <row r="155" spans="1:14" x14ac:dyDescent="0.2">
      <c r="B155" s="16">
        <f>SUM(B148:B154)</f>
        <v>1138963435.2899997</v>
      </c>
      <c r="C155" s="16"/>
      <c r="D155" s="16">
        <f>SUM(D148:D154)</f>
        <v>-73443106.959999993</v>
      </c>
      <c r="E155" s="16"/>
      <c r="F155" s="16">
        <f>SUM(F148:F154)</f>
        <v>0</v>
      </c>
      <c r="G155" s="16"/>
      <c r="H155" s="16">
        <f>SUM(H148:H154)</f>
        <v>0</v>
      </c>
      <c r="I155" s="16"/>
      <c r="J155" s="16">
        <f>SUM(J148:J154)</f>
        <v>-73443106.959999993</v>
      </c>
      <c r="K155" s="16"/>
      <c r="L155" s="16">
        <f>SUM(L148:L154)</f>
        <v>1065520328.3299999</v>
      </c>
      <c r="M155" s="29"/>
    </row>
    <row r="156" spans="1:14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9"/>
    </row>
    <row r="157" spans="1:14" x14ac:dyDescent="0.2">
      <c r="A157" s="9" t="s">
        <v>2886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9"/>
    </row>
    <row r="158" spans="1:14" x14ac:dyDescent="0.2">
      <c r="A158" s="3" t="s">
        <v>345</v>
      </c>
      <c r="B158" s="16">
        <f>'KY_Cost Plant Acct-Elec-P14(Reg'!B157</f>
        <v>0</v>
      </c>
      <c r="C158" s="16"/>
      <c r="D158" s="16">
        <f>'KY_Cost Plant Acct-Elec-P14(Reg'!D157</f>
        <v>0</v>
      </c>
      <c r="E158" s="16"/>
      <c r="F158" s="16">
        <f>'KY_Cost Plant Acct-Elec-P14(Reg'!F157</f>
        <v>0</v>
      </c>
      <c r="G158" s="16"/>
      <c r="H158" s="16">
        <f>'KY_Cost Plant Acct-Elec-P14(Reg'!H157</f>
        <v>0</v>
      </c>
      <c r="I158" s="16"/>
      <c r="J158" s="16">
        <f t="shared" ref="J158:J166" si="18">D158+F158+H158</f>
        <v>0</v>
      </c>
      <c r="K158" s="16"/>
      <c r="L158" s="16">
        <f t="shared" ref="L158:L166" si="19">J158+B158</f>
        <v>0</v>
      </c>
      <c r="M158" s="29"/>
    </row>
    <row r="159" spans="1:14" x14ac:dyDescent="0.2">
      <c r="A159" s="3" t="s">
        <v>347</v>
      </c>
      <c r="B159" s="16">
        <f>'KY_Cost Plant Acct-Elec-P14(Reg'!B158+'IN_Cost Plant Acct-Elec-P16(Reg'!B30</f>
        <v>225860.10000000012</v>
      </c>
      <c r="C159" s="16"/>
      <c r="D159" s="16">
        <f>'KY_Cost Plant Acct-Elec-P14(Reg'!D158+'IN_Cost Plant Acct-Elec-P16(Reg'!D30</f>
        <v>-225399.44</v>
      </c>
      <c r="E159" s="16"/>
      <c r="F159" s="16">
        <f>'KY_Cost Plant Acct-Elec-P14(Reg'!F158</f>
        <v>0</v>
      </c>
      <c r="G159" s="16"/>
      <c r="H159" s="16">
        <f>'KY_Cost Plant Acct-Elec-P14(Reg'!H158</f>
        <v>0</v>
      </c>
      <c r="I159" s="16"/>
      <c r="J159" s="16">
        <f t="shared" si="18"/>
        <v>-225399.44</v>
      </c>
      <c r="K159" s="16"/>
      <c r="L159" s="16">
        <f t="shared" si="19"/>
        <v>460.66000000011991</v>
      </c>
      <c r="M159" s="29"/>
    </row>
    <row r="160" spans="1:14" x14ac:dyDescent="0.2">
      <c r="A160" s="21" t="s">
        <v>2873</v>
      </c>
      <c r="B160" s="16">
        <f>'KY_Cost Plant Acct-Elec-P14(Reg'!B159</f>
        <v>0</v>
      </c>
      <c r="C160" s="16"/>
      <c r="D160" s="16">
        <f>'KY_Cost Plant Acct-Elec-P14(Reg'!D159</f>
        <v>0</v>
      </c>
      <c r="E160" s="16"/>
      <c r="F160" s="16">
        <f>'KY_Cost Plant Acct-Elec-P14(Reg'!F159</f>
        <v>0</v>
      </c>
      <c r="G160" s="16"/>
      <c r="H160" s="16">
        <f>'KY_Cost Plant Acct-Elec-P14(Reg'!H159</f>
        <v>0</v>
      </c>
      <c r="I160" s="16"/>
      <c r="J160" s="16">
        <f t="shared" si="18"/>
        <v>0</v>
      </c>
      <c r="K160" s="16"/>
      <c r="L160" s="16">
        <f t="shared" si="19"/>
        <v>0</v>
      </c>
      <c r="M160" s="29"/>
    </row>
    <row r="161" spans="1:13" x14ac:dyDescent="0.2">
      <c r="A161" s="3" t="s">
        <v>349</v>
      </c>
      <c r="B161" s="16">
        <f>'KY_Cost Plant Acct-Elec-P14(Reg'!B160+'IN_Cost Plant Acct-Elec-P16(Reg'!B31</f>
        <v>9897481.0399999972</v>
      </c>
      <c r="C161" s="16"/>
      <c r="D161" s="16">
        <f>'KY_Cost Plant Acct-Elec-P14(Reg'!D160+'IN_Cost Plant Acct-Elec-P16(Reg'!D31</f>
        <v>-5068826</v>
      </c>
      <c r="E161" s="16"/>
      <c r="F161" s="16">
        <f>'KY_Cost Plant Acct-Elec-P14(Reg'!F160+'IN_Cost Plant Acct-Elec-P16(Reg'!F31</f>
        <v>0</v>
      </c>
      <c r="G161" s="16"/>
      <c r="H161" s="16">
        <f>'KY_Cost Plant Acct-Elec-P14(Reg'!H160+'IN_Cost Plant Acct-Elec-P16(Reg'!H31</f>
        <v>0</v>
      </c>
      <c r="I161" s="16"/>
      <c r="J161" s="16">
        <f t="shared" si="18"/>
        <v>-5068826</v>
      </c>
      <c r="K161" s="16"/>
      <c r="L161" s="16">
        <f t="shared" si="19"/>
        <v>4828655.0399999972</v>
      </c>
      <c r="M161" s="29"/>
    </row>
    <row r="162" spans="1:13" x14ac:dyDescent="0.2">
      <c r="A162" s="120" t="s">
        <v>351</v>
      </c>
      <c r="B162" s="16">
        <f>'KY_Cost Plant Acct-Elec-P14(Reg'!B161+'IN_Cost Plant Acct-Elec-P16(Reg'!B32</f>
        <v>0</v>
      </c>
      <c r="C162" s="16">
        <f>'KY_Cost Plant Acct-Elec-P14(Reg'!C161+'IN_Cost Plant Acct-Elec-P16(Reg'!C32</f>
        <v>0</v>
      </c>
      <c r="D162" s="16">
        <f>'KY_Cost Plant Acct-Elec-P14(Reg'!D161+'IN_Cost Plant Acct-Elec-P16(Reg'!D32</f>
        <v>0</v>
      </c>
      <c r="E162" s="16">
        <f>'KY_Cost Plant Acct-Elec-P14(Reg'!E161+'IN_Cost Plant Acct-Elec-P16(Reg'!E32</f>
        <v>0</v>
      </c>
      <c r="F162" s="16">
        <f>'KY_Cost Plant Acct-Elec-P14(Reg'!F161+'IN_Cost Plant Acct-Elec-P16(Reg'!F32</f>
        <v>0</v>
      </c>
      <c r="G162" s="16">
        <f>'KY_Cost Plant Acct-Elec-P14(Reg'!G161+'IN_Cost Plant Acct-Elec-P16(Reg'!G32</f>
        <v>0</v>
      </c>
      <c r="H162" s="16">
        <f>'KY_Cost Plant Acct-Elec-P14(Reg'!H161+'IN_Cost Plant Acct-Elec-P16(Reg'!H32</f>
        <v>0</v>
      </c>
      <c r="I162" s="16">
        <f>'KY_Cost Plant Acct-Elec-P14(Reg'!I161+'IN_Cost Plant Acct-Elec-P16(Reg'!I32</f>
        <v>0</v>
      </c>
      <c r="J162" s="16">
        <f t="shared" si="18"/>
        <v>0</v>
      </c>
      <c r="K162" s="16"/>
      <c r="L162" s="16">
        <f t="shared" si="19"/>
        <v>0</v>
      </c>
      <c r="M162" s="29"/>
    </row>
    <row r="163" spans="1:13" x14ac:dyDescent="0.2">
      <c r="A163" s="3" t="s">
        <v>353</v>
      </c>
      <c r="B163" s="16">
        <f>'IN_Cost Plant Acct-Elec-P16(Reg'!B32+'KY_Cost Plant Acct-Elec-P14(Reg'!B162</f>
        <v>1918.3300000010058</v>
      </c>
      <c r="C163" s="16"/>
      <c r="D163" s="16">
        <f>'IN_Cost Plant Acct-Elec-P16(Reg'!D32+'KY_Cost Plant Acct-Elec-P14(Reg'!D162</f>
        <v>-1918.33</v>
      </c>
      <c r="E163" s="16"/>
      <c r="F163" s="16">
        <f>'IN_Cost Plant Acct-Elec-P16(Reg'!F32</f>
        <v>0</v>
      </c>
      <c r="G163" s="16"/>
      <c r="H163" s="16">
        <f>'IN_Cost Plant Acct-Elec-P16(Reg'!H32</f>
        <v>0</v>
      </c>
      <c r="I163" s="16"/>
      <c r="J163" s="16">
        <f t="shared" si="18"/>
        <v>-1918.33</v>
      </c>
      <c r="K163" s="16"/>
      <c r="L163" s="16">
        <f t="shared" si="19"/>
        <v>1.0059011401608586E-9</v>
      </c>
      <c r="M163" s="29"/>
    </row>
    <row r="164" spans="1:13" x14ac:dyDescent="0.2">
      <c r="A164" s="3" t="s">
        <v>354</v>
      </c>
      <c r="B164" s="16">
        <f>'KY_Cost Plant Acct-Elec-P14(Reg'!B163+'IN_Cost Plant Acct-Elec-P16(Reg'!B33</f>
        <v>4204545.8699999973</v>
      </c>
      <c r="C164" s="16"/>
      <c r="D164" s="16">
        <f>'KY_Cost Plant Acct-Elec-P14(Reg'!D163+'IN_Cost Plant Acct-Elec-P16(Reg'!D33</f>
        <v>-201249.04</v>
      </c>
      <c r="E164" s="16"/>
      <c r="F164" s="16">
        <f>'KY_Cost Plant Acct-Elec-P14(Reg'!F163+'IN_Cost Plant Acct-Elec-P16(Reg'!F33</f>
        <v>0</v>
      </c>
      <c r="G164" s="16"/>
      <c r="H164" s="16">
        <f>'KY_Cost Plant Acct-Elec-P14(Reg'!H163+'IN_Cost Plant Acct-Elec-P16(Reg'!H33</f>
        <v>0</v>
      </c>
      <c r="I164" s="16"/>
      <c r="J164" s="16">
        <f t="shared" si="18"/>
        <v>-201249.04</v>
      </c>
      <c r="K164" s="16"/>
      <c r="L164" s="16">
        <f t="shared" si="19"/>
        <v>4003296.8299999973</v>
      </c>
      <c r="M164" s="29"/>
    </row>
    <row r="165" spans="1:13" x14ac:dyDescent="0.2">
      <c r="A165" s="3" t="s">
        <v>355</v>
      </c>
      <c r="B165" s="16">
        <f>'KY_Cost Plant Acct-Elec-P14(Reg'!B164+'IN_Cost Plant Acct-Elec-P16(Reg'!B34</f>
        <v>1149713.5499999998</v>
      </c>
      <c r="C165" s="16"/>
      <c r="D165" s="16">
        <f>'KY_Cost Plant Acct-Elec-P14(Reg'!D164+'IN_Cost Plant Acct-Elec-P16(Reg'!D34</f>
        <v>-50336.04</v>
      </c>
      <c r="E165" s="16"/>
      <c r="F165" s="16">
        <f>'KY_Cost Plant Acct-Elec-P14(Reg'!F164+'IN_Cost Plant Acct-Elec-P16(Reg'!F34</f>
        <v>0</v>
      </c>
      <c r="G165" s="16"/>
      <c r="H165" s="16">
        <f>'KY_Cost Plant Acct-Elec-P14(Reg'!H164+'IN_Cost Plant Acct-Elec-P16(Reg'!H34</f>
        <v>0</v>
      </c>
      <c r="I165" s="16"/>
      <c r="J165" s="16">
        <f t="shared" si="18"/>
        <v>-50336.04</v>
      </c>
      <c r="K165" s="16"/>
      <c r="L165" s="16">
        <f t="shared" si="19"/>
        <v>1099377.5099999998</v>
      </c>
      <c r="M165" s="29"/>
    </row>
    <row r="166" spans="1:13" x14ac:dyDescent="0.2">
      <c r="A166" s="3" t="s">
        <v>356</v>
      </c>
      <c r="B166" s="16">
        <f>'KY_Cost Plant Acct-Elec-P14(Reg'!B165</f>
        <v>0</v>
      </c>
      <c r="C166" s="16"/>
      <c r="D166" s="16">
        <f>'KY_Cost Plant Acct-Elec-P14(Reg'!D165</f>
        <v>95630.36</v>
      </c>
      <c r="E166" s="16"/>
      <c r="F166" s="16">
        <f>'KY_Cost Plant Acct-Elec-P14(Reg'!F165+'IN_Cost Plant Acct-Elec-P16(Reg'!F35</f>
        <v>0</v>
      </c>
      <c r="G166" s="16"/>
      <c r="H166" s="16">
        <f>'KY_Cost Plant Acct-Elec-P14(Reg'!H165+'IN_Cost Plant Acct-Elec-P16(Reg'!H35</f>
        <v>0</v>
      </c>
      <c r="I166" s="16"/>
      <c r="J166" s="16">
        <f t="shared" si="18"/>
        <v>95630.36</v>
      </c>
      <c r="K166" s="16"/>
      <c r="L166" s="16">
        <f t="shared" si="19"/>
        <v>95630.36</v>
      </c>
      <c r="M166" s="29"/>
    </row>
    <row r="167" spans="1:13" x14ac:dyDescent="0.2">
      <c r="B167" s="19">
        <f>SUM(B158:B166)</f>
        <v>15479518.889999997</v>
      </c>
      <c r="C167" s="16"/>
      <c r="D167" s="19">
        <f>SUM(D158:D166)</f>
        <v>-5452098.4900000002</v>
      </c>
      <c r="E167" s="16"/>
      <c r="F167" s="19">
        <f>SUM(F158:F166)</f>
        <v>0</v>
      </c>
      <c r="G167" s="16"/>
      <c r="H167" s="19">
        <f>SUM(H158:H166)</f>
        <v>0</v>
      </c>
      <c r="I167" s="16"/>
      <c r="J167" s="19">
        <f>SUM(J158:J166)</f>
        <v>-5452098.4900000002</v>
      </c>
      <c r="K167" s="16"/>
      <c r="L167" s="19">
        <f>SUM(L158:L166)</f>
        <v>10027420.399999995</v>
      </c>
      <c r="M167" s="29"/>
    </row>
    <row r="168" spans="1:13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9"/>
    </row>
    <row r="169" spans="1:13" x14ac:dyDescent="0.2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3" x14ac:dyDescent="0.2">
      <c r="A170" s="9" t="s">
        <v>2887</v>
      </c>
      <c r="B170" s="20">
        <f>B167+B155+B129+B121+B146+B137</f>
        <v>1302991027.3999999</v>
      </c>
      <c r="C170" s="16"/>
      <c r="D170" s="20">
        <f>D167+D155+D129+D121+D146+D137</f>
        <v>-58622880.969999984</v>
      </c>
      <c r="E170" s="16"/>
      <c r="F170" s="20">
        <f>F167+F155+F129+F121+F146+F137</f>
        <v>0</v>
      </c>
      <c r="G170" s="16"/>
      <c r="H170" s="20">
        <f>H167+H155+H129+H121+H146+H137</f>
        <v>0</v>
      </c>
      <c r="I170" s="16"/>
      <c r="J170" s="20">
        <f>J167+J155+J129+J121+J146+J137</f>
        <v>-58622880.969999984</v>
      </c>
      <c r="K170" s="16"/>
      <c r="L170" s="20">
        <f>L167+L155+L129+L121+L146+L137</f>
        <v>1244368146.4300001</v>
      </c>
    </row>
    <row r="172" spans="1:13" ht="13.5" thickBot="1" x14ac:dyDescent="0.25">
      <c r="A172" s="9" t="s">
        <v>2888</v>
      </c>
      <c r="B172" s="94">
        <f>B170+B104</f>
        <v>5260462781.3199987</v>
      </c>
      <c r="D172" s="94">
        <f>D170+D104</f>
        <v>196786601.71000004</v>
      </c>
      <c r="F172" s="94">
        <f>F170+F104</f>
        <v>-54659107.539999999</v>
      </c>
      <c r="H172" s="94">
        <f>H170+H104</f>
        <v>-9117183.1499999985</v>
      </c>
      <c r="J172" s="94">
        <f>J170+J104</f>
        <v>133010311.02000003</v>
      </c>
      <c r="L172" s="94">
        <f>L170+L104</f>
        <v>5393473092.3400002</v>
      </c>
    </row>
    <row r="173" spans="1:13" ht="13.5" thickTop="1" x14ac:dyDescent="0.2">
      <c r="B173" s="37"/>
    </row>
    <row r="174" spans="1:13" x14ac:dyDescent="0.2">
      <c r="B174" s="37">
        <f>+B172-'KY_Total Elec PIS_NBV-P13 (Reg)'!B105-'IN_Total PIS_Elec_NBV-P15 (Reg)'!B25</f>
        <v>-2.6077032089233398E-7</v>
      </c>
      <c r="D174" s="37">
        <f>+D172-'KY_Total Elec PIS_NBV-P13 (Reg)'!D105-'IN_Total PIS_Elec_NBV-P15 (Reg)'!D25</f>
        <v>6.6756911110132933E-8</v>
      </c>
      <c r="F174" s="37">
        <f>+F172-'KY_Total Elec PIS_NBV-P13 (Reg)'!F105-'IN_Total PIS_Elec_NBV-P15 (Reg)'!F25</f>
        <v>-2.3842403606977314E-9</v>
      </c>
      <c r="H174" s="37">
        <f>+H172-'KY_Total Elec PIS_NBV-P13 (Reg)'!H105-'IN_Total PIS_Elec_NBV-P15 (Reg)'!H25</f>
        <v>0</v>
      </c>
      <c r="J174" s="37">
        <f>+J172-'KY_Total Elec PIS_NBV-P13 (Reg)'!J105-'IN_Total PIS_Elec_NBV-P15 (Reg)'!J25</f>
        <v>1.9668732420541346E-8</v>
      </c>
      <c r="L174" s="37">
        <f>+L172-'KY_Total Elec PIS_NBV-P13 (Reg)'!L105-'IN_Total PIS_Elec_NBV-P15 (Reg)'!L25</f>
        <v>5.7369470596313477E-7</v>
      </c>
    </row>
  </sheetData>
  <mergeCells count="3">
    <mergeCell ref="A1:M1"/>
    <mergeCell ref="A2:M2"/>
    <mergeCell ref="A3:M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3" manualBreakCount="3">
    <brk id="53" max="16383" man="1"/>
    <brk id="86" max="16383" man="1"/>
    <brk id="13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139"/>
  <sheetViews>
    <sheetView zoomScaleNormal="100"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5703125" style="3" customWidth="1"/>
    <col min="12" max="12" width="17.7109375" style="3" customWidth="1"/>
    <col min="13" max="13" width="1.7109375" style="3" customWidth="1"/>
    <col min="14" max="14" width="21.85546875" style="3" customWidth="1"/>
    <col min="15" max="15" width="2.710937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2889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6" x14ac:dyDescent="0.2">
      <c r="B6" s="7" t="s">
        <v>3</v>
      </c>
      <c r="D6" s="136"/>
      <c r="F6" s="136"/>
      <c r="H6" s="7" t="s">
        <v>4</v>
      </c>
      <c r="J6" s="7" t="s">
        <v>229</v>
      </c>
      <c r="K6" s="136"/>
      <c r="L6" s="7" t="s">
        <v>5</v>
      </c>
      <c r="P6" s="1" t="s">
        <v>2793</v>
      </c>
    </row>
    <row r="7" spans="1:16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K7" s="17"/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K8" s="17"/>
      <c r="L8" s="17"/>
    </row>
    <row r="9" spans="1:16" x14ac:dyDescent="0.2">
      <c r="A9" s="9" t="s">
        <v>2798</v>
      </c>
    </row>
    <row r="10" spans="1:16" x14ac:dyDescent="0.2">
      <c r="A10" s="9" t="s">
        <v>263</v>
      </c>
    </row>
    <row r="11" spans="1:16" x14ac:dyDescent="0.2">
      <c r="A11" s="21" t="s">
        <v>264</v>
      </c>
      <c r="B11" s="136">
        <f>'KY_Cost Plant Acct-Elec-P14(Reg'!B11</f>
        <v>0</v>
      </c>
      <c r="C11" s="136"/>
      <c r="D11" s="136">
        <f>'KY_Cost Plant Acct-Elec-P14(Reg'!D11</f>
        <v>0</v>
      </c>
      <c r="E11" s="136"/>
      <c r="F11" s="136">
        <f>'KY_Cost Plant Acct-Elec-P14(Reg'!F11</f>
        <v>0</v>
      </c>
      <c r="G11" s="136"/>
      <c r="H11" s="136">
        <f>'KY_Cost Plant Acct-Elec-P14(Reg'!H11</f>
        <v>0</v>
      </c>
      <c r="I11" s="136"/>
      <c r="J11" s="136">
        <f>H11+F11+D11</f>
        <v>0</v>
      </c>
      <c r="K11" s="136"/>
      <c r="L11" s="136">
        <f>B11+J11</f>
        <v>0</v>
      </c>
      <c r="N11" s="37">
        <v>0</v>
      </c>
      <c r="P11" s="37">
        <f>L11+N11</f>
        <v>0</v>
      </c>
    </row>
    <row r="12" spans="1:16" x14ac:dyDescent="0.2">
      <c r="A12" s="3" t="s">
        <v>265</v>
      </c>
      <c r="B12" s="136">
        <f>'KY_Cost Plant Acct-Elec-P14(Reg'!B12</f>
        <v>4100654.4700000007</v>
      </c>
      <c r="C12" s="136"/>
      <c r="D12" s="136">
        <f>'KY_Cost Plant Acct-Elec-P14(Reg'!D12</f>
        <v>0</v>
      </c>
      <c r="E12" s="136"/>
      <c r="F12" s="136">
        <f>'KY_Cost Plant Acct-Elec-P14(Reg'!F12</f>
        <v>0</v>
      </c>
      <c r="G12" s="136"/>
      <c r="H12" s="136">
        <f>'KY_Cost Plant Acct-Elec-P14(Reg'!H12</f>
        <v>0</v>
      </c>
      <c r="I12" s="136"/>
      <c r="J12" s="136">
        <f>H12+F12+D12</f>
        <v>0</v>
      </c>
      <c r="K12" s="136"/>
      <c r="L12" s="136">
        <f>B12+J12</f>
        <v>4100654.4700000007</v>
      </c>
      <c r="N12" s="37">
        <f>'KY_Res by Plant Acct-P29 (Reg)'!R11</f>
        <v>-3.5527136788005009E-15</v>
      </c>
      <c r="P12" s="37">
        <f>L12+N12</f>
        <v>4100654.4700000007</v>
      </c>
    </row>
    <row r="13" spans="1:16" x14ac:dyDescent="0.2">
      <c r="A13" s="3" t="s">
        <v>267</v>
      </c>
      <c r="B13" s="136">
        <f>'KY_Cost Plant Acct-Elec-P14(Reg'!B13+'KY_Cost Plant Acct-Elec-P14(Reg'!B108</f>
        <v>6833645.7999999989</v>
      </c>
      <c r="C13" s="136"/>
      <c r="D13" s="136">
        <f>'KY_Cost Plant Acct-Elec-P14(Reg'!D13+'KY_Cost Plant Acct-Elec-P14(Reg'!D108</f>
        <v>91613.65</v>
      </c>
      <c r="E13" s="136"/>
      <c r="F13" s="136">
        <f>'KY_Cost Plant Acct-Elec-P14(Reg'!F13</f>
        <v>-22759.97</v>
      </c>
      <c r="G13" s="136"/>
      <c r="H13" s="136">
        <f>'KY_Cost Plant Acct-Elec-P14(Reg'!H13</f>
        <v>72053.22</v>
      </c>
      <c r="I13" s="136"/>
      <c r="J13" s="136">
        <f t="shared" ref="J13:J26" si="0">H13+F13+D13</f>
        <v>140906.9</v>
      </c>
      <c r="K13" s="136"/>
      <c r="L13" s="136">
        <f t="shared" ref="L13:L26" si="1">B13+J13</f>
        <v>6974552.6999999993</v>
      </c>
      <c r="N13" s="37">
        <f>'KY_Res by Plant Acct-P29 (Reg)'!R12</f>
        <v>-2347541.2999999993</v>
      </c>
      <c r="P13" s="37">
        <f t="shared" ref="P13:P26" si="2">L13+N13</f>
        <v>4627011.4000000004</v>
      </c>
    </row>
    <row r="14" spans="1:16" x14ac:dyDescent="0.2">
      <c r="A14" s="3" t="s">
        <v>268</v>
      </c>
      <c r="B14" s="136">
        <f>'KY_Cost Plant Acct-Elec-P14(Reg'!B14+'KY_Cost Plant Acct-Elec-P14(Reg'!B109</f>
        <v>131778748.72</v>
      </c>
      <c r="C14" s="136"/>
      <c r="D14" s="136">
        <f>'KY_Cost Plant Acct-Elec-P14(Reg'!D14+'KY_Cost Plant Acct-Elec-P14(Reg'!D109</f>
        <v>9446992.6799999997</v>
      </c>
      <c r="E14" s="136"/>
      <c r="F14" s="136">
        <f>'KY_Cost Plant Acct-Elec-P14(Reg'!F14</f>
        <v>-711864.94</v>
      </c>
      <c r="G14" s="136"/>
      <c r="H14" s="136">
        <f>'KY_Cost Plant Acct-Elec-P14(Reg'!H14</f>
        <v>-974073.2</v>
      </c>
      <c r="I14" s="136"/>
      <c r="J14" s="136">
        <f t="shared" si="0"/>
        <v>7761054.54</v>
      </c>
      <c r="K14" s="136"/>
      <c r="L14" s="136">
        <f t="shared" si="1"/>
        <v>139539803.25999999</v>
      </c>
      <c r="N14" s="37">
        <f>'KY_Res by Plant Acct-P29 (Reg)'!R13+'KY_Res by Plant Acct-P29 (Reg)'!R14</f>
        <v>-45310140.130000003</v>
      </c>
      <c r="P14" s="37">
        <f t="shared" si="2"/>
        <v>94229663.129999995</v>
      </c>
    </row>
    <row r="15" spans="1:16" x14ac:dyDescent="0.2">
      <c r="A15" s="3" t="s">
        <v>269</v>
      </c>
      <c r="B15" s="136">
        <f>'KY_Cost Plant Acct-Elec-P14(Reg'!B15+'KY_Cost Plant Acct-Elec-P14(Reg'!B110</f>
        <v>194802996.58000004</v>
      </c>
      <c r="C15" s="136"/>
      <c r="D15" s="136">
        <f>'KY_Cost Plant Acct-Elec-P14(Reg'!D15+'KY_Cost Plant Acct-Elec-P14(Reg'!D110</f>
        <v>10056904.060000001</v>
      </c>
      <c r="E15" s="136"/>
      <c r="F15" s="136">
        <f>'KY_Cost Plant Acct-Elec-P14(Reg'!F15</f>
        <v>-2893219.44</v>
      </c>
      <c r="G15" s="136"/>
      <c r="H15" s="136">
        <f>'KY_Cost Plant Acct-Elec-P14(Reg'!H15+'KY_Cost Plant Acct-Elec-P14(Reg'!H110</f>
        <v>0</v>
      </c>
      <c r="I15" s="136"/>
      <c r="J15" s="136">
        <f t="shared" si="0"/>
        <v>7163684.620000001</v>
      </c>
      <c r="K15" s="136"/>
      <c r="L15" s="136">
        <f t="shared" si="1"/>
        <v>201966681.20000005</v>
      </c>
      <c r="N15" s="37">
        <f>'KY_Res by Plant Acct-P29 (Reg)'!R15</f>
        <v>-81010624.220000014</v>
      </c>
      <c r="P15" s="37">
        <f t="shared" si="2"/>
        <v>120956056.98000003</v>
      </c>
    </row>
    <row r="16" spans="1:16" x14ac:dyDescent="0.2">
      <c r="A16" s="3" t="s">
        <v>270</v>
      </c>
      <c r="B16" s="136">
        <f>'KY_Cost Plant Acct-Elec-P14(Reg'!B16+'KY_Cost Plant Acct-Elec-P14(Reg'!B111</f>
        <v>312278915.31</v>
      </c>
      <c r="C16" s="136"/>
      <c r="D16" s="136">
        <f>'KY_Cost Plant Acct-Elec-P14(Reg'!D16+'KY_Cost Plant Acct-Elec-P14(Reg'!D111</f>
        <v>16453844.4</v>
      </c>
      <c r="E16" s="136"/>
      <c r="F16" s="136">
        <f>'KY_Cost Plant Acct-Elec-P14(Reg'!F16</f>
        <v>-2802229.8</v>
      </c>
      <c r="G16" s="136"/>
      <c r="H16" s="136">
        <f>'KY_Cost Plant Acct-Elec-P14(Reg'!H16+'KY_Cost Plant Acct-Elec-P14(Reg'!H111</f>
        <v>-1598.5</v>
      </c>
      <c r="I16" s="136"/>
      <c r="J16" s="136">
        <f t="shared" si="0"/>
        <v>13650016.100000001</v>
      </c>
      <c r="K16" s="136"/>
      <c r="L16" s="136">
        <f t="shared" si="1"/>
        <v>325928931.41000003</v>
      </c>
      <c r="N16" s="37">
        <f>'KY_Res by Plant Acct-P29 (Reg)'!R16</f>
        <v>-122611960.89999998</v>
      </c>
      <c r="P16" s="37">
        <f t="shared" si="2"/>
        <v>203316970.51000005</v>
      </c>
    </row>
    <row r="17" spans="1:16" x14ac:dyDescent="0.2">
      <c r="A17" s="3" t="s">
        <v>271</v>
      </c>
      <c r="B17" s="136">
        <f>'KY_Cost Plant Acct-Elec-P14(Reg'!B17+'KY_Cost Plant Acct-Elec-P14(Reg'!B112</f>
        <v>79875476.189999983</v>
      </c>
      <c r="C17" s="136"/>
      <c r="D17" s="136">
        <f>'KY_Cost Plant Acct-Elec-P14(Reg'!D17+'KY_Cost Plant Acct-Elec-P14(Reg'!D112</f>
        <v>4682820.1399999997</v>
      </c>
      <c r="E17" s="136"/>
      <c r="F17" s="136">
        <f>'KY_Cost Plant Acct-Elec-P14(Reg'!F17</f>
        <v>-408131.74</v>
      </c>
      <c r="G17" s="136"/>
      <c r="H17" s="136">
        <f>'KY_Cost Plant Acct-Elec-P14(Reg'!H17+'KY_Cost Plant Acct-Elec-P14(Reg'!H112</f>
        <v>0</v>
      </c>
      <c r="I17" s="136"/>
      <c r="J17" s="136">
        <f t="shared" si="0"/>
        <v>4274688.3999999994</v>
      </c>
      <c r="K17" s="136"/>
      <c r="L17" s="136">
        <f t="shared" si="1"/>
        <v>84150164.589999989</v>
      </c>
      <c r="N17" s="37">
        <f>'KY_Res by Plant Acct-P29 (Reg)'!R17</f>
        <v>-31952447.139999993</v>
      </c>
      <c r="P17" s="37">
        <f t="shared" si="2"/>
        <v>52197717.449999996</v>
      </c>
    </row>
    <row r="18" spans="1:16" x14ac:dyDescent="0.2">
      <c r="A18" s="3" t="s">
        <v>272</v>
      </c>
      <c r="B18" s="136">
        <f>'KY_Cost Plant Acct-Elec-P14(Reg'!B18+'KY_Cost Plant Acct-Elec-P14(Reg'!B113</f>
        <v>226911352.22999999</v>
      </c>
      <c r="C18" s="136"/>
      <c r="D18" s="136">
        <f>'KY_Cost Plant Acct-Elec-P14(Reg'!D18+'KY_Cost Plant Acct-Elec-P14(Reg'!D113</f>
        <v>28888043.600000001</v>
      </c>
      <c r="E18" s="136"/>
      <c r="F18" s="136">
        <f>'KY_Cost Plant Acct-Elec-P14(Reg'!F18</f>
        <v>-1580438.9</v>
      </c>
      <c r="G18" s="136"/>
      <c r="H18" s="136">
        <f>'KY_Cost Plant Acct-Elec-P14(Reg'!H18+'KY_Cost Plant Acct-Elec-P14(Reg'!H113</f>
        <v>0</v>
      </c>
      <c r="I18" s="136"/>
      <c r="J18" s="136">
        <f t="shared" si="0"/>
        <v>27307604.700000003</v>
      </c>
      <c r="K18" s="136"/>
      <c r="L18" s="136">
        <f t="shared" si="1"/>
        <v>254218956.93000001</v>
      </c>
      <c r="N18" s="37">
        <f>'KY_Res by Plant Acct-P29 (Reg)'!R18</f>
        <v>-61200794.080000028</v>
      </c>
      <c r="P18" s="37">
        <f t="shared" si="2"/>
        <v>193018162.84999996</v>
      </c>
    </row>
    <row r="19" spans="1:16" x14ac:dyDescent="0.2">
      <c r="A19" s="3" t="s">
        <v>273</v>
      </c>
      <c r="B19" s="136">
        <f>'KY_Cost Plant Acct-Elec-P14(Reg'!B19+'KY_Cost Plant Acct-Elec-P14(Reg'!B114</f>
        <v>162525778.69999999</v>
      </c>
      <c r="C19" s="136"/>
      <c r="D19" s="136">
        <f>'KY_Cost Plant Acct-Elec-P14(Reg'!D19+'KY_Cost Plant Acct-Elec-P14(Reg'!D114</f>
        <v>6237630.6200000001</v>
      </c>
      <c r="E19" s="136"/>
      <c r="F19" s="136">
        <f>'KY_Cost Plant Acct-Elec-P14(Reg'!F19</f>
        <v>-2952153.8</v>
      </c>
      <c r="G19" s="136"/>
      <c r="H19" s="136">
        <f>'KY_Cost Plant Acct-Elec-P14(Reg'!H19+'KY_Cost Plant Acct-Elec-P14(Reg'!H114</f>
        <v>0</v>
      </c>
      <c r="I19" s="136"/>
      <c r="J19" s="136">
        <f t="shared" si="0"/>
        <v>3285476.8200000003</v>
      </c>
      <c r="K19" s="136"/>
      <c r="L19" s="136">
        <f t="shared" si="1"/>
        <v>165811255.51999998</v>
      </c>
      <c r="N19" s="37">
        <f>'KY_Res by Plant Acct-P29 (Reg)'!R19</f>
        <v>-78157021.340000018</v>
      </c>
      <c r="P19" s="37">
        <f t="shared" si="2"/>
        <v>87654234.179999962</v>
      </c>
    </row>
    <row r="20" spans="1:16" x14ac:dyDescent="0.2">
      <c r="A20" s="3" t="s">
        <v>274</v>
      </c>
      <c r="B20" s="136">
        <f>'KY_Cost Plant Acct-Elec-P14(Reg'!B20+'KY_Cost Plant Acct-Elec-P14(Reg'!B115</f>
        <v>9093549.1600000001</v>
      </c>
      <c r="C20" s="136"/>
      <c r="D20" s="136">
        <f>'KY_Cost Plant Acct-Elec-P14(Reg'!D20+'KY_Cost Plant Acct-Elec-P14(Reg'!D115</f>
        <v>2038021</v>
      </c>
      <c r="E20" s="136"/>
      <c r="F20" s="136">
        <f>'KY_Cost Plant Acct-Elec-P14(Reg'!F20</f>
        <v>-37302.65</v>
      </c>
      <c r="G20" s="136"/>
      <c r="H20" s="136">
        <f>'KY_Cost Plant Acct-Elec-P14(Reg'!H20</f>
        <v>0</v>
      </c>
      <c r="I20" s="136"/>
      <c r="J20" s="136">
        <f t="shared" si="0"/>
        <v>2000718.35</v>
      </c>
      <c r="K20" s="136"/>
      <c r="L20" s="136">
        <f t="shared" si="1"/>
        <v>11094267.51</v>
      </c>
      <c r="N20" s="37">
        <f>'KY_Res by Plant Acct-P29 (Reg)'!R20</f>
        <v>-1731539.8499999996</v>
      </c>
      <c r="P20" s="37">
        <f t="shared" si="2"/>
        <v>9362727.6600000001</v>
      </c>
    </row>
    <row r="21" spans="1:16" x14ac:dyDescent="0.2">
      <c r="A21" s="3" t="s">
        <v>275</v>
      </c>
      <c r="B21" s="136">
        <f>'KY_Cost Plant Acct-Elec-P14(Reg'!B21</f>
        <v>23447071.800000004</v>
      </c>
      <c r="C21" s="136"/>
      <c r="D21" s="136">
        <f>'KY_Cost Plant Acct-Elec-P14(Reg'!D21</f>
        <v>726793.06</v>
      </c>
      <c r="E21" s="136"/>
      <c r="F21" s="136">
        <f>'KY_Cost Plant Acct-Elec-P14(Reg'!F21</f>
        <v>-41292.160000000003</v>
      </c>
      <c r="G21" s="136"/>
      <c r="H21" s="136">
        <f>'KY_Cost Plant Acct-Elec-P14(Reg'!H21</f>
        <v>0</v>
      </c>
      <c r="I21" s="136"/>
      <c r="J21" s="136">
        <f t="shared" si="0"/>
        <v>685500.9</v>
      </c>
      <c r="K21" s="136"/>
      <c r="L21" s="136">
        <f t="shared" si="1"/>
        <v>24132572.700000003</v>
      </c>
      <c r="N21" s="37">
        <f>'KY_Res by Plant Acct-P29 (Reg)'!R21</f>
        <v>-23977641.490000002</v>
      </c>
      <c r="P21" s="37">
        <f t="shared" si="2"/>
        <v>154931.21000000089</v>
      </c>
    </row>
    <row r="22" spans="1:16" x14ac:dyDescent="0.2">
      <c r="A22" s="3" t="s">
        <v>277</v>
      </c>
      <c r="B22" s="136">
        <f>'KY_Cost Plant Acct-Elec-P14(Reg'!B22+'KY_Cost Plant Acct-Elec-P14(Reg'!B116</f>
        <v>42441311.350000001</v>
      </c>
      <c r="C22" s="136"/>
      <c r="D22" s="136">
        <f>'KY_Cost Plant Acct-Elec-P14(Reg'!D22+'KY_Cost Plant Acct-Elec-P14(Reg'!D116</f>
        <v>511817.67000000004</v>
      </c>
      <c r="E22" s="136"/>
      <c r="F22" s="136">
        <f>'KY_Cost Plant Acct-Elec-P14(Reg'!F22</f>
        <v>-3083601.81</v>
      </c>
      <c r="G22" s="136"/>
      <c r="H22" s="136">
        <f>'KY_Cost Plant Acct-Elec-P14(Reg'!H22</f>
        <v>-5776821.0199999996</v>
      </c>
      <c r="I22" s="136"/>
      <c r="J22" s="136">
        <f t="shared" si="0"/>
        <v>-8348605.1600000001</v>
      </c>
      <c r="K22" s="136"/>
      <c r="L22" s="136">
        <f t="shared" si="1"/>
        <v>34092706.189999998</v>
      </c>
      <c r="N22" s="37">
        <f>'KY_Res by Plant Acct-P29 (Reg)'!R22</f>
        <v>-19480343.210000001</v>
      </c>
      <c r="P22" s="37">
        <f t="shared" si="2"/>
        <v>14612362.979999997</v>
      </c>
    </row>
    <row r="23" spans="1:16" x14ac:dyDescent="0.2">
      <c r="A23" s="3" t="s">
        <v>2870</v>
      </c>
      <c r="B23" s="136">
        <f>'KY_Cost Plant Acct-Elec-P14(Reg'!B23+'KY_Cost Plant Acct-Elec-P14(Reg'!B117</f>
        <v>1798431.82</v>
      </c>
      <c r="C23" s="136">
        <f>'KY_Cost Plant Acct-Elec-P14(Reg'!C117</f>
        <v>0</v>
      </c>
      <c r="D23" s="136">
        <f>'KY_Cost Plant Acct-Elec-P14(Reg'!D23+'KY_Cost Plant Acct-Elec-P14(Reg'!D117</f>
        <v>19744.599999999999</v>
      </c>
      <c r="E23" s="136">
        <f>'KY_Cost Plant Acct-Elec-P14(Reg'!E117</f>
        <v>0</v>
      </c>
      <c r="F23" s="136">
        <f>'KY_Cost Plant Acct-Elec-P14(Reg'!F23+'KY_Cost Plant Acct-Elec-P14(Reg'!F117</f>
        <v>-77652.320000000007</v>
      </c>
      <c r="G23" s="136">
        <f>'KY_Cost Plant Acct-Elec-P14(Reg'!G117</f>
        <v>0</v>
      </c>
      <c r="H23" s="136">
        <f>'KY_Cost Plant Acct-Elec-P14(Reg'!H23+'KY_Cost Plant Acct-Elec-P14(Reg'!H117</f>
        <v>0</v>
      </c>
      <c r="I23" s="136">
        <f>'KY_Cost Plant Acct-Elec-P14(Reg'!I117</f>
        <v>0</v>
      </c>
      <c r="J23" s="136">
        <f t="shared" si="0"/>
        <v>-57907.720000000008</v>
      </c>
      <c r="K23" s="136"/>
      <c r="L23" s="136">
        <f t="shared" si="1"/>
        <v>1740524.1</v>
      </c>
      <c r="N23" s="37">
        <f>'KY_Res by Plant Acct-P29 (Reg)'!R23</f>
        <v>-137964.04999999999</v>
      </c>
      <c r="P23" s="37">
        <f>L23+N23</f>
        <v>1602560.05</v>
      </c>
    </row>
    <row r="24" spans="1:16" x14ac:dyDescent="0.2">
      <c r="A24" s="3" t="s">
        <v>278</v>
      </c>
      <c r="B24" s="136">
        <v>0</v>
      </c>
      <c r="C24" s="136">
        <f>'KY_Cost Plant Acct-Elec-P14(Reg'!C118</f>
        <v>0</v>
      </c>
      <c r="D24" s="136">
        <f>'KY_Cost Plant Acct-Elec-P14(Reg'!D24</f>
        <v>145496.41</v>
      </c>
      <c r="E24" s="136">
        <f>'KY_Cost Plant Acct-Elec-P14(Reg'!E118</f>
        <v>0</v>
      </c>
      <c r="F24" s="136">
        <f>'KY_Cost Plant Acct-Elec-P14(Reg'!F24+'KY_Cost Plant Acct-Elec-P14(Reg'!F118</f>
        <v>0</v>
      </c>
      <c r="G24" s="136">
        <f>'KY_Cost Plant Acct-Elec-P14(Reg'!G118</f>
        <v>0</v>
      </c>
      <c r="H24" s="136">
        <f>'KY_Cost Plant Acct-Elec-P14(Reg'!H24+'KY_Cost Plant Acct-Elec-P14(Reg'!H118</f>
        <v>5776821.0199999996</v>
      </c>
      <c r="I24" s="136">
        <f>'KY_Cost Plant Acct-Elec-P14(Reg'!I118</f>
        <v>0</v>
      </c>
      <c r="J24" s="136">
        <f t="shared" si="0"/>
        <v>5922317.4299999997</v>
      </c>
      <c r="K24" s="136"/>
      <c r="L24" s="136">
        <f t="shared" si="1"/>
        <v>5922317.4299999997</v>
      </c>
      <c r="N24" s="37">
        <f>'KY_Res by Plant Acct-P29 (Reg)'!R24</f>
        <v>-3748674.3600000003</v>
      </c>
      <c r="P24" s="37">
        <f>L24+N24</f>
        <v>2173643.0699999994</v>
      </c>
    </row>
    <row r="25" spans="1:16" x14ac:dyDescent="0.2">
      <c r="A25" s="3" t="s">
        <v>279</v>
      </c>
      <c r="B25" s="136">
        <f>'KY_Cost Plant Acct-Elec-P14(Reg'!B25+'KY_Cost Plant Acct-Elec-P14(Reg'!B118</f>
        <v>44126727.329999998</v>
      </c>
      <c r="C25" s="136"/>
      <c r="D25" s="136">
        <f>'KY_Cost Plant Acct-Elec-P14(Reg'!D118+'KY_Cost Plant Acct-Elec-P14(Reg'!D25</f>
        <v>3957167.85</v>
      </c>
      <c r="E25" s="136"/>
      <c r="F25" s="136">
        <f>'KY_Cost Plant Acct-Elec-P14(Reg'!F25</f>
        <v>-82893.62</v>
      </c>
      <c r="G25" s="136"/>
      <c r="H25" s="136">
        <f>'KY_Cost Plant Acct-Elec-P14(Reg'!H25</f>
        <v>0</v>
      </c>
      <c r="I25" s="136"/>
      <c r="J25" s="136">
        <f t="shared" si="0"/>
        <v>3874274.23</v>
      </c>
      <c r="K25" s="136"/>
      <c r="L25" s="136">
        <f t="shared" si="1"/>
        <v>48001001.559999995</v>
      </c>
      <c r="N25" s="37">
        <f>'KY_Res by Plant Acct-P29 (Reg)'!R26</f>
        <v>-12223123.130000001</v>
      </c>
      <c r="P25" s="37">
        <f t="shared" si="2"/>
        <v>35777878.429999992</v>
      </c>
    </row>
    <row r="26" spans="1:16" x14ac:dyDescent="0.2">
      <c r="A26" s="3" t="s">
        <v>280</v>
      </c>
      <c r="B26" s="136">
        <f>'KY_Cost Plant Acct-Elec-P14(Reg'!B26+'KY_Cost Plant Acct-Elec-P14(Reg'!B119</f>
        <v>60075863.940000013</v>
      </c>
      <c r="C26" s="136"/>
      <c r="D26" s="136">
        <f>'KY_Cost Plant Acct-Elec-P14(Reg'!D26+'KY_Cost Plant Acct-Elec-P14(Reg'!D119</f>
        <v>2637164.4700000002</v>
      </c>
      <c r="E26" s="136"/>
      <c r="F26" s="136">
        <f>'KY_Cost Plant Acct-Elec-P14(Reg'!F26</f>
        <v>-205459.6</v>
      </c>
      <c r="G26" s="136"/>
      <c r="H26" s="136">
        <f>'KY_Cost Plant Acct-Elec-P14(Reg'!H26</f>
        <v>0</v>
      </c>
      <c r="I26" s="136"/>
      <c r="J26" s="136">
        <f t="shared" si="0"/>
        <v>2431704.87</v>
      </c>
      <c r="K26" s="136"/>
      <c r="L26" s="136">
        <f t="shared" si="1"/>
        <v>62507568.81000001</v>
      </c>
      <c r="N26" s="37">
        <f>'KY_Res by Plant Acct-P29 (Reg)'!R27</f>
        <v>-27772837.230000008</v>
      </c>
      <c r="P26" s="37">
        <f t="shared" si="2"/>
        <v>34734731.579999998</v>
      </c>
    </row>
    <row r="27" spans="1:16" x14ac:dyDescent="0.2">
      <c r="A27" s="3" t="s">
        <v>281</v>
      </c>
      <c r="B27" s="136">
        <f>'KY_Cost Plant Acct-Elec-P14(Reg'!B27</f>
        <v>0</v>
      </c>
      <c r="C27" s="136"/>
      <c r="D27" s="136">
        <f>'KY_Cost Plant Acct-Elec-P14(Reg'!D27</f>
        <v>0</v>
      </c>
      <c r="E27" s="136"/>
      <c r="F27" s="136">
        <f>'KY_Cost Plant Acct-Elec-P14(Reg'!F27</f>
        <v>0</v>
      </c>
      <c r="G27" s="136"/>
      <c r="H27" s="136">
        <f>'KY_Cost Plant Acct-Elec-P14(Reg'!H27</f>
        <v>0</v>
      </c>
      <c r="I27" s="136"/>
      <c r="J27" s="136">
        <f>H27+F27+D27</f>
        <v>0</v>
      </c>
      <c r="K27" s="136"/>
      <c r="L27" s="136">
        <f>B27+J27</f>
        <v>0</v>
      </c>
      <c r="N27" s="37">
        <f>'KY_Res by Plant Acct-P29 (Reg)'!R28</f>
        <v>0</v>
      </c>
      <c r="P27" s="37">
        <f>L27+N27</f>
        <v>0</v>
      </c>
    </row>
    <row r="28" spans="1:16" x14ac:dyDescent="0.2">
      <c r="A28" s="3" t="s">
        <v>283</v>
      </c>
      <c r="B28" s="136">
        <f>'KY_Cost Plant Acct-Elec-P14(Reg'!B28</f>
        <v>411288.1</v>
      </c>
      <c r="C28" s="133"/>
      <c r="D28" s="136">
        <f>'KY_Cost Plant Acct-Elec-P14(Reg'!D28</f>
        <v>0</v>
      </c>
      <c r="E28" s="133"/>
      <c r="F28" s="136">
        <f>'KY_Cost Plant Acct-Elec-P14(Reg'!F28</f>
        <v>-16644.41</v>
      </c>
      <c r="G28" s="136"/>
      <c r="H28" s="136">
        <f>'KY_Cost Plant Acct-Elec-P14(Reg'!H28</f>
        <v>-74674.94</v>
      </c>
      <c r="I28" s="136"/>
      <c r="J28" s="136">
        <f>'KY_Cost Plant Acct-Elec-P14(Reg'!J28</f>
        <v>-91319.35</v>
      </c>
      <c r="K28" s="133"/>
      <c r="L28" s="136">
        <f>'KY_Cost Plant Acct-Elec-P14(Reg'!L28</f>
        <v>319968.75</v>
      </c>
      <c r="N28" s="37">
        <f>'KY_Res by Plant Acct-P29 (Reg)'!R29</f>
        <v>-38581.230000000069</v>
      </c>
      <c r="P28" s="37">
        <f>L28+N28</f>
        <v>281387.5199999999</v>
      </c>
    </row>
    <row r="29" spans="1:16" x14ac:dyDescent="0.2">
      <c r="A29" s="21" t="s">
        <v>2871</v>
      </c>
      <c r="B29" s="151">
        <f>'KY_Cost Plant Acct-Elec-P14(Reg'!B29</f>
        <v>30005.309999999983</v>
      </c>
      <c r="C29" s="136"/>
      <c r="D29" s="151">
        <f>'KY_Cost Plant Acct-Elec-P14(Reg'!D29</f>
        <v>0</v>
      </c>
      <c r="E29" s="136"/>
      <c r="F29" s="151">
        <f>'KY_Cost Plant Acct-Elec-P14(Reg'!F29</f>
        <v>-25506.84</v>
      </c>
      <c r="G29" s="136"/>
      <c r="H29" s="151">
        <f>'KY_Cost Plant Acct-Elec-P14(Reg'!H29</f>
        <v>43496.65</v>
      </c>
      <c r="I29" s="136"/>
      <c r="J29" s="151">
        <f>'KY_Cost Plant Acct-Elec-P14(Reg'!J29</f>
        <v>17989.810000000001</v>
      </c>
      <c r="K29" s="136"/>
      <c r="L29" s="151">
        <f>'KY_Cost Plant Acct-Elec-P14(Reg'!L29</f>
        <v>47995.119999999981</v>
      </c>
      <c r="N29" s="134">
        <f>'KY_Res by Plant Acct-P29 (Reg)'!R30</f>
        <v>-10826.41</v>
      </c>
      <c r="P29" s="134">
        <f>L29+N29</f>
        <v>37168.709999999977</v>
      </c>
    </row>
    <row r="30" spans="1:16" x14ac:dyDescent="0.2">
      <c r="B30" s="133">
        <f>SUM(B11:B29)</f>
        <v>1300531816.8099997</v>
      </c>
      <c r="C30" s="133"/>
      <c r="D30" s="133">
        <f>SUM(D11:D29)</f>
        <v>85894054.209999993</v>
      </c>
      <c r="E30" s="133"/>
      <c r="F30" s="133">
        <f>SUM(F11:F29)</f>
        <v>-14941152</v>
      </c>
      <c r="G30" s="133"/>
      <c r="H30" s="133">
        <f>SUM(H11:H29)</f>
        <v>-934796.77000000037</v>
      </c>
      <c r="I30" s="133"/>
      <c r="J30" s="133">
        <f>SUM(J11:J29)</f>
        <v>70018105.440000013</v>
      </c>
      <c r="K30" s="133"/>
      <c r="L30" s="133">
        <f>SUM(L11:L29)</f>
        <v>1370549922.2499998</v>
      </c>
      <c r="N30" s="133">
        <f>SUM(N11:N29)</f>
        <v>-511712060.07000017</v>
      </c>
      <c r="P30" s="133">
        <f>SUM(P11:P29)</f>
        <v>858837862.17999995</v>
      </c>
    </row>
    <row r="31" spans="1:16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6" x14ac:dyDescent="0.2">
      <c r="A32" s="9" t="s">
        <v>287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6" x14ac:dyDescent="0.2">
      <c r="A33" s="21" t="s">
        <v>288</v>
      </c>
      <c r="B33" s="133">
        <f>'KY_Cost Plant Acct-Elec-P14(Reg'!B33</f>
        <v>888547.25</v>
      </c>
      <c r="C33" s="133"/>
      <c r="D33" s="133">
        <f>'KY_Cost Plant Acct-Elec-P14(Reg'!D33</f>
        <v>0</v>
      </c>
      <c r="E33" s="133"/>
      <c r="F33" s="133">
        <f>'KY_Cost Plant Acct-Elec-P14(Reg'!F33</f>
        <v>0</v>
      </c>
      <c r="G33" s="133"/>
      <c r="H33" s="133">
        <f>'KY_Cost Plant Acct-Elec-P14(Reg'!H33</f>
        <v>0</v>
      </c>
      <c r="I33" s="133"/>
      <c r="J33" s="133">
        <f>H33+F33+D33</f>
        <v>0</v>
      </c>
      <c r="K33" s="133"/>
      <c r="L33" s="136">
        <f>B33+J33</f>
        <v>888547.25</v>
      </c>
      <c r="N33" s="37">
        <f>'KY_Res by Plant Acct-P29 (Reg)'!R34</f>
        <v>-581502.02</v>
      </c>
      <c r="P33" s="37">
        <f>L33+N33</f>
        <v>307045.23</v>
      </c>
    </row>
    <row r="34" spans="1:16" x14ac:dyDescent="0.2">
      <c r="A34" s="3" t="s">
        <v>2872</v>
      </c>
      <c r="B34" s="133">
        <f>'KY_Cost Plant Acct-Elec-P14(Reg'!B34</f>
        <v>4629899.4800000004</v>
      </c>
      <c r="C34" s="133"/>
      <c r="D34" s="133">
        <f>'KY_Cost Plant Acct-Elec-P14(Reg'!D34</f>
        <v>75392.210000000006</v>
      </c>
      <c r="E34" s="133"/>
      <c r="F34" s="133">
        <f>'KY_Cost Plant Acct-Elec-P14(Reg'!F34</f>
        <v>-43755.68</v>
      </c>
      <c r="G34" s="133"/>
      <c r="H34" s="133">
        <f>'KY_Cost Plant Acct-Elec-P14(Reg'!H34</f>
        <v>0</v>
      </c>
      <c r="I34" s="133"/>
      <c r="J34" s="133">
        <f t="shared" ref="J34:J40" si="3">H34+F34+D34</f>
        <v>31636.530000000006</v>
      </c>
      <c r="K34" s="133"/>
      <c r="L34" s="136">
        <f t="shared" ref="L34:L40" si="4">B34+J34</f>
        <v>4661536.0100000007</v>
      </c>
      <c r="N34" s="37">
        <f>'KY_Res by Plant Acct-P29 (Reg)'!R35</f>
        <v>-2329808.4200000018</v>
      </c>
      <c r="P34" s="37">
        <f t="shared" ref="P34:P40" si="5">L34+N34</f>
        <v>2331727.5899999989</v>
      </c>
    </row>
    <row r="35" spans="1:16" x14ac:dyDescent="0.2">
      <c r="A35" s="3" t="s">
        <v>290</v>
      </c>
      <c r="B35" s="133">
        <f>'KY_Cost Plant Acct-Elec-P14(Reg'!B35+'KY_Cost Plant Acct-Elec-P14(Reg'!B123</f>
        <v>517229.81</v>
      </c>
      <c r="C35" s="133"/>
      <c r="D35" s="133">
        <f>'KY_Cost Plant Acct-Elec-P14(Reg'!D35+'KY_Cost Plant Acct-Elec-P14(Reg'!D123</f>
        <v>121922.42</v>
      </c>
      <c r="E35" s="133"/>
      <c r="F35" s="133">
        <f>'KY_Cost Plant Acct-Elec-P14(Reg'!F35</f>
        <v>-120866.21</v>
      </c>
      <c r="G35" s="133"/>
      <c r="H35" s="133">
        <f>'KY_Cost Plant Acct-Elec-P14(Reg'!H35</f>
        <v>0</v>
      </c>
      <c r="I35" s="133"/>
      <c r="J35" s="133">
        <f t="shared" si="3"/>
        <v>1056.2099999999919</v>
      </c>
      <c r="K35" s="133"/>
      <c r="L35" s="136">
        <f t="shared" si="4"/>
        <v>518286.02</v>
      </c>
      <c r="N35" s="37">
        <f>'KY_Res by Plant Acct-P29 (Reg)'!R36</f>
        <v>-66143.950000000026</v>
      </c>
      <c r="P35" s="37">
        <f t="shared" si="5"/>
        <v>452142.07</v>
      </c>
    </row>
    <row r="36" spans="1:16" x14ac:dyDescent="0.2">
      <c r="A36" s="3" t="s">
        <v>292</v>
      </c>
      <c r="B36" s="133">
        <f>'KY_Cost Plant Acct-Elec-P14(Reg'!B36+'KY_Cost Plant Acct-Elec-P14(Reg'!B124</f>
        <v>6390921.7400000012</v>
      </c>
      <c r="C36" s="133"/>
      <c r="D36" s="133">
        <f>'KY_Cost Plant Acct-Elec-P14(Reg'!D36+'KY_Cost Plant Acct-Elec-P14(Reg'!D124</f>
        <v>44828.76999999996</v>
      </c>
      <c r="E36" s="133"/>
      <c r="F36" s="133">
        <f>'KY_Cost Plant Acct-Elec-P14(Reg'!F36</f>
        <v>-143955.4</v>
      </c>
      <c r="G36" s="133"/>
      <c r="H36" s="133">
        <f>'KY_Cost Plant Acct-Elec-P14(Reg'!H36</f>
        <v>0</v>
      </c>
      <c r="I36" s="133"/>
      <c r="J36" s="133">
        <f t="shared" si="3"/>
        <v>-99126.630000000034</v>
      </c>
      <c r="K36" s="133"/>
      <c r="L36" s="136">
        <f t="shared" si="4"/>
        <v>6291795.1100000013</v>
      </c>
      <c r="N36" s="37">
        <f>'KY_Res by Plant Acct-P29 (Reg)'!R37</f>
        <v>-2648344.9</v>
      </c>
      <c r="P36" s="37">
        <f t="shared" si="5"/>
        <v>3643450.2100000014</v>
      </c>
    </row>
    <row r="37" spans="1:16" x14ac:dyDescent="0.2">
      <c r="A37" s="3" t="s">
        <v>293</v>
      </c>
      <c r="B37" s="133">
        <f>'KY_Cost Plant Acct-Elec-P14(Reg'!B37+'KY_Cost Plant Acct-Elec-P14(Reg'!B125</f>
        <v>0</v>
      </c>
      <c r="C37" s="133"/>
      <c r="D37" s="133">
        <f>'KY_Cost Plant Acct-Elec-P14(Reg'!D37+'KY_Cost Plant Acct-Elec-P14(Reg'!D125</f>
        <v>0</v>
      </c>
      <c r="E37" s="133">
        <f>'KY_Cost Plant Acct-Elec-P14(Reg'!E37+'KY_Cost Plant Acct-Elec-P14(Reg'!E125</f>
        <v>0</v>
      </c>
      <c r="F37" s="133">
        <f>'KY_Cost Plant Acct-Elec-P14(Reg'!F37+'KY_Cost Plant Acct-Elec-P14(Reg'!F125</f>
        <v>0</v>
      </c>
      <c r="G37" s="133">
        <f>'KY_Cost Plant Acct-Elec-P14(Reg'!G37+'KY_Cost Plant Acct-Elec-P14(Reg'!G125</f>
        <v>0</v>
      </c>
      <c r="H37" s="133">
        <f>'KY_Cost Plant Acct-Elec-P14(Reg'!H37+'KY_Cost Plant Acct-Elec-P14(Reg'!H125</f>
        <v>0</v>
      </c>
      <c r="I37" s="133"/>
      <c r="J37" s="133">
        <f t="shared" si="3"/>
        <v>0</v>
      </c>
      <c r="K37" s="133"/>
      <c r="L37" s="136">
        <f t="shared" si="4"/>
        <v>0</v>
      </c>
      <c r="N37" s="37">
        <f>'KY_Res by Plant Acct-P29 (Reg)'!R38</f>
        <v>1.3096723705530167E-10</v>
      </c>
      <c r="P37" s="37">
        <f t="shared" si="5"/>
        <v>1.3096723705530167E-10</v>
      </c>
    </row>
    <row r="38" spans="1:16" x14ac:dyDescent="0.2">
      <c r="A38" s="3" t="s">
        <v>294</v>
      </c>
      <c r="B38" s="133">
        <f>'KY_Cost Plant Acct-Elec-P14(Reg'!B38</f>
        <v>2113558.65</v>
      </c>
      <c r="C38" s="133"/>
      <c r="D38" s="133">
        <f>'KY_Cost Plant Acct-Elec-P14(Reg'!D38</f>
        <v>110496.62</v>
      </c>
      <c r="E38" s="133"/>
      <c r="F38" s="133">
        <f>'KY_Cost Plant Acct-Elec-P14(Reg'!F38</f>
        <v>-421228.56</v>
      </c>
      <c r="G38" s="133"/>
      <c r="H38" s="133">
        <f>'KY_Cost Plant Acct-Elec-P14(Reg'!H38</f>
        <v>0</v>
      </c>
      <c r="I38" s="133"/>
      <c r="J38" s="133">
        <f t="shared" si="3"/>
        <v>-310731.94</v>
      </c>
      <c r="K38" s="133"/>
      <c r="L38" s="136">
        <f t="shared" si="4"/>
        <v>1802826.71</v>
      </c>
      <c r="N38" s="37">
        <f>'KY_Res by Plant Acct-P29 (Reg)'!R39</f>
        <v>-1487246.1200000003</v>
      </c>
      <c r="P38" s="37">
        <f t="shared" si="5"/>
        <v>315580.58999999962</v>
      </c>
    </row>
    <row r="39" spans="1:16" x14ac:dyDescent="0.2">
      <c r="A39" s="3" t="s">
        <v>295</v>
      </c>
      <c r="B39" s="133">
        <f>'KY_Cost Plant Acct-Elec-P14(Reg'!B39+'KY_Cost Plant Acct-Elec-P14(Reg'!B126</f>
        <v>196248.24</v>
      </c>
      <c r="C39" s="133"/>
      <c r="D39" s="133">
        <f>'KY_Cost Plant Acct-Elec-P14(Reg'!D39+'KY_Cost Plant Acct-Elec-P14(Reg'!D126</f>
        <v>0</v>
      </c>
      <c r="E39" s="133"/>
      <c r="F39" s="133">
        <f>'KY_Cost Plant Acct-Elec-P14(Reg'!F39+'KY_Cost Plant Acct-Elec-P14(Reg'!F126</f>
        <v>0</v>
      </c>
      <c r="G39" s="133"/>
      <c r="H39" s="133">
        <f>'KY_Cost Plant Acct-Elec-P14(Reg'!H39+'KY_Cost Plant Acct-Elec-P14(Reg'!H126</f>
        <v>0</v>
      </c>
      <c r="I39" s="133"/>
      <c r="J39" s="133">
        <f t="shared" si="3"/>
        <v>0</v>
      </c>
      <c r="K39" s="133"/>
      <c r="L39" s="133">
        <f t="shared" si="4"/>
        <v>196248.24</v>
      </c>
      <c r="M39" s="29"/>
      <c r="N39" s="36">
        <f>'KY_Res by Plant Acct-P29 (Reg)'!R40</f>
        <v>-105408.37</v>
      </c>
      <c r="O39" s="29"/>
      <c r="P39" s="36">
        <f t="shared" si="5"/>
        <v>90839.87</v>
      </c>
    </row>
    <row r="40" spans="1:16" x14ac:dyDescent="0.2">
      <c r="A40" s="21" t="s">
        <v>297</v>
      </c>
      <c r="B40" s="133">
        <f>'KY_Cost Plant Acct-Elec-P14(Reg'!B40+'KY_Cost Plant Acct-Elec-P14(Reg'!B127</f>
        <v>5970921.7999999989</v>
      </c>
      <c r="C40" s="133"/>
      <c r="D40" s="133">
        <f>'KY_Cost Plant Acct-Elec-P14(Reg'!D40+'KY_Cost Plant Acct-Elec-P14(Reg'!D127</f>
        <v>881370.94</v>
      </c>
      <c r="E40" s="133"/>
      <c r="F40" s="133">
        <f>'KY_Cost Plant Acct-Elec-P14(Reg'!F40+'KY_Cost Plant Acct-Elec-P14(Reg'!F127</f>
        <v>0</v>
      </c>
      <c r="G40" s="133"/>
      <c r="H40" s="133">
        <f>'KY_Cost Plant Acct-Elec-P14(Reg'!H40+'KY_Cost Plant Acct-Elec-P14(Reg'!H127</f>
        <v>0</v>
      </c>
      <c r="I40" s="133"/>
      <c r="J40" s="133">
        <f t="shared" si="3"/>
        <v>881370.94</v>
      </c>
      <c r="K40" s="133"/>
      <c r="L40" s="133">
        <f t="shared" si="4"/>
        <v>6852292.7399999984</v>
      </c>
      <c r="N40" s="36">
        <f>'KY_Res by Plant Acct-P29 (Reg)'!R41</f>
        <v>-2515718.94</v>
      </c>
      <c r="P40" s="36">
        <f t="shared" si="5"/>
        <v>4336573.7999999989</v>
      </c>
    </row>
    <row r="41" spans="1:16" x14ac:dyDescent="0.2">
      <c r="B41" s="150">
        <f>SUM(B33:B40)</f>
        <v>20707326.969999999</v>
      </c>
      <c r="C41" s="133"/>
      <c r="D41" s="150">
        <f>SUM(D33:D40)</f>
        <v>1234010.96</v>
      </c>
      <c r="E41" s="133"/>
      <c r="F41" s="150">
        <f>SUM(F33:F40)</f>
        <v>-729805.85000000009</v>
      </c>
      <c r="G41" s="133"/>
      <c r="H41" s="150">
        <f>SUM(H33:H40)</f>
        <v>0</v>
      </c>
      <c r="I41" s="133"/>
      <c r="J41" s="150">
        <f>SUM(J33:J40)</f>
        <v>504205.10999999987</v>
      </c>
      <c r="K41" s="133"/>
      <c r="L41" s="150">
        <f>SUM(L33:L40)</f>
        <v>21211532.079999998</v>
      </c>
      <c r="N41" s="150">
        <f>SUM(N33:N40)</f>
        <v>-9734172.7200000025</v>
      </c>
      <c r="P41" s="150">
        <f>SUM(P33:P40)</f>
        <v>11477359.359999999</v>
      </c>
    </row>
    <row r="42" spans="1:16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6" x14ac:dyDescent="0.2">
      <c r="A43" s="9" t="s">
        <v>299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6" x14ac:dyDescent="0.2">
      <c r="A44" s="3" t="s">
        <v>300</v>
      </c>
      <c r="B44" s="133">
        <f>'KY_Cost Plant Acct-Elec-P14(Reg'!B44</f>
        <v>6.5</v>
      </c>
      <c r="C44" s="133"/>
      <c r="D44" s="133">
        <f>'KY_Cost Plant Acct-Elec-P14(Reg'!D44</f>
        <v>0</v>
      </c>
      <c r="E44" s="133"/>
      <c r="F44" s="133">
        <f>'KY_Cost Plant Acct-Elec-P14(Reg'!F44</f>
        <v>0</v>
      </c>
      <c r="G44" s="133"/>
      <c r="H44" s="133">
        <f>'KY_Cost Plant Acct-Elec-P14(Reg'!H44</f>
        <v>0</v>
      </c>
      <c r="I44" s="133"/>
      <c r="J44" s="133">
        <f t="shared" ref="J44:J51" si="6">H44+F44+D44</f>
        <v>0</v>
      </c>
      <c r="K44" s="133"/>
      <c r="L44" s="136">
        <f t="shared" ref="L44:L51" si="7">B44+J44</f>
        <v>6.5</v>
      </c>
      <c r="N44" s="37">
        <v>0</v>
      </c>
      <c r="P44" s="37">
        <f t="shared" ref="P44:P51" si="8">L44+N44</f>
        <v>6.5</v>
      </c>
    </row>
    <row r="45" spans="1:16" x14ac:dyDescent="0.2">
      <c r="A45" s="3" t="s">
        <v>301</v>
      </c>
      <c r="B45" s="133">
        <f>'KY_Cost Plant Acct-Elec-P14(Reg'!B45+'KY_Cost Plant Acct-Elec-P14(Reg'!B131</f>
        <v>10880394.109999999</v>
      </c>
      <c r="C45" s="133"/>
      <c r="D45" s="133">
        <f>'KY_Cost Plant Acct-Elec-P14(Reg'!D45+'KY_Cost Plant Acct-Elec-P14(Reg'!D131</f>
        <v>2018580.84</v>
      </c>
      <c r="E45" s="133"/>
      <c r="F45" s="133">
        <f>'KY_Cost Plant Acct-Elec-P14(Reg'!F45</f>
        <v>-28266.74</v>
      </c>
      <c r="G45" s="133"/>
      <c r="H45" s="133">
        <f>'KY_Cost Plant Acct-Elec-P14(Reg'!H45</f>
        <v>0</v>
      </c>
      <c r="I45" s="133"/>
      <c r="J45" s="133">
        <f t="shared" si="6"/>
        <v>1990314.1</v>
      </c>
      <c r="K45" s="133"/>
      <c r="L45" s="136">
        <f t="shared" si="7"/>
        <v>12870708.209999999</v>
      </c>
      <c r="N45" s="37">
        <f>'KY_Res by Plant Acct-P29 (Reg)'!R47+'KY_Res by Plant Acct-P29 (Reg)'!R48</f>
        <v>-4436195.16</v>
      </c>
      <c r="P45" s="37">
        <f t="shared" si="8"/>
        <v>8434513.0499999989</v>
      </c>
    </row>
    <row r="46" spans="1:16" x14ac:dyDescent="0.2">
      <c r="A46" s="3" t="s">
        <v>302</v>
      </c>
      <c r="B46" s="133">
        <f>'KY_Cost Plant Acct-Elec-P14(Reg'!B46+'KY_Cost Plant Acct-Elec-P14(Reg'!B132</f>
        <v>21534080.82</v>
      </c>
      <c r="C46" s="133"/>
      <c r="D46" s="133">
        <f>'KY_Cost Plant Acct-Elec-P14(Reg'!D46+'KY_Cost Plant Acct-Elec-P14(Reg'!D132</f>
        <v>2966174.71</v>
      </c>
      <c r="E46" s="133"/>
      <c r="F46" s="133">
        <f>'KY_Cost Plant Acct-Elec-P14(Reg'!F46</f>
        <v>-7416.11</v>
      </c>
      <c r="G46" s="133"/>
      <c r="H46" s="133">
        <f>'KY_Cost Plant Acct-Elec-P14(Reg'!H46</f>
        <v>0</v>
      </c>
      <c r="I46" s="133"/>
      <c r="J46" s="133">
        <f t="shared" si="6"/>
        <v>2958758.6</v>
      </c>
      <c r="K46" s="133"/>
      <c r="L46" s="136">
        <f t="shared" si="7"/>
        <v>24492839.420000002</v>
      </c>
      <c r="N46" s="37">
        <f>'KY_Res by Plant Acct-P29 (Reg)'!R49</f>
        <v>-3760531.2100000004</v>
      </c>
      <c r="P46" s="37">
        <f t="shared" si="8"/>
        <v>20732308.210000001</v>
      </c>
    </row>
    <row r="47" spans="1:16" x14ac:dyDescent="0.2">
      <c r="A47" s="3" t="s">
        <v>303</v>
      </c>
      <c r="B47" s="133">
        <f>'KY_Cost Plant Acct-Elec-P14(Reg'!B47+'KY_Cost Plant Acct-Elec-P14(Reg'!B133</f>
        <v>80676834.010000005</v>
      </c>
      <c r="C47" s="133"/>
      <c r="D47" s="133">
        <f>'KY_Cost Plant Acct-Elec-P14(Reg'!D47+'KY_Cost Plant Acct-Elec-P14(Reg'!D133</f>
        <v>11104240.51</v>
      </c>
      <c r="E47" s="133"/>
      <c r="F47" s="133">
        <f>'KY_Cost Plant Acct-Elec-P14(Reg'!F47</f>
        <v>-153828.44</v>
      </c>
      <c r="G47" s="133"/>
      <c r="H47" s="133">
        <f>'KY_Cost Plant Acct-Elec-P14(Reg'!H47</f>
        <v>0</v>
      </c>
      <c r="I47" s="133"/>
      <c r="J47" s="133">
        <f t="shared" si="6"/>
        <v>10950412.07</v>
      </c>
      <c r="K47" s="133"/>
      <c r="L47" s="136">
        <f t="shared" si="7"/>
        <v>91627246.080000013</v>
      </c>
      <c r="N47" s="37">
        <f>'KY_Res by Plant Acct-P29 (Reg)'!R50</f>
        <v>-8226780.2799999984</v>
      </c>
      <c r="P47" s="37">
        <f t="shared" si="8"/>
        <v>83400465.800000012</v>
      </c>
    </row>
    <row r="48" spans="1:16" x14ac:dyDescent="0.2">
      <c r="A48" s="3" t="s">
        <v>304</v>
      </c>
      <c r="B48" s="133">
        <f>'KY_Cost Plant Acct-Elec-P14(Reg'!B48+'KY_Cost Plant Acct-Elec-P14(Reg'!B134</f>
        <v>11240773.48</v>
      </c>
      <c r="C48" s="133"/>
      <c r="D48" s="133">
        <f>'KY_Cost Plant Acct-Elec-P14(Reg'!D48+'KY_Cost Plant Acct-Elec-P14(Reg'!D134</f>
        <v>1850706.71</v>
      </c>
      <c r="E48" s="133"/>
      <c r="F48" s="133">
        <f>'KY_Cost Plant Acct-Elec-P14(Reg'!F48</f>
        <v>-21090.5</v>
      </c>
      <c r="G48" s="133"/>
      <c r="H48" s="133">
        <f>'KY_Cost Plant Acct-Elec-P14(Reg'!H48</f>
        <v>0</v>
      </c>
      <c r="I48" s="133"/>
      <c r="J48" s="133">
        <f t="shared" si="6"/>
        <v>1829616.21</v>
      </c>
      <c r="K48" s="133"/>
      <c r="L48" s="136">
        <f t="shared" si="7"/>
        <v>13070389.690000001</v>
      </c>
      <c r="N48" s="37">
        <f>'KY_Res by Plant Acct-P29 (Reg)'!R51</f>
        <v>-2990019.64</v>
      </c>
      <c r="P48" s="37">
        <f t="shared" si="8"/>
        <v>10080370.050000001</v>
      </c>
    </row>
    <row r="49" spans="1:16" x14ac:dyDescent="0.2">
      <c r="A49" s="3" t="s">
        <v>305</v>
      </c>
      <c r="B49" s="133">
        <f>'KY_Cost Plant Acct-Elec-P14(Reg'!B49+'KY_Cost Plant Acct-Elec-P14(Reg'!B135</f>
        <v>2664249.16</v>
      </c>
      <c r="C49" s="133"/>
      <c r="D49" s="133">
        <f>'KY_Cost Plant Acct-Elec-P14(Reg'!D49+'KY_Cost Plant Acct-Elec-P14(Reg'!D135</f>
        <v>925353.46</v>
      </c>
      <c r="E49" s="133"/>
      <c r="F49" s="133">
        <f>'KY_Cost Plant Acct-Elec-P14(Reg'!F49</f>
        <v>-3309.58</v>
      </c>
      <c r="G49" s="133"/>
      <c r="H49" s="133">
        <f>'KY_Cost Plant Acct-Elec-P14(Reg'!H49</f>
        <v>0</v>
      </c>
      <c r="I49" s="133"/>
      <c r="J49" s="133">
        <f t="shared" si="6"/>
        <v>922043.88</v>
      </c>
      <c r="K49" s="133"/>
      <c r="L49" s="136">
        <f t="shared" si="7"/>
        <v>3586293.04</v>
      </c>
      <c r="N49" s="37">
        <f>'KY_Res by Plant Acct-P29 (Reg)'!R53+'KY_Res by Plant Acct-P29 (Reg)'!R52</f>
        <v>-270308.60999999993</v>
      </c>
      <c r="P49" s="37">
        <f t="shared" si="8"/>
        <v>3315984.43</v>
      </c>
    </row>
    <row r="50" spans="1:16" x14ac:dyDescent="0.2">
      <c r="A50" s="3" t="s">
        <v>306</v>
      </c>
      <c r="B50" s="133">
        <f>'KY_Cost Plant Acct-Elec-P14(Reg'!B50</f>
        <v>29930.61</v>
      </c>
      <c r="C50" s="133"/>
      <c r="D50" s="133">
        <f>'KY_Cost Plant Acct-Elec-P14(Reg'!D50</f>
        <v>0</v>
      </c>
      <c r="E50" s="133"/>
      <c r="F50" s="133">
        <f>'KY_Cost Plant Acct-Elec-P14(Reg'!F50</f>
        <v>0</v>
      </c>
      <c r="G50" s="133"/>
      <c r="H50" s="133">
        <f>'KY_Cost Plant Acct-Elec-P14(Reg'!H50</f>
        <v>0</v>
      </c>
      <c r="I50" s="133"/>
      <c r="J50" s="133">
        <f t="shared" si="6"/>
        <v>0</v>
      </c>
      <c r="K50" s="133"/>
      <c r="L50" s="136">
        <f t="shared" si="7"/>
        <v>29930.61</v>
      </c>
      <c r="N50" s="37">
        <f>'KY_Res by Plant Acct-P29 (Reg)'!R54+'KY_Res by Plant Acct-P29 (Reg)'!R55</f>
        <v>-21068.649999999998</v>
      </c>
      <c r="P50" s="37">
        <f t="shared" si="8"/>
        <v>8861.9600000000028</v>
      </c>
    </row>
    <row r="51" spans="1:16" x14ac:dyDescent="0.2">
      <c r="A51" s="3" t="s">
        <v>307</v>
      </c>
      <c r="B51" s="151">
        <f>'KY_Cost Plant Acct-Elec-P14(Reg'!B51</f>
        <v>466645.73</v>
      </c>
      <c r="C51" s="133"/>
      <c r="D51" s="151">
        <f>'KY_Cost Plant Acct-Elec-P14(Reg'!D51</f>
        <v>0</v>
      </c>
      <c r="E51" s="133"/>
      <c r="F51" s="151">
        <f>'KY_Cost Plant Acct-Elec-P14(Reg'!F51</f>
        <v>0</v>
      </c>
      <c r="G51" s="133"/>
      <c r="H51" s="151">
        <f>'KY_Cost Plant Acct-Elec-P14(Reg'!H51</f>
        <v>0</v>
      </c>
      <c r="I51" s="133"/>
      <c r="J51" s="151">
        <f t="shared" si="6"/>
        <v>0</v>
      </c>
      <c r="K51" s="133"/>
      <c r="L51" s="151">
        <f t="shared" si="7"/>
        <v>466645.73</v>
      </c>
      <c r="N51" s="134">
        <f>'KY_Res by Plant Acct-P29 (Reg)'!R56</f>
        <v>-22331.130000000012</v>
      </c>
      <c r="P51" s="134">
        <f t="shared" si="8"/>
        <v>444314.6</v>
      </c>
    </row>
    <row r="52" spans="1:16" x14ac:dyDescent="0.2">
      <c r="B52" s="133">
        <f>SUM(B44:B51)</f>
        <v>127492914.42</v>
      </c>
      <c r="C52" s="133"/>
      <c r="D52" s="133">
        <f>SUM(D44:D51)</f>
        <v>18865056.23</v>
      </c>
      <c r="E52" s="133"/>
      <c r="F52" s="133">
        <f>SUM(F44:F51)</f>
        <v>-213911.37</v>
      </c>
      <c r="G52" s="133"/>
      <c r="H52" s="133">
        <f>SUM(H44:H51)</f>
        <v>0</v>
      </c>
      <c r="I52" s="133"/>
      <c r="J52" s="133">
        <f>SUM(J44:J51)</f>
        <v>18651144.859999999</v>
      </c>
      <c r="K52" s="133"/>
      <c r="L52" s="133">
        <f>SUM(L44:L51)</f>
        <v>146144059.28</v>
      </c>
      <c r="N52" s="37">
        <f>SUM(N44:N51)</f>
        <v>-19727234.679999996</v>
      </c>
      <c r="P52" s="37">
        <f>SUM(P44:P51)</f>
        <v>126416824.59999999</v>
      </c>
    </row>
    <row r="53" spans="1:16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1:16" x14ac:dyDescent="0.2">
      <c r="A54" s="9" t="s">
        <v>309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1:16" x14ac:dyDescent="0.2">
      <c r="A55" s="3" t="s">
        <v>310</v>
      </c>
      <c r="B55" s="133">
        <f>'KY_Cost Plant Acct-Elec-P14(Reg'!B55</f>
        <v>2240.29</v>
      </c>
      <c r="C55" s="133"/>
      <c r="D55" s="133">
        <f>'KY_Cost Plant Acct-Elec-P14(Reg'!D55</f>
        <v>0</v>
      </c>
      <c r="E55" s="133"/>
      <c r="F55" s="133">
        <f>'KY_Cost Plant Acct-Elec-P14(Reg'!F55</f>
        <v>0</v>
      </c>
      <c r="G55" s="133"/>
      <c r="H55" s="133">
        <f>'KY_Cost Plant Acct-Elec-P14(Reg'!H55</f>
        <v>0</v>
      </c>
      <c r="I55" s="133"/>
      <c r="J55" s="133">
        <f>'KY_Cost Plant Acct-Elec-P14(Reg'!J55</f>
        <v>0</v>
      </c>
      <c r="K55" s="133"/>
      <c r="L55" s="136">
        <f>B55+J55</f>
        <v>2240.29</v>
      </c>
      <c r="N55" s="37">
        <f>'KY_Res by Plant Acct-P29 (Reg)'!R396</f>
        <v>0</v>
      </c>
      <c r="P55" s="37">
        <f>L55+N55</f>
        <v>2240.29</v>
      </c>
    </row>
    <row r="56" spans="1:16" x14ac:dyDescent="0.2">
      <c r="A56" s="3" t="s">
        <v>311</v>
      </c>
      <c r="B56" s="151">
        <f>'KY_Cost Plant Acct-Elec-P14(Reg'!B56</f>
        <v>0</v>
      </c>
      <c r="C56" s="133"/>
      <c r="D56" s="151">
        <f>'KY_Cost Plant Acct-Elec-P14(Reg'!D56</f>
        <v>0</v>
      </c>
      <c r="E56" s="133"/>
      <c r="F56" s="151">
        <f>'KY_Cost Plant Acct-Elec-P14(Reg'!F56</f>
        <v>0</v>
      </c>
      <c r="G56" s="133"/>
      <c r="H56" s="151">
        <f>'KY_Cost Plant Acct-Elec-P14(Reg'!H56</f>
        <v>0</v>
      </c>
      <c r="I56" s="133"/>
      <c r="J56" s="151">
        <f>H56+F56+D56</f>
        <v>0</v>
      </c>
      <c r="K56" s="133"/>
      <c r="L56" s="151">
        <f>B56+J56</f>
        <v>0</v>
      </c>
      <c r="N56" s="134">
        <f>'KY_Res by Plant Acct-P29 (Reg)'!R397</f>
        <v>0</v>
      </c>
      <c r="P56" s="134">
        <f>L56+N56</f>
        <v>0</v>
      </c>
    </row>
    <row r="57" spans="1:16" x14ac:dyDescent="0.2">
      <c r="B57" s="133">
        <f>SUM(B55:B56)</f>
        <v>2240.29</v>
      </c>
      <c r="C57" s="133"/>
      <c r="D57" s="133">
        <f>SUM(D55:D56)</f>
        <v>0</v>
      </c>
      <c r="E57" s="133"/>
      <c r="F57" s="133">
        <f>SUM(F55:F56)</f>
        <v>0</v>
      </c>
      <c r="G57" s="133"/>
      <c r="H57" s="133">
        <f>SUM(H55:H56)</f>
        <v>0</v>
      </c>
      <c r="I57" s="133"/>
      <c r="J57" s="133">
        <f>SUM(J55:J56)</f>
        <v>0</v>
      </c>
      <c r="K57" s="133"/>
      <c r="L57" s="133">
        <f>SUM(L55:L56)</f>
        <v>2240.29</v>
      </c>
      <c r="N57" s="37">
        <f>SUM(N55:N56)</f>
        <v>0</v>
      </c>
      <c r="P57" s="37">
        <f>SUM(P55:P56)</f>
        <v>2240.29</v>
      </c>
    </row>
    <row r="58" spans="1:16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6" x14ac:dyDescent="0.2">
      <c r="A59" s="9" t="s">
        <v>313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6" x14ac:dyDescent="0.2">
      <c r="A60" s="3" t="s">
        <v>314</v>
      </c>
      <c r="B60" s="136">
        <f>'KY_Cost Plant Acct-Elec-P14(Reg'!B60</f>
        <v>123878.65999999997</v>
      </c>
      <c r="C60" s="136"/>
      <c r="D60" s="136">
        <f>'KY_Cost Plant Acct-Elec-P14(Reg'!D60</f>
        <v>0</v>
      </c>
      <c r="E60" s="136"/>
      <c r="F60" s="136">
        <f>'KY_Cost Plant Acct-Elec-P14(Reg'!F60</f>
        <v>0</v>
      </c>
      <c r="G60" s="136"/>
      <c r="H60" s="136">
        <f>'KY_Cost Plant Acct-Elec-P14(Reg'!H60</f>
        <v>0</v>
      </c>
      <c r="I60" s="136"/>
      <c r="J60" s="136">
        <f t="shared" ref="J60:J68" si="9">H60+F60+D60</f>
        <v>0</v>
      </c>
      <c r="K60" s="136"/>
      <c r="L60" s="136">
        <f t="shared" ref="L60:L68" si="10">B60+J60</f>
        <v>123878.65999999997</v>
      </c>
      <c r="N60" s="37">
        <f>'KY_Res by Plant Acct-P29 (Reg)'!R60+'KY_Res by Plant Acct-P29 (Reg)'!R62</f>
        <v>0</v>
      </c>
      <c r="P60" s="37">
        <f t="shared" ref="P60:P68" si="11">L60+N60</f>
        <v>123878.65999999997</v>
      </c>
    </row>
    <row r="61" spans="1:16" x14ac:dyDescent="0.2">
      <c r="A61" s="3" t="s">
        <v>315</v>
      </c>
      <c r="B61" s="136">
        <f>'KY_Cost Plant Acct-Elec-P14(Reg'!B61+'KY_Cost Plant Acct-Elec-P14(Reg'!B139</f>
        <v>33095857.450000003</v>
      </c>
      <c r="C61" s="136"/>
      <c r="D61" s="136">
        <f>'KY_Cost Plant Acct-Elec-P14(Reg'!D61+'KY_Cost Plant Acct-Elec-P14(Reg'!D139</f>
        <v>519485.57000000007</v>
      </c>
      <c r="E61" s="136">
        <f>'KY_Cost Plant Acct-Elec-P14(Reg'!E61+'KY_Cost Plant Acct-Elec-P14(Reg'!E139</f>
        <v>0</v>
      </c>
      <c r="F61" s="136">
        <f>'KY_Cost Plant Acct-Elec-P14(Reg'!F61+'KY_Cost Plant Acct-Elec-P14(Reg'!F139</f>
        <v>0</v>
      </c>
      <c r="G61" s="136">
        <f>'KY_Cost Plant Acct-Elec-P14(Reg'!G61+'KY_Cost Plant Acct-Elec-P14(Reg'!G139</f>
        <v>0</v>
      </c>
      <c r="H61" s="136">
        <f>'KY_Cost Plant Acct-Elec-P14(Reg'!H61+'KY_Cost Plant Acct-Elec-P14(Reg'!H139</f>
        <v>0</v>
      </c>
      <c r="I61" s="136"/>
      <c r="J61" s="136">
        <f t="shared" si="9"/>
        <v>519485.57000000007</v>
      </c>
      <c r="K61" s="136"/>
      <c r="L61" s="136">
        <f t="shared" si="10"/>
        <v>33615343.020000003</v>
      </c>
      <c r="N61" s="37">
        <f>'KY_Res by Plant Acct-P29 (Reg)'!R79</f>
        <v>-12371856.73</v>
      </c>
      <c r="P61" s="37">
        <f t="shared" si="11"/>
        <v>21243486.290000003</v>
      </c>
    </row>
    <row r="62" spans="1:16" x14ac:dyDescent="0.2">
      <c r="A62" s="3" t="s">
        <v>316</v>
      </c>
      <c r="B62" s="136">
        <f>'KY_Cost Plant Acct-Elec-P14(Reg'!B62+'KY_Cost Plant Acct-Elec-P14(Reg'!B140</f>
        <v>24267178.530000001</v>
      </c>
      <c r="C62" s="136"/>
      <c r="D62" s="136">
        <f>'KY_Cost Plant Acct-Elec-P14(Reg'!D62+'KY_Cost Plant Acct-Elec-P14(Reg'!D140</f>
        <v>396411.68000000063</v>
      </c>
      <c r="E62" s="136"/>
      <c r="F62" s="136">
        <f>'KY_Cost Plant Acct-Elec-P14(Reg'!F62</f>
        <v>-21564.32</v>
      </c>
      <c r="G62" s="136"/>
      <c r="H62" s="136">
        <f>'KY_Cost Plant Acct-Elec-P14(Reg'!H62+'KY_Cost Plant Acct-Elec-P14(Reg'!H140</f>
        <v>0</v>
      </c>
      <c r="I62" s="136"/>
      <c r="J62" s="136">
        <f t="shared" si="9"/>
        <v>374847.36000000063</v>
      </c>
      <c r="K62" s="136"/>
      <c r="L62" s="136">
        <f t="shared" si="10"/>
        <v>24642025.890000001</v>
      </c>
      <c r="N62" s="37">
        <f>'KY_Res by Plant Acct-P29 (Reg)'!R99</f>
        <v>-5833344.3399999999</v>
      </c>
      <c r="P62" s="37">
        <f t="shared" si="11"/>
        <v>18808681.550000001</v>
      </c>
    </row>
    <row r="63" spans="1:16" x14ac:dyDescent="0.2">
      <c r="A63" s="3" t="s">
        <v>317</v>
      </c>
      <c r="B63" s="136">
        <f>'KY_Cost Plant Acct-Elec-P14(Reg'!B63+'KY_Cost Plant Acct-Elec-P14(Reg'!B141</f>
        <v>235710050.76999998</v>
      </c>
      <c r="C63" s="136"/>
      <c r="D63" s="136">
        <f>'KY_Cost Plant Acct-Elec-P14(Reg'!D63+'KY_Cost Plant Acct-Elec-P14(Reg'!D141</f>
        <v>9518424.6400000006</v>
      </c>
      <c r="E63" s="136"/>
      <c r="F63" s="136">
        <f>'KY_Cost Plant Acct-Elec-P14(Reg'!F63</f>
        <v>-890334.67</v>
      </c>
      <c r="G63" s="136"/>
      <c r="H63" s="136">
        <f>'KY_Cost Plant Acct-Elec-P14(Reg'!H63+'KY_Cost Plant Acct-Elec-P14(Reg'!H141</f>
        <v>-285046.86</v>
      </c>
      <c r="I63" s="136"/>
      <c r="J63" s="136">
        <f t="shared" si="9"/>
        <v>8343043.1100000003</v>
      </c>
      <c r="K63" s="136"/>
      <c r="L63" s="136">
        <f t="shared" si="10"/>
        <v>244053093.88</v>
      </c>
      <c r="N63" s="37">
        <f>'KY_Res by Plant Acct-P29 (Reg)'!R112</f>
        <v>-78419238.120000005</v>
      </c>
      <c r="P63" s="37">
        <f t="shared" si="11"/>
        <v>165633855.75999999</v>
      </c>
    </row>
    <row r="64" spans="1:16" x14ac:dyDescent="0.2">
      <c r="A64" s="3" t="s">
        <v>318</v>
      </c>
      <c r="B64" s="136">
        <f>'KY_Cost Plant Acct-Elec-P14(Reg'!B64+'KY_Cost Plant Acct-Elec-P14(Reg'!B142</f>
        <v>59076999.049999997</v>
      </c>
      <c r="C64" s="136"/>
      <c r="D64" s="136">
        <f>'KY_Cost Plant Acct-Elec-P14(Reg'!D64+'KY_Cost Plant Acct-Elec-P14(Reg'!D142</f>
        <v>-28677.800000000745</v>
      </c>
      <c r="E64" s="136"/>
      <c r="F64" s="136">
        <f>'KY_Cost Plant Acct-Elec-P14(Reg'!F64</f>
        <v>-308016.34999999998</v>
      </c>
      <c r="G64" s="136"/>
      <c r="H64" s="136">
        <f>'KY_Cost Plant Acct-Elec-P14(Reg'!H64+'KY_Cost Plant Acct-Elec-P14(Reg'!H142</f>
        <v>285046.86</v>
      </c>
      <c r="I64" s="136"/>
      <c r="J64" s="136">
        <f t="shared" si="9"/>
        <v>-51647.290000000736</v>
      </c>
      <c r="K64" s="136"/>
      <c r="L64" s="136">
        <f t="shared" si="10"/>
        <v>59025351.759999998</v>
      </c>
      <c r="N64" s="37">
        <f>'KY_Res by Plant Acct-P29 (Reg)'!R130</f>
        <v>-24421868.510000002</v>
      </c>
      <c r="P64" s="37">
        <f t="shared" si="11"/>
        <v>34603483.25</v>
      </c>
    </row>
    <row r="65" spans="1:16" x14ac:dyDescent="0.2">
      <c r="A65" s="3" t="s">
        <v>319</v>
      </c>
      <c r="B65" s="136">
        <f>'KY_Cost Plant Acct-Elec-P14(Reg'!B65+'KY_Cost Plant Acct-Elec-P14(Reg'!B143</f>
        <v>27643007.049999997</v>
      </c>
      <c r="C65" s="136"/>
      <c r="D65" s="136">
        <f>'KY_Cost Plant Acct-Elec-P14(Reg'!D65+'KY_Cost Plant Acct-Elec-P14(Reg'!D143</f>
        <v>4421052.76</v>
      </c>
      <c r="E65" s="136"/>
      <c r="F65" s="136">
        <f>'KY_Cost Plant Acct-Elec-P14(Reg'!F65</f>
        <v>0</v>
      </c>
      <c r="G65" s="136"/>
      <c r="H65" s="136">
        <f>'KY_Cost Plant Acct-Elec-P14(Reg'!H65+'KY_Cost Plant Acct-Elec-P14(Reg'!H143</f>
        <v>0</v>
      </c>
      <c r="I65" s="136"/>
      <c r="J65" s="136">
        <f t="shared" si="9"/>
        <v>4421052.76</v>
      </c>
      <c r="K65" s="136"/>
      <c r="L65" s="136">
        <f t="shared" si="10"/>
        <v>32064059.809999995</v>
      </c>
      <c r="N65" s="37">
        <f>'KY_Res by Plant Acct-P29 (Reg)'!R148</f>
        <v>-11541912.949999999</v>
      </c>
      <c r="P65" s="37">
        <f t="shared" si="11"/>
        <v>20522146.859999996</v>
      </c>
    </row>
    <row r="66" spans="1:16" x14ac:dyDescent="0.2">
      <c r="A66" s="3" t="s">
        <v>320</v>
      </c>
      <c r="B66" s="136">
        <f>'KY_Cost Plant Acct-Elec-P14(Reg'!B66+'KY_Cost Plant Acct-Elec-P14(Reg'!B144</f>
        <v>4924768.88</v>
      </c>
      <c r="C66" s="136"/>
      <c r="D66" s="136">
        <f>'KY_Cost Plant Acct-Elec-P14(Reg'!D66+'KY_Cost Plant Acct-Elec-P14(Reg'!D144</f>
        <v>100335.85</v>
      </c>
      <c r="E66" s="136"/>
      <c r="F66" s="136">
        <f>'KY_Cost Plant Acct-Elec-P14(Reg'!F66</f>
        <v>-22884.799999999999</v>
      </c>
      <c r="G66" s="136"/>
      <c r="H66" s="136">
        <f>'KY_Cost Plant Acct-Elec-P14(Reg'!H66+'KY_Cost Plant Acct-Elec-P14(Reg'!H144</f>
        <v>0</v>
      </c>
      <c r="I66" s="136"/>
      <c r="J66" s="136">
        <f t="shared" si="9"/>
        <v>77451.05</v>
      </c>
      <c r="K66" s="136"/>
      <c r="L66" s="136">
        <f t="shared" si="10"/>
        <v>5002219.93</v>
      </c>
      <c r="N66" s="37">
        <f>'KY_Res by Plant Acct-P29 (Reg)'!R164</f>
        <v>-2119593.7799999998</v>
      </c>
      <c r="P66" s="37">
        <f t="shared" si="11"/>
        <v>2882626.15</v>
      </c>
    </row>
    <row r="67" spans="1:16" x14ac:dyDescent="0.2">
      <c r="A67" s="3" t="s">
        <v>321</v>
      </c>
      <c r="B67" s="136">
        <f>'KY_Cost Plant Acct-Elec-P14(Reg'!B67</f>
        <v>15555.48</v>
      </c>
      <c r="C67" s="136"/>
      <c r="D67" s="136">
        <f>'KY_Cost Plant Acct-Elec-P14(Reg'!D67</f>
        <v>0</v>
      </c>
      <c r="E67" s="136"/>
      <c r="F67" s="136">
        <f>'KY_Cost Plant Acct-Elec-P14(Reg'!F67</f>
        <v>0</v>
      </c>
      <c r="G67" s="136"/>
      <c r="H67" s="136">
        <f>'KY_Cost Plant Acct-Elec-P14(Reg'!H67+'KY_Cost Plant Acct-Elec-P14(Reg'!H145</f>
        <v>0</v>
      </c>
      <c r="I67" s="136"/>
      <c r="J67" s="136">
        <f t="shared" si="9"/>
        <v>0</v>
      </c>
      <c r="K67" s="136"/>
      <c r="L67" s="136">
        <f t="shared" si="10"/>
        <v>15555.48</v>
      </c>
      <c r="N67" s="37">
        <f>'KY_Res by Plant Acct-P29 (Reg)'!R165</f>
        <v>-5610.7199999999975</v>
      </c>
      <c r="P67" s="37">
        <f t="shared" si="11"/>
        <v>9944.760000000002</v>
      </c>
    </row>
    <row r="68" spans="1:16" x14ac:dyDescent="0.2">
      <c r="A68" s="3" t="s">
        <v>322</v>
      </c>
      <c r="B68" s="151">
        <f>'KY_Cost Plant Acct-Elec-P14(Reg'!B68</f>
        <v>62543.96</v>
      </c>
      <c r="C68" s="136"/>
      <c r="D68" s="151">
        <f>'KY_Cost Plant Acct-Elec-P14(Reg'!D68</f>
        <v>0</v>
      </c>
      <c r="E68" s="136"/>
      <c r="F68" s="151">
        <f>'KY_Cost Plant Acct-Elec-P14(Reg'!F68</f>
        <v>0</v>
      </c>
      <c r="G68" s="136"/>
      <c r="H68" s="151">
        <f>'KY_Cost Plant Acct-Elec-P14(Reg'!H68</f>
        <v>33884.6</v>
      </c>
      <c r="I68" s="136"/>
      <c r="J68" s="151">
        <f t="shared" si="9"/>
        <v>33884.6</v>
      </c>
      <c r="K68" s="133"/>
      <c r="L68" s="151">
        <f t="shared" si="10"/>
        <v>96428.56</v>
      </c>
      <c r="N68" s="134">
        <f>'KY_Res by Plant Acct-P29 (Reg)'!R166</f>
        <v>-8008.09</v>
      </c>
      <c r="P68" s="134">
        <f t="shared" si="11"/>
        <v>88420.47</v>
      </c>
    </row>
    <row r="69" spans="1:16" x14ac:dyDescent="0.2">
      <c r="B69" s="133">
        <f>SUM(B60:B68)</f>
        <v>384919839.82999998</v>
      </c>
      <c r="C69" s="133"/>
      <c r="D69" s="133">
        <f>SUM(D60:D68)</f>
        <v>14927032.699999999</v>
      </c>
      <c r="E69" s="133"/>
      <c r="F69" s="133">
        <f>SUM(F60:F68)</f>
        <v>-1242800.1399999999</v>
      </c>
      <c r="G69" s="133"/>
      <c r="H69" s="133">
        <f>SUM(H60:H68)</f>
        <v>33884.6</v>
      </c>
      <c r="I69" s="133"/>
      <c r="J69" s="133">
        <f>SUM(J60:J68)</f>
        <v>13718117.16</v>
      </c>
      <c r="K69" s="133"/>
      <c r="L69" s="133">
        <f>SUM(L60:L68)</f>
        <v>398637956.99000001</v>
      </c>
      <c r="N69" s="37">
        <f>SUM(N60:N68)</f>
        <v>-134721433.24000001</v>
      </c>
      <c r="P69" s="37">
        <f>SUM(P60:P68)</f>
        <v>263916523.74999997</v>
      </c>
    </row>
    <row r="70" spans="1:16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1:16" x14ac:dyDescent="0.2">
      <c r="A71" s="9" t="s">
        <v>325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1:16" x14ac:dyDescent="0.2">
      <c r="A72" s="3" t="s">
        <v>326</v>
      </c>
      <c r="B72" s="133">
        <f>'KY_Cost Plant Acct-Elec-P14(Reg'!B72+'KY_Cost Plant Acct-Elec-P14(Reg'!B147</f>
        <v>7266610.4499999993</v>
      </c>
      <c r="C72" s="133"/>
      <c r="D72" s="133">
        <f>'KY_Cost Plant Acct-Elec-P14(Reg'!D72+'KY_Cost Plant Acct-Elec-P14(Reg'!D147</f>
        <v>1245242.0900000001</v>
      </c>
      <c r="E72" s="133"/>
      <c r="F72" s="133">
        <f>'KY_Cost Plant Acct-Elec-P14(Reg'!F72+'KY_Cost Plant Acct-Elec-P14(Reg'!F147</f>
        <v>0</v>
      </c>
      <c r="G72" s="133"/>
      <c r="H72" s="133">
        <f>'KY_Cost Plant Acct-Elec-P14(Reg'!H72+'KY_Cost Plant Acct-Elec-P14(Reg'!H147</f>
        <v>0</v>
      </c>
      <c r="I72" s="133"/>
      <c r="J72" s="133">
        <f t="shared" ref="J72:J82" si="12">H72+F72+D72</f>
        <v>1245242.0900000001</v>
      </c>
      <c r="K72" s="133"/>
      <c r="L72" s="136">
        <f t="shared" ref="L72:L84" si="13">B72+J72</f>
        <v>8511852.5399999991</v>
      </c>
      <c r="N72" s="37">
        <f>'KY_Res by Plant Acct-P29 (Reg)'!R170</f>
        <v>0</v>
      </c>
      <c r="P72" s="37">
        <f t="shared" ref="P72:P84" si="14">L72+N72</f>
        <v>8511852.5399999991</v>
      </c>
    </row>
    <row r="73" spans="1:16" x14ac:dyDescent="0.2">
      <c r="A73" s="3" t="s">
        <v>327</v>
      </c>
      <c r="B73" s="133">
        <f>'KY_Cost Plant Acct-Elec-P14(Reg'!B73</f>
        <v>0</v>
      </c>
      <c r="C73" s="133"/>
      <c r="D73" s="133">
        <f>'KY_Cost Plant Acct-Elec-P14(Reg'!D73</f>
        <v>0</v>
      </c>
      <c r="E73" s="133"/>
      <c r="F73" s="133">
        <f>'KY_Cost Plant Acct-Elec-P14(Reg'!F73</f>
        <v>0</v>
      </c>
      <c r="G73" s="133"/>
      <c r="H73" s="133">
        <f>'KY_Cost Plant Acct-Elec-P14(Reg'!H73</f>
        <v>0</v>
      </c>
      <c r="I73" s="133"/>
      <c r="J73" s="133">
        <f>H73+F73+D73</f>
        <v>0</v>
      </c>
      <c r="K73" s="133"/>
      <c r="L73" s="136">
        <f>B73+J73</f>
        <v>0</v>
      </c>
      <c r="N73" s="37">
        <f>'KY_Res by Plant Acct-P29 (Reg)'!R172</f>
        <v>0</v>
      </c>
      <c r="P73" s="37">
        <f>L73+N73</f>
        <v>0</v>
      </c>
    </row>
    <row r="74" spans="1:16" x14ac:dyDescent="0.2">
      <c r="A74" s="3" t="s">
        <v>328</v>
      </c>
      <c r="B74" s="133">
        <f>'KY_Cost Plant Acct-Elec-P14(Reg'!B74</f>
        <v>360851.26</v>
      </c>
      <c r="C74" s="133"/>
      <c r="D74" s="133">
        <f>'KY_Cost Plant Acct-Elec-P14(Reg'!D74</f>
        <v>0</v>
      </c>
      <c r="E74" s="133"/>
      <c r="F74" s="133">
        <f>'KY_Cost Plant Acct-Elec-P14(Reg'!F74</f>
        <v>0</v>
      </c>
      <c r="G74" s="133"/>
      <c r="H74" s="133">
        <f>'KY_Cost Plant Acct-Elec-P14(Reg'!H74</f>
        <v>0</v>
      </c>
      <c r="I74" s="133"/>
      <c r="J74" s="133">
        <f>H74+F74+D74</f>
        <v>0</v>
      </c>
      <c r="K74" s="133"/>
      <c r="L74" s="136">
        <f>B74+J74</f>
        <v>360851.26</v>
      </c>
      <c r="N74" s="37">
        <f>'KY_Res by Plant Acct-P29 (Reg)'!R173</f>
        <v>0</v>
      </c>
      <c r="P74" s="37">
        <f>L74+N74</f>
        <v>360851.26</v>
      </c>
    </row>
    <row r="75" spans="1:16" x14ac:dyDescent="0.2">
      <c r="A75" s="3" t="s">
        <v>330</v>
      </c>
      <c r="B75" s="133">
        <f>'KY_Cost Plant Acct-Elec-P14(Reg'!B75+'KY_Cost Plant Acct-Elec-P14(Reg'!B148+'Capital Leased Prop P25 (Reg)'!B10</f>
        <v>299174387.54000002</v>
      </c>
      <c r="C75" s="133"/>
      <c r="D75" s="133">
        <f>'KY_Cost Plant Acct-Elec-P14(Reg'!D75+'KY_Cost Plant Acct-Elec-P14(Reg'!D148</f>
        <v>3070494.13</v>
      </c>
      <c r="E75" s="133"/>
      <c r="F75" s="133">
        <f>'KY_Cost Plant Acct-Elec-P14(Reg'!F75</f>
        <v>-209322.45</v>
      </c>
      <c r="G75" s="133"/>
      <c r="H75" s="133">
        <f>'KY_Cost Plant Acct-Elec-P14(Reg'!H75+'KY_Cost Plant Acct-Elec-P14(Reg'!H148+'Capital Leased Prop P25 (Reg)'!H10</f>
        <v>0</v>
      </c>
      <c r="I75" s="133"/>
      <c r="J75" s="133">
        <f t="shared" si="12"/>
        <v>2861171.6799999997</v>
      </c>
      <c r="K75" s="133"/>
      <c r="L75" s="136">
        <f t="shared" si="13"/>
        <v>302035559.22000003</v>
      </c>
      <c r="N75" s="37">
        <f>'KY_Res by Plant Acct-P29 (Reg)'!R210+'KY_Res by Plant Acct-P29 (Reg)'!R223+'KY_Res by Plant Acct-P29 (Reg)'!R220</f>
        <v>-184898205.53999999</v>
      </c>
      <c r="P75" s="37">
        <f t="shared" si="14"/>
        <v>117137353.68000004</v>
      </c>
    </row>
    <row r="76" spans="1:16" x14ac:dyDescent="0.2">
      <c r="A76" s="3" t="s">
        <v>331</v>
      </c>
      <c r="B76" s="133">
        <f>'KY_Cost Plant Acct-Elec-P14(Reg'!B76+'KY_Cost Plant Acct-Elec-P14(Reg'!B149</f>
        <v>0</v>
      </c>
      <c r="C76" s="133"/>
      <c r="D76" s="133">
        <f>'KY_Cost Plant Acct-Elec-P14(Reg'!D76+'KY_Cost Plant Acct-Elec-P14(Reg'!D149</f>
        <v>0</v>
      </c>
      <c r="E76" s="133"/>
      <c r="F76" s="133">
        <f>'KY_Cost Plant Acct-Elec-P14(Reg'!F76+'KY_Cost Plant Acct-Elec-P14(Reg'!F149</f>
        <v>0</v>
      </c>
      <c r="G76" s="133"/>
      <c r="H76" s="133">
        <f>'KY_Cost Plant Acct-Elec-P14(Reg'!H76+'KY_Cost Plant Acct-Elec-P14(Reg'!H149</f>
        <v>0</v>
      </c>
      <c r="I76" s="133"/>
      <c r="J76" s="133">
        <f t="shared" si="12"/>
        <v>0</v>
      </c>
      <c r="K76" s="133"/>
      <c r="L76" s="136">
        <f t="shared" si="13"/>
        <v>0</v>
      </c>
      <c r="N76" s="37">
        <f>'KY_Res by Plant Acct-P29 (Reg)'!R219</f>
        <v>7.8580342233181E-10</v>
      </c>
      <c r="P76" s="37">
        <f t="shared" si="14"/>
        <v>7.8580342233181E-10</v>
      </c>
    </row>
    <row r="77" spans="1:16" x14ac:dyDescent="0.2">
      <c r="A77" s="3" t="s">
        <v>333</v>
      </c>
      <c r="B77" s="133">
        <f>'KY_Cost Plant Acct-Elec-P14(Reg'!B77+'KY_Cost Plant Acct-Elec-P14(Reg'!B150</f>
        <v>2158959344.3000002</v>
      </c>
      <c r="C77" s="133"/>
      <c r="D77" s="133">
        <f>'KY_Cost Plant Acct-Elec-P14(Reg'!D77+'KY_Cost Plant Acct-Elec-P14(Reg'!D150</f>
        <v>40762146.579999998</v>
      </c>
      <c r="E77" s="133"/>
      <c r="F77" s="133">
        <f>'KY_Cost Plant Acct-Elec-P14(Reg'!F77</f>
        <v>-13091124.68</v>
      </c>
      <c r="G77" s="133"/>
      <c r="H77" s="133">
        <f>'KY_Cost Plant Acct-Elec-P14(Reg'!H77+'KY_Cost Plant Acct-Elec-P14(Reg'!H150</f>
        <v>0</v>
      </c>
      <c r="I77" s="133"/>
      <c r="J77" s="133">
        <f t="shared" si="12"/>
        <v>27671021.899999999</v>
      </c>
      <c r="K77" s="133"/>
      <c r="L77" s="136">
        <f t="shared" si="13"/>
        <v>2186630366.2000003</v>
      </c>
      <c r="N77" s="37">
        <f>'KY_Res by Plant Acct-P29 (Reg)'!R285</f>
        <v>-470119170.32999986</v>
      </c>
      <c r="P77" s="37">
        <f t="shared" si="14"/>
        <v>1716511195.8700004</v>
      </c>
    </row>
    <row r="78" spans="1:16" x14ac:dyDescent="0.2">
      <c r="A78" s="3" t="s">
        <v>334</v>
      </c>
      <c r="B78" s="133">
        <f>'KY_Cost Plant Acct-Elec-P14(Reg'!B78</f>
        <v>0</v>
      </c>
      <c r="C78" s="133"/>
      <c r="D78" s="133">
        <f>'KY_Cost Plant Acct-Elec-P14(Reg'!D78</f>
        <v>0</v>
      </c>
      <c r="E78" s="133"/>
      <c r="F78" s="133">
        <f>'KY_Cost Plant Acct-Elec-P14(Reg'!F78</f>
        <v>0</v>
      </c>
      <c r="G78" s="133"/>
      <c r="H78" s="133">
        <f>'KY_Cost Plant Acct-Elec-P14(Reg'!H78</f>
        <v>0</v>
      </c>
      <c r="I78" s="133"/>
      <c r="J78" s="133">
        <f t="shared" si="12"/>
        <v>0</v>
      </c>
      <c r="K78" s="133"/>
      <c r="L78" s="136">
        <f t="shared" si="13"/>
        <v>0</v>
      </c>
      <c r="N78" s="37">
        <f>'KY_Res by Plant Acct-P29 (Reg)'!R288</f>
        <v>0</v>
      </c>
      <c r="P78" s="37">
        <f t="shared" si="14"/>
        <v>0</v>
      </c>
    </row>
    <row r="79" spans="1:16" x14ac:dyDescent="0.2">
      <c r="A79" s="3" t="s">
        <v>336</v>
      </c>
      <c r="B79" s="133">
        <f>'KY_Cost Plant Acct-Elec-P14(Reg'!B79+'KY_Cost Plant Acct-Elec-P14(Reg'!B151</f>
        <v>225183311.04999998</v>
      </c>
      <c r="C79" s="133"/>
      <c r="D79" s="133">
        <f>'KY_Cost Plant Acct-Elec-P14(Reg'!D79+'KY_Cost Plant Acct-Elec-P14(Reg'!D151</f>
        <v>2873479.43</v>
      </c>
      <c r="E79" s="133"/>
      <c r="F79" s="133">
        <f>'KY_Cost Plant Acct-Elec-P14(Reg'!F79</f>
        <v>-1207097.31</v>
      </c>
      <c r="G79" s="133"/>
      <c r="H79" s="133">
        <f>'KY_Cost Plant Acct-Elec-P14(Reg'!H79</f>
        <v>0</v>
      </c>
      <c r="I79" s="133"/>
      <c r="J79" s="133">
        <f t="shared" si="12"/>
        <v>1666382.12</v>
      </c>
      <c r="K79" s="133"/>
      <c r="L79" s="136">
        <f t="shared" si="13"/>
        <v>226849693.16999999</v>
      </c>
      <c r="N79" s="37">
        <f>'KY_Res by Plant Acct-P29 (Reg)'!R302</f>
        <v>-104828089.14000002</v>
      </c>
      <c r="P79" s="37">
        <f t="shared" si="14"/>
        <v>122021604.02999997</v>
      </c>
    </row>
    <row r="80" spans="1:16" x14ac:dyDescent="0.2">
      <c r="A80" s="3" t="s">
        <v>337</v>
      </c>
      <c r="B80" s="133">
        <f>'KY_Cost Plant Acct-Elec-P14(Reg'!B80+'KY_Cost Plant Acct-Elec-P14(Reg'!B152</f>
        <v>165273718.11999997</v>
      </c>
      <c r="C80" s="133"/>
      <c r="D80" s="133">
        <f>'KY_Cost Plant Acct-Elec-P14(Reg'!D80+'KY_Cost Plant Acct-Elec-P14(Reg'!D152</f>
        <v>17143820.5</v>
      </c>
      <c r="E80" s="133"/>
      <c r="F80" s="133">
        <f>'KY_Cost Plant Acct-Elec-P14(Reg'!F80</f>
        <v>-22054.35</v>
      </c>
      <c r="G80" s="133"/>
      <c r="H80" s="133">
        <f>'KY_Cost Plant Acct-Elec-P14(Reg'!H80</f>
        <v>0</v>
      </c>
      <c r="I80" s="133"/>
      <c r="J80" s="133">
        <f t="shared" si="12"/>
        <v>17121766.149999999</v>
      </c>
      <c r="K80" s="133"/>
      <c r="L80" s="136">
        <f t="shared" si="13"/>
        <v>182395484.26999998</v>
      </c>
      <c r="N80" s="37">
        <f>'KY_Res by Plant Acct-P29 (Reg)'!R334</f>
        <v>-86748968.900000006</v>
      </c>
      <c r="P80" s="37">
        <f t="shared" si="14"/>
        <v>95646515.369999975</v>
      </c>
    </row>
    <row r="81" spans="1:16" x14ac:dyDescent="0.2">
      <c r="A81" s="3" t="s">
        <v>338</v>
      </c>
      <c r="B81" s="133">
        <f>'KY_Cost Plant Acct-Elec-P14(Reg'!B81</f>
        <v>0</v>
      </c>
      <c r="C81" s="133"/>
      <c r="D81" s="133">
        <f>'KY_Cost Plant Acct-Elec-P14(Reg'!D81</f>
        <v>0</v>
      </c>
      <c r="E81" s="133"/>
      <c r="F81" s="133">
        <f>'KY_Cost Plant Acct-Elec-P14(Reg'!F81</f>
        <v>0</v>
      </c>
      <c r="G81" s="133"/>
      <c r="H81" s="133">
        <f>'KY_Cost Plant Acct-Elec-P14(Reg'!H81</f>
        <v>0</v>
      </c>
      <c r="I81" s="133"/>
      <c r="J81" s="133">
        <f t="shared" si="12"/>
        <v>0</v>
      </c>
      <c r="K81" s="133"/>
      <c r="L81" s="136">
        <f t="shared" si="13"/>
        <v>0</v>
      </c>
      <c r="N81" s="37">
        <f>'KY_Res by Plant Acct-P29 (Reg)'!R343</f>
        <v>0</v>
      </c>
      <c r="P81" s="37">
        <f t="shared" si="14"/>
        <v>0</v>
      </c>
    </row>
    <row r="82" spans="1:16" x14ac:dyDescent="0.2">
      <c r="A82" s="3" t="s">
        <v>340</v>
      </c>
      <c r="B82" s="133">
        <f>'KY_Cost Plant Acct-Elec-P14(Reg'!B82+'KY_Cost Plant Acct-Elec-P14(Reg'!B153</f>
        <v>18704349.430000007</v>
      </c>
      <c r="C82" s="133"/>
      <c r="D82" s="133">
        <f>'KY_Cost Plant Acct-Elec-P14(Reg'!D82+'KY_Cost Plant Acct-Elec-P14(Reg'!D153</f>
        <v>1820692.33</v>
      </c>
      <c r="E82" s="133">
        <f>'KY_Cost Plant Acct-Elec-P14(Reg'!E82+'KY_Cost Plant Acct-Elec-P14(Reg'!E153</f>
        <v>0</v>
      </c>
      <c r="F82" s="133">
        <f>'KY_Cost Plant Acct-Elec-P14(Reg'!F82+'KY_Cost Plant Acct-Elec-P14(Reg'!F153</f>
        <v>-207366.95</v>
      </c>
      <c r="G82" s="133">
        <f>'KY_Cost Plant Acct-Elec-P14(Reg'!G82+'KY_Cost Plant Acct-Elec-P14(Reg'!G153</f>
        <v>0</v>
      </c>
      <c r="H82" s="133">
        <f>'KY_Cost Plant Acct-Elec-P14(Reg'!H82+'KY_Cost Plant Acct-Elec-P14(Reg'!H153</f>
        <v>0</v>
      </c>
      <c r="I82" s="133"/>
      <c r="J82" s="133">
        <f t="shared" si="12"/>
        <v>1613325.3800000001</v>
      </c>
      <c r="K82" s="133"/>
      <c r="L82" s="136">
        <f t="shared" si="13"/>
        <v>20317674.810000006</v>
      </c>
      <c r="N82" s="37">
        <f>'KY_Res by Plant Acct-P29 (Reg)'!R364</f>
        <v>-6903069.0900000008</v>
      </c>
      <c r="P82" s="37">
        <f t="shared" si="14"/>
        <v>13414605.720000006</v>
      </c>
    </row>
    <row r="83" spans="1:16" x14ac:dyDescent="0.2">
      <c r="A83" s="3" t="s">
        <v>341</v>
      </c>
      <c r="B83" s="133">
        <f>'KY_Cost Plant Acct-Elec-P14(Reg'!B83</f>
        <v>45021427.200000003</v>
      </c>
      <c r="C83" s="133"/>
      <c r="D83" s="133">
        <f>'KY_Cost Plant Acct-Elec-P14(Reg'!D83</f>
        <v>0</v>
      </c>
      <c r="E83" s="133"/>
      <c r="F83" s="133">
        <f>'KY_Cost Plant Acct-Elec-P14(Reg'!F83</f>
        <v>-20817965.800000001</v>
      </c>
      <c r="G83" s="133"/>
      <c r="H83" s="133">
        <f>'KY_Cost Plant Acct-Elec-P14(Reg'!H83</f>
        <v>-803347.02</v>
      </c>
      <c r="I83" s="133"/>
      <c r="J83" s="133">
        <f>'KY_Cost Plant Acct-Elec-P14(Reg'!J83</f>
        <v>-21621312.82</v>
      </c>
      <c r="K83" s="133"/>
      <c r="L83" s="133">
        <f t="shared" si="13"/>
        <v>23400114.380000003</v>
      </c>
      <c r="M83" s="29"/>
      <c r="N83" s="36">
        <f>'KY_Res by Plant Acct-P29 (Reg)'!R365</f>
        <v>-7931756.0799999945</v>
      </c>
      <c r="O83" s="29"/>
      <c r="P83" s="36">
        <f>L83+N83</f>
        <v>15468358.300000008</v>
      </c>
    </row>
    <row r="84" spans="1:16" x14ac:dyDescent="0.2">
      <c r="A84" s="3" t="s">
        <v>342</v>
      </c>
      <c r="B84" s="151">
        <f>'KY_Cost Plant Acct-Elec-P14(Reg'!B84</f>
        <v>81908780.349999994</v>
      </c>
      <c r="C84" s="133"/>
      <c r="D84" s="151">
        <f>'KY_Cost Plant Acct-Elec-P14(Reg'!D84</f>
        <v>0</v>
      </c>
      <c r="E84" s="133"/>
      <c r="F84" s="151">
        <f>'KY_Cost Plant Acct-Elec-P14(Reg'!F84</f>
        <v>0</v>
      </c>
      <c r="G84" s="133"/>
      <c r="H84" s="151">
        <f>'KY_Cost Plant Acct-Elec-P14(Reg'!H84</f>
        <v>-8312784.9499999993</v>
      </c>
      <c r="I84" s="133"/>
      <c r="J84" s="151">
        <f>'KY_Cost Plant Acct-Elec-P14(Reg'!J84</f>
        <v>-8312784.9499999993</v>
      </c>
      <c r="K84" s="133"/>
      <c r="L84" s="151">
        <f t="shared" si="13"/>
        <v>73595995.399999991</v>
      </c>
      <c r="N84" s="134">
        <f>'KY_Res by Plant Acct-P29 (Reg)'!R366</f>
        <v>-28080861.100000001</v>
      </c>
      <c r="P84" s="134">
        <f t="shared" si="14"/>
        <v>45515134.29999999</v>
      </c>
    </row>
    <row r="85" spans="1:16" x14ac:dyDescent="0.2">
      <c r="B85" s="133">
        <f>SUM(B72:B84)</f>
        <v>3001852779.6999998</v>
      </c>
      <c r="C85" s="133"/>
      <c r="D85" s="133">
        <f>SUM(D72:D84)</f>
        <v>66915875.059999995</v>
      </c>
      <c r="E85" s="133"/>
      <c r="F85" s="133">
        <f>SUM(F72:F84)</f>
        <v>-35554931.539999999</v>
      </c>
      <c r="G85" s="133"/>
      <c r="H85" s="133">
        <f>SUM(H72:H84)</f>
        <v>-9116131.9699999988</v>
      </c>
      <c r="I85" s="133"/>
      <c r="J85" s="133">
        <f>SUM(J72:J84)</f>
        <v>22244811.550000001</v>
      </c>
      <c r="K85" s="133"/>
      <c r="L85" s="133">
        <f>SUM(L72:L84)</f>
        <v>3024097591.2500005</v>
      </c>
      <c r="N85" s="133">
        <f>SUM(N72:N84)</f>
        <v>-889510120.17999995</v>
      </c>
      <c r="P85" s="133">
        <f>SUM(P72:P84)</f>
        <v>2134587471.0700002</v>
      </c>
    </row>
    <row r="86" spans="1:16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6" x14ac:dyDescent="0.2">
      <c r="A87" s="9" t="s">
        <v>24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  <row r="88" spans="1:16" x14ac:dyDescent="0.2">
      <c r="A88" s="3" t="s">
        <v>344</v>
      </c>
      <c r="B88" s="133">
        <f>'KY_Cost Plant Acct-Elec-P14(Reg'!B88</f>
        <v>7933707.5499999998</v>
      </c>
      <c r="C88" s="133"/>
      <c r="D88" s="133">
        <f>'KY_Cost Plant Acct-Elec-P14(Reg'!D88</f>
        <v>0</v>
      </c>
      <c r="E88" s="133"/>
      <c r="F88" s="133">
        <f>'KY_Cost Plant Acct-Elec-P14(Reg'!F88</f>
        <v>0</v>
      </c>
      <c r="G88" s="133"/>
      <c r="H88" s="133">
        <f>'KY_Cost Plant Acct-Elec-P14(Reg'!H88</f>
        <v>0</v>
      </c>
      <c r="I88" s="133"/>
      <c r="J88" s="133">
        <f t="shared" ref="J88:J101" si="15">H88+F88+D88</f>
        <v>0</v>
      </c>
      <c r="K88" s="133"/>
      <c r="L88" s="136">
        <f t="shared" ref="L88:L101" si="16">B88+J88</f>
        <v>7933707.5499999998</v>
      </c>
      <c r="N88" s="37">
        <f>'KY_Res by Plant Acct-P29 (Reg)'!R370</f>
        <v>-2859769.47</v>
      </c>
      <c r="P88" s="37">
        <f t="shared" ref="P88:P101" si="17">L88+N88</f>
        <v>5073938.08</v>
      </c>
    </row>
    <row r="89" spans="1:16" x14ac:dyDescent="0.2">
      <c r="A89" s="3" t="s">
        <v>345</v>
      </c>
      <c r="B89" s="133">
        <f>'KY_Cost Plant Acct-Elec-P14(Reg'!B89</f>
        <v>2147929.11</v>
      </c>
      <c r="C89" s="133"/>
      <c r="D89" s="133">
        <f>'KY_Cost Plant Acct-Elec-P14(Reg'!D89</f>
        <v>0</v>
      </c>
      <c r="E89" s="133"/>
      <c r="F89" s="133">
        <f>'KY_Cost Plant Acct-Elec-P14(Reg'!F89</f>
        <v>0</v>
      </c>
      <c r="G89" s="133"/>
      <c r="H89" s="133">
        <f>'KY_Cost Plant Acct-Elec-P14(Reg'!H89</f>
        <v>0</v>
      </c>
      <c r="I89" s="133"/>
      <c r="J89" s="133">
        <f t="shared" si="15"/>
        <v>0</v>
      </c>
      <c r="K89" s="133"/>
      <c r="L89" s="136">
        <f t="shared" si="16"/>
        <v>2147929.11</v>
      </c>
      <c r="N89" s="3">
        <v>0</v>
      </c>
      <c r="P89" s="37">
        <f t="shared" si="17"/>
        <v>2147929.11</v>
      </c>
    </row>
    <row r="90" spans="1:16" x14ac:dyDescent="0.2">
      <c r="A90" s="3" t="s">
        <v>347</v>
      </c>
      <c r="B90" s="133">
        <f>'KY_Cost Plant Acct-Elec-P14(Reg'!B90+'KY_Cost Plant Acct-Elec-P14(Reg'!B158</f>
        <v>8190296.7499999991</v>
      </c>
      <c r="C90" s="133"/>
      <c r="D90" s="133">
        <f>'KY_Cost Plant Acct-Elec-P14(Reg'!D90+'KY_Cost Plant Acct-Elec-P14(Reg'!D158</f>
        <v>127165.88</v>
      </c>
      <c r="E90" s="133"/>
      <c r="F90" s="133">
        <f>'KY_Cost Plant Acct-Elec-P14(Reg'!F90</f>
        <v>-26705.65</v>
      </c>
      <c r="G90" s="133"/>
      <c r="H90" s="133">
        <f>'KY_Cost Plant Acct-Elec-P14(Reg'!H90</f>
        <v>-72053.22</v>
      </c>
      <c r="I90" s="133"/>
      <c r="J90" s="133">
        <f>H90+F90+D90</f>
        <v>28407.010000000009</v>
      </c>
      <c r="K90" s="133"/>
      <c r="L90" s="136">
        <f>B90+J90</f>
        <v>8218703.7599999988</v>
      </c>
      <c r="N90" s="37">
        <f>'KY_Res by Plant Acct-P29 (Reg)'!R372+'KY_Res by Plant Acct-P29 (Reg)'!R373+'KY_Res by Plant Acct-P29 (Reg)'!R375</f>
        <v>-1816566.3299999996</v>
      </c>
      <c r="P90" s="37">
        <f t="shared" si="17"/>
        <v>6402137.4299999997</v>
      </c>
    </row>
    <row r="91" spans="1:16" x14ac:dyDescent="0.2">
      <c r="A91" s="3" t="s">
        <v>2873</v>
      </c>
      <c r="B91" s="133">
        <f>'KY_Cost Plant Acct-Elec-P14(Reg'!B159</f>
        <v>0</v>
      </c>
      <c r="C91" s="133"/>
      <c r="D91" s="133">
        <f>'KY_Cost Plant Acct-Elec-P14(Reg'!D159</f>
        <v>0</v>
      </c>
      <c r="E91" s="133">
        <f>'KY_Cost Plant Acct-Elec-P14(Reg'!E159</f>
        <v>0</v>
      </c>
      <c r="F91" s="133">
        <f>'KY_Cost Plant Acct-Elec-P14(Reg'!F159</f>
        <v>0</v>
      </c>
      <c r="G91" s="133">
        <f>'KY_Cost Plant Acct-Elec-P14(Reg'!G159</f>
        <v>0</v>
      </c>
      <c r="H91" s="133">
        <f>'KY_Cost Plant Acct-Elec-P14(Reg'!H159</f>
        <v>0</v>
      </c>
      <c r="I91" s="133"/>
      <c r="J91" s="133">
        <f>H91+F91+D91</f>
        <v>0</v>
      </c>
      <c r="K91" s="133"/>
      <c r="L91" s="136">
        <f>B91+J91</f>
        <v>0</v>
      </c>
      <c r="N91" s="37">
        <f>'KY_Res by Plant Acct-P29 (Reg)'!R374</f>
        <v>-33.840000000000003</v>
      </c>
      <c r="P91" s="37">
        <f t="shared" si="17"/>
        <v>-33.840000000000003</v>
      </c>
    </row>
    <row r="92" spans="1:16" x14ac:dyDescent="0.2">
      <c r="A92" s="3" t="s">
        <v>349</v>
      </c>
      <c r="B92" s="133">
        <f>'KY_Cost Plant Acct-Elec-P14(Reg'!B91+'KY_Cost Plant Acct-Elec-P14(Reg'!B160</f>
        <v>174638844.03999999</v>
      </c>
      <c r="C92" s="133"/>
      <c r="D92" s="133">
        <f>'KY_Cost Plant Acct-Elec-P14(Reg'!D91+'KY_Cost Plant Acct-Elec-P14(Reg'!D160</f>
        <v>3750911.4399999995</v>
      </c>
      <c r="E92" s="133"/>
      <c r="F92" s="133">
        <f>'KY_Cost Plant Acct-Elec-P14(Reg'!F91</f>
        <v>-1320418.71</v>
      </c>
      <c r="G92" s="133"/>
      <c r="H92" s="133">
        <f>'KY_Cost Plant Acct-Elec-P14(Reg'!H91</f>
        <v>1041297.96</v>
      </c>
      <c r="I92" s="133"/>
      <c r="J92" s="133">
        <f t="shared" si="15"/>
        <v>3471790.6899999995</v>
      </c>
      <c r="K92" s="133"/>
      <c r="L92" s="136">
        <f t="shared" si="16"/>
        <v>178110634.72999999</v>
      </c>
      <c r="N92" s="37">
        <f>'KY_Res by Plant Acct-P29 (Reg)'!R376+'KY_Res by Plant Acct-P29 (Reg)'!R377+'KY_Res by Plant Acct-P29 (Reg)'!R378</f>
        <v>-61678725.570000008</v>
      </c>
      <c r="P92" s="37">
        <f t="shared" si="17"/>
        <v>116431909.15999998</v>
      </c>
    </row>
    <row r="93" spans="1:16" x14ac:dyDescent="0.2">
      <c r="A93" s="3" t="s">
        <v>350</v>
      </c>
      <c r="B93" s="133">
        <f>'KY_Cost Plant Acct-Elec-P14(Reg'!B92</f>
        <v>0</v>
      </c>
      <c r="C93" s="133"/>
      <c r="D93" s="133">
        <f>'KY_Cost Plant Acct-Elec-P14(Reg'!D92</f>
        <v>0</v>
      </c>
      <c r="E93" s="133"/>
      <c r="F93" s="133">
        <f>'KY_Cost Plant Acct-Elec-P14(Reg'!F92</f>
        <v>0</v>
      </c>
      <c r="G93" s="133"/>
      <c r="H93" s="133">
        <f>'KY_Cost Plant Acct-Elec-P14(Reg'!H92</f>
        <v>0</v>
      </c>
      <c r="I93" s="133"/>
      <c r="J93" s="133">
        <f t="shared" si="15"/>
        <v>0</v>
      </c>
      <c r="K93" s="133"/>
      <c r="L93" s="136">
        <f t="shared" si="16"/>
        <v>0</v>
      </c>
      <c r="N93" s="37">
        <f>'KY_Res by Plant Acct-P29 (Reg)'!R379+'KY_Res by Plant Acct-P29 (Reg)'!R380</f>
        <v>-3.5879565984942019E-10</v>
      </c>
      <c r="P93" s="37">
        <f t="shared" si="17"/>
        <v>-3.5879565984942019E-10</v>
      </c>
    </row>
    <row r="94" spans="1:16" x14ac:dyDescent="0.2">
      <c r="A94" s="152" t="s">
        <v>2890</v>
      </c>
      <c r="B94" s="133">
        <f>'KY_Cost Plant Acct-Elec-P14(Reg'!B161</f>
        <v>0</v>
      </c>
      <c r="C94" s="133">
        <f>'KY_Cost Plant Acct-Elec-P14(Reg'!C161</f>
        <v>0</v>
      </c>
      <c r="D94" s="133">
        <f>'KY_Cost Plant Acct-Elec-P14(Reg'!D93</f>
        <v>65626.259999999995</v>
      </c>
      <c r="E94" s="133">
        <f>'KY_Cost Plant Acct-Elec-P14(Reg'!E161</f>
        <v>0</v>
      </c>
      <c r="F94" s="133">
        <f>'KY_Cost Plant Acct-Elec-P14(Reg'!F93</f>
        <v>0</v>
      </c>
      <c r="G94" s="133">
        <f>'KY_Cost Plant Acct-Elec-P14(Reg'!G161</f>
        <v>0</v>
      </c>
      <c r="H94" s="133">
        <f>'KY_Cost Plant Acct-Elec-P14(Reg'!H93</f>
        <v>-65626.259999999995</v>
      </c>
      <c r="I94" s="133">
        <f>'KY_Cost Plant Acct-Elec-P14(Reg'!I161</f>
        <v>0</v>
      </c>
      <c r="J94" s="133">
        <f t="shared" si="15"/>
        <v>0</v>
      </c>
      <c r="K94" s="133"/>
      <c r="L94" s="136">
        <f t="shared" si="16"/>
        <v>0</v>
      </c>
      <c r="N94" s="37">
        <f>'KY_Res by Plant Acct-P29 (Reg)'!R380+'KY_Res by Plant Acct-P29 (Reg)'!R381</f>
        <v>-36.090000000098229</v>
      </c>
      <c r="P94" s="37"/>
    </row>
    <row r="95" spans="1:16" x14ac:dyDescent="0.2">
      <c r="A95" s="3" t="s">
        <v>353</v>
      </c>
      <c r="B95" s="133">
        <f>'KY_Cost Plant Acct-Elec-P14(Reg'!B94+'KY_Cost Plant Acct-Elec-P14(Reg'!B162</f>
        <v>29951745.459999997</v>
      </c>
      <c r="C95" s="133"/>
      <c r="D95" s="133">
        <f>'KY_Cost Plant Acct-Elec-P14(Reg'!D94+'KY_Cost Plant Acct-Elec-P14(Reg'!D162</f>
        <v>-1918.33</v>
      </c>
      <c r="E95" s="133"/>
      <c r="F95" s="133">
        <f>'KY_Cost Plant Acct-Elec-P14(Reg'!F94</f>
        <v>91139.37</v>
      </c>
      <c r="G95" s="133"/>
      <c r="H95" s="133">
        <f>'KY_Cost Plant Acct-Elec-P14(Reg'!H94</f>
        <v>0</v>
      </c>
      <c r="I95" s="133"/>
      <c r="J95" s="133">
        <f t="shared" si="15"/>
        <v>89221.04</v>
      </c>
      <c r="K95" s="133"/>
      <c r="L95" s="136">
        <f t="shared" si="16"/>
        <v>30040966.499999996</v>
      </c>
      <c r="N95" s="37">
        <f>'KY_Res by Plant Acct-P29 (Reg)'!R382</f>
        <v>-20407280.169999991</v>
      </c>
      <c r="P95" s="37">
        <f t="shared" si="17"/>
        <v>9633686.3300000057</v>
      </c>
    </row>
    <row r="96" spans="1:16" x14ac:dyDescent="0.2">
      <c r="A96" s="3" t="s">
        <v>354</v>
      </c>
      <c r="B96" s="133">
        <f>'KY_Cost Plant Acct-Elec-P14(Reg'!B95+'KY_Cost Plant Acct-Elec-P14(Reg'!B163</f>
        <v>77378750.689999998</v>
      </c>
      <c r="C96" s="133"/>
      <c r="D96" s="133">
        <f>'KY_Cost Plant Acct-Elec-P14(Reg'!D95+'KY_Cost Plant Acct-Elec-P14(Reg'!D163</f>
        <v>4285242.49</v>
      </c>
      <c r="E96" s="133"/>
      <c r="F96" s="133">
        <f>'KY_Cost Plant Acct-Elec-P14(Reg'!F95</f>
        <v>-468266.03</v>
      </c>
      <c r="G96" s="133"/>
      <c r="H96" s="133">
        <f>'KY_Cost Plant Acct-Elec-P14(Reg'!H95</f>
        <v>0</v>
      </c>
      <c r="I96" s="133"/>
      <c r="J96" s="133">
        <f t="shared" si="15"/>
        <v>3816976.46</v>
      </c>
      <c r="K96" s="133"/>
      <c r="L96" s="136">
        <f t="shared" si="16"/>
        <v>81195727.149999991</v>
      </c>
      <c r="N96" s="37">
        <f>'KY_Res by Plant Acct-P29 (Reg)'!R383</f>
        <v>-23957529.280000001</v>
      </c>
      <c r="P96" s="37">
        <f t="shared" si="17"/>
        <v>57238197.86999999</v>
      </c>
    </row>
    <row r="97" spans="1:16" x14ac:dyDescent="0.2">
      <c r="A97" s="3" t="s">
        <v>355</v>
      </c>
      <c r="B97" s="133">
        <f>'KY_Cost Plant Acct-Elec-P14(Reg'!B96+'KY_Cost Plant Acct-Elec-P14(Reg'!B164</f>
        <v>53003864.829999998</v>
      </c>
      <c r="C97" s="133"/>
      <c r="D97" s="133">
        <f>'KY_Cost Plant Acct-Elec-P14(Reg'!D96+'KY_Cost Plant Acct-Elec-P14(Reg'!D164</f>
        <v>606745.79999999993</v>
      </c>
      <c r="E97" s="133"/>
      <c r="F97" s="133">
        <f>'KY_Cost Plant Acct-Elec-P14(Reg'!F96</f>
        <v>-241276.93</v>
      </c>
      <c r="G97" s="133"/>
      <c r="H97" s="133">
        <f>'KY_Cost Plant Acct-Elec-P14(Reg'!H96</f>
        <v>0</v>
      </c>
      <c r="I97" s="133"/>
      <c r="J97" s="133">
        <f t="shared" si="15"/>
        <v>365468.86999999994</v>
      </c>
      <c r="K97" s="133"/>
      <c r="L97" s="136">
        <f t="shared" si="16"/>
        <v>53369333.699999996</v>
      </c>
      <c r="N97" s="37">
        <f>'KY_Res by Plant Acct-P29 (Reg)'!R384</f>
        <v>-24841664.11999999</v>
      </c>
      <c r="P97" s="37">
        <f t="shared" si="17"/>
        <v>28527669.580000006</v>
      </c>
    </row>
    <row r="98" spans="1:16" x14ac:dyDescent="0.2">
      <c r="A98" s="3" t="s">
        <v>356</v>
      </c>
      <c r="B98" s="133">
        <f>'KY_Cost Plant Acct-Elec-P14(Reg'!B97+'KY_Cost Plant Acct-Elec-P14(Reg'!B165</f>
        <v>1687812.96</v>
      </c>
      <c r="C98" s="133"/>
      <c r="D98" s="133">
        <f>'KY_Cost Plant Acct-Elec-P14(Reg'!D97+'KY_Cost Plant Acct-Elec-P14(Reg'!D165</f>
        <v>95630.36</v>
      </c>
      <c r="E98" s="133"/>
      <c r="F98" s="133">
        <f>'KY_Cost Plant Acct-Elec-P14(Reg'!F97+'KY_Cost Plant Acct-Elec-P14(Reg'!F165</f>
        <v>0</v>
      </c>
      <c r="G98" s="133"/>
      <c r="H98" s="133">
        <f>'KY_Cost Plant Acct-Elec-P14(Reg'!H97+'KY_Cost Plant Acct-Elec-P14(Reg'!H165</f>
        <v>0</v>
      </c>
      <c r="I98" s="133"/>
      <c r="J98" s="133">
        <f t="shared" si="15"/>
        <v>95630.36</v>
      </c>
      <c r="K98" s="133"/>
      <c r="L98" s="136">
        <f t="shared" si="16"/>
        <v>1783443.32</v>
      </c>
      <c r="N98" s="37">
        <f>'KY_Res by Plant Acct-P29 (Reg)'!R385</f>
        <v>-639832.1399999999</v>
      </c>
      <c r="P98" s="37">
        <f t="shared" si="17"/>
        <v>1143611.1800000002</v>
      </c>
    </row>
    <row r="99" spans="1:16" x14ac:dyDescent="0.2">
      <c r="A99" s="3" t="s">
        <v>357</v>
      </c>
      <c r="B99" s="133">
        <f>'KY_Cost Plant Acct-Elec-P14(Reg'!B98</f>
        <v>7365472.6799999997</v>
      </c>
      <c r="C99" s="133"/>
      <c r="D99" s="133">
        <f>'KY_Cost Plant Acct-Elec-P14(Reg'!D98</f>
        <v>6593.47</v>
      </c>
      <c r="E99" s="133"/>
      <c r="F99" s="133">
        <f>'KY_Cost Plant Acct-Elec-P14(Reg'!F98</f>
        <v>0</v>
      </c>
      <c r="G99" s="133"/>
      <c r="H99" s="133">
        <f>'KY_Cost Plant Acct-Elec-P14(Reg'!H98</f>
        <v>0</v>
      </c>
      <c r="I99" s="133"/>
      <c r="J99" s="133">
        <f t="shared" si="15"/>
        <v>6593.47</v>
      </c>
      <c r="K99" s="133"/>
      <c r="L99" s="136">
        <f t="shared" si="16"/>
        <v>7372066.1499999994</v>
      </c>
      <c r="N99" s="37">
        <f>'KY_Res by Plant Acct-P29 (Reg)'!R386</f>
        <v>-3328334.0500000003</v>
      </c>
      <c r="P99" s="37">
        <f t="shared" si="17"/>
        <v>4043732.0999999992</v>
      </c>
    </row>
    <row r="100" spans="1:16" x14ac:dyDescent="0.2">
      <c r="A100" s="3" t="s">
        <v>358</v>
      </c>
      <c r="B100" s="133">
        <f>'KY_Cost Plant Acct-Elec-P14(Reg'!B99</f>
        <v>21323.05</v>
      </c>
      <c r="C100" s="133"/>
      <c r="D100" s="133">
        <f>'KY_Cost Plant Acct-Elec-P14(Reg'!D99</f>
        <v>0</v>
      </c>
      <c r="E100" s="133"/>
      <c r="F100" s="133">
        <f>'KY_Cost Plant Acct-Elec-P14(Reg'!F99</f>
        <v>0</v>
      </c>
      <c r="G100" s="133"/>
      <c r="H100" s="133">
        <f>'KY_Cost Plant Acct-Elec-P14(Reg'!H99</f>
        <v>-3757.49</v>
      </c>
      <c r="I100" s="133"/>
      <c r="J100" s="133">
        <f t="shared" si="15"/>
        <v>-3757.49</v>
      </c>
      <c r="K100" s="133"/>
      <c r="L100" s="136">
        <f t="shared" si="16"/>
        <v>17565.559999999998</v>
      </c>
      <c r="N100" s="37">
        <f>'KY_Res by Plant Acct-P29 (Reg)'!R387</f>
        <v>-1199.1599999999996</v>
      </c>
      <c r="P100" s="37">
        <f t="shared" si="17"/>
        <v>16366.399999999998</v>
      </c>
    </row>
    <row r="101" spans="1:16" x14ac:dyDescent="0.2">
      <c r="A101" s="3" t="s">
        <v>359</v>
      </c>
      <c r="B101" s="151">
        <f>'KY_Cost Plant Acct-Elec-P14(Reg'!B100</f>
        <v>186976.65</v>
      </c>
      <c r="C101" s="133"/>
      <c r="D101" s="151">
        <f>'KY_Cost Plant Acct-Elec-P14(Reg'!D100</f>
        <v>0</v>
      </c>
      <c r="E101" s="133"/>
      <c r="F101" s="151">
        <f>'KY_Cost Plant Acct-Elec-P14(Reg'!F100</f>
        <v>-7370.88</v>
      </c>
      <c r="G101" s="133"/>
      <c r="H101" s="151">
        <f>'KY_Cost Plant Acct-Elec-P14(Reg'!H100</f>
        <v>0</v>
      </c>
      <c r="I101" s="133"/>
      <c r="J101" s="151">
        <f t="shared" si="15"/>
        <v>-7370.88</v>
      </c>
      <c r="K101" s="133"/>
      <c r="L101" s="151">
        <f t="shared" si="16"/>
        <v>179605.77</v>
      </c>
      <c r="N101" s="134">
        <f>'KY_Res by Plant Acct-P29 (Reg)'!R388</f>
        <v>-34450.1</v>
      </c>
      <c r="P101" s="134">
        <f t="shared" si="17"/>
        <v>145155.66999999998</v>
      </c>
    </row>
    <row r="102" spans="1:16" x14ac:dyDescent="0.2">
      <c r="B102" s="133">
        <f>SUM(B88:B101)</f>
        <v>362506723.76999998</v>
      </c>
      <c r="C102" s="133"/>
      <c r="D102" s="133">
        <f>SUM(D88:D101)</f>
        <v>8935997.3699999992</v>
      </c>
      <c r="E102" s="133"/>
      <c r="F102" s="133">
        <f>SUM(F88:F101)</f>
        <v>-1972898.8299999996</v>
      </c>
      <c r="G102" s="133"/>
      <c r="H102" s="133">
        <f>SUM(H88:H101)</f>
        <v>899860.99</v>
      </c>
      <c r="I102" s="133"/>
      <c r="J102" s="133">
        <f>SUM(J88:J101)</f>
        <v>7862959.5299999993</v>
      </c>
      <c r="K102" s="133"/>
      <c r="L102" s="133">
        <f>SUM(L88:L101)</f>
        <v>370369683.29999989</v>
      </c>
      <c r="N102" s="133">
        <f>SUM(N88:N101)</f>
        <v>-139565420.31999999</v>
      </c>
      <c r="P102" s="37">
        <f>SUM(P88:P101)</f>
        <v>230804299.06999999</v>
      </c>
    </row>
    <row r="103" spans="1:16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</row>
    <row r="104" spans="1:16" x14ac:dyDescent="0.2"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1:16" x14ac:dyDescent="0.2">
      <c r="A105" s="9" t="s">
        <v>2891</v>
      </c>
      <c r="B105" s="165">
        <f>B102+B85+B69+B57+B52+B41+B30</f>
        <v>5198013641.789999</v>
      </c>
      <c r="C105" s="133"/>
      <c r="D105" s="165">
        <f>D102+D85+D69+D57+D52+D41+D30</f>
        <v>196772026.52999997</v>
      </c>
      <c r="E105" s="133"/>
      <c r="F105" s="165">
        <f>F102+F85+F69+F57+F52+F41+F30</f>
        <v>-54655499.729999997</v>
      </c>
      <c r="G105" s="133"/>
      <c r="H105" s="165">
        <f>H102+H85+H69+H57+H52+H41+H30</f>
        <v>-9117183.1499999985</v>
      </c>
      <c r="I105" s="133"/>
      <c r="J105" s="165">
        <f>J102+J85+J69+J57+J52+J41+J30</f>
        <v>132999343.65000001</v>
      </c>
      <c r="K105" s="133"/>
      <c r="L105" s="165">
        <f>L102+L85+L69+L57+L52+L41+L30</f>
        <v>5331012985.4399996</v>
      </c>
      <c r="N105" s="165">
        <f>N102+N85+N69+N57+N52+N41+N30</f>
        <v>-1704970441.2100003</v>
      </c>
      <c r="P105" s="165">
        <f>P102+P85+P69+P57+P52+P41+P30</f>
        <v>3626042580.3200002</v>
      </c>
    </row>
    <row r="106" spans="1:16" x14ac:dyDescent="0.2"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1:16" x14ac:dyDescent="0.2">
      <c r="B107" s="133"/>
      <c r="C107" s="136"/>
      <c r="D107" s="133"/>
      <c r="E107" s="136"/>
      <c r="F107" s="133"/>
      <c r="G107" s="136"/>
      <c r="H107" s="133"/>
      <c r="I107" s="136"/>
      <c r="J107" s="133"/>
      <c r="K107" s="133"/>
      <c r="L107" s="133"/>
    </row>
    <row r="108" spans="1:16" x14ac:dyDescent="0.2"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1:16" x14ac:dyDescent="0.2"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1:16" x14ac:dyDescent="0.2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1:16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</row>
    <row r="112" spans="1:16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</row>
    <row r="113" spans="2:12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2:12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2:12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2:12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2:12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2:12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2:12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2:12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2:12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</row>
    <row r="122" spans="2:12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</row>
    <row r="123" spans="2:12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</row>
    <row r="124" spans="2:12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</row>
    <row r="125" spans="2:12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</row>
    <row r="126" spans="2:12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</row>
    <row r="127" spans="2:12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</row>
    <row r="128" spans="2:12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</row>
    <row r="129" spans="2:12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</row>
    <row r="130" spans="2:12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</row>
    <row r="131" spans="2:12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</row>
    <row r="132" spans="2:12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</row>
    <row r="133" spans="2:12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</row>
    <row r="134" spans="2:12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</row>
    <row r="135" spans="2:12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</row>
    <row r="136" spans="2:12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</row>
    <row r="137" spans="2:12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</row>
    <row r="138" spans="2:12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</row>
    <row r="139" spans="2:12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32"/>
  </sheetPr>
  <dimension ref="A1:N203"/>
  <sheetViews>
    <sheetView zoomScaleNormal="100" workbookViewId="0">
      <pane xSplit="1" ySplit="7" topLeftCell="B140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0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5" style="3" bestFit="1" customWidth="1"/>
    <col min="14" max="14" width="13" style="3" customWidth="1"/>
    <col min="15" max="16384" width="9.140625" style="3"/>
  </cols>
  <sheetData>
    <row r="1" spans="1:12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130" customFormat="1" ht="15.75" x14ac:dyDescent="0.25">
      <c r="A2" s="210" t="s">
        <v>2892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2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2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2" x14ac:dyDescent="0.2">
      <c r="B8" s="17"/>
      <c r="D8" s="17"/>
      <c r="F8" s="17"/>
      <c r="H8" s="17"/>
      <c r="J8" s="17"/>
      <c r="L8" s="17"/>
    </row>
    <row r="9" spans="1:12" x14ac:dyDescent="0.2">
      <c r="A9" s="9" t="s">
        <v>2809</v>
      </c>
    </row>
    <row r="10" spans="1:12" x14ac:dyDescent="0.2">
      <c r="A10" s="9" t="s">
        <v>263</v>
      </c>
    </row>
    <row r="11" spans="1:12" x14ac:dyDescent="0.2">
      <c r="A11" s="21" t="s">
        <v>2893</v>
      </c>
      <c r="B11" s="14">
        <v>0</v>
      </c>
      <c r="D11" s="14">
        <v>0</v>
      </c>
      <c r="F11" s="14">
        <v>0</v>
      </c>
      <c r="H11" s="14">
        <v>0</v>
      </c>
      <c r="J11" s="14">
        <f>H11+F11+D11</f>
        <v>0</v>
      </c>
      <c r="L11" s="14">
        <f t="shared" ref="L11:L29" si="0">B11+J11</f>
        <v>0</v>
      </c>
    </row>
    <row r="12" spans="1:12" x14ac:dyDescent="0.2">
      <c r="A12" s="3" t="s">
        <v>2894</v>
      </c>
      <c r="B12" s="14">
        <v>4100654.4700000007</v>
      </c>
      <c r="C12" s="14"/>
      <c r="D12" s="14">
        <v>0</v>
      </c>
      <c r="E12" s="14"/>
      <c r="F12" s="14">
        <v>0</v>
      </c>
      <c r="G12" s="14"/>
      <c r="H12" s="14">
        <v>0</v>
      </c>
      <c r="I12" s="14"/>
      <c r="J12" s="14">
        <f>H12+F12+D12</f>
        <v>0</v>
      </c>
      <c r="K12" s="14"/>
      <c r="L12" s="14">
        <f t="shared" si="0"/>
        <v>4100654.4700000007</v>
      </c>
    </row>
    <row r="13" spans="1:12" x14ac:dyDescent="0.2">
      <c r="A13" s="3" t="s">
        <v>2895</v>
      </c>
      <c r="B13" s="14">
        <v>6833645.7999999989</v>
      </c>
      <c r="C13" s="14"/>
      <c r="D13" s="14">
        <v>91613.65</v>
      </c>
      <c r="E13" s="14"/>
      <c r="F13" s="14">
        <v>-22759.97</v>
      </c>
      <c r="G13" s="14"/>
      <c r="H13" s="14">
        <v>72053.22</v>
      </c>
      <c r="I13" s="14"/>
      <c r="J13" s="14">
        <f t="shared" ref="J13:J100" si="1">H13+F13+D13</f>
        <v>140906.9</v>
      </c>
      <c r="K13" s="14"/>
      <c r="L13" s="14">
        <f t="shared" si="0"/>
        <v>6974552.6999999993</v>
      </c>
    </row>
    <row r="14" spans="1:12" x14ac:dyDescent="0.2">
      <c r="A14" s="131" t="s">
        <v>2896</v>
      </c>
      <c r="B14" s="14">
        <v>129363562.78999999</v>
      </c>
      <c r="C14" s="14"/>
      <c r="D14" s="14">
        <v>8053057.0099999998</v>
      </c>
      <c r="E14" s="14"/>
      <c r="F14" s="14">
        <v>-711864.94</v>
      </c>
      <c r="G14" s="14"/>
      <c r="H14" s="14">
        <v>-974073.2</v>
      </c>
      <c r="I14" s="14"/>
      <c r="J14" s="14">
        <f t="shared" si="1"/>
        <v>6367118.8700000001</v>
      </c>
      <c r="K14" s="14"/>
      <c r="L14" s="14">
        <f t="shared" si="0"/>
        <v>135730681.66</v>
      </c>
    </row>
    <row r="15" spans="1:12" x14ac:dyDescent="0.2">
      <c r="A15" s="3" t="s">
        <v>2897</v>
      </c>
      <c r="B15" s="14">
        <v>177811424.81000003</v>
      </c>
      <c r="C15" s="14"/>
      <c r="D15" s="14">
        <v>12193700.890000001</v>
      </c>
      <c r="E15" s="14"/>
      <c r="F15" s="14">
        <v>-2893219.44</v>
      </c>
      <c r="G15" s="14"/>
      <c r="H15" s="14">
        <v>0</v>
      </c>
      <c r="I15" s="14"/>
      <c r="J15" s="14">
        <f t="shared" si="1"/>
        <v>9300481.4500000011</v>
      </c>
      <c r="K15" s="14"/>
      <c r="L15" s="14">
        <f t="shared" si="0"/>
        <v>187111906.26000002</v>
      </c>
    </row>
    <row r="16" spans="1:12" x14ac:dyDescent="0.2">
      <c r="A16" s="3" t="s">
        <v>2898</v>
      </c>
      <c r="B16" s="14">
        <v>296973187.38</v>
      </c>
      <c r="C16" s="14"/>
      <c r="D16" s="14">
        <v>11365349.9</v>
      </c>
      <c r="E16" s="14"/>
      <c r="F16" s="14">
        <v>-2802229.8</v>
      </c>
      <c r="G16" s="14"/>
      <c r="H16" s="14">
        <v>-1598.5</v>
      </c>
      <c r="I16" s="14"/>
      <c r="J16" s="14">
        <f t="shared" si="1"/>
        <v>8561521.6000000015</v>
      </c>
      <c r="K16" s="14"/>
      <c r="L16" s="14">
        <f t="shared" si="0"/>
        <v>305534708.98000002</v>
      </c>
    </row>
    <row r="17" spans="1:12" x14ac:dyDescent="0.2">
      <c r="A17" s="3" t="s">
        <v>2899</v>
      </c>
      <c r="B17" s="14">
        <v>79164390.199999988</v>
      </c>
      <c r="C17" s="14"/>
      <c r="D17" s="14">
        <v>4546340.42</v>
      </c>
      <c r="E17" s="14"/>
      <c r="F17" s="14">
        <v>-408131.74</v>
      </c>
      <c r="G17" s="14"/>
      <c r="H17" s="14">
        <v>0</v>
      </c>
      <c r="I17" s="14"/>
      <c r="J17" s="14">
        <f t="shared" si="1"/>
        <v>4138208.6799999997</v>
      </c>
      <c r="K17" s="14"/>
      <c r="L17" s="14">
        <f t="shared" si="0"/>
        <v>83302598.879999995</v>
      </c>
    </row>
    <row r="18" spans="1:12" x14ac:dyDescent="0.2">
      <c r="A18" s="3" t="s">
        <v>2900</v>
      </c>
      <c r="B18" s="14">
        <v>203806296.16999999</v>
      </c>
      <c r="C18" s="14"/>
      <c r="D18" s="14">
        <v>28473768</v>
      </c>
      <c r="E18" s="14"/>
      <c r="F18" s="14">
        <v>-1580438.9</v>
      </c>
      <c r="G18" s="14"/>
      <c r="H18" s="14">
        <v>0</v>
      </c>
      <c r="I18" s="14"/>
      <c r="J18" s="14">
        <f t="shared" si="1"/>
        <v>26893329.100000001</v>
      </c>
      <c r="K18" s="14"/>
      <c r="L18" s="14">
        <f t="shared" si="0"/>
        <v>230699625.26999998</v>
      </c>
    </row>
    <row r="19" spans="1:12" x14ac:dyDescent="0.2">
      <c r="A19" s="3" t="s">
        <v>2901</v>
      </c>
      <c r="B19" s="14">
        <v>161115459.86999997</v>
      </c>
      <c r="C19" s="14"/>
      <c r="D19" s="14">
        <v>3946107.68</v>
      </c>
      <c r="E19" s="14"/>
      <c r="F19" s="14">
        <v>-2952153.8</v>
      </c>
      <c r="G19" s="14"/>
      <c r="H19" s="14">
        <v>0</v>
      </c>
      <c r="I19" s="14"/>
      <c r="J19" s="14">
        <f t="shared" si="1"/>
        <v>993953.88000000035</v>
      </c>
      <c r="K19" s="14"/>
      <c r="L19" s="14">
        <f t="shared" si="0"/>
        <v>162109413.74999997</v>
      </c>
    </row>
    <row r="20" spans="1:12" x14ac:dyDescent="0.2">
      <c r="A20" s="3" t="s">
        <v>2902</v>
      </c>
      <c r="B20" s="14">
        <v>9101456.6799999997</v>
      </c>
      <c r="C20" s="14"/>
      <c r="D20" s="14">
        <v>1756675.7</v>
      </c>
      <c r="E20" s="14"/>
      <c r="F20" s="14">
        <v>-37302.65</v>
      </c>
      <c r="G20" s="14"/>
      <c r="H20" s="14">
        <v>0</v>
      </c>
      <c r="I20" s="14"/>
      <c r="J20" s="14">
        <f t="shared" si="1"/>
        <v>1719373.05</v>
      </c>
      <c r="K20" s="14"/>
      <c r="L20" s="14">
        <f t="shared" si="0"/>
        <v>10820829.73</v>
      </c>
    </row>
    <row r="21" spans="1:12" x14ac:dyDescent="0.2">
      <c r="A21" s="3" t="s">
        <v>2903</v>
      </c>
      <c r="B21" s="14">
        <v>23447071.800000004</v>
      </c>
      <c r="C21" s="14"/>
      <c r="D21" s="14">
        <v>726793.06</v>
      </c>
      <c r="E21" s="14"/>
      <c r="F21" s="14">
        <v>-41292.160000000003</v>
      </c>
      <c r="G21" s="14"/>
      <c r="H21" s="14">
        <v>0</v>
      </c>
      <c r="I21" s="14"/>
      <c r="J21" s="14">
        <f t="shared" si="1"/>
        <v>685500.9</v>
      </c>
      <c r="K21" s="14"/>
      <c r="L21" s="14">
        <f t="shared" si="0"/>
        <v>24132572.700000003</v>
      </c>
    </row>
    <row r="22" spans="1:12" x14ac:dyDescent="0.2">
      <c r="A22" s="3" t="s">
        <v>2904</v>
      </c>
      <c r="B22" s="14">
        <v>42441311.350000001</v>
      </c>
      <c r="C22" s="14"/>
      <c r="D22" s="14">
        <v>355196.25</v>
      </c>
      <c r="E22" s="14"/>
      <c r="F22" s="14">
        <v>-3083601.81</v>
      </c>
      <c r="G22" s="14"/>
      <c r="H22" s="14">
        <v>-5776821.0199999996</v>
      </c>
      <c r="I22" s="14"/>
      <c r="J22" s="14">
        <f t="shared" si="1"/>
        <v>-8505226.5800000001</v>
      </c>
      <c r="K22" s="14"/>
      <c r="L22" s="14">
        <f t="shared" si="0"/>
        <v>33936084.770000003</v>
      </c>
    </row>
    <row r="23" spans="1:12" x14ac:dyDescent="0.2">
      <c r="A23" s="3" t="s">
        <v>2905</v>
      </c>
      <c r="B23" s="14">
        <v>1795362.03</v>
      </c>
      <c r="C23" s="14"/>
      <c r="D23" s="14">
        <v>20922.009999999998</v>
      </c>
      <c r="E23" s="14"/>
      <c r="F23" s="14">
        <v>-77652.320000000007</v>
      </c>
      <c r="G23" s="14">
        <v>0</v>
      </c>
      <c r="H23" s="14">
        <v>0</v>
      </c>
      <c r="I23" s="14"/>
      <c r="J23" s="14">
        <f t="shared" si="1"/>
        <v>-56730.310000000012</v>
      </c>
      <c r="K23" s="14"/>
      <c r="L23" s="14">
        <f>B23+J23</f>
        <v>1738631.72</v>
      </c>
    </row>
    <row r="24" spans="1:12" x14ac:dyDescent="0.2">
      <c r="A24" s="3" t="s">
        <v>2906</v>
      </c>
      <c r="B24" s="14">
        <v>0</v>
      </c>
      <c r="C24" s="14"/>
      <c r="D24" s="14">
        <v>145496.41</v>
      </c>
      <c r="E24" s="14"/>
      <c r="F24" s="14">
        <v>0</v>
      </c>
      <c r="G24" s="14">
        <v>1</v>
      </c>
      <c r="H24" s="14">
        <v>5776821.0199999996</v>
      </c>
      <c r="I24" s="14"/>
      <c r="J24" s="14">
        <f t="shared" si="1"/>
        <v>5922317.4299999997</v>
      </c>
      <c r="K24" s="14"/>
      <c r="L24" s="14">
        <f>B24+J24</f>
        <v>5922317.4299999997</v>
      </c>
    </row>
    <row r="25" spans="1:12" x14ac:dyDescent="0.2">
      <c r="A25" s="3" t="s">
        <v>2907</v>
      </c>
      <c r="B25" s="14">
        <v>41274020.140000001</v>
      </c>
      <c r="C25" s="14"/>
      <c r="D25" s="14">
        <v>4795863.25</v>
      </c>
      <c r="E25" s="14"/>
      <c r="F25" s="14">
        <v>-82893.62</v>
      </c>
      <c r="G25" s="14"/>
      <c r="H25" s="14">
        <v>0</v>
      </c>
      <c r="I25" s="14"/>
      <c r="J25" s="14">
        <f t="shared" si="1"/>
        <v>4712969.63</v>
      </c>
      <c r="K25" s="14"/>
      <c r="L25" s="14">
        <f t="shared" si="0"/>
        <v>45986989.770000003</v>
      </c>
    </row>
    <row r="26" spans="1:12" x14ac:dyDescent="0.2">
      <c r="A26" s="3" t="s">
        <v>2908</v>
      </c>
      <c r="B26" s="14">
        <v>59578316.480000012</v>
      </c>
      <c r="C26" s="14"/>
      <c r="D26" s="14">
        <v>2419205.33</v>
      </c>
      <c r="E26" s="14"/>
      <c r="F26" s="14">
        <v>-205459.6</v>
      </c>
      <c r="G26" s="14"/>
      <c r="H26" s="14">
        <v>0</v>
      </c>
      <c r="I26" s="14"/>
      <c r="J26" s="14">
        <f t="shared" si="1"/>
        <v>2213745.73</v>
      </c>
      <c r="K26" s="14"/>
      <c r="L26" s="14">
        <f t="shared" si="0"/>
        <v>61792062.210000008</v>
      </c>
    </row>
    <row r="27" spans="1:12" x14ac:dyDescent="0.2">
      <c r="A27" s="3" t="s">
        <v>2909</v>
      </c>
      <c r="B27" s="14">
        <v>0</v>
      </c>
      <c r="C27" s="14"/>
      <c r="D27" s="14">
        <v>0</v>
      </c>
      <c r="E27" s="14"/>
      <c r="F27" s="14">
        <v>0</v>
      </c>
      <c r="G27" s="14"/>
      <c r="H27" s="14">
        <v>0</v>
      </c>
      <c r="I27" s="14"/>
      <c r="J27" s="14">
        <f t="shared" si="1"/>
        <v>0</v>
      </c>
      <c r="K27" s="14"/>
      <c r="L27" s="14">
        <f t="shared" si="0"/>
        <v>0</v>
      </c>
    </row>
    <row r="28" spans="1:12" x14ac:dyDescent="0.2">
      <c r="A28" s="3" t="s">
        <v>2910</v>
      </c>
      <c r="B28" s="14">
        <v>411288.1</v>
      </c>
      <c r="C28" s="16"/>
      <c r="D28" s="14">
        <v>0</v>
      </c>
      <c r="E28" s="14"/>
      <c r="F28" s="14">
        <v>-16644.41</v>
      </c>
      <c r="G28" s="14"/>
      <c r="H28" s="14">
        <v>-74674.94</v>
      </c>
      <c r="I28" s="16"/>
      <c r="J28" s="14">
        <f>H28+F28+D28</f>
        <v>-91319.35</v>
      </c>
      <c r="K28" s="16"/>
      <c r="L28" s="14">
        <f t="shared" si="0"/>
        <v>319968.75</v>
      </c>
    </row>
    <row r="29" spans="1:12" x14ac:dyDescent="0.2">
      <c r="A29" s="131" t="s">
        <v>2911</v>
      </c>
      <c r="B29" s="15">
        <v>30005.309999999983</v>
      </c>
      <c r="C29" s="14"/>
      <c r="D29" s="14">
        <v>0</v>
      </c>
      <c r="E29" s="14"/>
      <c r="F29" s="14">
        <v>-25506.84</v>
      </c>
      <c r="G29" s="14"/>
      <c r="H29" s="14">
        <v>43496.65</v>
      </c>
      <c r="I29" s="14"/>
      <c r="J29" s="15">
        <f>H29+F29+D29</f>
        <v>17989.810000000001</v>
      </c>
      <c r="K29" s="14"/>
      <c r="L29" s="15">
        <f t="shared" si="0"/>
        <v>47995.119999999981</v>
      </c>
    </row>
    <row r="30" spans="1:12" x14ac:dyDescent="0.2">
      <c r="B30" s="16">
        <f>SUM(B11:B29)</f>
        <v>1237247453.3799999</v>
      </c>
      <c r="C30" s="16"/>
      <c r="D30" s="19">
        <f>SUM(D11:D29)</f>
        <v>78890089.560000017</v>
      </c>
      <c r="E30" s="16"/>
      <c r="F30" s="19">
        <f>SUM(F11:F29)</f>
        <v>-14941152</v>
      </c>
      <c r="G30" s="16"/>
      <c r="H30" s="19">
        <f>SUM(H11:H29)</f>
        <v>-934796.77000000037</v>
      </c>
      <c r="I30" s="16"/>
      <c r="J30" s="16">
        <f>SUM(J11:J29)</f>
        <v>63014140.790000007</v>
      </c>
      <c r="K30" s="16"/>
      <c r="L30" s="16">
        <f>SUM(L11:L29)</f>
        <v>1300261594.1700001</v>
      </c>
    </row>
    <row r="31" spans="1:12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">
      <c r="A32" s="9" t="s">
        <v>287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">
      <c r="A33" s="3" t="s">
        <v>2912</v>
      </c>
      <c r="B33" s="16">
        <v>888547.25</v>
      </c>
      <c r="C33" s="16"/>
      <c r="D33" s="14">
        <v>0</v>
      </c>
      <c r="E33" s="14"/>
      <c r="F33" s="14">
        <v>0</v>
      </c>
      <c r="G33" s="14"/>
      <c r="H33" s="14">
        <v>0</v>
      </c>
      <c r="I33" s="16"/>
      <c r="J33" s="16">
        <f>H33+F33+D33</f>
        <v>0</v>
      </c>
      <c r="K33" s="16"/>
      <c r="L33" s="16">
        <f>B33+J33</f>
        <v>888547.25</v>
      </c>
    </row>
    <row r="34" spans="1:12" x14ac:dyDescent="0.2">
      <c r="A34" s="3" t="s">
        <v>2913</v>
      </c>
      <c r="B34" s="16">
        <v>4629899.4800000004</v>
      </c>
      <c r="C34" s="16"/>
      <c r="D34" s="14">
        <v>75392.210000000006</v>
      </c>
      <c r="E34" s="14"/>
      <c r="F34" s="14">
        <v>-43755.68</v>
      </c>
      <c r="G34" s="14"/>
      <c r="H34" s="14">
        <v>0</v>
      </c>
      <c r="I34" s="16"/>
      <c r="J34" s="16">
        <f t="shared" si="1"/>
        <v>31636.530000000006</v>
      </c>
      <c r="K34" s="16"/>
      <c r="L34" s="16">
        <f t="shared" ref="L34:L100" si="2">B34+J34</f>
        <v>4661536.0100000007</v>
      </c>
    </row>
    <row r="35" spans="1:12" x14ac:dyDescent="0.2">
      <c r="A35" s="3" t="s">
        <v>2914</v>
      </c>
      <c r="B35" s="16">
        <v>499404.83</v>
      </c>
      <c r="C35" s="16"/>
      <c r="D35" s="14">
        <v>139747.4</v>
      </c>
      <c r="E35" s="14"/>
      <c r="F35" s="14">
        <v>-120866.21</v>
      </c>
      <c r="G35" s="14"/>
      <c r="H35" s="14">
        <v>0</v>
      </c>
      <c r="I35" s="16"/>
      <c r="J35" s="16">
        <f t="shared" si="1"/>
        <v>18881.189999999988</v>
      </c>
      <c r="K35" s="16"/>
      <c r="L35" s="16">
        <f t="shared" si="2"/>
        <v>518286.02</v>
      </c>
    </row>
    <row r="36" spans="1:12" x14ac:dyDescent="0.2">
      <c r="A36" s="3" t="s">
        <v>2915</v>
      </c>
      <c r="B36" s="16">
        <v>5911029.8200000012</v>
      </c>
      <c r="C36" s="16"/>
      <c r="D36" s="14">
        <v>291164.40999999997</v>
      </c>
      <c r="E36" s="14"/>
      <c r="F36" s="14">
        <v>-143955.4</v>
      </c>
      <c r="G36" s="14"/>
      <c r="H36" s="14">
        <v>0</v>
      </c>
      <c r="I36" s="16"/>
      <c r="J36" s="16">
        <f t="shared" si="1"/>
        <v>147209.00999999998</v>
      </c>
      <c r="K36" s="16"/>
      <c r="L36" s="16">
        <f t="shared" si="2"/>
        <v>6058238.830000001</v>
      </c>
    </row>
    <row r="37" spans="1:12" x14ac:dyDescent="0.2">
      <c r="A37" s="3" t="s">
        <v>2916</v>
      </c>
      <c r="B37" s="16">
        <v>0</v>
      </c>
      <c r="C37" s="16"/>
      <c r="D37" s="14">
        <v>0</v>
      </c>
      <c r="E37" s="14"/>
      <c r="F37" s="14">
        <v>0</v>
      </c>
      <c r="G37" s="14"/>
      <c r="H37" s="14">
        <v>0</v>
      </c>
      <c r="I37" s="16"/>
      <c r="J37" s="16">
        <f t="shared" si="1"/>
        <v>0</v>
      </c>
      <c r="K37" s="16"/>
      <c r="L37" s="16">
        <f t="shared" si="2"/>
        <v>0</v>
      </c>
    </row>
    <row r="38" spans="1:12" x14ac:dyDescent="0.2">
      <c r="A38" s="131" t="s">
        <v>2917</v>
      </c>
      <c r="B38" s="16">
        <v>2113558.65</v>
      </c>
      <c r="C38" s="16"/>
      <c r="D38" s="14">
        <v>110496.62</v>
      </c>
      <c r="E38" s="14"/>
      <c r="F38" s="14">
        <v>-421228.56</v>
      </c>
      <c r="G38" s="14"/>
      <c r="H38" s="14">
        <v>0</v>
      </c>
      <c r="I38" s="16"/>
      <c r="J38" s="16">
        <f t="shared" si="1"/>
        <v>-310731.94</v>
      </c>
      <c r="K38" s="16"/>
      <c r="L38" s="16">
        <f t="shared" si="2"/>
        <v>1802826.71</v>
      </c>
    </row>
    <row r="39" spans="1:12" x14ac:dyDescent="0.2">
      <c r="A39" s="3" t="s">
        <v>2918</v>
      </c>
      <c r="B39" s="16">
        <v>196248.24</v>
      </c>
      <c r="C39" s="16"/>
      <c r="D39" s="14">
        <v>0</v>
      </c>
      <c r="E39" s="14"/>
      <c r="F39" s="14">
        <v>0</v>
      </c>
      <c r="G39" s="14"/>
      <c r="H39" s="14">
        <v>0</v>
      </c>
      <c r="I39" s="16"/>
      <c r="J39" s="16">
        <f t="shared" si="1"/>
        <v>0</v>
      </c>
      <c r="K39" s="16"/>
      <c r="L39" s="16">
        <f t="shared" si="2"/>
        <v>196248.24</v>
      </c>
    </row>
    <row r="40" spans="1:12" x14ac:dyDescent="0.2">
      <c r="A40" s="21" t="s">
        <v>2919</v>
      </c>
      <c r="B40" s="16">
        <v>5793406.5299999993</v>
      </c>
      <c r="C40" s="16"/>
      <c r="D40" s="14">
        <v>941346</v>
      </c>
      <c r="E40" s="14"/>
      <c r="F40" s="14">
        <v>0</v>
      </c>
      <c r="G40" s="14"/>
      <c r="H40" s="14">
        <v>0</v>
      </c>
      <c r="I40" s="16"/>
      <c r="J40" s="16">
        <f t="shared" si="1"/>
        <v>941346</v>
      </c>
      <c r="K40" s="16"/>
      <c r="L40" s="16">
        <f t="shared" si="2"/>
        <v>6734752.5299999993</v>
      </c>
    </row>
    <row r="41" spans="1:12" x14ac:dyDescent="0.2">
      <c r="B41" s="19">
        <f>SUM(B33:B40)</f>
        <v>20032094.800000004</v>
      </c>
      <c r="C41" s="16"/>
      <c r="D41" s="19">
        <f>SUM(D33:D40)</f>
        <v>1558146.64</v>
      </c>
      <c r="E41" s="16"/>
      <c r="F41" s="19">
        <f>SUM(F33:F40)</f>
        <v>-729805.85000000009</v>
      </c>
      <c r="G41" s="16"/>
      <c r="H41" s="19">
        <f>SUM(H33:H40)</f>
        <v>0</v>
      </c>
      <c r="I41" s="16"/>
      <c r="J41" s="19">
        <f>SUM(J33:J40)</f>
        <v>828340.79</v>
      </c>
      <c r="K41" s="16"/>
      <c r="L41" s="19">
        <f>SUM(L33:L40)</f>
        <v>20860435.590000004</v>
      </c>
    </row>
    <row r="42" spans="1:12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2">
      <c r="A43" s="9" t="s">
        <v>299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">
      <c r="A44" s="3" t="s">
        <v>2920</v>
      </c>
      <c r="B44" s="16">
        <v>6.5</v>
      </c>
      <c r="C44" s="16"/>
      <c r="D44" s="14">
        <v>0</v>
      </c>
      <c r="E44" s="14"/>
      <c r="F44" s="14">
        <v>0</v>
      </c>
      <c r="G44" s="14"/>
      <c r="H44" s="14">
        <v>0</v>
      </c>
      <c r="I44" s="16"/>
      <c r="J44" s="16">
        <f t="shared" si="1"/>
        <v>0</v>
      </c>
      <c r="K44" s="16"/>
      <c r="L44" s="16">
        <f t="shared" si="2"/>
        <v>6.5</v>
      </c>
    </row>
    <row r="45" spans="1:12" x14ac:dyDescent="0.2">
      <c r="A45" s="3" t="s">
        <v>2921</v>
      </c>
      <c r="B45" s="16">
        <v>6221095.3700000001</v>
      </c>
      <c r="C45" s="16"/>
      <c r="D45" s="14">
        <v>0</v>
      </c>
      <c r="E45" s="14"/>
      <c r="F45" s="14">
        <v>-28266.74</v>
      </c>
      <c r="G45" s="14"/>
      <c r="H45" s="14">
        <v>0</v>
      </c>
      <c r="I45" s="16"/>
      <c r="J45" s="16">
        <f t="shared" si="1"/>
        <v>-28266.74</v>
      </c>
      <c r="K45" s="16"/>
      <c r="L45" s="16">
        <f t="shared" si="2"/>
        <v>6192828.6299999999</v>
      </c>
    </row>
    <row r="46" spans="1:12" x14ac:dyDescent="0.2">
      <c r="A46" s="3" t="s">
        <v>2922</v>
      </c>
      <c r="B46" s="16">
        <v>13218970.020000001</v>
      </c>
      <c r="C46" s="16"/>
      <c r="D46" s="14">
        <v>0</v>
      </c>
      <c r="E46" s="14"/>
      <c r="F46" s="14">
        <v>-7416.11</v>
      </c>
      <c r="G46" s="14"/>
      <c r="H46" s="14">
        <v>0</v>
      </c>
      <c r="I46" s="16"/>
      <c r="J46" s="16">
        <f t="shared" si="1"/>
        <v>-7416.11</v>
      </c>
      <c r="K46" s="16"/>
      <c r="L46" s="16">
        <f t="shared" si="2"/>
        <v>13211553.910000002</v>
      </c>
    </row>
    <row r="47" spans="1:12" x14ac:dyDescent="0.2">
      <c r="A47" s="3" t="s">
        <v>2923</v>
      </c>
      <c r="B47" s="16">
        <v>36170896.440000005</v>
      </c>
      <c r="C47" s="16"/>
      <c r="D47" s="14">
        <v>0</v>
      </c>
      <c r="E47" s="14"/>
      <c r="F47" s="14">
        <v>-153828.44</v>
      </c>
      <c r="G47" s="14"/>
      <c r="H47" s="14">
        <v>0</v>
      </c>
      <c r="I47" s="16"/>
      <c r="J47" s="16">
        <f t="shared" si="1"/>
        <v>-153828.44</v>
      </c>
      <c r="K47" s="16"/>
      <c r="L47" s="16">
        <f t="shared" si="2"/>
        <v>36017068.000000007</v>
      </c>
    </row>
    <row r="48" spans="1:12" x14ac:dyDescent="0.2">
      <c r="A48" s="3" t="s">
        <v>2924</v>
      </c>
      <c r="B48" s="16">
        <v>6147899.2199999997</v>
      </c>
      <c r="C48" s="16"/>
      <c r="D48" s="14">
        <v>0</v>
      </c>
      <c r="E48" s="14"/>
      <c r="F48" s="14">
        <v>-21090.5</v>
      </c>
      <c r="G48" s="14"/>
      <c r="H48" s="14">
        <v>0</v>
      </c>
      <c r="I48" s="16"/>
      <c r="J48" s="16">
        <f t="shared" si="1"/>
        <v>-21090.5</v>
      </c>
      <c r="K48" s="16"/>
      <c r="L48" s="16">
        <f t="shared" si="2"/>
        <v>6126808.7199999997</v>
      </c>
    </row>
    <row r="49" spans="1:12" x14ac:dyDescent="0.2">
      <c r="A49" s="3" t="s">
        <v>2925</v>
      </c>
      <c r="B49" s="16">
        <v>338524.52</v>
      </c>
      <c r="C49" s="16"/>
      <c r="D49" s="14">
        <v>0</v>
      </c>
      <c r="E49" s="14"/>
      <c r="F49" s="14">
        <v>-3309.58</v>
      </c>
      <c r="G49" s="14"/>
      <c r="H49" s="14">
        <v>0</v>
      </c>
      <c r="I49" s="16"/>
      <c r="J49" s="16">
        <f t="shared" si="1"/>
        <v>-3309.58</v>
      </c>
      <c r="K49" s="16"/>
      <c r="L49" s="16">
        <f t="shared" si="2"/>
        <v>335214.94</v>
      </c>
    </row>
    <row r="50" spans="1:12" x14ac:dyDescent="0.2">
      <c r="A50" s="3" t="s">
        <v>2926</v>
      </c>
      <c r="B50" s="16">
        <v>29930.61</v>
      </c>
      <c r="C50" s="16"/>
      <c r="D50" s="14">
        <v>0</v>
      </c>
      <c r="E50" s="14"/>
      <c r="F50" s="14">
        <v>0</v>
      </c>
      <c r="G50" s="14"/>
      <c r="H50" s="14">
        <v>0</v>
      </c>
      <c r="I50" s="16"/>
      <c r="J50" s="16">
        <f t="shared" si="1"/>
        <v>0</v>
      </c>
      <c r="K50" s="16"/>
      <c r="L50" s="16">
        <f t="shared" si="2"/>
        <v>29930.61</v>
      </c>
    </row>
    <row r="51" spans="1:12" x14ac:dyDescent="0.2">
      <c r="A51" s="3" t="s">
        <v>2927</v>
      </c>
      <c r="B51" s="15">
        <v>466645.73</v>
      </c>
      <c r="C51" s="16"/>
      <c r="D51" s="14">
        <v>0</v>
      </c>
      <c r="E51" s="14"/>
      <c r="F51" s="14">
        <v>0</v>
      </c>
      <c r="G51" s="14"/>
      <c r="H51" s="14">
        <v>0</v>
      </c>
      <c r="I51" s="16"/>
      <c r="J51" s="15">
        <f t="shared" si="1"/>
        <v>0</v>
      </c>
      <c r="K51" s="16"/>
      <c r="L51" s="15">
        <f t="shared" si="2"/>
        <v>466645.73</v>
      </c>
    </row>
    <row r="52" spans="1:12" x14ac:dyDescent="0.2">
      <c r="B52" s="16">
        <f>SUM(B44:B51)</f>
        <v>62593968.410000004</v>
      </c>
      <c r="C52" s="16"/>
      <c r="D52" s="19">
        <f>SUM(D44:D51)</f>
        <v>0</v>
      </c>
      <c r="E52" s="16"/>
      <c r="F52" s="19">
        <f>SUM(F44:F51)</f>
        <v>-213911.37</v>
      </c>
      <c r="G52" s="16"/>
      <c r="H52" s="19">
        <f>SUM(H44:H51)</f>
        <v>0</v>
      </c>
      <c r="I52" s="16"/>
      <c r="J52" s="16">
        <f>SUM(J44:J51)</f>
        <v>-213911.37</v>
      </c>
      <c r="K52" s="16"/>
      <c r="L52" s="16">
        <f>SUM(L44:L51)</f>
        <v>62380057.039999999</v>
      </c>
    </row>
    <row r="53" spans="1:12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">
      <c r="A54" s="9" t="s">
        <v>309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">
      <c r="A55" s="3" t="s">
        <v>2928</v>
      </c>
      <c r="B55" s="16">
        <v>2240.29</v>
      </c>
      <c r="C55" s="16"/>
      <c r="D55" s="14">
        <v>0</v>
      </c>
      <c r="E55" s="14"/>
      <c r="F55" s="14">
        <v>0</v>
      </c>
      <c r="G55" s="14"/>
      <c r="H55" s="14">
        <v>0</v>
      </c>
      <c r="I55" s="16"/>
      <c r="J55" s="16">
        <f t="shared" si="1"/>
        <v>0</v>
      </c>
      <c r="K55" s="16"/>
      <c r="L55" s="16">
        <f t="shared" si="2"/>
        <v>2240.29</v>
      </c>
    </row>
    <row r="56" spans="1:12" x14ac:dyDescent="0.2">
      <c r="A56" s="3" t="s">
        <v>2929</v>
      </c>
      <c r="B56" s="15">
        <v>0</v>
      </c>
      <c r="C56" s="16"/>
      <c r="D56" s="14">
        <v>0</v>
      </c>
      <c r="E56" s="14"/>
      <c r="F56" s="14">
        <v>0</v>
      </c>
      <c r="G56" s="14"/>
      <c r="H56" s="14">
        <v>0</v>
      </c>
      <c r="I56" s="16"/>
      <c r="J56" s="15">
        <f t="shared" si="1"/>
        <v>0</v>
      </c>
      <c r="K56" s="16"/>
      <c r="L56" s="15">
        <f t="shared" si="2"/>
        <v>0</v>
      </c>
    </row>
    <row r="57" spans="1:12" x14ac:dyDescent="0.2">
      <c r="B57" s="16">
        <f>SUM(B55:B56)</f>
        <v>2240.29</v>
      </c>
      <c r="C57" s="16"/>
      <c r="D57" s="19">
        <f>SUM(D55:D56)</f>
        <v>0</v>
      </c>
      <c r="E57" s="16"/>
      <c r="F57" s="19">
        <f>SUM(F55:F56)</f>
        <v>0</v>
      </c>
      <c r="G57" s="16"/>
      <c r="H57" s="19">
        <f>SUM(H55:H56)</f>
        <v>0</v>
      </c>
      <c r="I57" s="16"/>
      <c r="J57" s="16">
        <f>SUM(J55:J56)</f>
        <v>0</v>
      </c>
      <c r="K57" s="16"/>
      <c r="L57" s="16">
        <f>SUM(L55:L56)</f>
        <v>2240.29</v>
      </c>
    </row>
    <row r="58" spans="1:12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">
      <c r="A59" s="9" t="s">
        <v>313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">
      <c r="A60" s="3" t="s">
        <v>2930</v>
      </c>
      <c r="B60" s="14">
        <v>123878.65999999997</v>
      </c>
      <c r="C60" s="14"/>
      <c r="D60" s="14">
        <v>0</v>
      </c>
      <c r="E60" s="14"/>
      <c r="F60" s="14">
        <v>0</v>
      </c>
      <c r="G60" s="14"/>
      <c r="H60" s="14">
        <v>0</v>
      </c>
      <c r="I60" s="14"/>
      <c r="J60" s="14">
        <f t="shared" si="1"/>
        <v>0</v>
      </c>
      <c r="K60" s="14"/>
      <c r="L60" s="14">
        <f t="shared" si="2"/>
        <v>123878.65999999997</v>
      </c>
    </row>
    <row r="61" spans="1:12" x14ac:dyDescent="0.2">
      <c r="A61" s="3" t="s">
        <v>2931</v>
      </c>
      <c r="B61" s="14">
        <v>32387066.030000001</v>
      </c>
      <c r="C61" s="14"/>
      <c r="D61" s="14">
        <v>1083639.3</v>
      </c>
      <c r="E61" s="14"/>
      <c r="F61" s="14">
        <v>0</v>
      </c>
      <c r="G61" s="14"/>
      <c r="H61" s="14">
        <v>0</v>
      </c>
      <c r="I61" s="14"/>
      <c r="J61" s="14">
        <f t="shared" si="1"/>
        <v>1083639.3</v>
      </c>
      <c r="K61" s="14"/>
      <c r="L61" s="14">
        <f t="shared" si="2"/>
        <v>33470705.330000002</v>
      </c>
    </row>
    <row r="62" spans="1:12" x14ac:dyDescent="0.2">
      <c r="A62" s="3" t="s">
        <v>2932</v>
      </c>
      <c r="B62" s="14">
        <v>16648803.710000001</v>
      </c>
      <c r="C62" s="14"/>
      <c r="D62" s="14">
        <v>7695108.4000000004</v>
      </c>
      <c r="E62" s="14"/>
      <c r="F62" s="14">
        <v>-21564.32</v>
      </c>
      <c r="G62" s="14"/>
      <c r="H62" s="14">
        <v>0</v>
      </c>
      <c r="I62" s="14"/>
      <c r="J62" s="14">
        <f t="shared" si="1"/>
        <v>7673544.0800000001</v>
      </c>
      <c r="K62" s="14"/>
      <c r="L62" s="14">
        <f t="shared" si="2"/>
        <v>24322347.789999999</v>
      </c>
    </row>
    <row r="63" spans="1:12" x14ac:dyDescent="0.2">
      <c r="A63" s="3" t="s">
        <v>2933</v>
      </c>
      <c r="B63" s="14">
        <v>234254823.43999997</v>
      </c>
      <c r="C63" s="14"/>
      <c r="D63" s="14">
        <v>1652371.75</v>
      </c>
      <c r="E63" s="14"/>
      <c r="F63" s="14">
        <v>-890334.67</v>
      </c>
      <c r="G63" s="14"/>
      <c r="H63" s="14">
        <v>-285046.86</v>
      </c>
      <c r="I63" s="14"/>
      <c r="J63" s="14">
        <f t="shared" si="1"/>
        <v>476990.22</v>
      </c>
      <c r="K63" s="14"/>
      <c r="L63" s="14">
        <f t="shared" si="2"/>
        <v>234731813.65999997</v>
      </c>
    </row>
    <row r="64" spans="1:12" x14ac:dyDescent="0.2">
      <c r="A64" s="3" t="s">
        <v>2934</v>
      </c>
      <c r="B64" s="14">
        <v>49859845.339999996</v>
      </c>
      <c r="C64" s="14"/>
      <c r="D64" s="14">
        <v>9121728.5299999993</v>
      </c>
      <c r="E64" s="14"/>
      <c r="F64" s="14">
        <v>-308016.34999999998</v>
      </c>
      <c r="G64" s="14"/>
      <c r="H64" s="14">
        <v>285046.86</v>
      </c>
      <c r="I64" s="14"/>
      <c r="J64" s="14">
        <f t="shared" si="1"/>
        <v>9098759.0399999991</v>
      </c>
      <c r="K64" s="14"/>
      <c r="L64" s="14">
        <f t="shared" si="2"/>
        <v>58958604.379999995</v>
      </c>
    </row>
    <row r="65" spans="1:12" x14ac:dyDescent="0.2">
      <c r="A65" s="3" t="s">
        <v>2935</v>
      </c>
      <c r="B65" s="14">
        <v>27197963.949999999</v>
      </c>
      <c r="C65" s="14"/>
      <c r="D65" s="14">
        <v>301468.36</v>
      </c>
      <c r="E65" s="14"/>
      <c r="F65" s="14">
        <v>0</v>
      </c>
      <c r="G65" s="14"/>
      <c r="H65" s="14">
        <v>0</v>
      </c>
      <c r="I65" s="14"/>
      <c r="J65" s="14">
        <f t="shared" si="1"/>
        <v>301468.36</v>
      </c>
      <c r="K65" s="14"/>
      <c r="L65" s="14">
        <f t="shared" si="2"/>
        <v>27499432.309999999</v>
      </c>
    </row>
    <row r="66" spans="1:12" x14ac:dyDescent="0.2">
      <c r="A66" s="3" t="s">
        <v>2936</v>
      </c>
      <c r="B66" s="14">
        <v>4679827.6499999994</v>
      </c>
      <c r="C66" s="14"/>
      <c r="D66" s="14">
        <v>345277.08</v>
      </c>
      <c r="E66" s="14"/>
      <c r="F66" s="14">
        <v>-22884.799999999999</v>
      </c>
      <c r="G66" s="14"/>
      <c r="H66" s="14">
        <v>0</v>
      </c>
      <c r="I66" s="14"/>
      <c r="J66" s="14">
        <f t="shared" si="1"/>
        <v>322392.28000000003</v>
      </c>
      <c r="K66" s="14"/>
      <c r="L66" s="14">
        <f t="shared" si="2"/>
        <v>5002219.93</v>
      </c>
    </row>
    <row r="67" spans="1:12" x14ac:dyDescent="0.2">
      <c r="A67" s="3" t="s">
        <v>2937</v>
      </c>
      <c r="B67" s="14">
        <v>15555.48</v>
      </c>
      <c r="C67" s="14"/>
      <c r="D67" s="14">
        <v>0</v>
      </c>
      <c r="E67" s="14"/>
      <c r="F67" s="14">
        <v>0</v>
      </c>
      <c r="G67" s="14"/>
      <c r="H67" s="14">
        <v>0</v>
      </c>
      <c r="I67" s="14"/>
      <c r="J67" s="14">
        <f t="shared" si="1"/>
        <v>0</v>
      </c>
      <c r="K67" s="14"/>
      <c r="L67" s="14">
        <f t="shared" si="2"/>
        <v>15555.48</v>
      </c>
    </row>
    <row r="68" spans="1:12" x14ac:dyDescent="0.2">
      <c r="A68" s="3" t="s">
        <v>2938</v>
      </c>
      <c r="B68" s="15">
        <v>62543.96</v>
      </c>
      <c r="C68" s="14"/>
      <c r="D68" s="14">
        <v>0</v>
      </c>
      <c r="E68" s="14"/>
      <c r="F68" s="14">
        <v>0</v>
      </c>
      <c r="G68" s="14"/>
      <c r="H68" s="14">
        <v>33884.6</v>
      </c>
      <c r="I68" s="14"/>
      <c r="J68" s="15">
        <f t="shared" si="1"/>
        <v>33884.6</v>
      </c>
      <c r="K68" s="14"/>
      <c r="L68" s="15">
        <f t="shared" si="2"/>
        <v>96428.56</v>
      </c>
    </row>
    <row r="69" spans="1:12" x14ac:dyDescent="0.2">
      <c r="B69" s="16">
        <f>SUM(B60:B68)</f>
        <v>365230308.21999991</v>
      </c>
      <c r="C69" s="16"/>
      <c r="D69" s="19">
        <f>SUM(D60:D68)</f>
        <v>20199593.419999998</v>
      </c>
      <c r="E69" s="16"/>
      <c r="F69" s="19">
        <f>SUM(F60:F68)</f>
        <v>-1242800.1399999999</v>
      </c>
      <c r="G69" s="16"/>
      <c r="H69" s="19">
        <f>SUM(H60:H68)</f>
        <v>33884.6</v>
      </c>
      <c r="I69" s="16"/>
      <c r="J69" s="16">
        <f>SUM(J60:J68)</f>
        <v>18990677.880000003</v>
      </c>
      <c r="K69" s="16"/>
      <c r="L69" s="16">
        <f>SUM(L60:L68)</f>
        <v>384220986.09999996</v>
      </c>
    </row>
    <row r="70" spans="1:12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">
      <c r="A71" s="9" t="s">
        <v>325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2">
      <c r="A72" s="3" t="s">
        <v>2939</v>
      </c>
      <c r="B72" s="16">
        <v>7266610.4499999993</v>
      </c>
      <c r="C72" s="16"/>
      <c r="D72" s="14">
        <v>0</v>
      </c>
      <c r="E72" s="14"/>
      <c r="F72" s="14">
        <v>0</v>
      </c>
      <c r="G72" s="14"/>
      <c r="H72" s="14">
        <v>0</v>
      </c>
      <c r="I72" s="16"/>
      <c r="J72" s="16">
        <f t="shared" si="1"/>
        <v>0</v>
      </c>
      <c r="K72" s="16"/>
      <c r="L72" s="16">
        <f t="shared" si="2"/>
        <v>7266610.4499999993</v>
      </c>
    </row>
    <row r="73" spans="1:12" x14ac:dyDescent="0.2">
      <c r="A73" s="21" t="s">
        <v>2940</v>
      </c>
      <c r="B73" s="16">
        <v>0</v>
      </c>
      <c r="C73" s="16"/>
      <c r="D73" s="14">
        <v>0</v>
      </c>
      <c r="E73" s="14"/>
      <c r="F73" s="14">
        <v>0</v>
      </c>
      <c r="G73" s="14"/>
      <c r="H73" s="14">
        <v>0</v>
      </c>
      <c r="I73" s="16"/>
      <c r="J73" s="16">
        <f t="shared" si="1"/>
        <v>0</v>
      </c>
      <c r="K73" s="16"/>
      <c r="L73" s="16">
        <f t="shared" si="2"/>
        <v>0</v>
      </c>
    </row>
    <row r="74" spans="1:12" x14ac:dyDescent="0.2">
      <c r="A74" s="21" t="s">
        <v>2941</v>
      </c>
      <c r="B74" s="16">
        <v>360851.26</v>
      </c>
      <c r="C74" s="16"/>
      <c r="D74" s="14">
        <v>0</v>
      </c>
      <c r="E74" s="14"/>
      <c r="F74" s="14">
        <v>0</v>
      </c>
      <c r="G74" s="14"/>
      <c r="H74" s="14">
        <v>0</v>
      </c>
      <c r="I74" s="16"/>
      <c r="J74" s="16">
        <f t="shared" si="1"/>
        <v>0</v>
      </c>
      <c r="K74" s="16"/>
      <c r="L74" s="16">
        <f t="shared" si="2"/>
        <v>360851.26</v>
      </c>
    </row>
    <row r="75" spans="1:12" x14ac:dyDescent="0.2">
      <c r="A75" s="3" t="s">
        <v>2942</v>
      </c>
      <c r="B75" s="16">
        <v>272487031.18000001</v>
      </c>
      <c r="C75" s="16"/>
      <c r="D75" s="14">
        <v>1365061.34</v>
      </c>
      <c r="E75" s="14"/>
      <c r="F75" s="14">
        <v>-209322.45</v>
      </c>
      <c r="G75" s="14"/>
      <c r="H75" s="14">
        <v>0</v>
      </c>
      <c r="I75" s="16"/>
      <c r="J75" s="16">
        <f t="shared" si="1"/>
        <v>1155738.8900000001</v>
      </c>
      <c r="K75" s="16"/>
      <c r="L75" s="16">
        <f t="shared" si="2"/>
        <v>273642770.06999999</v>
      </c>
    </row>
    <row r="76" spans="1:12" x14ac:dyDescent="0.2">
      <c r="A76" s="131" t="s">
        <v>2943</v>
      </c>
      <c r="B76" s="16">
        <v>0</v>
      </c>
      <c r="C76" s="16"/>
      <c r="D76" s="14">
        <v>0</v>
      </c>
      <c r="E76" s="14"/>
      <c r="F76" s="14">
        <v>0</v>
      </c>
      <c r="G76" s="14"/>
      <c r="H76" s="14">
        <v>0</v>
      </c>
      <c r="I76" s="16"/>
      <c r="J76" s="16">
        <f t="shared" si="1"/>
        <v>0</v>
      </c>
      <c r="K76" s="16"/>
      <c r="L76" s="16">
        <f t="shared" si="2"/>
        <v>0</v>
      </c>
    </row>
    <row r="77" spans="1:12" x14ac:dyDescent="0.2">
      <c r="A77" s="3" t="s">
        <v>2944</v>
      </c>
      <c r="B77" s="16">
        <v>1083396331.54</v>
      </c>
      <c r="C77" s="16"/>
      <c r="D77" s="14">
        <v>116648191.84</v>
      </c>
      <c r="E77" s="14"/>
      <c r="F77" s="14">
        <v>-13091124.68</v>
      </c>
      <c r="G77" s="14"/>
      <c r="H77" s="14">
        <v>0</v>
      </c>
      <c r="I77" s="16"/>
      <c r="J77" s="16">
        <f t="shared" si="1"/>
        <v>103557067.16</v>
      </c>
      <c r="K77" s="16"/>
      <c r="L77" s="16">
        <f t="shared" si="2"/>
        <v>1186953398.7</v>
      </c>
    </row>
    <row r="78" spans="1:12" x14ac:dyDescent="0.2">
      <c r="A78" s="3" t="s">
        <v>2945</v>
      </c>
      <c r="B78" s="16">
        <v>0</v>
      </c>
      <c r="C78" s="16"/>
      <c r="D78" s="14">
        <v>0</v>
      </c>
      <c r="E78" s="14"/>
      <c r="F78" s="14">
        <v>0</v>
      </c>
      <c r="G78" s="14"/>
      <c r="H78" s="14">
        <v>0</v>
      </c>
      <c r="I78" s="16"/>
      <c r="J78" s="16">
        <f t="shared" si="1"/>
        <v>0</v>
      </c>
      <c r="K78" s="16"/>
      <c r="L78" s="16">
        <f t="shared" si="2"/>
        <v>0</v>
      </c>
    </row>
    <row r="79" spans="1:12" x14ac:dyDescent="0.2">
      <c r="A79" s="3" t="s">
        <v>2946</v>
      </c>
      <c r="B79" s="16">
        <v>224142188.50999999</v>
      </c>
      <c r="C79" s="16"/>
      <c r="D79" s="14">
        <v>1212101.81</v>
      </c>
      <c r="E79" s="14"/>
      <c r="F79" s="14">
        <v>-1207097.31</v>
      </c>
      <c r="G79" s="14"/>
      <c r="H79" s="14">
        <v>0</v>
      </c>
      <c r="I79" s="16"/>
      <c r="J79" s="16">
        <f t="shared" si="1"/>
        <v>5004.5</v>
      </c>
      <c r="K79" s="16"/>
      <c r="L79" s="16">
        <f t="shared" si="2"/>
        <v>224147193.00999999</v>
      </c>
    </row>
    <row r="80" spans="1:12" x14ac:dyDescent="0.2">
      <c r="A80" s="3" t="s">
        <v>2947</v>
      </c>
      <c r="B80" s="16">
        <v>130538814.32999997</v>
      </c>
      <c r="C80" s="16"/>
      <c r="D80" s="14">
        <v>20385091.629999999</v>
      </c>
      <c r="E80" s="14"/>
      <c r="F80" s="14">
        <v>-22054.35</v>
      </c>
      <c r="G80" s="14"/>
      <c r="H80" s="14">
        <v>0</v>
      </c>
      <c r="I80" s="16"/>
      <c r="J80" s="16">
        <f t="shared" si="1"/>
        <v>20363037.279999997</v>
      </c>
      <c r="K80" s="16"/>
      <c r="L80" s="16">
        <f t="shared" si="2"/>
        <v>150901851.60999995</v>
      </c>
    </row>
    <row r="81" spans="1:12" x14ac:dyDescent="0.2">
      <c r="A81" s="131" t="s">
        <v>2948</v>
      </c>
      <c r="B81" s="16">
        <v>0</v>
      </c>
      <c r="C81" s="16"/>
      <c r="D81" s="14">
        <v>0</v>
      </c>
      <c r="E81" s="14"/>
      <c r="F81" s="14">
        <v>0</v>
      </c>
      <c r="G81" s="14"/>
      <c r="H81" s="14">
        <v>0</v>
      </c>
      <c r="I81" s="16"/>
      <c r="J81" s="16">
        <f t="shared" si="1"/>
        <v>0</v>
      </c>
      <c r="K81" s="16"/>
      <c r="L81" s="16">
        <f t="shared" si="2"/>
        <v>0</v>
      </c>
    </row>
    <row r="82" spans="1:12" x14ac:dyDescent="0.2">
      <c r="A82" s="3" t="s">
        <v>2949</v>
      </c>
      <c r="B82" s="16">
        <v>17767309.590000007</v>
      </c>
      <c r="C82" s="16"/>
      <c r="D82" s="14">
        <v>748535.4</v>
      </c>
      <c r="E82" s="14"/>
      <c r="F82" s="14">
        <v>-207366.95</v>
      </c>
      <c r="G82" s="14"/>
      <c r="H82" s="14">
        <v>0</v>
      </c>
      <c r="I82" s="16"/>
      <c r="J82" s="16">
        <f t="shared" si="1"/>
        <v>541168.44999999995</v>
      </c>
      <c r="K82" s="16"/>
      <c r="L82" s="16">
        <f t="shared" si="2"/>
        <v>18308478.040000007</v>
      </c>
    </row>
    <row r="83" spans="1:12" x14ac:dyDescent="0.2">
      <c r="A83" s="3" t="s">
        <v>2950</v>
      </c>
      <c r="B83" s="16">
        <v>45021427.200000003</v>
      </c>
      <c r="C83" s="16"/>
      <c r="D83" s="14">
        <v>0</v>
      </c>
      <c r="E83" s="14"/>
      <c r="F83" s="14">
        <v>-20817965.800000001</v>
      </c>
      <c r="G83" s="14"/>
      <c r="H83" s="14">
        <v>-803347.02</v>
      </c>
      <c r="I83" s="16"/>
      <c r="J83" s="16">
        <f t="shared" si="1"/>
        <v>-21621312.82</v>
      </c>
      <c r="K83" s="16"/>
      <c r="L83" s="16">
        <f t="shared" si="2"/>
        <v>23400114.380000003</v>
      </c>
    </row>
    <row r="84" spans="1:12" x14ac:dyDescent="0.2">
      <c r="A84" s="3" t="s">
        <v>2951</v>
      </c>
      <c r="B84" s="15">
        <v>81908780.349999994</v>
      </c>
      <c r="C84" s="16"/>
      <c r="D84" s="14">
        <v>0</v>
      </c>
      <c r="E84" s="14"/>
      <c r="F84" s="14">
        <v>0</v>
      </c>
      <c r="G84" s="14"/>
      <c r="H84" s="14">
        <v>-8312784.9499999993</v>
      </c>
      <c r="I84" s="16"/>
      <c r="J84" s="15">
        <f t="shared" si="1"/>
        <v>-8312784.9499999993</v>
      </c>
      <c r="K84" s="16"/>
      <c r="L84" s="15">
        <f t="shared" si="2"/>
        <v>73595995.399999991</v>
      </c>
    </row>
    <row r="85" spans="1:12" x14ac:dyDescent="0.2">
      <c r="B85" s="16">
        <f>SUM(B72:B84)</f>
        <v>1862889344.4099996</v>
      </c>
      <c r="C85" s="16"/>
      <c r="D85" s="19">
        <f>SUM(D72:D84)</f>
        <v>140358982.02000001</v>
      </c>
      <c r="E85" s="16"/>
      <c r="F85" s="19">
        <f>SUM(F72:F84)</f>
        <v>-35554931.539999999</v>
      </c>
      <c r="G85" s="16"/>
      <c r="H85" s="19">
        <f>SUM(H72:H84)</f>
        <v>-9116131.9699999988</v>
      </c>
      <c r="I85" s="16"/>
      <c r="J85" s="16">
        <f>SUM(J72:J84)</f>
        <v>95687918.510000005</v>
      </c>
      <c r="K85" s="16"/>
      <c r="L85" s="16">
        <f>SUM(L72:L84)</f>
        <v>1958577262.9200001</v>
      </c>
    </row>
    <row r="86" spans="1:12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2">
      <c r="A87" s="9" t="s">
        <v>24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2">
      <c r="A88" s="3" t="s">
        <v>2952</v>
      </c>
      <c r="B88" s="16">
        <v>7933707.5499999998</v>
      </c>
      <c r="C88" s="16"/>
      <c r="D88" s="14">
        <v>0</v>
      </c>
      <c r="E88" s="14"/>
      <c r="F88" s="14">
        <v>0</v>
      </c>
      <c r="G88" s="14"/>
      <c r="H88" s="14">
        <v>0</v>
      </c>
      <c r="I88" s="16"/>
      <c r="J88" s="16">
        <f t="shared" si="1"/>
        <v>0</v>
      </c>
      <c r="K88" s="16"/>
      <c r="L88" s="16">
        <f t="shared" si="2"/>
        <v>7933707.5499999998</v>
      </c>
    </row>
    <row r="89" spans="1:12" x14ac:dyDescent="0.2">
      <c r="A89" s="3" t="s">
        <v>2953</v>
      </c>
      <c r="B89" s="16">
        <v>2147929.11</v>
      </c>
      <c r="C89" s="16"/>
      <c r="D89" s="14">
        <v>0</v>
      </c>
      <c r="E89" s="14"/>
      <c r="F89" s="14">
        <v>0</v>
      </c>
      <c r="G89" s="14"/>
      <c r="H89" s="14">
        <v>0</v>
      </c>
      <c r="I89" s="16"/>
      <c r="J89" s="16">
        <f t="shared" si="1"/>
        <v>0</v>
      </c>
      <c r="K89" s="16"/>
      <c r="L89" s="16">
        <f t="shared" si="2"/>
        <v>2147929.11</v>
      </c>
    </row>
    <row r="90" spans="1:12" x14ac:dyDescent="0.2">
      <c r="A90" s="3" t="s">
        <v>2954</v>
      </c>
      <c r="B90" s="16">
        <v>7964706.0399999991</v>
      </c>
      <c r="C90" s="16"/>
      <c r="D90" s="14">
        <v>352295.93</v>
      </c>
      <c r="E90" s="14"/>
      <c r="F90" s="14">
        <v>-26705.65</v>
      </c>
      <c r="G90" s="14"/>
      <c r="H90" s="14">
        <v>-72053.22</v>
      </c>
      <c r="I90" s="16"/>
      <c r="J90" s="16">
        <f>H90+F90+D90</f>
        <v>253537.06</v>
      </c>
      <c r="K90" s="16"/>
      <c r="L90" s="16">
        <f>B90+J90</f>
        <v>8218243.0999999987</v>
      </c>
    </row>
    <row r="91" spans="1:12" x14ac:dyDescent="0.2">
      <c r="A91" s="3" t="s">
        <v>2955</v>
      </c>
      <c r="B91" s="16">
        <v>164741632.34999999</v>
      </c>
      <c r="C91" s="16"/>
      <c r="D91" s="14">
        <v>8819468.0899999999</v>
      </c>
      <c r="E91" s="14"/>
      <c r="F91" s="14">
        <v>-1320418.71</v>
      </c>
      <c r="G91" s="14"/>
      <c r="H91" s="14">
        <v>1041297.96</v>
      </c>
      <c r="I91" s="16"/>
      <c r="J91" s="16">
        <f t="shared" si="1"/>
        <v>8540347.3399999999</v>
      </c>
      <c r="K91" s="16"/>
      <c r="L91" s="16">
        <f t="shared" si="2"/>
        <v>173281979.69</v>
      </c>
    </row>
    <row r="92" spans="1:12" x14ac:dyDescent="0.2">
      <c r="A92" s="3" t="s">
        <v>2956</v>
      </c>
      <c r="B92" s="16">
        <v>0</v>
      </c>
      <c r="C92" s="16"/>
      <c r="D92" s="14">
        <v>0</v>
      </c>
      <c r="E92" s="14"/>
      <c r="F92" s="14">
        <v>0</v>
      </c>
      <c r="G92" s="14"/>
      <c r="H92" s="14">
        <v>0</v>
      </c>
      <c r="I92" s="16"/>
      <c r="J92" s="16">
        <f t="shared" si="1"/>
        <v>0</v>
      </c>
      <c r="K92" s="16"/>
      <c r="L92" s="16">
        <f t="shared" si="2"/>
        <v>0</v>
      </c>
    </row>
    <row r="93" spans="1:12" x14ac:dyDescent="0.2">
      <c r="A93" s="3" t="s">
        <v>2957</v>
      </c>
      <c r="B93" s="16">
        <v>0</v>
      </c>
      <c r="C93" s="16"/>
      <c r="D93" s="14">
        <v>65626.259999999995</v>
      </c>
      <c r="E93" s="14"/>
      <c r="F93" s="14">
        <v>0</v>
      </c>
      <c r="G93" s="14"/>
      <c r="H93" s="14">
        <v>-65626.259999999995</v>
      </c>
      <c r="I93" s="16"/>
      <c r="J93" s="16">
        <f t="shared" si="1"/>
        <v>0</v>
      </c>
      <c r="K93" s="16"/>
      <c r="L93" s="16">
        <f>B93+J93</f>
        <v>0</v>
      </c>
    </row>
    <row r="94" spans="1:12" x14ac:dyDescent="0.2">
      <c r="A94" s="3" t="s">
        <v>2958</v>
      </c>
      <c r="B94" s="16">
        <v>29949827.129999995</v>
      </c>
      <c r="C94" s="16"/>
      <c r="D94" s="14">
        <v>0</v>
      </c>
      <c r="E94" s="14"/>
      <c r="F94" s="14">
        <v>91139.37</v>
      </c>
      <c r="G94" s="14"/>
      <c r="H94" s="14">
        <v>0</v>
      </c>
      <c r="I94" s="16"/>
      <c r="J94" s="16">
        <f t="shared" si="1"/>
        <v>91139.37</v>
      </c>
      <c r="K94" s="16"/>
      <c r="L94" s="16">
        <f t="shared" si="2"/>
        <v>30040966.499999996</v>
      </c>
    </row>
    <row r="95" spans="1:12" x14ac:dyDescent="0.2">
      <c r="A95" s="3" t="s">
        <v>2959</v>
      </c>
      <c r="B95" s="16">
        <v>73174204.819999993</v>
      </c>
      <c r="C95" s="16"/>
      <c r="D95" s="14">
        <v>4486491.53</v>
      </c>
      <c r="E95" s="14"/>
      <c r="F95" s="14">
        <v>-468266.03</v>
      </c>
      <c r="G95" s="14"/>
      <c r="H95" s="14">
        <v>0</v>
      </c>
      <c r="I95" s="16"/>
      <c r="J95" s="16">
        <f t="shared" si="1"/>
        <v>4018225.5</v>
      </c>
      <c r="K95" s="16"/>
      <c r="L95" s="16">
        <f t="shared" si="2"/>
        <v>77192430.319999993</v>
      </c>
    </row>
    <row r="96" spans="1:12" x14ac:dyDescent="0.2">
      <c r="A96" s="3" t="s">
        <v>2960</v>
      </c>
      <c r="B96" s="16">
        <v>51854151.280000001</v>
      </c>
      <c r="C96" s="16"/>
      <c r="D96" s="14">
        <v>657081.84</v>
      </c>
      <c r="E96" s="14"/>
      <c r="F96" s="14">
        <v>-241276.93</v>
      </c>
      <c r="G96" s="14"/>
      <c r="H96" s="14">
        <v>0</v>
      </c>
      <c r="I96" s="16"/>
      <c r="J96" s="16">
        <f t="shared" si="1"/>
        <v>415804.91</v>
      </c>
      <c r="K96" s="16"/>
      <c r="L96" s="16">
        <f t="shared" si="2"/>
        <v>52269956.189999998</v>
      </c>
    </row>
    <row r="97" spans="1:14" x14ac:dyDescent="0.2">
      <c r="A97" s="3" t="s">
        <v>2961</v>
      </c>
      <c r="B97" s="16">
        <v>1687812.96</v>
      </c>
      <c r="C97" s="16"/>
      <c r="D97" s="14">
        <v>0</v>
      </c>
      <c r="E97" s="14"/>
      <c r="F97" s="14">
        <v>0</v>
      </c>
      <c r="G97" s="14"/>
      <c r="H97" s="14">
        <v>0</v>
      </c>
      <c r="I97" s="16"/>
      <c r="J97" s="16">
        <f t="shared" si="1"/>
        <v>0</v>
      </c>
      <c r="K97" s="16"/>
      <c r="L97" s="16">
        <f t="shared" si="2"/>
        <v>1687812.96</v>
      </c>
    </row>
    <row r="98" spans="1:14" x14ac:dyDescent="0.2">
      <c r="A98" s="3" t="s">
        <v>2962</v>
      </c>
      <c r="B98" s="16">
        <v>7365472.6799999997</v>
      </c>
      <c r="C98" s="16"/>
      <c r="D98" s="14">
        <v>6593.47</v>
      </c>
      <c r="E98" s="14"/>
      <c r="F98" s="14">
        <v>0</v>
      </c>
      <c r="G98" s="14"/>
      <c r="H98" s="14">
        <v>0</v>
      </c>
      <c r="I98" s="16"/>
      <c r="J98" s="16">
        <f t="shared" si="1"/>
        <v>6593.47</v>
      </c>
      <c r="K98" s="16"/>
      <c r="L98" s="16">
        <f t="shared" si="2"/>
        <v>7372066.1499999994</v>
      </c>
    </row>
    <row r="99" spans="1:14" x14ac:dyDescent="0.2">
      <c r="A99" s="3" t="s">
        <v>2963</v>
      </c>
      <c r="B99" s="16">
        <v>21323.05</v>
      </c>
      <c r="C99" s="16"/>
      <c r="D99" s="14">
        <v>0</v>
      </c>
      <c r="E99" s="14"/>
      <c r="F99" s="14">
        <v>0</v>
      </c>
      <c r="G99" s="14"/>
      <c r="H99" s="14">
        <v>-3757.49</v>
      </c>
      <c r="I99" s="16"/>
      <c r="J99" s="16">
        <f t="shared" si="1"/>
        <v>-3757.49</v>
      </c>
      <c r="K99" s="16"/>
      <c r="L99" s="16">
        <f t="shared" si="2"/>
        <v>17565.559999999998</v>
      </c>
    </row>
    <row r="100" spans="1:14" x14ac:dyDescent="0.2">
      <c r="A100" s="3" t="s">
        <v>2964</v>
      </c>
      <c r="B100" s="15">
        <v>186976.65</v>
      </c>
      <c r="C100" s="16"/>
      <c r="D100" s="14">
        <v>0</v>
      </c>
      <c r="E100" s="14"/>
      <c r="F100" s="14">
        <v>-7370.88</v>
      </c>
      <c r="G100" s="14"/>
      <c r="H100" s="14">
        <v>0</v>
      </c>
      <c r="I100" s="16"/>
      <c r="J100" s="15">
        <f t="shared" si="1"/>
        <v>-7370.88</v>
      </c>
      <c r="K100" s="16"/>
      <c r="L100" s="15">
        <f t="shared" si="2"/>
        <v>179605.77</v>
      </c>
    </row>
    <row r="101" spans="1:14" x14ac:dyDescent="0.2">
      <c r="B101" s="16">
        <f>SUM(B88:B100)</f>
        <v>347027743.61999995</v>
      </c>
      <c r="C101" s="16"/>
      <c r="D101" s="19">
        <f>SUM(D88:D100)</f>
        <v>14387557.119999999</v>
      </c>
      <c r="E101" s="16"/>
      <c r="F101" s="19">
        <f>SUM(F88:F100)</f>
        <v>-1972898.8299999996</v>
      </c>
      <c r="G101" s="16"/>
      <c r="H101" s="19">
        <f>SUM(H88:H100)</f>
        <v>899860.99</v>
      </c>
      <c r="I101" s="16"/>
      <c r="J101" s="16">
        <f>SUM(J88:J100)</f>
        <v>13314519.279999999</v>
      </c>
      <c r="K101" s="16"/>
      <c r="L101" s="16">
        <f>SUM(L88:L100)</f>
        <v>360342262.89999992</v>
      </c>
    </row>
    <row r="102" spans="1:14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4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4" x14ac:dyDescent="0.2">
      <c r="A104" s="9" t="s">
        <v>2965</v>
      </c>
      <c r="B104" s="20">
        <f>B101+B85+B69+B57+B52+B41+B30</f>
        <v>3895023153.1299992</v>
      </c>
      <c r="C104" s="16"/>
      <c r="D104" s="20">
        <f>D101+D85+D69+D57+D52+D41+D30</f>
        <v>255394368.75999999</v>
      </c>
      <c r="E104" s="16"/>
      <c r="F104" s="20">
        <f>F101+F85+F69+F57+F52+F41+F30</f>
        <v>-54655499.729999997</v>
      </c>
      <c r="G104" s="16"/>
      <c r="H104" s="20">
        <f>H101+H85+H69+H57+H52+H41+H30</f>
        <v>-9117183.1499999985</v>
      </c>
      <c r="I104" s="16"/>
      <c r="J104" s="20">
        <f>J101+J85+J69+J57+J52+J41+J30</f>
        <v>191621685.88000003</v>
      </c>
      <c r="K104" s="16"/>
      <c r="L104" s="20">
        <f>L101+L85+L69+L57+L52+L41+L30</f>
        <v>4086644839.0100002</v>
      </c>
    </row>
    <row r="105" spans="1:14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4" x14ac:dyDescent="0.2">
      <c r="A106" s="9" t="s">
        <v>2878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4" x14ac:dyDescent="0.2">
      <c r="A107" s="9" t="s">
        <v>263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4" x14ac:dyDescent="0.2">
      <c r="A108" s="3" t="s">
        <v>2966</v>
      </c>
      <c r="B108" s="14">
        <v>0</v>
      </c>
      <c r="C108" s="14"/>
      <c r="D108" s="14">
        <v>0</v>
      </c>
      <c r="E108" s="14"/>
      <c r="F108" s="14">
        <v>0</v>
      </c>
      <c r="G108" s="14"/>
      <c r="H108" s="14">
        <v>0</v>
      </c>
      <c r="I108" s="14"/>
      <c r="J108" s="14">
        <f>D108+F108+H108</f>
        <v>0</v>
      </c>
      <c r="K108" s="14"/>
      <c r="L108" s="14">
        <f>J108+B108</f>
        <v>0</v>
      </c>
    </row>
    <row r="109" spans="1:14" x14ac:dyDescent="0.2">
      <c r="A109" s="3" t="s">
        <v>2967</v>
      </c>
      <c r="B109" s="14">
        <v>2415185.9300000006</v>
      </c>
      <c r="C109" s="14"/>
      <c r="D109" s="14">
        <v>1393935.67</v>
      </c>
      <c r="E109" s="14"/>
      <c r="F109" s="14">
        <v>0</v>
      </c>
      <c r="G109" s="14"/>
      <c r="H109" s="14">
        <v>0</v>
      </c>
      <c r="I109" s="14"/>
      <c r="J109" s="14">
        <f t="shared" ref="J109:J119" si="3">D109+F109+H109</f>
        <v>1393935.67</v>
      </c>
      <c r="K109" s="14"/>
      <c r="L109" s="14">
        <f t="shared" ref="L109:L119" si="4">J109+B109</f>
        <v>3809121.6000000006</v>
      </c>
    </row>
    <row r="110" spans="1:14" x14ac:dyDescent="0.2">
      <c r="A110" s="3" t="s">
        <v>2968</v>
      </c>
      <c r="B110" s="14">
        <v>16991571.770000003</v>
      </c>
      <c r="C110" s="14"/>
      <c r="D110" s="14">
        <v>-2136796.83</v>
      </c>
      <c r="E110" s="14"/>
      <c r="F110" s="14">
        <v>0</v>
      </c>
      <c r="G110" s="14"/>
      <c r="H110" s="14">
        <v>0</v>
      </c>
      <c r="I110" s="14"/>
      <c r="J110" s="14">
        <f t="shared" si="3"/>
        <v>-2136796.83</v>
      </c>
      <c r="K110" s="14"/>
      <c r="L110" s="14">
        <f t="shared" si="4"/>
        <v>14854774.940000003</v>
      </c>
      <c r="N110" s="37"/>
    </row>
    <row r="111" spans="1:14" x14ac:dyDescent="0.2">
      <c r="A111" s="3" t="s">
        <v>2969</v>
      </c>
      <c r="B111" s="14">
        <v>15305727.930000002</v>
      </c>
      <c r="C111" s="14"/>
      <c r="D111" s="14">
        <v>5088494.5</v>
      </c>
      <c r="E111" s="14"/>
      <c r="F111" s="14">
        <v>0</v>
      </c>
      <c r="G111" s="14"/>
      <c r="H111" s="14">
        <v>0</v>
      </c>
      <c r="I111" s="14"/>
      <c r="J111" s="14">
        <f t="shared" si="3"/>
        <v>5088494.5</v>
      </c>
      <c r="K111" s="14"/>
      <c r="L111" s="14">
        <f t="shared" si="4"/>
        <v>20394222.43</v>
      </c>
      <c r="N111" s="37"/>
    </row>
    <row r="112" spans="1:14" x14ac:dyDescent="0.2">
      <c r="A112" s="3" t="s">
        <v>2970</v>
      </c>
      <c r="B112" s="14">
        <v>711085.98999999929</v>
      </c>
      <c r="C112" s="14"/>
      <c r="D112" s="14">
        <v>136479.72</v>
      </c>
      <c r="E112" s="14"/>
      <c r="F112" s="14">
        <v>0</v>
      </c>
      <c r="G112" s="14"/>
      <c r="H112" s="14">
        <v>0</v>
      </c>
      <c r="I112" s="14"/>
      <c r="J112" s="14">
        <f t="shared" si="3"/>
        <v>136479.72</v>
      </c>
      <c r="K112" s="14"/>
      <c r="L112" s="14">
        <f t="shared" si="4"/>
        <v>847565.70999999926</v>
      </c>
    </row>
    <row r="113" spans="1:13" x14ac:dyDescent="0.2">
      <c r="A113" s="3" t="s">
        <v>2971</v>
      </c>
      <c r="B113" s="14">
        <v>23105056.059999995</v>
      </c>
      <c r="C113" s="14"/>
      <c r="D113" s="14">
        <v>414275.6</v>
      </c>
      <c r="E113" s="14"/>
      <c r="F113" s="14">
        <v>0</v>
      </c>
      <c r="G113" s="14"/>
      <c r="H113" s="14">
        <v>0</v>
      </c>
      <c r="I113" s="14"/>
      <c r="J113" s="14">
        <f t="shared" si="3"/>
        <v>414275.6</v>
      </c>
      <c r="K113" s="14"/>
      <c r="L113" s="14">
        <f t="shared" si="4"/>
        <v>23519331.659999996</v>
      </c>
    </row>
    <row r="114" spans="1:13" x14ac:dyDescent="0.2">
      <c r="A114" s="3" t="s">
        <v>2972</v>
      </c>
      <c r="B114" s="14">
        <v>1410318.83</v>
      </c>
      <c r="C114" s="14"/>
      <c r="D114" s="14">
        <v>2291522.94</v>
      </c>
      <c r="E114" s="14"/>
      <c r="F114" s="14">
        <v>0</v>
      </c>
      <c r="G114" s="14"/>
      <c r="H114" s="14">
        <v>0</v>
      </c>
      <c r="I114" s="14"/>
      <c r="J114" s="14">
        <f t="shared" si="3"/>
        <v>2291522.94</v>
      </c>
      <c r="K114" s="14"/>
      <c r="L114" s="14">
        <f t="shared" si="4"/>
        <v>3701841.77</v>
      </c>
    </row>
    <row r="115" spans="1:13" x14ac:dyDescent="0.2">
      <c r="A115" s="3" t="s">
        <v>2973</v>
      </c>
      <c r="B115" s="14">
        <v>-7907.5199999997276</v>
      </c>
      <c r="C115" s="14"/>
      <c r="D115" s="14">
        <v>281345.3</v>
      </c>
      <c r="E115" s="14"/>
      <c r="F115" s="14">
        <v>0</v>
      </c>
      <c r="G115" s="14"/>
      <c r="H115" s="14">
        <v>0</v>
      </c>
      <c r="I115" s="14"/>
      <c r="J115" s="14">
        <f t="shared" si="3"/>
        <v>281345.3</v>
      </c>
      <c r="K115" s="14"/>
      <c r="L115" s="14">
        <f t="shared" si="4"/>
        <v>273437.78000000026</v>
      </c>
    </row>
    <row r="116" spans="1:13" x14ac:dyDescent="0.2">
      <c r="A116" s="3" t="s">
        <v>2974</v>
      </c>
      <c r="B116" s="14">
        <v>0</v>
      </c>
      <c r="C116" s="14"/>
      <c r="D116" s="14">
        <v>156621.42000000001</v>
      </c>
      <c r="E116" s="14"/>
      <c r="F116" s="14">
        <v>0</v>
      </c>
      <c r="G116" s="14"/>
      <c r="H116" s="14">
        <v>0</v>
      </c>
      <c r="I116" s="14"/>
      <c r="J116" s="14">
        <f>D116+F116+H116</f>
        <v>156621.42000000001</v>
      </c>
      <c r="K116" s="14"/>
      <c r="L116" s="14">
        <f>J116+B116</f>
        <v>156621.42000000001</v>
      </c>
    </row>
    <row r="117" spans="1:13" x14ac:dyDescent="0.2">
      <c r="A117" s="3" t="s">
        <v>2975</v>
      </c>
      <c r="B117" s="14">
        <v>3069.7900000000373</v>
      </c>
      <c r="C117" s="14"/>
      <c r="D117" s="14">
        <v>-1177.4100000000001</v>
      </c>
      <c r="E117" s="14"/>
      <c r="F117" s="14">
        <v>0</v>
      </c>
      <c r="G117" s="14"/>
      <c r="H117" s="14">
        <v>0</v>
      </c>
      <c r="I117" s="14"/>
      <c r="J117" s="14">
        <f>D117+F117+H117</f>
        <v>-1177.4100000000001</v>
      </c>
      <c r="K117" s="14"/>
      <c r="L117" s="14">
        <f>J117+B117</f>
        <v>1892.3800000000372</v>
      </c>
    </row>
    <row r="118" spans="1:13" x14ac:dyDescent="0.2">
      <c r="A118" s="3" t="s">
        <v>2976</v>
      </c>
      <c r="B118" s="14">
        <v>2852707.1900000004</v>
      </c>
      <c r="C118" s="14"/>
      <c r="D118" s="14">
        <v>-838695.4</v>
      </c>
      <c r="E118" s="14"/>
      <c r="F118" s="14">
        <v>0</v>
      </c>
      <c r="G118" s="14"/>
      <c r="H118" s="14">
        <v>0</v>
      </c>
      <c r="I118" s="14"/>
      <c r="J118" s="14">
        <f t="shared" si="3"/>
        <v>-838695.4</v>
      </c>
      <c r="K118" s="14"/>
      <c r="L118" s="14">
        <f t="shared" si="4"/>
        <v>2014011.7900000005</v>
      </c>
    </row>
    <row r="119" spans="1:13" x14ac:dyDescent="0.2">
      <c r="A119" s="3" t="s">
        <v>2977</v>
      </c>
      <c r="B119" s="15">
        <v>497547.46000000025</v>
      </c>
      <c r="C119" s="16"/>
      <c r="D119" s="14">
        <v>217959.14</v>
      </c>
      <c r="E119" s="14"/>
      <c r="F119" s="14">
        <v>0</v>
      </c>
      <c r="G119" s="14"/>
      <c r="H119" s="14">
        <v>0</v>
      </c>
      <c r="I119" s="16"/>
      <c r="J119" s="15">
        <f t="shared" si="3"/>
        <v>217959.14</v>
      </c>
      <c r="K119" s="16"/>
      <c r="L119" s="15">
        <f t="shared" si="4"/>
        <v>715506.60000000033</v>
      </c>
      <c r="M119" s="29"/>
    </row>
    <row r="120" spans="1:13" x14ac:dyDescent="0.2">
      <c r="B120" s="16">
        <f>SUM(B108:B119)</f>
        <v>63284363.429999992</v>
      </c>
      <c r="C120" s="16"/>
      <c r="D120" s="19">
        <f>SUM(D108:D119)</f>
        <v>7003964.6499999985</v>
      </c>
      <c r="E120" s="16"/>
      <c r="F120" s="19">
        <f>SUM(F108:F119)</f>
        <v>0</v>
      </c>
      <c r="G120" s="16"/>
      <c r="H120" s="19">
        <f>SUM(H108:H119)</f>
        <v>0</v>
      </c>
      <c r="I120" s="16"/>
      <c r="J120" s="16">
        <f>SUM(J108:J119)</f>
        <v>7003964.6499999985</v>
      </c>
      <c r="K120" s="16"/>
      <c r="L120" s="16">
        <f>SUM(L108:L119)</f>
        <v>70288328.079999998</v>
      </c>
      <c r="M120" s="29"/>
    </row>
    <row r="121" spans="1:13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9"/>
    </row>
    <row r="122" spans="1:13" x14ac:dyDescent="0.2">
      <c r="A122" s="9" t="s">
        <v>2880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9"/>
    </row>
    <row r="123" spans="1:13" x14ac:dyDescent="0.2">
      <c r="A123" s="3" t="s">
        <v>2978</v>
      </c>
      <c r="B123" s="16">
        <v>17824.98</v>
      </c>
      <c r="C123" s="16"/>
      <c r="D123" s="14">
        <v>-17824.98</v>
      </c>
      <c r="E123" s="14"/>
      <c r="F123" s="14">
        <v>0</v>
      </c>
      <c r="G123" s="14"/>
      <c r="H123" s="14">
        <v>0</v>
      </c>
      <c r="I123" s="16"/>
      <c r="J123" s="16">
        <f>D123+F123+H123</f>
        <v>-17824.98</v>
      </c>
      <c r="K123" s="16"/>
      <c r="L123" s="16">
        <f>J123+B123</f>
        <v>0</v>
      </c>
      <c r="M123" s="29"/>
    </row>
    <row r="124" spans="1:13" x14ac:dyDescent="0.2">
      <c r="A124" s="131" t="s">
        <v>2979</v>
      </c>
      <c r="B124" s="16">
        <v>479891.91999999993</v>
      </c>
      <c r="C124" s="16"/>
      <c r="D124" s="14">
        <v>-246335.64</v>
      </c>
      <c r="E124" s="14"/>
      <c r="F124" s="14">
        <v>0</v>
      </c>
      <c r="G124" s="14"/>
      <c r="H124" s="14">
        <v>0</v>
      </c>
      <c r="I124" s="16"/>
      <c r="J124" s="16">
        <f>D124+F124+H124</f>
        <v>-246335.64</v>
      </c>
      <c r="K124" s="16"/>
      <c r="L124" s="16">
        <f>J124+B124</f>
        <v>233556.27999999991</v>
      </c>
      <c r="M124" s="29"/>
    </row>
    <row r="125" spans="1:13" x14ac:dyDescent="0.2">
      <c r="A125" s="120" t="s">
        <v>2980</v>
      </c>
      <c r="B125" s="16">
        <v>0</v>
      </c>
      <c r="C125" s="16"/>
      <c r="D125" s="14">
        <v>0</v>
      </c>
      <c r="E125" s="14"/>
      <c r="F125" s="14">
        <v>0</v>
      </c>
      <c r="G125" s="14"/>
      <c r="H125" s="14">
        <v>0</v>
      </c>
      <c r="I125" s="16"/>
      <c r="J125" s="16">
        <f>D125+F125+H125</f>
        <v>0</v>
      </c>
      <c r="K125" s="16"/>
      <c r="L125" s="16">
        <f>J125+B125</f>
        <v>0</v>
      </c>
      <c r="M125" s="29"/>
    </row>
    <row r="126" spans="1:13" x14ac:dyDescent="0.2">
      <c r="A126" s="3" t="s">
        <v>2981</v>
      </c>
      <c r="B126" s="16">
        <v>0</v>
      </c>
      <c r="C126" s="16"/>
      <c r="D126" s="14">
        <v>0</v>
      </c>
      <c r="E126" s="14"/>
      <c r="F126" s="14">
        <v>0</v>
      </c>
      <c r="G126" s="14"/>
      <c r="H126" s="14">
        <v>0</v>
      </c>
      <c r="I126" s="16"/>
      <c r="J126" s="16">
        <f>D126+F126+H126</f>
        <v>0</v>
      </c>
      <c r="K126" s="16"/>
      <c r="L126" s="16">
        <f>J126+B126</f>
        <v>0</v>
      </c>
      <c r="M126" s="29"/>
    </row>
    <row r="127" spans="1:13" x14ac:dyDescent="0.2">
      <c r="A127" s="21" t="s">
        <v>2982</v>
      </c>
      <c r="B127" s="16">
        <v>177515.27</v>
      </c>
      <c r="C127" s="16"/>
      <c r="D127" s="14">
        <v>-59975.06</v>
      </c>
      <c r="E127" s="14"/>
      <c r="F127" s="14">
        <v>0</v>
      </c>
      <c r="G127" s="14"/>
      <c r="H127" s="14">
        <v>0</v>
      </c>
      <c r="I127" s="16"/>
      <c r="J127" s="16">
        <f>D127+F127+H127</f>
        <v>-59975.06</v>
      </c>
      <c r="K127" s="16"/>
      <c r="L127" s="16">
        <f>J127+B127</f>
        <v>117540.20999999999</v>
      </c>
      <c r="M127" s="29"/>
    </row>
    <row r="128" spans="1:13" x14ac:dyDescent="0.2">
      <c r="B128" s="19">
        <f>SUM(B123:B127)</f>
        <v>675232.16999999993</v>
      </c>
      <c r="C128" s="16"/>
      <c r="D128" s="19">
        <f>SUM(D123:D127)</f>
        <v>-324135.67999999999</v>
      </c>
      <c r="E128" s="16"/>
      <c r="F128" s="19">
        <f>SUM(F123:F127)</f>
        <v>0</v>
      </c>
      <c r="G128" s="16"/>
      <c r="H128" s="19">
        <f>SUM(H123:H127)</f>
        <v>0</v>
      </c>
      <c r="I128" s="16"/>
      <c r="J128" s="19">
        <f>SUM(J123:J127)</f>
        <v>-324135.67999999999</v>
      </c>
      <c r="K128" s="16"/>
      <c r="L128" s="19">
        <f>SUM(L123:L127)</f>
        <v>351096.48999999987</v>
      </c>
      <c r="M128" s="29"/>
    </row>
    <row r="129" spans="1:13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9"/>
    </row>
    <row r="130" spans="1:13" x14ac:dyDescent="0.2">
      <c r="A130" s="9" t="s">
        <v>299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9"/>
    </row>
    <row r="131" spans="1:13" x14ac:dyDescent="0.2">
      <c r="A131" s="3" t="s">
        <v>2983</v>
      </c>
      <c r="B131" s="16">
        <v>4659298.7399999993</v>
      </c>
      <c r="C131" s="16"/>
      <c r="D131" s="14">
        <v>2018580.84</v>
      </c>
      <c r="E131" s="14"/>
      <c r="F131" s="14">
        <v>0</v>
      </c>
      <c r="G131" s="14"/>
      <c r="H131" s="14">
        <v>0</v>
      </c>
      <c r="I131" s="16"/>
      <c r="J131" s="16">
        <f>D131+F131+H131</f>
        <v>2018580.84</v>
      </c>
      <c r="K131" s="16"/>
      <c r="L131" s="16">
        <f>J131+B131</f>
        <v>6677879.5799999991</v>
      </c>
      <c r="M131" s="29"/>
    </row>
    <row r="132" spans="1:13" x14ac:dyDescent="0.2">
      <c r="A132" s="3" t="s">
        <v>2984</v>
      </c>
      <c r="B132" s="16">
        <v>8315110.8000000007</v>
      </c>
      <c r="C132" s="16"/>
      <c r="D132" s="14">
        <v>2966174.71</v>
      </c>
      <c r="E132" s="14"/>
      <c r="F132" s="14">
        <v>0</v>
      </c>
      <c r="G132" s="14"/>
      <c r="H132" s="14">
        <v>0</v>
      </c>
      <c r="I132" s="16"/>
      <c r="J132" s="16">
        <f>D132+F132+H132</f>
        <v>2966174.71</v>
      </c>
      <c r="K132" s="16"/>
      <c r="L132" s="16">
        <f>J132+B132</f>
        <v>11281285.510000002</v>
      </c>
      <c r="M132" s="29"/>
    </row>
    <row r="133" spans="1:13" x14ac:dyDescent="0.2">
      <c r="A133" s="3" t="s">
        <v>2985</v>
      </c>
      <c r="B133" s="16">
        <v>44505937.57</v>
      </c>
      <c r="C133" s="16"/>
      <c r="D133" s="14">
        <v>11104240.51</v>
      </c>
      <c r="E133" s="14"/>
      <c r="F133" s="14">
        <v>0</v>
      </c>
      <c r="G133" s="14"/>
      <c r="H133" s="14">
        <v>0</v>
      </c>
      <c r="I133" s="16"/>
      <c r="J133" s="16">
        <f>D133+F133+H133</f>
        <v>11104240.51</v>
      </c>
      <c r="K133" s="16"/>
      <c r="L133" s="16">
        <f>J133+B133</f>
        <v>55610178.079999998</v>
      </c>
      <c r="M133" s="29"/>
    </row>
    <row r="134" spans="1:13" x14ac:dyDescent="0.2">
      <c r="A134" s="131" t="s">
        <v>2986</v>
      </c>
      <c r="B134" s="16">
        <v>5092874.26</v>
      </c>
      <c r="C134" s="16"/>
      <c r="D134" s="14">
        <v>1850706.71</v>
      </c>
      <c r="E134" s="14"/>
      <c r="F134" s="14">
        <v>0</v>
      </c>
      <c r="G134" s="14"/>
      <c r="H134" s="14">
        <v>0</v>
      </c>
      <c r="I134" s="16"/>
      <c r="J134" s="16">
        <f>D134+F134+H134</f>
        <v>1850706.71</v>
      </c>
      <c r="K134" s="16"/>
      <c r="L134" s="16">
        <f>J134+B134</f>
        <v>6943580.9699999997</v>
      </c>
      <c r="M134" s="29"/>
    </row>
    <row r="135" spans="1:13" x14ac:dyDescent="0.2">
      <c r="A135" s="3" t="s">
        <v>2987</v>
      </c>
      <c r="B135" s="15">
        <v>2325724.64</v>
      </c>
      <c r="C135" s="16"/>
      <c r="D135" s="14">
        <v>925353.46</v>
      </c>
      <c r="E135" s="14"/>
      <c r="F135" s="14">
        <v>0</v>
      </c>
      <c r="G135" s="14"/>
      <c r="H135" s="14">
        <v>0</v>
      </c>
      <c r="I135" s="16"/>
      <c r="J135" s="15">
        <f>D135+F135+H135</f>
        <v>925353.46</v>
      </c>
      <c r="K135" s="16"/>
      <c r="L135" s="15">
        <f>J135+B135</f>
        <v>3251078.1</v>
      </c>
      <c r="M135" s="29"/>
    </row>
    <row r="136" spans="1:13" x14ac:dyDescent="0.2">
      <c r="B136" s="16">
        <f>SUM(B131:B135)</f>
        <v>64898946.009999998</v>
      </c>
      <c r="C136" s="16"/>
      <c r="D136" s="19">
        <f>SUM(D131:D135)</f>
        <v>18865056.23</v>
      </c>
      <c r="E136" s="16"/>
      <c r="F136" s="19">
        <f>SUM(F131:F135)</f>
        <v>0</v>
      </c>
      <c r="G136" s="16"/>
      <c r="H136" s="19">
        <f>SUM(H131:H135)</f>
        <v>0</v>
      </c>
      <c r="I136" s="16"/>
      <c r="J136" s="16">
        <f>SUM(J131:J135)</f>
        <v>18865056.23</v>
      </c>
      <c r="K136" s="16"/>
      <c r="L136" s="16">
        <f>SUM(L131:L135)</f>
        <v>83764002.239999995</v>
      </c>
      <c r="M136" s="29"/>
    </row>
    <row r="137" spans="1:13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9"/>
    </row>
    <row r="138" spans="1:13" x14ac:dyDescent="0.2">
      <c r="A138" s="9" t="s">
        <v>313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9"/>
    </row>
    <row r="139" spans="1:13" x14ac:dyDescent="0.2">
      <c r="A139" s="3" t="s">
        <v>2988</v>
      </c>
      <c r="B139" s="16">
        <v>708791.41999999993</v>
      </c>
      <c r="C139" s="16"/>
      <c r="D139" s="14">
        <v>-564153.73</v>
      </c>
      <c r="E139" s="16"/>
      <c r="F139" s="14">
        <v>0</v>
      </c>
      <c r="G139" s="16"/>
      <c r="H139" s="14">
        <v>0</v>
      </c>
      <c r="I139" s="16"/>
      <c r="J139" s="16">
        <f t="shared" ref="J139:J144" si="5">D139+F139+H139</f>
        <v>-564153.73</v>
      </c>
      <c r="K139" s="16"/>
      <c r="L139" s="16">
        <f t="shared" ref="L139:L144" si="6">J139+B139</f>
        <v>144637.68999999994</v>
      </c>
      <c r="M139" s="29"/>
    </row>
    <row r="140" spans="1:13" x14ac:dyDescent="0.2">
      <c r="A140" s="3" t="s">
        <v>2989</v>
      </c>
      <c r="B140" s="16">
        <v>7618374.8200000003</v>
      </c>
      <c r="C140" s="16"/>
      <c r="D140" s="14">
        <v>-7298696.7199999997</v>
      </c>
      <c r="E140" s="14"/>
      <c r="F140" s="14">
        <v>0</v>
      </c>
      <c r="G140" s="14"/>
      <c r="H140" s="14">
        <v>0</v>
      </c>
      <c r="I140" s="16"/>
      <c r="J140" s="16">
        <f t="shared" si="5"/>
        <v>-7298696.7199999997</v>
      </c>
      <c r="K140" s="16"/>
      <c r="L140" s="16">
        <f t="shared" si="6"/>
        <v>319678.10000000056</v>
      </c>
      <c r="M140" s="29"/>
    </row>
    <row r="141" spans="1:13" x14ac:dyDescent="0.2">
      <c r="A141" s="3" t="s">
        <v>2990</v>
      </c>
      <c r="B141" s="16">
        <v>1455227.3300000019</v>
      </c>
      <c r="C141" s="16"/>
      <c r="D141" s="14">
        <v>7866052.8899999997</v>
      </c>
      <c r="E141" s="14"/>
      <c r="F141" s="14">
        <v>0</v>
      </c>
      <c r="G141" s="14"/>
      <c r="H141" s="14">
        <v>0</v>
      </c>
      <c r="I141" s="16"/>
      <c r="J141" s="16">
        <f t="shared" si="5"/>
        <v>7866052.8899999997</v>
      </c>
      <c r="K141" s="16"/>
      <c r="L141" s="16">
        <f t="shared" si="6"/>
        <v>9321280.2200000025</v>
      </c>
      <c r="M141" s="29"/>
    </row>
    <row r="142" spans="1:13" x14ac:dyDescent="0.2">
      <c r="A142" s="3" t="s">
        <v>2991</v>
      </c>
      <c r="B142" s="16">
        <v>9217153.7100000009</v>
      </c>
      <c r="C142" s="16"/>
      <c r="D142" s="14">
        <v>-9150406.3300000001</v>
      </c>
      <c r="E142" s="14"/>
      <c r="F142" s="14">
        <v>0</v>
      </c>
      <c r="G142" s="14"/>
      <c r="H142" s="14">
        <v>0</v>
      </c>
      <c r="I142" s="16"/>
      <c r="J142" s="16">
        <f t="shared" si="5"/>
        <v>-9150406.3300000001</v>
      </c>
      <c r="K142" s="16"/>
      <c r="L142" s="16">
        <f t="shared" si="6"/>
        <v>66747.38000000082</v>
      </c>
      <c r="M142" s="29"/>
    </row>
    <row r="143" spans="1:13" x14ac:dyDescent="0.2">
      <c r="A143" s="131" t="s">
        <v>2992</v>
      </c>
      <c r="B143" s="16">
        <v>445043.09999999963</v>
      </c>
      <c r="C143" s="16"/>
      <c r="D143" s="14">
        <v>4119584.4</v>
      </c>
      <c r="E143" s="14"/>
      <c r="F143" s="14">
        <v>0</v>
      </c>
      <c r="G143" s="14"/>
      <c r="H143" s="14">
        <v>0</v>
      </c>
      <c r="I143" s="16"/>
      <c r="J143" s="16">
        <f t="shared" si="5"/>
        <v>4119584.4</v>
      </c>
      <c r="K143" s="16"/>
      <c r="L143" s="16">
        <f t="shared" si="6"/>
        <v>4564627.5</v>
      </c>
      <c r="M143" s="29"/>
    </row>
    <row r="144" spans="1:13" x14ac:dyDescent="0.2">
      <c r="A144" s="131" t="s">
        <v>2993</v>
      </c>
      <c r="B144" s="15">
        <v>244941.23</v>
      </c>
      <c r="C144" s="16"/>
      <c r="D144" s="14">
        <v>-244941.23</v>
      </c>
      <c r="E144" s="14"/>
      <c r="F144" s="14">
        <v>0</v>
      </c>
      <c r="G144" s="14"/>
      <c r="H144" s="14">
        <v>0</v>
      </c>
      <c r="I144" s="16"/>
      <c r="J144" s="15">
        <f t="shared" si="5"/>
        <v>-244941.23</v>
      </c>
      <c r="K144" s="16"/>
      <c r="L144" s="15">
        <f t="shared" si="6"/>
        <v>0</v>
      </c>
      <c r="M144" s="29"/>
    </row>
    <row r="145" spans="1:13" x14ac:dyDescent="0.2">
      <c r="B145" s="16">
        <f>SUM(B139:B144)</f>
        <v>19689531.610000003</v>
      </c>
      <c r="C145" s="16"/>
      <c r="D145" s="19">
        <f>SUM(D139:D144)</f>
        <v>-5272560.7200000007</v>
      </c>
      <c r="E145" s="16"/>
      <c r="F145" s="19">
        <f>SUM(F139:F144)</f>
        <v>0</v>
      </c>
      <c r="G145" s="16"/>
      <c r="H145" s="19">
        <f>SUM(H139:H144)</f>
        <v>0</v>
      </c>
      <c r="I145" s="16"/>
      <c r="J145" s="16">
        <f>SUM(J139:J144)</f>
        <v>-5272560.7200000007</v>
      </c>
      <c r="K145" s="16"/>
      <c r="L145" s="16">
        <f>SUM(L139:L144)</f>
        <v>14416970.890000004</v>
      </c>
      <c r="M145" s="36"/>
    </row>
    <row r="146" spans="1:13" x14ac:dyDescent="0.2">
      <c r="A146" s="9" t="s">
        <v>325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9"/>
    </row>
    <row r="147" spans="1:13" x14ac:dyDescent="0.2">
      <c r="A147" s="21" t="s">
        <v>2994</v>
      </c>
      <c r="B147" s="16">
        <v>0</v>
      </c>
      <c r="C147" s="16"/>
      <c r="D147" s="14">
        <v>1245242.0900000001</v>
      </c>
      <c r="E147" s="14"/>
      <c r="F147" s="14">
        <v>0</v>
      </c>
      <c r="G147" s="14"/>
      <c r="H147" s="14">
        <v>0</v>
      </c>
      <c r="I147" s="16"/>
      <c r="J147" s="16">
        <f t="shared" ref="J147:J153" si="7">D147+F147+H147</f>
        <v>1245242.0900000001</v>
      </c>
      <c r="K147" s="16"/>
      <c r="L147" s="16">
        <f t="shared" ref="L147:L153" si="8">J147+B147</f>
        <v>1245242.0900000001</v>
      </c>
      <c r="M147" s="29"/>
    </row>
    <row r="148" spans="1:13" x14ac:dyDescent="0.2">
      <c r="A148" s="3" t="s">
        <v>2995</v>
      </c>
      <c r="B148" s="16">
        <v>26687356.359999999</v>
      </c>
      <c r="C148" s="16"/>
      <c r="D148" s="14">
        <v>1705432.79</v>
      </c>
      <c r="E148" s="14"/>
      <c r="F148" s="14">
        <v>0</v>
      </c>
      <c r="G148" s="14"/>
      <c r="H148" s="14">
        <v>0</v>
      </c>
      <c r="I148" s="16"/>
      <c r="J148" s="16">
        <f t="shared" si="7"/>
        <v>1705432.79</v>
      </c>
      <c r="K148" s="16"/>
      <c r="L148" s="16">
        <f t="shared" si="8"/>
        <v>28392789.149999999</v>
      </c>
      <c r="M148" s="29"/>
    </row>
    <row r="149" spans="1:13" x14ac:dyDescent="0.2">
      <c r="A149" s="131" t="s">
        <v>2996</v>
      </c>
      <c r="B149" s="16">
        <v>0</v>
      </c>
      <c r="C149" s="16"/>
      <c r="D149" s="14">
        <v>0</v>
      </c>
      <c r="E149" s="14"/>
      <c r="F149" s="14">
        <v>0</v>
      </c>
      <c r="G149" s="14"/>
      <c r="H149" s="14">
        <v>0</v>
      </c>
      <c r="I149" s="16"/>
      <c r="J149" s="16">
        <f t="shared" si="7"/>
        <v>0</v>
      </c>
      <c r="K149" s="16"/>
      <c r="L149" s="16">
        <f t="shared" si="8"/>
        <v>0</v>
      </c>
      <c r="M149" s="29"/>
    </row>
    <row r="150" spans="1:13" x14ac:dyDescent="0.2">
      <c r="A150" s="3" t="s">
        <v>2997</v>
      </c>
      <c r="B150" s="16">
        <v>1075563012.76</v>
      </c>
      <c r="C150" s="16"/>
      <c r="D150" s="14">
        <v>-75886045.260000005</v>
      </c>
      <c r="E150" s="14"/>
      <c r="F150" s="14">
        <v>0</v>
      </c>
      <c r="G150" s="14"/>
      <c r="H150" s="14">
        <v>0</v>
      </c>
      <c r="I150" s="16"/>
      <c r="J150" s="16">
        <f t="shared" si="7"/>
        <v>-75886045.260000005</v>
      </c>
      <c r="K150" s="16"/>
      <c r="L150" s="16">
        <f t="shared" si="8"/>
        <v>999676967.5</v>
      </c>
      <c r="M150" s="29"/>
    </row>
    <row r="151" spans="1:13" x14ac:dyDescent="0.2">
      <c r="A151" s="3" t="s">
        <v>2998</v>
      </c>
      <c r="B151" s="16">
        <v>1041122.5400000028</v>
      </c>
      <c r="C151" s="16"/>
      <c r="D151" s="14">
        <v>1661377.62</v>
      </c>
      <c r="E151" s="14"/>
      <c r="F151" s="14">
        <v>0</v>
      </c>
      <c r="G151" s="14"/>
      <c r="H151" s="14">
        <v>0</v>
      </c>
      <c r="I151" s="16"/>
      <c r="J151" s="16">
        <f t="shared" si="7"/>
        <v>1661377.62</v>
      </c>
      <c r="K151" s="16"/>
      <c r="L151" s="16">
        <f t="shared" si="8"/>
        <v>2702500.1600000029</v>
      </c>
      <c r="M151" s="29"/>
    </row>
    <row r="152" spans="1:13" x14ac:dyDescent="0.2">
      <c r="A152" s="3" t="s">
        <v>2999</v>
      </c>
      <c r="B152" s="16">
        <v>34734903.789999999</v>
      </c>
      <c r="C152" s="16"/>
      <c r="D152" s="14">
        <v>-3241271.13</v>
      </c>
      <c r="E152" s="14"/>
      <c r="F152" s="14">
        <v>0</v>
      </c>
      <c r="G152" s="14"/>
      <c r="H152" s="14">
        <v>0</v>
      </c>
      <c r="I152" s="16"/>
      <c r="J152" s="16">
        <f t="shared" si="7"/>
        <v>-3241271.13</v>
      </c>
      <c r="K152" s="16"/>
      <c r="L152" s="16">
        <f t="shared" si="8"/>
        <v>31493632.66</v>
      </c>
      <c r="M152" s="29"/>
    </row>
    <row r="153" spans="1:13" x14ac:dyDescent="0.2">
      <c r="A153" s="3" t="s">
        <v>3000</v>
      </c>
      <c r="B153" s="15">
        <v>937039.84000000043</v>
      </c>
      <c r="C153" s="16"/>
      <c r="D153" s="14">
        <v>1072156.93</v>
      </c>
      <c r="E153" s="14"/>
      <c r="F153" s="14">
        <v>0</v>
      </c>
      <c r="G153" s="14"/>
      <c r="H153" s="14">
        <v>0</v>
      </c>
      <c r="I153" s="16"/>
      <c r="J153" s="15">
        <f t="shared" si="7"/>
        <v>1072156.93</v>
      </c>
      <c r="K153" s="16"/>
      <c r="L153" s="15">
        <f t="shared" si="8"/>
        <v>2009196.7700000005</v>
      </c>
      <c r="M153" s="29"/>
    </row>
    <row r="154" spans="1:13" x14ac:dyDescent="0.2">
      <c r="B154" s="16">
        <f>SUM(B147:B153)</f>
        <v>1138963435.2899997</v>
      </c>
      <c r="C154" s="16"/>
      <c r="D154" s="19">
        <f>SUM(D147:D153)</f>
        <v>-73443106.959999993</v>
      </c>
      <c r="E154" s="16"/>
      <c r="F154" s="19">
        <f>SUM(F147:F153)</f>
        <v>0</v>
      </c>
      <c r="G154" s="16"/>
      <c r="H154" s="19">
        <f>SUM(H147:H153)</f>
        <v>0</v>
      </c>
      <c r="I154" s="16"/>
      <c r="J154" s="19">
        <f>SUM(J147:J153)</f>
        <v>-73443106.959999993</v>
      </c>
      <c r="K154" s="16"/>
      <c r="L154" s="19">
        <f>SUM(L147:L153)</f>
        <v>1065520328.3299999</v>
      </c>
      <c r="M154" s="29"/>
    </row>
    <row r="155" spans="1:13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9"/>
    </row>
    <row r="156" spans="1:13" x14ac:dyDescent="0.2">
      <c r="A156" s="9" t="s">
        <v>2886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9"/>
    </row>
    <row r="157" spans="1:13" x14ac:dyDescent="0.2">
      <c r="A157" s="3" t="s">
        <v>3001</v>
      </c>
      <c r="B157" s="16">
        <v>0</v>
      </c>
      <c r="C157" s="16"/>
      <c r="D157" s="14">
        <v>0</v>
      </c>
      <c r="E157" s="14"/>
      <c r="F157" s="14">
        <v>0</v>
      </c>
      <c r="G157" s="14"/>
      <c r="H157" s="14">
        <v>0</v>
      </c>
      <c r="I157" s="16"/>
      <c r="J157" s="16">
        <f t="shared" ref="J157:J165" si="9">D157+F157+H157</f>
        <v>0</v>
      </c>
      <c r="K157" s="16"/>
      <c r="L157" s="16">
        <f t="shared" ref="L157:L165" si="10">J157+B157</f>
        <v>0</v>
      </c>
      <c r="M157" s="29"/>
    </row>
    <row r="158" spans="1:13" x14ac:dyDescent="0.2">
      <c r="A158" s="3" t="s">
        <v>3002</v>
      </c>
      <c r="B158" s="16">
        <v>225590.71</v>
      </c>
      <c r="C158" s="16"/>
      <c r="D158" s="14">
        <v>-225130.05</v>
      </c>
      <c r="E158" s="14"/>
      <c r="F158" s="14">
        <v>0</v>
      </c>
      <c r="G158" s="14"/>
      <c r="H158" s="14">
        <v>0</v>
      </c>
      <c r="I158" s="16"/>
      <c r="J158" s="16">
        <f>D158+F158+H158</f>
        <v>-225130.05</v>
      </c>
      <c r="K158" s="16"/>
      <c r="L158" s="16">
        <f>J158+B158</f>
        <v>460.66000000000349</v>
      </c>
      <c r="M158" s="29"/>
    </row>
    <row r="159" spans="1:13" x14ac:dyDescent="0.2">
      <c r="A159" s="3" t="s">
        <v>3003</v>
      </c>
      <c r="B159" s="16">
        <v>0</v>
      </c>
      <c r="C159" s="16"/>
      <c r="D159" s="14">
        <v>0</v>
      </c>
      <c r="E159" s="14"/>
      <c r="F159" s="14">
        <v>0</v>
      </c>
      <c r="G159" s="14"/>
      <c r="H159" s="14">
        <v>0</v>
      </c>
      <c r="I159" s="16"/>
      <c r="J159" s="16">
        <f>D159+F159+H159</f>
        <v>0</v>
      </c>
      <c r="K159" s="16"/>
      <c r="L159" s="16">
        <f>J159+B159</f>
        <v>0</v>
      </c>
      <c r="M159" s="29"/>
    </row>
    <row r="160" spans="1:13" x14ac:dyDescent="0.2">
      <c r="A160" s="3" t="s">
        <v>3004</v>
      </c>
      <c r="B160" s="16">
        <v>9897211.6899999976</v>
      </c>
      <c r="C160" s="16"/>
      <c r="D160" s="14">
        <v>-5068556.6500000004</v>
      </c>
      <c r="E160" s="14"/>
      <c r="F160" s="14">
        <v>0</v>
      </c>
      <c r="G160" s="14"/>
      <c r="H160" s="14">
        <v>0</v>
      </c>
      <c r="I160" s="16"/>
      <c r="J160" s="16">
        <f t="shared" si="9"/>
        <v>-5068556.6500000004</v>
      </c>
      <c r="K160" s="16"/>
      <c r="L160" s="16">
        <f t="shared" si="10"/>
        <v>4828655.0399999972</v>
      </c>
      <c r="M160" s="29"/>
    </row>
    <row r="161" spans="1:13" x14ac:dyDescent="0.2">
      <c r="A161" s="21" t="s">
        <v>3005</v>
      </c>
      <c r="B161" s="16">
        <v>0</v>
      </c>
      <c r="C161" s="16"/>
      <c r="D161" s="14">
        <v>0</v>
      </c>
      <c r="E161" s="14"/>
      <c r="F161" s="14">
        <v>0</v>
      </c>
      <c r="G161" s="14"/>
      <c r="H161" s="14">
        <v>0</v>
      </c>
      <c r="I161" s="16"/>
      <c r="J161" s="16">
        <f t="shared" si="9"/>
        <v>0</v>
      </c>
      <c r="K161" s="16"/>
      <c r="L161" s="16">
        <f t="shared" si="10"/>
        <v>0</v>
      </c>
      <c r="M161" s="29"/>
    </row>
    <row r="162" spans="1:13" x14ac:dyDescent="0.2">
      <c r="A162" s="3" t="s">
        <v>3006</v>
      </c>
      <c r="B162" s="16">
        <v>1918.3300000010058</v>
      </c>
      <c r="C162" s="16"/>
      <c r="D162" s="14">
        <v>-1918.33</v>
      </c>
      <c r="E162" s="14"/>
      <c r="F162" s="14">
        <v>0</v>
      </c>
      <c r="G162" s="14"/>
      <c r="H162" s="14">
        <v>0</v>
      </c>
      <c r="I162" s="16"/>
      <c r="J162" s="16">
        <f t="shared" si="9"/>
        <v>-1918.33</v>
      </c>
      <c r="K162" s="16"/>
      <c r="L162" s="16">
        <f t="shared" si="10"/>
        <v>1.0059011401608586E-9</v>
      </c>
      <c r="M162" s="29"/>
    </row>
    <row r="163" spans="1:13" x14ac:dyDescent="0.2">
      <c r="A163" s="3" t="s">
        <v>3007</v>
      </c>
      <c r="B163" s="16">
        <v>4204545.8699999973</v>
      </c>
      <c r="C163" s="16"/>
      <c r="D163" s="16">
        <v>-201249.04</v>
      </c>
      <c r="E163" s="16"/>
      <c r="F163" s="16">
        <v>0</v>
      </c>
      <c r="G163" s="16"/>
      <c r="H163" s="16">
        <v>0</v>
      </c>
      <c r="I163" s="16"/>
      <c r="J163" s="16">
        <f t="shared" si="9"/>
        <v>-201249.04</v>
      </c>
      <c r="K163" s="16"/>
      <c r="L163" s="16">
        <f t="shared" si="10"/>
        <v>4003296.8299999973</v>
      </c>
      <c r="M163" s="29"/>
    </row>
    <row r="164" spans="1:13" x14ac:dyDescent="0.2">
      <c r="A164" s="3" t="s">
        <v>3008</v>
      </c>
      <c r="B164" s="16">
        <v>1149713.5499999998</v>
      </c>
      <c r="C164" s="16"/>
      <c r="D164" s="16">
        <v>-50336.04</v>
      </c>
      <c r="E164" s="16"/>
      <c r="F164" s="16">
        <v>0</v>
      </c>
      <c r="G164" s="16"/>
      <c r="H164" s="16">
        <v>0</v>
      </c>
      <c r="I164" s="16"/>
      <c r="J164" s="16">
        <f t="shared" si="9"/>
        <v>-50336.04</v>
      </c>
      <c r="K164" s="16"/>
      <c r="L164" s="16">
        <f t="shared" si="10"/>
        <v>1099377.5099999998</v>
      </c>
      <c r="M164" s="29"/>
    </row>
    <row r="165" spans="1:13" x14ac:dyDescent="0.2">
      <c r="A165" s="21" t="s">
        <v>3009</v>
      </c>
      <c r="B165" s="16">
        <v>0</v>
      </c>
      <c r="C165" s="16"/>
      <c r="D165" s="16">
        <v>95630.36</v>
      </c>
      <c r="E165" s="16"/>
      <c r="F165" s="16">
        <v>0</v>
      </c>
      <c r="G165" s="16"/>
      <c r="H165" s="16">
        <v>0</v>
      </c>
      <c r="I165" s="16"/>
      <c r="J165" s="16">
        <f t="shared" si="9"/>
        <v>95630.36</v>
      </c>
      <c r="K165" s="16"/>
      <c r="L165" s="16">
        <f t="shared" si="10"/>
        <v>95630.36</v>
      </c>
      <c r="M165" s="29"/>
    </row>
    <row r="166" spans="1:13" x14ac:dyDescent="0.2">
      <c r="B166" s="19">
        <f>SUM(B157:B165)</f>
        <v>15478980.149999999</v>
      </c>
      <c r="C166" s="16"/>
      <c r="D166" s="19">
        <f>SUM(D157:D165)</f>
        <v>-5451559.75</v>
      </c>
      <c r="E166" s="16"/>
      <c r="F166" s="19">
        <f>SUM(F157:F165)</f>
        <v>0</v>
      </c>
      <c r="G166" s="16"/>
      <c r="H166" s="19">
        <f>SUM(H157:H165)</f>
        <v>0</v>
      </c>
      <c r="I166" s="16"/>
      <c r="J166" s="19">
        <f>SUM(J157:J165)</f>
        <v>-5451559.75</v>
      </c>
      <c r="K166" s="16"/>
      <c r="L166" s="19">
        <f>SUM(L157:L165)</f>
        <v>10027420.399999995</v>
      </c>
      <c r="M166" s="29"/>
    </row>
    <row r="167" spans="1:13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9"/>
    </row>
    <row r="168" spans="1:13" x14ac:dyDescent="0.2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3" x14ac:dyDescent="0.2">
      <c r="A169" s="9" t="s">
        <v>2887</v>
      </c>
      <c r="B169" s="20">
        <f>B166+B154+B128+B120+B145+B136</f>
        <v>1302990488.6599998</v>
      </c>
      <c r="C169" s="16"/>
      <c r="D169" s="20">
        <f>D166+D154+D128+D120+D145+D136</f>
        <v>-58622342.230000004</v>
      </c>
      <c r="E169" s="16"/>
      <c r="F169" s="20">
        <f>F166+F154+F128+F120+F145+F136</f>
        <v>0</v>
      </c>
      <c r="G169" s="16"/>
      <c r="H169" s="20">
        <f>H166+H154+H128+H120+H145+H136</f>
        <v>0</v>
      </c>
      <c r="I169" s="16"/>
      <c r="J169" s="20">
        <f>J166+J154+J128+J120+J145+J136</f>
        <v>-58622342.230000004</v>
      </c>
      <c r="K169" s="16"/>
      <c r="L169" s="20">
        <f>L166+L154+L128+L120+L145+L136</f>
        <v>1244368146.4300001</v>
      </c>
    </row>
    <row r="170" spans="1:13" x14ac:dyDescent="0.2">
      <c r="B170" s="16"/>
      <c r="C170" s="14"/>
      <c r="D170" s="16"/>
      <c r="E170" s="14"/>
      <c r="F170" s="16"/>
      <c r="G170" s="14"/>
      <c r="H170" s="16"/>
      <c r="I170" s="14"/>
      <c r="J170" s="16"/>
      <c r="K170" s="14"/>
      <c r="L170" s="16"/>
    </row>
    <row r="171" spans="1:13" x14ac:dyDescent="0.2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3" ht="13.5" thickBot="1" x14ac:dyDescent="0.25">
      <c r="A172" s="9" t="s">
        <v>3010</v>
      </c>
      <c r="B172" s="39">
        <f>B169+B104</f>
        <v>5198013641.789999</v>
      </c>
      <c r="C172" s="14"/>
      <c r="D172" s="39">
        <f>D169+D104</f>
        <v>196772026.52999997</v>
      </c>
      <c r="E172" s="14"/>
      <c r="F172" s="39">
        <f>F169+F104</f>
        <v>-54655499.729999997</v>
      </c>
      <c r="G172" s="14"/>
      <c r="H172" s="39">
        <f>H169+H104</f>
        <v>-9117183.1499999985</v>
      </c>
      <c r="I172" s="14"/>
      <c r="J172" s="39">
        <f>J169+J104</f>
        <v>132999343.65000002</v>
      </c>
      <c r="K172" s="14"/>
      <c r="L172" s="39">
        <f>L169+L104</f>
        <v>5331012985.4400005</v>
      </c>
    </row>
    <row r="173" spans="1:13" ht="13.5" thickTop="1" x14ac:dyDescent="0.2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3" x14ac:dyDescent="0.2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3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3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3" manualBreakCount="3">
    <brk id="52" max="11" man="1"/>
    <brk id="86" max="16383" man="1"/>
    <brk id="12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2"/>
  <sheetViews>
    <sheetView zoomScaleNormal="100" workbookViewId="0">
      <selection sqref="A1:N1"/>
    </sheetView>
  </sheetViews>
  <sheetFormatPr defaultRowHeight="12.75" x14ac:dyDescent="0.2"/>
  <cols>
    <col min="1" max="1" width="43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5703125" style="3" customWidth="1"/>
    <col min="14" max="14" width="16.140625" style="3" customWidth="1"/>
    <col min="15" max="15" width="1.2851562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3011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6" spans="1:16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M6" s="7"/>
      <c r="P6" s="9" t="s">
        <v>2793</v>
      </c>
    </row>
    <row r="7" spans="1:16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M7" s="17"/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L8" s="17"/>
      <c r="M8" s="17"/>
    </row>
    <row r="9" spans="1:16" x14ac:dyDescent="0.2">
      <c r="A9" s="9" t="s">
        <v>2798</v>
      </c>
    </row>
    <row r="10" spans="1:16" x14ac:dyDescent="0.2">
      <c r="A10" s="9" t="s">
        <v>18</v>
      </c>
    </row>
    <row r="11" spans="1:16" x14ac:dyDescent="0.2">
      <c r="A11" s="3" t="s">
        <v>268</v>
      </c>
      <c r="B11" s="134">
        <f>'IN_Cost Plant Acct-Elec-P16(Reg'!B26</f>
        <v>0</v>
      </c>
      <c r="D11" s="134">
        <f>'IN_Cost Plant Acct-Elec-P16(Reg'!D26</f>
        <v>0</v>
      </c>
      <c r="F11" s="134">
        <f>'IN_Cost Plant Acct-Elec-P16(Reg'!F26</f>
        <v>0</v>
      </c>
      <c r="H11" s="134">
        <f>'IN_Cost Plant Acct-Elec-P16(Reg'!H26</f>
        <v>0</v>
      </c>
      <c r="J11" s="151">
        <f>H11+F11+D11</f>
        <v>0</v>
      </c>
      <c r="L11" s="151">
        <f>J11+B11</f>
        <v>0</v>
      </c>
      <c r="N11" s="134">
        <f>'IN_Res by Plant Acct-P30 (Reg)'!R10</f>
        <v>0</v>
      </c>
      <c r="P11" s="134">
        <f>L11+N11</f>
        <v>0</v>
      </c>
    </row>
    <row r="12" spans="1:16" x14ac:dyDescent="0.2">
      <c r="A12" s="9"/>
      <c r="B12" s="37">
        <f>SUM(B11)</f>
        <v>0</v>
      </c>
      <c r="D12" s="37">
        <f>SUM(D11)</f>
        <v>0</v>
      </c>
      <c r="F12" s="37">
        <f>SUM(F11)</f>
        <v>0</v>
      </c>
      <c r="H12" s="37">
        <f>SUM(H11)</f>
        <v>0</v>
      </c>
      <c r="J12" s="37">
        <f>SUM(J11)</f>
        <v>0</v>
      </c>
      <c r="L12" s="37">
        <f>SUM(L11)</f>
        <v>0</v>
      </c>
      <c r="N12" s="37">
        <f>SUM(N11)</f>
        <v>0</v>
      </c>
      <c r="P12" s="37">
        <f>SUM(P11)</f>
        <v>0</v>
      </c>
    </row>
    <row r="13" spans="1:16" x14ac:dyDescent="0.2">
      <c r="A13" s="9"/>
    </row>
    <row r="14" spans="1:16" x14ac:dyDescent="0.2">
      <c r="A14" s="9" t="s">
        <v>24</v>
      </c>
    </row>
    <row r="15" spans="1:16" x14ac:dyDescent="0.2">
      <c r="A15" s="3" t="s">
        <v>344</v>
      </c>
      <c r="B15" s="136">
        <f>'IN_Cost Plant Acct-Elec-P16(Reg'!B11</f>
        <v>653945.04</v>
      </c>
      <c r="C15" s="136"/>
      <c r="D15" s="136">
        <f>'IN_Cost Plant Acct-Elec-P16(Reg'!D11</f>
        <v>0</v>
      </c>
      <c r="E15" s="136"/>
      <c r="F15" s="136">
        <f>'IN_Cost Plant Acct-Elec-P16(Reg'!F11</f>
        <v>0</v>
      </c>
      <c r="G15" s="136"/>
      <c r="H15" s="136">
        <f>'IN_Cost Plant Acct-Elec-P16(Reg'!H11</f>
        <v>0</v>
      </c>
      <c r="I15" s="136"/>
      <c r="J15" s="136">
        <f t="shared" ref="J15:J21" si="0">H15+F15+D15</f>
        <v>0</v>
      </c>
      <c r="K15" s="136"/>
      <c r="L15" s="136">
        <f t="shared" ref="L15:L21" si="1">J15+B15</f>
        <v>653945.04</v>
      </c>
      <c r="M15" s="136"/>
      <c r="N15" s="136">
        <f>'IN_Res by Plant Acct-P30 (Reg)'!R15</f>
        <v>-347438.82999999996</v>
      </c>
      <c r="P15" s="37">
        <f>L15+N15</f>
        <v>306506.21000000008</v>
      </c>
    </row>
    <row r="16" spans="1:16" x14ac:dyDescent="0.2">
      <c r="A16" s="3" t="s">
        <v>345</v>
      </c>
      <c r="B16" s="136">
        <f>'IN_Cost Plant Acct-Elec-P16(Reg'!B12</f>
        <v>408580.31999999995</v>
      </c>
      <c r="C16" s="136"/>
      <c r="D16" s="136">
        <f>'IN_Cost Plant Acct-Elec-P16(Reg'!D12</f>
        <v>0</v>
      </c>
      <c r="E16" s="136"/>
      <c r="F16" s="136">
        <f>'IN_Cost Plant Acct-Elec-P16(Reg'!F12</f>
        <v>0</v>
      </c>
      <c r="G16" s="136"/>
      <c r="H16" s="136">
        <f>'IN_Cost Plant Acct-Elec-P16(Reg'!H12</f>
        <v>0</v>
      </c>
      <c r="I16" s="136"/>
      <c r="J16" s="136">
        <f t="shared" si="0"/>
        <v>0</v>
      </c>
      <c r="K16" s="136"/>
      <c r="L16" s="136">
        <f t="shared" si="1"/>
        <v>408580.31999999995</v>
      </c>
      <c r="M16" s="136"/>
      <c r="N16" s="136">
        <f>'IN_Res by Plant Acct-P30 (Reg)'!R16</f>
        <v>0</v>
      </c>
      <c r="P16" s="37">
        <f t="shared" ref="P16:P21" si="2">L16+N16</f>
        <v>408580.31999999995</v>
      </c>
    </row>
    <row r="17" spans="1:16" x14ac:dyDescent="0.2">
      <c r="A17" s="3" t="s">
        <v>347</v>
      </c>
      <c r="B17" s="136">
        <f>'IN_Cost Plant Acct-Elec-P16(Reg'!B13+'IN_Cost Plant Acct-Elec-P16(Reg'!B30</f>
        <v>8907043.620000001</v>
      </c>
      <c r="C17" s="136"/>
      <c r="D17" s="136">
        <f>'IN_Cost Plant Acct-Elec-P16(Reg'!D13+'IN_Cost Plant Acct-Elec-P16(Reg'!D30</f>
        <v>269.35000000000002</v>
      </c>
      <c r="E17" s="136"/>
      <c r="F17" s="136">
        <f>'IN_Cost Plant Acct-Elec-P16(Reg'!F13+'IN_Cost Plant Acct-Elec-P16(Reg'!F30</f>
        <v>0</v>
      </c>
      <c r="G17" s="136"/>
      <c r="H17" s="136">
        <f>'IN_Cost Plant Acct-Elec-P16(Reg'!H13+'IN_Cost Plant Acct-Elec-P16(Reg'!H30</f>
        <v>0</v>
      </c>
      <c r="I17" s="136"/>
      <c r="J17" s="136">
        <f t="shared" si="0"/>
        <v>269.35000000000002</v>
      </c>
      <c r="K17" s="136"/>
      <c r="L17" s="136">
        <f t="shared" si="1"/>
        <v>8907312.9700000007</v>
      </c>
      <c r="M17" s="136"/>
      <c r="N17" s="136">
        <f>'IN_Res by Plant Acct-P30 (Reg)'!R17</f>
        <v>-572414.72000000009</v>
      </c>
      <c r="P17" s="37">
        <f t="shared" si="2"/>
        <v>8334898.2500000009</v>
      </c>
    </row>
    <row r="18" spans="1:16" x14ac:dyDescent="0.2">
      <c r="A18" s="3" t="s">
        <v>349</v>
      </c>
      <c r="B18" s="136">
        <f>'IN_Cost Plant Acct-Elec-P16(Reg'!B14+'IN_Cost Plant Acct-Elec-P16(Reg'!B31</f>
        <v>18473722.829999998</v>
      </c>
      <c r="C18" s="136"/>
      <c r="D18" s="136">
        <f>'IN_Cost Plant Acct-Elec-P16(Reg'!D14+'IN_Cost Plant Acct-Elec-P16(Reg'!D31</f>
        <v>14305.83</v>
      </c>
      <c r="E18" s="136"/>
      <c r="F18" s="136">
        <f>'IN_Cost Plant Acct-Elec-P16(Reg'!F14+'IN_Cost Plant Acct-Elec-P16(Reg'!F31</f>
        <v>-3607.81</v>
      </c>
      <c r="G18" s="136"/>
      <c r="H18" s="136">
        <f>'IN_Cost Plant Acct-Elec-P16(Reg'!H14+'IN_Cost Plant Acct-Elec-P16(Reg'!H31</f>
        <v>0</v>
      </c>
      <c r="I18" s="136"/>
      <c r="J18" s="136">
        <f t="shared" si="0"/>
        <v>10698.02</v>
      </c>
      <c r="K18" s="136"/>
      <c r="L18" s="136">
        <f t="shared" si="1"/>
        <v>18484420.849999998</v>
      </c>
      <c r="M18" s="136"/>
      <c r="N18" s="136">
        <f>'IN_Res by Plant Acct-P30 (Reg)'!R18</f>
        <v>-7831652.9700000016</v>
      </c>
      <c r="P18" s="37">
        <f t="shared" si="2"/>
        <v>10652767.879999995</v>
      </c>
    </row>
    <row r="19" spans="1:16" x14ac:dyDescent="0.2">
      <c r="A19" s="3" t="s">
        <v>353</v>
      </c>
      <c r="B19" s="136">
        <f>'IN_Cost Plant Acct-Elec-P16(Reg'!B15+'IN_Cost Plant Acct-Elec-P16(Reg'!B32</f>
        <v>13805502.43</v>
      </c>
      <c r="C19" s="136"/>
      <c r="D19" s="136">
        <f>'IN_Cost Plant Acct-Elec-P16(Reg'!D15+'IN_Cost Plant Acct-Elec-P16(Reg'!D32</f>
        <v>0</v>
      </c>
      <c r="E19" s="136"/>
      <c r="F19" s="136">
        <f>'IN_Cost Plant Acct-Elec-P16(Reg'!F15+'IN_Cost Plant Acct-Elec-P16(Reg'!F32</f>
        <v>0</v>
      </c>
      <c r="G19" s="136"/>
      <c r="H19" s="136">
        <f>'IN_Cost Plant Acct-Elec-P16(Reg'!H15+'IN_Cost Plant Acct-Elec-P16(Reg'!H32</f>
        <v>0</v>
      </c>
      <c r="I19" s="136"/>
      <c r="J19" s="136">
        <f t="shared" si="0"/>
        <v>0</v>
      </c>
      <c r="K19" s="136"/>
      <c r="L19" s="136">
        <f t="shared" si="1"/>
        <v>13805502.43</v>
      </c>
      <c r="M19" s="136"/>
      <c r="N19" s="136">
        <f>'IN_Res by Plant Acct-P30 (Reg)'!R19</f>
        <v>-5482427.580000001</v>
      </c>
      <c r="P19" s="37">
        <f t="shared" si="2"/>
        <v>8323074.8499999987</v>
      </c>
    </row>
    <row r="20" spans="1:16" x14ac:dyDescent="0.2">
      <c r="A20" s="3" t="s">
        <v>354</v>
      </c>
      <c r="B20" s="136">
        <f>'IN_Cost Plant Acct-Elec-P16(Reg'!B16+'IN_Cost Plant Acct-Elec-P16(Reg'!B33</f>
        <v>13877671.050000001</v>
      </c>
      <c r="C20" s="136"/>
      <c r="D20" s="136">
        <f>'IN_Cost Plant Acct-Elec-P16(Reg'!D16+'IN_Cost Plant Acct-Elec-P16(Reg'!D33</f>
        <v>0</v>
      </c>
      <c r="E20" s="136"/>
      <c r="F20" s="136">
        <f>'IN_Cost Plant Acct-Elec-P16(Reg'!F16+'IN_Cost Plant Acct-Elec-P16(Reg'!F33</f>
        <v>0</v>
      </c>
      <c r="G20" s="136"/>
      <c r="H20" s="136">
        <f>'IN_Cost Plant Acct-Elec-P16(Reg'!H16+'IN_Cost Plant Acct-Elec-P16(Reg'!H33</f>
        <v>0</v>
      </c>
      <c r="I20" s="136"/>
      <c r="J20" s="136">
        <f t="shared" si="0"/>
        <v>0</v>
      </c>
      <c r="K20" s="136"/>
      <c r="L20" s="136">
        <f t="shared" si="1"/>
        <v>13877671.050000001</v>
      </c>
      <c r="M20" s="136"/>
      <c r="N20" s="136">
        <f>'IN_Res by Plant Acct-P30 (Reg)'!R20</f>
        <v>-2084650.5100000002</v>
      </c>
      <c r="P20" s="37">
        <f t="shared" si="2"/>
        <v>11793020.540000001</v>
      </c>
    </row>
    <row r="21" spans="1:16" x14ac:dyDescent="0.2">
      <c r="A21" s="3" t="s">
        <v>355</v>
      </c>
      <c r="B21" s="151">
        <f>'IN_Cost Plant Acct-Elec-P16(Reg'!B17+'IN_Cost Plant Acct-Elec-P16(Reg'!B34</f>
        <v>6322674.2399999993</v>
      </c>
      <c r="C21" s="133"/>
      <c r="D21" s="151">
        <f>'IN_Cost Plant Acct-Elec-P16(Reg'!D17+'IN_Cost Plant Acct-Elec-P16(Reg'!D34</f>
        <v>0</v>
      </c>
      <c r="E21" s="133"/>
      <c r="F21" s="151">
        <f>'IN_Cost Plant Acct-Elec-P16(Reg'!F17+'IN_Cost Plant Acct-Elec-P16(Reg'!F34</f>
        <v>0</v>
      </c>
      <c r="G21" s="133"/>
      <c r="H21" s="151">
        <f>'IN_Cost Plant Acct-Elec-P16(Reg'!H17+'IN_Cost Plant Acct-Elec-P16(Reg'!H34</f>
        <v>0</v>
      </c>
      <c r="I21" s="133"/>
      <c r="J21" s="151">
        <f t="shared" si="0"/>
        <v>0</v>
      </c>
      <c r="K21" s="133"/>
      <c r="L21" s="151">
        <f t="shared" si="1"/>
        <v>6322674.2399999993</v>
      </c>
      <c r="M21" s="133"/>
      <c r="N21" s="151">
        <f>'IN_Res by Plant Acct-P30 (Reg)'!R21</f>
        <v>-3681372.0300000003</v>
      </c>
      <c r="P21" s="134">
        <f t="shared" si="2"/>
        <v>2641302.209999999</v>
      </c>
    </row>
    <row r="22" spans="1:16" x14ac:dyDescent="0.2">
      <c r="B22" s="133">
        <f>SUM(B15:B21)</f>
        <v>62449139.529999994</v>
      </c>
      <c r="C22" s="133"/>
      <c r="D22" s="133">
        <f>SUM(D15:D21)</f>
        <v>14575.18</v>
      </c>
      <c r="E22" s="133"/>
      <c r="F22" s="133">
        <f>SUM(F15:F21)</f>
        <v>-3607.81</v>
      </c>
      <c r="G22" s="133"/>
      <c r="H22" s="133">
        <f>SUM(H15:H21)</f>
        <v>0</v>
      </c>
      <c r="I22" s="133"/>
      <c r="J22" s="133">
        <f>SUM(J15:J21)</f>
        <v>10967.37</v>
      </c>
      <c r="K22" s="133"/>
      <c r="L22" s="133">
        <f>SUM(L15:L21)</f>
        <v>62460106.899999999</v>
      </c>
      <c r="M22" s="133"/>
      <c r="N22" s="133">
        <f>SUM(N15:N21)</f>
        <v>-19999956.640000001</v>
      </c>
      <c r="P22" s="133">
        <f>SUM(P15:P21)</f>
        <v>42460150.259999998</v>
      </c>
    </row>
    <row r="23" spans="1:16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6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6" ht="13.5" thickBot="1" x14ac:dyDescent="0.25">
      <c r="A25" s="9" t="s">
        <v>3012</v>
      </c>
      <c r="B25" s="141">
        <f>B22+B12</f>
        <v>62449139.529999994</v>
      </c>
      <c r="C25" s="148"/>
      <c r="D25" s="141">
        <f>D22+D12</f>
        <v>14575.18</v>
      </c>
      <c r="E25" s="148"/>
      <c r="F25" s="141">
        <f>F22+F12</f>
        <v>-3607.81</v>
      </c>
      <c r="G25" s="148"/>
      <c r="H25" s="141">
        <f>H22+H12</f>
        <v>0</v>
      </c>
      <c r="I25" s="148"/>
      <c r="J25" s="141">
        <f>J22+J12</f>
        <v>10967.37</v>
      </c>
      <c r="K25" s="148"/>
      <c r="L25" s="141">
        <f>L22+L12</f>
        <v>62460106.899999999</v>
      </c>
      <c r="M25" s="133"/>
      <c r="N25" s="141">
        <f>N22+N12</f>
        <v>-19999956.640000001</v>
      </c>
      <c r="P25" s="141">
        <f>P22+P12</f>
        <v>42460150.259999998</v>
      </c>
    </row>
    <row r="26" spans="1:16" ht="13.5" thickTop="1" x14ac:dyDescent="0.2">
      <c r="A26" s="9"/>
      <c r="B26" s="133"/>
      <c r="C26" s="148"/>
      <c r="D26" s="133"/>
      <c r="E26" s="148"/>
      <c r="F26" s="133"/>
      <c r="G26" s="148"/>
      <c r="H26" s="133"/>
      <c r="I26" s="148"/>
      <c r="J26" s="133"/>
      <c r="K26" s="148"/>
      <c r="L26" s="133"/>
      <c r="M26" s="133"/>
      <c r="N26" s="148"/>
    </row>
    <row r="27" spans="1:16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6" x14ac:dyDescent="0.2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6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16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6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16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29"/>
  <sheetViews>
    <sheetView zoomScale="80" zoomScaleNormal="80" workbookViewId="0">
      <pane xSplit="2" ySplit="7" topLeftCell="C7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8.140625" style="3" customWidth="1"/>
    <col min="2" max="2" width="38.140625" style="3" customWidth="1"/>
    <col min="3" max="3" width="18.7109375" style="3" bestFit="1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8.7109375" style="3" bestFit="1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7.7109375" style="3" customWidth="1"/>
    <col min="18" max="18" width="1.7109375" style="3" customWidth="1"/>
    <col min="19" max="19" width="17.7109375" style="3" customWidth="1"/>
    <col min="20" max="20" width="1.7109375" style="3" customWidth="1"/>
    <col min="21" max="21" width="19.85546875" style="3" bestFit="1" customWidth="1"/>
    <col min="22" max="22" width="2.7109375" style="3" customWidth="1"/>
    <col min="23" max="23" width="12.85546875" style="2" bestFit="1" customWidth="1"/>
    <col min="24" max="24" width="23" style="3" bestFit="1" customWidth="1"/>
    <col min="25" max="25" width="14.5703125" style="3" bestFit="1" customWidth="1"/>
    <col min="26" max="26" width="15.5703125" style="3" bestFit="1" customWidth="1"/>
    <col min="27" max="16384" width="9.140625" style="3"/>
  </cols>
  <sheetData>
    <row r="1" spans="1:23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43"/>
    </row>
    <row r="2" spans="1:23" x14ac:dyDescent="0.2">
      <c r="A2" s="200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43"/>
    </row>
    <row r="3" spans="1:2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145"/>
    </row>
    <row r="4" spans="1:2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3" x14ac:dyDescent="0.2">
      <c r="W5" s="2" t="s">
        <v>2</v>
      </c>
    </row>
    <row r="6" spans="1:23" x14ac:dyDescent="0.2">
      <c r="C6" s="7" t="s">
        <v>3</v>
      </c>
      <c r="E6" s="14"/>
      <c r="G6" s="14"/>
      <c r="I6" s="7" t="s">
        <v>4</v>
      </c>
      <c r="J6" s="7"/>
      <c r="K6" s="7" t="s">
        <v>66</v>
      </c>
      <c r="M6" s="7" t="s">
        <v>67</v>
      </c>
      <c r="O6" s="17" t="s">
        <v>68</v>
      </c>
      <c r="Q6" s="7"/>
      <c r="S6" s="7" t="s">
        <v>69</v>
      </c>
      <c r="U6" s="7" t="s">
        <v>5</v>
      </c>
      <c r="V6" s="7"/>
      <c r="W6" s="2" t="s">
        <v>6</v>
      </c>
    </row>
    <row r="7" spans="1:23" x14ac:dyDescent="0.2">
      <c r="C7" s="11" t="s">
        <v>7</v>
      </c>
      <c r="E7" s="11" t="s">
        <v>70</v>
      </c>
      <c r="G7" s="11" t="s">
        <v>9</v>
      </c>
      <c r="I7" s="11" t="s">
        <v>10</v>
      </c>
      <c r="J7" s="17"/>
      <c r="K7" s="11" t="s">
        <v>71</v>
      </c>
      <c r="M7" s="11" t="s">
        <v>72</v>
      </c>
      <c r="O7" s="11" t="s">
        <v>73</v>
      </c>
      <c r="Q7" s="11" t="s">
        <v>74</v>
      </c>
      <c r="S7" s="11" t="s">
        <v>75</v>
      </c>
      <c r="U7" s="11" t="s">
        <v>7</v>
      </c>
      <c r="V7" s="11"/>
      <c r="W7" s="12">
        <v>200</v>
      </c>
    </row>
    <row r="8" spans="1:23" x14ac:dyDescent="0.2">
      <c r="C8" s="17"/>
      <c r="E8" s="17"/>
      <c r="G8" s="17"/>
      <c r="I8" s="17"/>
      <c r="J8" s="17"/>
      <c r="K8" s="17"/>
      <c r="M8" s="17"/>
      <c r="O8" s="17"/>
      <c r="Q8" s="17"/>
      <c r="S8" s="17"/>
      <c r="U8" s="17"/>
      <c r="V8" s="17"/>
    </row>
    <row r="9" spans="1:23" x14ac:dyDescent="0.2">
      <c r="A9" s="9" t="s">
        <v>76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3" x14ac:dyDescent="0.2">
      <c r="B10" s="3" t="s">
        <v>14</v>
      </c>
      <c r="C10" s="14">
        <v>-79973717.86999999</v>
      </c>
      <c r="D10" s="14"/>
      <c r="E10" s="14">
        <v>-8898287.4299999997</v>
      </c>
      <c r="F10" s="14"/>
      <c r="G10" s="14">
        <v>8421276.8100000005</v>
      </c>
      <c r="H10" s="14"/>
      <c r="I10" s="14">
        <v>0</v>
      </c>
      <c r="J10" s="14"/>
      <c r="K10" s="14">
        <v>0</v>
      </c>
      <c r="L10" s="14"/>
      <c r="M10" s="14">
        <v>0</v>
      </c>
      <c r="N10" s="14"/>
      <c r="O10" s="14">
        <v>0</v>
      </c>
      <c r="P10" s="14"/>
      <c r="Q10" s="14">
        <v>0</v>
      </c>
      <c r="R10" s="14"/>
      <c r="S10" s="14">
        <v>0</v>
      </c>
      <c r="T10" s="14"/>
      <c r="U10" s="14">
        <f>S10+Q10+O10+M10+I10+G10+E10+C10</f>
        <v>-80450728.489999995</v>
      </c>
      <c r="V10" s="14"/>
    </row>
    <row r="11" spans="1:23" x14ac:dyDescent="0.2">
      <c r="B11" s="3" t="s">
        <v>77</v>
      </c>
      <c r="C11" s="14">
        <v>0</v>
      </c>
      <c r="D11" s="14"/>
      <c r="E11" s="14">
        <v>0</v>
      </c>
      <c r="F11" s="14"/>
      <c r="G11" s="14">
        <v>0</v>
      </c>
      <c r="H11" s="14"/>
      <c r="I11" s="14">
        <v>0</v>
      </c>
      <c r="J11" s="14"/>
      <c r="K11" s="14">
        <v>0</v>
      </c>
      <c r="L11" s="14"/>
      <c r="M11" s="14">
        <v>0</v>
      </c>
      <c r="N11" s="14"/>
      <c r="O11" s="14">
        <v>0</v>
      </c>
      <c r="P11" s="14"/>
      <c r="Q11" s="14">
        <v>0</v>
      </c>
      <c r="R11" s="14"/>
      <c r="S11" s="14">
        <v>0</v>
      </c>
      <c r="T11" s="14"/>
      <c r="U11" s="14">
        <f>S11+Q11+O11+M11+I11+G11+E11+C11</f>
        <v>0</v>
      </c>
      <c r="V11" s="14"/>
    </row>
    <row r="12" spans="1:23" x14ac:dyDescent="0.2">
      <c r="B12" s="3" t="s">
        <v>18</v>
      </c>
      <c r="C12" s="14">
        <v>-356864212.81999999</v>
      </c>
      <c r="D12" s="14"/>
      <c r="E12" s="14">
        <v>-25168934.100000001</v>
      </c>
      <c r="F12" s="14"/>
      <c r="G12" s="14">
        <v>14899000.75</v>
      </c>
      <c r="H12" s="14"/>
      <c r="I12" s="14">
        <v>272159.09000000003</v>
      </c>
      <c r="J12" s="14"/>
      <c r="K12" s="14">
        <v>0</v>
      </c>
      <c r="L12" s="14"/>
      <c r="M12" s="14">
        <v>0</v>
      </c>
      <c r="N12" s="14"/>
      <c r="O12" s="14">
        <v>0</v>
      </c>
      <c r="P12" s="14"/>
      <c r="Q12" s="14">
        <v>0</v>
      </c>
      <c r="R12" s="14"/>
      <c r="S12" s="14">
        <v>0</v>
      </c>
      <c r="T12" s="14"/>
      <c r="U12" s="14">
        <f t="shared" ref="U12:U31" si="0">S12+Q12+O12+M12+I12+G12+E12+C12</f>
        <v>-366861987.07999998</v>
      </c>
      <c r="V12" s="14"/>
    </row>
    <row r="13" spans="1:23" x14ac:dyDescent="0.2">
      <c r="B13" s="3" t="s">
        <v>78</v>
      </c>
      <c r="C13" s="14">
        <v>-50028.710000000065</v>
      </c>
      <c r="D13" s="14"/>
      <c r="E13" s="14">
        <v>-41530.18</v>
      </c>
      <c r="F13" s="14"/>
      <c r="G13" s="14">
        <v>42151.25</v>
      </c>
      <c r="H13" s="14"/>
      <c r="I13" s="14">
        <v>0</v>
      </c>
      <c r="J13" s="14"/>
      <c r="K13" s="14">
        <v>0</v>
      </c>
      <c r="L13" s="14"/>
      <c r="M13" s="14">
        <v>0</v>
      </c>
      <c r="N13" s="14"/>
      <c r="O13" s="14">
        <v>0</v>
      </c>
      <c r="P13" s="14"/>
      <c r="Q13" s="14">
        <v>0</v>
      </c>
      <c r="R13" s="14"/>
      <c r="S13" s="14">
        <v>0</v>
      </c>
      <c r="T13" s="14"/>
      <c r="U13" s="14">
        <f t="shared" si="0"/>
        <v>-49407.640000000065</v>
      </c>
      <c r="V13" s="14"/>
    </row>
    <row r="14" spans="1:23" x14ac:dyDescent="0.2">
      <c r="B14" s="3" t="s">
        <v>19</v>
      </c>
      <c r="C14" s="14">
        <v>-9041188.5799999982</v>
      </c>
      <c r="D14" s="14"/>
      <c r="E14" s="14">
        <v>-1562744.86</v>
      </c>
      <c r="F14" s="14"/>
      <c r="G14" s="14">
        <v>729805.85</v>
      </c>
      <c r="H14" s="14"/>
      <c r="I14" s="14">
        <v>-16563.850000000009</v>
      </c>
      <c r="J14" s="14"/>
      <c r="K14" s="14">
        <v>0</v>
      </c>
      <c r="L14" s="14"/>
      <c r="M14" s="14">
        <v>0</v>
      </c>
      <c r="N14" s="14"/>
      <c r="O14" s="14">
        <v>0</v>
      </c>
      <c r="P14" s="14"/>
      <c r="Q14" s="14">
        <v>0</v>
      </c>
      <c r="R14" s="14"/>
      <c r="S14" s="14">
        <v>0</v>
      </c>
      <c r="T14" s="14"/>
      <c r="U14" s="14">
        <f t="shared" si="0"/>
        <v>-9890691.4399999976</v>
      </c>
      <c r="V14" s="14"/>
    </row>
    <row r="15" spans="1:23" x14ac:dyDescent="0.2">
      <c r="B15" s="3" t="s">
        <v>20</v>
      </c>
      <c r="C15" s="14">
        <v>-18574456.290000003</v>
      </c>
      <c r="D15" s="14"/>
      <c r="E15" s="14">
        <v>-3292887.91</v>
      </c>
      <c r="F15" s="14"/>
      <c r="G15" s="14">
        <v>213911.37</v>
      </c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4"/>
      <c r="S15" s="14">
        <v>0</v>
      </c>
      <c r="T15" s="14"/>
      <c r="U15" s="14">
        <f t="shared" si="0"/>
        <v>-21653432.830000002</v>
      </c>
      <c r="V15" s="14"/>
    </row>
    <row r="16" spans="1:23" x14ac:dyDescent="0.2">
      <c r="B16" s="3" t="s">
        <v>79</v>
      </c>
      <c r="C16" s="14">
        <v>-10638.64000000001</v>
      </c>
      <c r="D16" s="14"/>
      <c r="E16" s="14">
        <v>-11692.49</v>
      </c>
      <c r="F16" s="14"/>
      <c r="G16" s="14">
        <v>0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0</v>
      </c>
      <c r="P16" s="14"/>
      <c r="Q16" s="14">
        <v>0</v>
      </c>
      <c r="R16" s="14"/>
      <c r="S16" s="14">
        <v>0</v>
      </c>
      <c r="T16" s="14"/>
      <c r="U16" s="14">
        <f t="shared" si="0"/>
        <v>-22331.130000000012</v>
      </c>
      <c r="V16" s="14"/>
    </row>
    <row r="17" spans="2:23" x14ac:dyDescent="0.2">
      <c r="B17" s="3" t="s">
        <v>22</v>
      </c>
      <c r="C17" s="14">
        <v>-117132945.51000001</v>
      </c>
      <c r="D17" s="14"/>
      <c r="E17" s="14">
        <v>-14397266.35</v>
      </c>
      <c r="F17" s="14"/>
      <c r="G17" s="14">
        <v>1242800.1399999999</v>
      </c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14"/>
      <c r="Q17" s="14">
        <v>0</v>
      </c>
      <c r="R17" s="14"/>
      <c r="S17" s="14">
        <v>0</v>
      </c>
      <c r="T17" s="14"/>
      <c r="U17" s="14">
        <f t="shared" si="0"/>
        <v>-130287411.72</v>
      </c>
      <c r="V17" s="14"/>
    </row>
    <row r="18" spans="2:23" x14ac:dyDescent="0.2">
      <c r="B18" s="3" t="s">
        <v>80</v>
      </c>
      <c r="C18" s="14">
        <v>-8977.0100000001239</v>
      </c>
      <c r="D18" s="14"/>
      <c r="E18" s="14">
        <v>-4641.8</v>
      </c>
      <c r="F18" s="14"/>
      <c r="G18" s="14">
        <v>0</v>
      </c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0</v>
      </c>
      <c r="P18" s="14"/>
      <c r="Q18" s="14">
        <v>0</v>
      </c>
      <c r="R18" s="14"/>
      <c r="S18" s="14">
        <v>0</v>
      </c>
      <c r="T18" s="14"/>
      <c r="U18" s="14">
        <f>S18+Q18+O18+M18+I18+G18+E18+C18</f>
        <v>-13618.810000000125</v>
      </c>
      <c r="V18" s="14"/>
    </row>
    <row r="19" spans="2:23" x14ac:dyDescent="0.2">
      <c r="B19" s="3" t="s">
        <v>23</v>
      </c>
      <c r="C19" s="14">
        <v>-734670837.12</v>
      </c>
      <c r="D19" s="14"/>
      <c r="E19" s="14">
        <v>-62601524.93</v>
      </c>
      <c r="F19" s="14"/>
      <c r="G19" s="14">
        <v>14736965.74</v>
      </c>
      <c r="H19" s="14"/>
      <c r="I19" s="14">
        <v>0</v>
      </c>
      <c r="J19" s="14"/>
      <c r="K19" s="14">
        <v>0</v>
      </c>
      <c r="L19" s="14"/>
      <c r="M19" s="14">
        <v>0</v>
      </c>
      <c r="N19" s="14"/>
      <c r="O19" s="14">
        <v>0</v>
      </c>
      <c r="P19" s="14"/>
      <c r="Q19" s="14">
        <v>0</v>
      </c>
      <c r="R19" s="14"/>
      <c r="S19" s="14">
        <v>0</v>
      </c>
      <c r="T19" s="14"/>
      <c r="U19" s="14">
        <f>S19+Q19+O19+M19+I19+G19+E19+C19</f>
        <v>-782535396.30999994</v>
      </c>
      <c r="V19" s="14"/>
    </row>
    <row r="20" spans="2:23" x14ac:dyDescent="0.2">
      <c r="B20" s="3" t="s">
        <v>81</v>
      </c>
      <c r="C20" s="14">
        <v>-39822147.699999996</v>
      </c>
      <c r="D20" s="14"/>
      <c r="E20" s="14">
        <v>-17008435.280000001</v>
      </c>
      <c r="F20" s="14"/>
      <c r="G20" s="14">
        <v>20817965.800000001</v>
      </c>
      <c r="H20" s="14"/>
      <c r="I20" s="14">
        <v>0</v>
      </c>
      <c r="J20" s="14"/>
      <c r="K20" s="14">
        <v>0</v>
      </c>
      <c r="L20" s="14"/>
      <c r="M20" s="14">
        <v>0</v>
      </c>
      <c r="N20" s="14"/>
      <c r="O20" s="14">
        <v>0</v>
      </c>
      <c r="P20" s="14"/>
      <c r="Q20" s="14">
        <v>0</v>
      </c>
      <c r="R20" s="14"/>
      <c r="S20" s="14">
        <v>0</v>
      </c>
      <c r="T20" s="14"/>
      <c r="U20" s="14">
        <f>S20+Q20+O20+M20+I20+G20+E20+C20</f>
        <v>-36012617.179999992</v>
      </c>
      <c r="V20" s="14"/>
    </row>
    <row r="21" spans="2:23" x14ac:dyDescent="0.2">
      <c r="B21" s="3" t="s">
        <v>24</v>
      </c>
      <c r="C21" s="14">
        <v>-134905244.73999998</v>
      </c>
      <c r="D21" s="14"/>
      <c r="E21" s="14">
        <v>-6480011.6100000003</v>
      </c>
      <c r="F21" s="14"/>
      <c r="G21" s="14">
        <v>1969135.76</v>
      </c>
      <c r="H21" s="14"/>
      <c r="I21" s="14">
        <v>-272159.09000000003</v>
      </c>
      <c r="J21" s="14"/>
      <c r="K21" s="14">
        <v>0</v>
      </c>
      <c r="L21" s="14"/>
      <c r="M21" s="14">
        <v>0</v>
      </c>
      <c r="N21" s="14"/>
      <c r="O21" s="14">
        <v>0</v>
      </c>
      <c r="P21" s="14"/>
      <c r="Q21" s="14">
        <v>0</v>
      </c>
      <c r="R21" s="14"/>
      <c r="S21" s="14">
        <v>0</v>
      </c>
      <c r="T21" s="14"/>
      <c r="U21" s="14">
        <f t="shared" si="0"/>
        <v>-139688279.67999998</v>
      </c>
      <c r="V21" s="14"/>
    </row>
    <row r="22" spans="2:23" x14ac:dyDescent="0.2">
      <c r="B22" s="3" t="s">
        <v>82</v>
      </c>
      <c r="C22" s="14">
        <v>-30161.289999999997</v>
      </c>
      <c r="D22" s="14"/>
      <c r="E22" s="14">
        <v>-12858.85</v>
      </c>
      <c r="F22" s="14"/>
      <c r="G22" s="14">
        <v>7370.88</v>
      </c>
      <c r="H22" s="14"/>
      <c r="I22" s="14">
        <v>0</v>
      </c>
      <c r="J22" s="14"/>
      <c r="K22" s="14">
        <v>0</v>
      </c>
      <c r="L22" s="14"/>
      <c r="M22" s="14">
        <v>0</v>
      </c>
      <c r="N22" s="14"/>
      <c r="O22" s="14">
        <v>0</v>
      </c>
      <c r="P22" s="14"/>
      <c r="Q22" s="14">
        <v>0</v>
      </c>
      <c r="R22" s="14"/>
      <c r="S22" s="14">
        <v>0</v>
      </c>
      <c r="T22" s="14"/>
      <c r="U22" s="14">
        <f t="shared" si="0"/>
        <v>-35649.259999999995</v>
      </c>
      <c r="V22" s="14"/>
    </row>
    <row r="23" spans="2:23" x14ac:dyDescent="0.2">
      <c r="B23" s="3" t="s">
        <v>27</v>
      </c>
      <c r="C23" s="14">
        <v>-171453599.78000006</v>
      </c>
      <c r="D23" s="14"/>
      <c r="E23" s="14">
        <v>-17398788.789999999</v>
      </c>
      <c r="F23" s="14"/>
      <c r="G23" s="14">
        <v>2515897.66</v>
      </c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14"/>
      <c r="Q23" s="14">
        <v>0</v>
      </c>
      <c r="R23" s="14"/>
      <c r="S23" s="14">
        <v>0</v>
      </c>
      <c r="T23" s="14"/>
      <c r="U23" s="14">
        <f t="shared" si="0"/>
        <v>-186336490.91000006</v>
      </c>
      <c r="V23" s="14"/>
    </row>
    <row r="24" spans="2:23" x14ac:dyDescent="0.2">
      <c r="B24" s="3" t="s">
        <v>83</v>
      </c>
      <c r="C24" s="14">
        <v>-1378383.8099999991</v>
      </c>
      <c r="D24" s="14"/>
      <c r="E24" s="14">
        <v>-284389.57</v>
      </c>
      <c r="F24" s="14"/>
      <c r="G24" s="14">
        <v>60138.52</v>
      </c>
      <c r="H24" s="14"/>
      <c r="I24" s="14">
        <v>0</v>
      </c>
      <c r="J24" s="14"/>
      <c r="K24" s="14">
        <v>0</v>
      </c>
      <c r="L24" s="14"/>
      <c r="M24" s="14">
        <v>0</v>
      </c>
      <c r="N24" s="14"/>
      <c r="O24" s="14">
        <v>0</v>
      </c>
      <c r="P24" s="14"/>
      <c r="Q24" s="14">
        <v>0</v>
      </c>
      <c r="R24" s="14"/>
      <c r="S24" s="14">
        <v>0</v>
      </c>
      <c r="T24" s="14"/>
      <c r="U24" s="14">
        <f t="shared" si="0"/>
        <v>-1602634.8599999992</v>
      </c>
      <c r="V24" s="14"/>
    </row>
    <row r="25" spans="2:23" x14ac:dyDescent="0.2">
      <c r="B25" s="3" t="s">
        <v>28</v>
      </c>
      <c r="C25" s="14">
        <v>-6010330.6799999997</v>
      </c>
      <c r="D25" s="14"/>
      <c r="E25" s="14">
        <v>-698300.07</v>
      </c>
      <c r="F25" s="14"/>
      <c r="G25" s="14">
        <v>794145.75</v>
      </c>
      <c r="H25" s="14"/>
      <c r="I25" s="14">
        <v>-12797.84</v>
      </c>
      <c r="J25" s="14"/>
      <c r="K25" s="14">
        <v>0</v>
      </c>
      <c r="L25" s="14"/>
      <c r="M25" s="14">
        <v>0</v>
      </c>
      <c r="N25" s="14"/>
      <c r="O25" s="14">
        <v>0</v>
      </c>
      <c r="P25" s="14"/>
      <c r="Q25" s="14">
        <v>0</v>
      </c>
      <c r="R25" s="14"/>
      <c r="S25" s="14">
        <v>0</v>
      </c>
      <c r="T25" s="14"/>
      <c r="U25" s="14">
        <f t="shared" si="0"/>
        <v>-5927282.8399999999</v>
      </c>
      <c r="V25" s="14"/>
    </row>
    <row r="26" spans="2:23" x14ac:dyDescent="0.2">
      <c r="B26" s="3" t="s">
        <v>30</v>
      </c>
      <c r="C26" s="14">
        <v>-38225888.900000006</v>
      </c>
      <c r="D26" s="14"/>
      <c r="E26" s="14">
        <v>-2970597.74</v>
      </c>
      <c r="F26" s="14"/>
      <c r="G26" s="14">
        <v>499422.99</v>
      </c>
      <c r="H26" s="14"/>
      <c r="I26" s="14">
        <v>0</v>
      </c>
      <c r="J26" s="14"/>
      <c r="K26" s="14">
        <v>0</v>
      </c>
      <c r="L26" s="14"/>
      <c r="M26" s="14">
        <v>0</v>
      </c>
      <c r="N26" s="14"/>
      <c r="O26" s="14">
        <v>0</v>
      </c>
      <c r="P26" s="14"/>
      <c r="Q26" s="14">
        <v>0</v>
      </c>
      <c r="R26" s="14"/>
      <c r="S26" s="14">
        <v>0</v>
      </c>
      <c r="T26" s="14"/>
      <c r="U26" s="14">
        <f t="shared" si="0"/>
        <v>-40697063.650000006</v>
      </c>
      <c r="V26" s="14"/>
    </row>
    <row r="27" spans="2:23" x14ac:dyDescent="0.2">
      <c r="B27" s="3" t="s">
        <v>84</v>
      </c>
      <c r="C27" s="14">
        <v>-973691.83000000007</v>
      </c>
      <c r="D27" s="14"/>
      <c r="E27" s="14">
        <v>-225974.57</v>
      </c>
      <c r="F27" s="14"/>
      <c r="G27" s="14">
        <v>174374.69</v>
      </c>
      <c r="H27" s="14"/>
      <c r="I27" s="14">
        <v>0</v>
      </c>
      <c r="J27" s="14"/>
      <c r="K27" s="14">
        <v>0</v>
      </c>
      <c r="L27" s="14"/>
      <c r="M27" s="14">
        <v>0</v>
      </c>
      <c r="N27" s="14"/>
      <c r="O27" s="14">
        <v>0</v>
      </c>
      <c r="P27" s="14"/>
      <c r="Q27" s="14">
        <v>0</v>
      </c>
      <c r="R27" s="14"/>
      <c r="S27" s="14">
        <v>0</v>
      </c>
      <c r="T27" s="14"/>
      <c r="U27" s="14">
        <f t="shared" si="0"/>
        <v>-1025291.7100000001</v>
      </c>
      <c r="V27" s="14"/>
    </row>
    <row r="28" spans="2:23" x14ac:dyDescent="0.2">
      <c r="B28" s="3" t="s">
        <v>51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14"/>
      <c r="Q28" s="14">
        <v>0</v>
      </c>
      <c r="R28" s="14"/>
      <c r="S28" s="14">
        <v>0</v>
      </c>
      <c r="T28" s="14"/>
      <c r="U28" s="14">
        <f t="shared" si="0"/>
        <v>0</v>
      </c>
      <c r="V28" s="14"/>
    </row>
    <row r="29" spans="2:23" x14ac:dyDescent="0.2">
      <c r="B29" s="3" t="s">
        <v>31</v>
      </c>
      <c r="C29" s="16">
        <v>-9787563.0600000042</v>
      </c>
      <c r="D29" s="16"/>
      <c r="E29" s="14">
        <v>-585886.49</v>
      </c>
      <c r="F29" s="16"/>
      <c r="G29" s="14">
        <v>217700.06</v>
      </c>
      <c r="H29" s="16"/>
      <c r="I29" s="14">
        <v>0</v>
      </c>
      <c r="J29" s="16"/>
      <c r="K29" s="16">
        <v>0</v>
      </c>
      <c r="L29" s="16"/>
      <c r="M29" s="16">
        <v>0</v>
      </c>
      <c r="N29" s="16"/>
      <c r="O29" s="14">
        <v>0</v>
      </c>
      <c r="P29" s="16"/>
      <c r="Q29" s="14">
        <v>0</v>
      </c>
      <c r="R29" s="16"/>
      <c r="S29" s="14">
        <v>0</v>
      </c>
      <c r="T29" s="16"/>
      <c r="U29" s="16">
        <f t="shared" si="0"/>
        <v>-10155749.490000004</v>
      </c>
      <c r="V29" s="16"/>
    </row>
    <row r="30" spans="2:23" x14ac:dyDescent="0.2">
      <c r="B30" s="3" t="s">
        <v>85</v>
      </c>
      <c r="C30" s="16">
        <v>-341676.46</v>
      </c>
      <c r="D30" s="16"/>
      <c r="E30" s="14">
        <v>-73027.83</v>
      </c>
      <c r="F30" s="16"/>
      <c r="G30" s="14">
        <v>42504.33</v>
      </c>
      <c r="H30" s="16"/>
      <c r="I30" s="14">
        <v>0</v>
      </c>
      <c r="J30" s="16"/>
      <c r="K30" s="16">
        <v>0</v>
      </c>
      <c r="L30" s="16"/>
      <c r="M30" s="16">
        <v>0</v>
      </c>
      <c r="N30" s="16"/>
      <c r="O30" s="14">
        <v>0</v>
      </c>
      <c r="P30" s="16"/>
      <c r="Q30" s="14">
        <v>0</v>
      </c>
      <c r="R30" s="16"/>
      <c r="S30" s="14">
        <v>0</v>
      </c>
      <c r="T30" s="16"/>
      <c r="U30" s="16">
        <f t="shared" si="0"/>
        <v>-372199.96</v>
      </c>
      <c r="V30" s="16"/>
    </row>
    <row r="31" spans="2:23" x14ac:dyDescent="0.2">
      <c r="B31" s="21" t="s">
        <v>86</v>
      </c>
      <c r="C31" s="16">
        <v>0</v>
      </c>
      <c r="D31" s="16"/>
      <c r="E31" s="14">
        <v>0</v>
      </c>
      <c r="F31" s="16"/>
      <c r="G31" s="16">
        <v>0</v>
      </c>
      <c r="H31" s="16"/>
      <c r="I31" s="16">
        <v>0</v>
      </c>
      <c r="J31" s="16"/>
      <c r="K31" s="16">
        <v>0</v>
      </c>
      <c r="L31" s="16"/>
      <c r="M31" s="16">
        <v>0</v>
      </c>
      <c r="N31" s="16"/>
      <c r="O31" s="16">
        <v>0</v>
      </c>
      <c r="P31" s="16"/>
      <c r="Q31" s="16">
        <v>0</v>
      </c>
      <c r="R31" s="16"/>
      <c r="S31" s="16">
        <v>0</v>
      </c>
      <c r="T31" s="16"/>
      <c r="U31" s="16">
        <f t="shared" si="0"/>
        <v>0</v>
      </c>
      <c r="V31" s="16"/>
      <c r="W31" s="2" t="s">
        <v>87</v>
      </c>
    </row>
    <row r="32" spans="2:23" x14ac:dyDescent="0.2">
      <c r="B32" s="21" t="s">
        <v>88</v>
      </c>
      <c r="C32" s="15">
        <v>-63360.360000000008</v>
      </c>
      <c r="D32" s="16"/>
      <c r="E32" s="14">
        <v>0</v>
      </c>
      <c r="F32" s="16"/>
      <c r="G32" s="14">
        <v>0</v>
      </c>
      <c r="H32" s="16"/>
      <c r="I32" s="14">
        <v>0</v>
      </c>
      <c r="J32" s="16"/>
      <c r="K32" s="14">
        <v>0</v>
      </c>
      <c r="L32" s="16"/>
      <c r="M32" s="16">
        <v>0</v>
      </c>
      <c r="N32" s="16"/>
      <c r="O32" s="14">
        <v>0</v>
      </c>
      <c r="P32" s="16"/>
      <c r="Q32" s="14">
        <v>0</v>
      </c>
      <c r="R32" s="16"/>
      <c r="S32" s="14">
        <v>0</v>
      </c>
      <c r="T32" s="16"/>
      <c r="U32" s="15">
        <f>S32+Q32+O32+M32+I32+G32+E32+C32</f>
        <v>-63360.360000000008</v>
      </c>
      <c r="V32" s="16"/>
      <c r="W32" s="2" t="s">
        <v>87</v>
      </c>
    </row>
    <row r="33" spans="1:23" x14ac:dyDescent="0.2">
      <c r="B33" s="18"/>
      <c r="C33" s="16">
        <f>SUM(C10:C32)</f>
        <v>-1719319051.1599998</v>
      </c>
      <c r="D33" s="16"/>
      <c r="E33" s="19">
        <f>SUM(E10:E32)</f>
        <v>-161717780.85000002</v>
      </c>
      <c r="F33" s="16"/>
      <c r="G33" s="19">
        <f>SUM(G10:G32)</f>
        <v>67384568.350000009</v>
      </c>
      <c r="H33" s="16"/>
      <c r="I33" s="19">
        <f>SUM(I10:I32)</f>
        <v>-29361.690000000006</v>
      </c>
      <c r="J33" s="16"/>
      <c r="K33" s="19">
        <f>SUM(K10:K32)</f>
        <v>0</v>
      </c>
      <c r="L33" s="16"/>
      <c r="M33" s="19">
        <f>SUM(M10:M32)</f>
        <v>0</v>
      </c>
      <c r="N33" s="16"/>
      <c r="O33" s="19">
        <f>SUM(O10:O32)</f>
        <v>0</v>
      </c>
      <c r="P33" s="16"/>
      <c r="Q33" s="19">
        <f>SUM(Q10:Q32)</f>
        <v>0</v>
      </c>
      <c r="R33" s="16"/>
      <c r="S33" s="19">
        <f>SUM(S10:S32)</f>
        <v>0</v>
      </c>
      <c r="T33" s="16"/>
      <c r="U33" s="16">
        <f>SUM(U10:U32)</f>
        <v>-1813681625.3499999</v>
      </c>
      <c r="V33" s="16"/>
    </row>
    <row r="34" spans="1:23" x14ac:dyDescent="0.2">
      <c r="C34" s="29"/>
      <c r="D34" s="29"/>
      <c r="E34" s="29"/>
      <c r="F34" s="29"/>
      <c r="G34" s="29"/>
      <c r="H34" s="29"/>
      <c r="I34" s="30"/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1"/>
    </row>
    <row r="35" spans="1:23" ht="15" x14ac:dyDescent="0.35">
      <c r="A35" s="9" t="s">
        <v>89</v>
      </c>
      <c r="C35" s="32"/>
      <c r="D35" s="33"/>
      <c r="E35" s="32"/>
      <c r="F35" s="33"/>
      <c r="G35" s="32"/>
      <c r="H35" s="33"/>
      <c r="I35" s="32"/>
      <c r="J35" s="32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32"/>
      <c r="V35" s="32"/>
    </row>
    <row r="36" spans="1:23" x14ac:dyDescent="0.2">
      <c r="B36" s="3" t="s">
        <v>14</v>
      </c>
      <c r="C36" s="16">
        <v>-1407905.42</v>
      </c>
      <c r="D36" s="16"/>
      <c r="E36" s="16">
        <v>-252336.29</v>
      </c>
      <c r="F36" s="16"/>
      <c r="G36" s="14">
        <v>0</v>
      </c>
      <c r="H36" s="16"/>
      <c r="I36" s="16">
        <v>0</v>
      </c>
      <c r="J36" s="16"/>
      <c r="K36" s="16">
        <v>0</v>
      </c>
      <c r="L36" s="16"/>
      <c r="M36" s="16">
        <v>0</v>
      </c>
      <c r="N36" s="16"/>
      <c r="O36" s="16">
        <v>254433.78</v>
      </c>
      <c r="P36" s="16"/>
      <c r="Q36" s="14">
        <v>0</v>
      </c>
      <c r="R36" s="16"/>
      <c r="S36" s="14">
        <v>0</v>
      </c>
      <c r="T36" s="16"/>
      <c r="U36" s="16">
        <f t="shared" ref="U36:U48" si="1">S36+Q36+O36+M36+I36+G36+E36+C36</f>
        <v>-1405807.93</v>
      </c>
      <c r="V36" s="16"/>
    </row>
    <row r="37" spans="1:23" x14ac:dyDescent="0.2">
      <c r="B37" s="3" t="s">
        <v>18</v>
      </c>
      <c r="C37" s="16">
        <v>-162129790.74000004</v>
      </c>
      <c r="D37" s="16"/>
      <c r="E37" s="16">
        <v>-11596082.09</v>
      </c>
      <c r="F37" s="16"/>
      <c r="G37" s="14">
        <v>0</v>
      </c>
      <c r="H37" s="16"/>
      <c r="I37" s="16">
        <v>47560.12</v>
      </c>
      <c r="J37" s="16"/>
      <c r="K37" s="16">
        <v>0</v>
      </c>
      <c r="L37" s="16"/>
      <c r="M37" s="16">
        <v>0</v>
      </c>
      <c r="N37" s="16"/>
      <c r="O37" s="14">
        <v>10240416.870000001</v>
      </c>
      <c r="P37" s="16"/>
      <c r="Q37" s="14">
        <v>0</v>
      </c>
      <c r="R37" s="16"/>
      <c r="S37" s="14">
        <v>-2315691.0300000003</v>
      </c>
      <c r="T37" s="16"/>
      <c r="U37" s="16">
        <f t="shared" si="1"/>
        <v>-165753586.87000003</v>
      </c>
      <c r="V37" s="16"/>
    </row>
    <row r="38" spans="1:23" x14ac:dyDescent="0.2">
      <c r="B38" s="3" t="s">
        <v>19</v>
      </c>
      <c r="C38" s="16">
        <v>3866.64</v>
      </c>
      <c r="D38" s="16"/>
      <c r="E38" s="16">
        <v>0</v>
      </c>
      <c r="F38" s="16"/>
      <c r="G38" s="14">
        <v>0</v>
      </c>
      <c r="H38" s="16"/>
      <c r="I38" s="16">
        <v>0</v>
      </c>
      <c r="J38" s="16"/>
      <c r="K38" s="16">
        <v>0</v>
      </c>
      <c r="L38" s="16"/>
      <c r="M38" s="16">
        <v>0</v>
      </c>
      <c r="N38" s="16"/>
      <c r="O38" s="14">
        <v>0</v>
      </c>
      <c r="P38" s="16"/>
      <c r="Q38" s="14">
        <v>0</v>
      </c>
      <c r="R38" s="16"/>
      <c r="S38" s="14">
        <v>0</v>
      </c>
      <c r="T38" s="16"/>
      <c r="U38" s="16">
        <f t="shared" si="1"/>
        <v>3866.64</v>
      </c>
      <c r="V38" s="16"/>
    </row>
    <row r="39" spans="1:23" x14ac:dyDescent="0.2">
      <c r="B39" s="3" t="s">
        <v>20</v>
      </c>
      <c r="C39" s="16">
        <v>1589391.92</v>
      </c>
      <c r="D39" s="16"/>
      <c r="E39" s="16">
        <v>-107345.76</v>
      </c>
      <c r="F39" s="16"/>
      <c r="G39" s="14">
        <v>0</v>
      </c>
      <c r="H39" s="16"/>
      <c r="I39" s="14">
        <v>0</v>
      </c>
      <c r="J39" s="16"/>
      <c r="K39" s="16">
        <v>0</v>
      </c>
      <c r="L39" s="16"/>
      <c r="M39" s="16">
        <v>0</v>
      </c>
      <c r="N39" s="16"/>
      <c r="O39" s="14">
        <v>0</v>
      </c>
      <c r="P39" s="16"/>
      <c r="Q39" s="14">
        <v>0</v>
      </c>
      <c r="R39" s="16"/>
      <c r="S39" s="14">
        <v>0</v>
      </c>
      <c r="T39" s="16"/>
      <c r="U39" s="16">
        <f t="shared" si="1"/>
        <v>1482046.16</v>
      </c>
      <c r="V39" s="16"/>
    </row>
    <row r="40" spans="1:23" x14ac:dyDescent="0.2">
      <c r="B40" s="3" t="s">
        <v>22</v>
      </c>
      <c r="C40" s="16">
        <v>-4160154.0700000008</v>
      </c>
      <c r="D40" s="16"/>
      <c r="E40" s="16">
        <v>-908538.03</v>
      </c>
      <c r="F40" s="16"/>
      <c r="G40" s="14">
        <v>0</v>
      </c>
      <c r="H40" s="16"/>
      <c r="I40" s="14">
        <v>0</v>
      </c>
      <c r="J40" s="16"/>
      <c r="K40" s="16">
        <v>0</v>
      </c>
      <c r="L40" s="16"/>
      <c r="M40" s="16">
        <v>0</v>
      </c>
      <c r="N40" s="16"/>
      <c r="O40" s="14">
        <v>186950.6</v>
      </c>
      <c r="P40" s="16"/>
      <c r="Q40" s="14">
        <v>0</v>
      </c>
      <c r="R40" s="16"/>
      <c r="S40" s="14">
        <v>0</v>
      </c>
      <c r="T40" s="16"/>
      <c r="U40" s="16">
        <f t="shared" si="1"/>
        <v>-4881741.5000000009</v>
      </c>
      <c r="V40" s="16"/>
    </row>
    <row r="41" spans="1:23" x14ac:dyDescent="0.2">
      <c r="B41" s="3" t="s">
        <v>23</v>
      </c>
      <c r="C41" s="16">
        <v>-125306877.39</v>
      </c>
      <c r="D41" s="16"/>
      <c r="E41" s="16">
        <v>-4771971.41</v>
      </c>
      <c r="F41" s="16"/>
      <c r="G41" s="14">
        <v>0</v>
      </c>
      <c r="H41" s="16"/>
      <c r="I41" s="14">
        <v>0</v>
      </c>
      <c r="J41" s="16"/>
      <c r="K41" s="16">
        <v>0</v>
      </c>
      <c r="L41" s="16"/>
      <c r="M41" s="16">
        <v>0</v>
      </c>
      <c r="N41" s="16"/>
      <c r="O41" s="14">
        <v>30855487.050000001</v>
      </c>
      <c r="P41" s="16"/>
      <c r="Q41" s="14">
        <v>0</v>
      </c>
      <c r="R41" s="16"/>
      <c r="S41" s="14">
        <v>-339709.05</v>
      </c>
      <c r="T41" s="16"/>
      <c r="U41" s="16">
        <f t="shared" si="1"/>
        <v>-99563070.799999997</v>
      </c>
      <c r="V41" s="16"/>
    </row>
    <row r="42" spans="1:23" x14ac:dyDescent="0.2">
      <c r="B42" s="3" t="s">
        <v>24</v>
      </c>
      <c r="C42" s="16">
        <v>-25777696.100000001</v>
      </c>
      <c r="D42" s="16"/>
      <c r="E42" s="16">
        <v>-2645658.16</v>
      </c>
      <c r="F42" s="16"/>
      <c r="G42" s="14">
        <v>0</v>
      </c>
      <c r="H42" s="16"/>
      <c r="I42" s="14">
        <v>-47560.12</v>
      </c>
      <c r="J42" s="16"/>
      <c r="K42" s="16">
        <v>0</v>
      </c>
      <c r="L42" s="16"/>
      <c r="M42" s="16">
        <v>0</v>
      </c>
      <c r="N42" s="16"/>
      <c r="O42" s="16">
        <v>1634771.23</v>
      </c>
      <c r="P42" s="16"/>
      <c r="Q42" s="14">
        <v>0</v>
      </c>
      <c r="R42" s="16"/>
      <c r="S42" s="14">
        <v>0</v>
      </c>
      <c r="T42" s="16"/>
      <c r="U42" s="16">
        <f t="shared" si="1"/>
        <v>-26836143.150000002</v>
      </c>
      <c r="V42" s="16"/>
    </row>
    <row r="43" spans="1:23" x14ac:dyDescent="0.2">
      <c r="B43" s="3" t="s">
        <v>27</v>
      </c>
      <c r="C43" s="16">
        <v>-82455723.039999992</v>
      </c>
      <c r="D43" s="16"/>
      <c r="E43" s="16">
        <v>-7286566.0999999996</v>
      </c>
      <c r="F43" s="16"/>
      <c r="G43" s="14">
        <v>0</v>
      </c>
      <c r="H43" s="16"/>
      <c r="I43" s="16">
        <v>0</v>
      </c>
      <c r="J43" s="16"/>
      <c r="K43" s="16">
        <v>0</v>
      </c>
      <c r="L43" s="16"/>
      <c r="M43" s="16">
        <v>0</v>
      </c>
      <c r="N43" s="16"/>
      <c r="O43" s="16">
        <v>617961.38</v>
      </c>
      <c r="P43" s="16"/>
      <c r="Q43" s="14">
        <v>0</v>
      </c>
      <c r="R43" s="16"/>
      <c r="S43" s="14">
        <v>-39916.239999999998</v>
      </c>
      <c r="T43" s="16"/>
      <c r="U43" s="16">
        <f t="shared" si="1"/>
        <v>-89164243.999999985</v>
      </c>
      <c r="V43" s="16"/>
    </row>
    <row r="44" spans="1:23" x14ac:dyDescent="0.2">
      <c r="B44" s="3" t="s">
        <v>28</v>
      </c>
      <c r="C44" s="16">
        <v>88.599999999999966</v>
      </c>
      <c r="D44" s="16"/>
      <c r="E44" s="16">
        <v>0</v>
      </c>
      <c r="F44" s="16"/>
      <c r="G44" s="14">
        <v>0</v>
      </c>
      <c r="H44" s="16"/>
      <c r="I44" s="16">
        <v>100.57</v>
      </c>
      <c r="J44" s="16"/>
      <c r="K44" s="16">
        <v>0</v>
      </c>
      <c r="L44" s="16"/>
      <c r="M44" s="16">
        <v>0</v>
      </c>
      <c r="N44" s="16"/>
      <c r="O44" s="16">
        <v>0</v>
      </c>
      <c r="P44" s="16"/>
      <c r="Q44" s="14">
        <v>0</v>
      </c>
      <c r="R44" s="16"/>
      <c r="S44" s="14">
        <v>0</v>
      </c>
      <c r="T44" s="16"/>
      <c r="U44" s="16">
        <f t="shared" si="1"/>
        <v>189.16999999999996</v>
      </c>
      <c r="V44" s="16"/>
    </row>
    <row r="45" spans="1:23" x14ac:dyDescent="0.2">
      <c r="B45" s="3" t="s">
        <v>30</v>
      </c>
      <c r="C45" s="16">
        <v>-950944.0000000007</v>
      </c>
      <c r="D45" s="16"/>
      <c r="E45" s="16">
        <v>-377279.7</v>
      </c>
      <c r="F45" s="16"/>
      <c r="G45" s="14">
        <v>0</v>
      </c>
      <c r="H45" s="16"/>
      <c r="I45" s="16">
        <v>0</v>
      </c>
      <c r="J45" s="16"/>
      <c r="K45" s="16">
        <v>0</v>
      </c>
      <c r="L45" s="16"/>
      <c r="M45" s="16">
        <v>0</v>
      </c>
      <c r="N45" s="16"/>
      <c r="O45" s="16">
        <v>619479.51</v>
      </c>
      <c r="P45" s="16"/>
      <c r="Q45" s="14">
        <v>0</v>
      </c>
      <c r="R45" s="16"/>
      <c r="S45" s="14">
        <v>0</v>
      </c>
      <c r="T45" s="16"/>
      <c r="U45" s="16">
        <f t="shared" si="1"/>
        <v>-708744.19000000064</v>
      </c>
      <c r="V45" s="16"/>
    </row>
    <row r="46" spans="1:23" x14ac:dyDescent="0.2">
      <c r="B46" s="3" t="s">
        <v>51</v>
      </c>
      <c r="C46" s="16">
        <v>0</v>
      </c>
      <c r="D46" s="16"/>
      <c r="E46" s="16">
        <v>0</v>
      </c>
      <c r="F46" s="16"/>
      <c r="G46" s="14">
        <v>0</v>
      </c>
      <c r="H46" s="16"/>
      <c r="I46" s="16">
        <v>0</v>
      </c>
      <c r="J46" s="16"/>
      <c r="K46" s="16">
        <v>0</v>
      </c>
      <c r="L46" s="16"/>
      <c r="M46" s="16">
        <v>0</v>
      </c>
      <c r="N46" s="16"/>
      <c r="O46" s="16">
        <v>0</v>
      </c>
      <c r="P46" s="16"/>
      <c r="Q46" s="14">
        <v>0</v>
      </c>
      <c r="R46" s="16"/>
      <c r="S46" s="14">
        <v>0</v>
      </c>
      <c r="T46" s="16"/>
      <c r="U46" s="16">
        <f t="shared" si="1"/>
        <v>0</v>
      </c>
      <c r="V46" s="16"/>
    </row>
    <row r="47" spans="1:23" x14ac:dyDescent="0.2">
      <c r="B47" s="3" t="s">
        <v>31</v>
      </c>
      <c r="C47" s="16">
        <v>-1989761.0899999999</v>
      </c>
      <c r="D47" s="16"/>
      <c r="E47" s="16">
        <v>-166948.17000000001</v>
      </c>
      <c r="F47" s="16"/>
      <c r="G47" s="14">
        <v>0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114945.03</v>
      </c>
      <c r="P47" s="16"/>
      <c r="Q47" s="14">
        <v>0</v>
      </c>
      <c r="R47" s="16"/>
      <c r="S47" s="14">
        <v>0</v>
      </c>
      <c r="T47" s="16"/>
      <c r="U47" s="16">
        <f t="shared" si="1"/>
        <v>-2041764.23</v>
      </c>
      <c r="V47" s="16"/>
    </row>
    <row r="48" spans="1:23" x14ac:dyDescent="0.2">
      <c r="B48" s="3" t="s">
        <v>54</v>
      </c>
      <c r="C48" s="15">
        <v>1.2734258092450546E-13</v>
      </c>
      <c r="D48" s="16"/>
      <c r="E48" s="15">
        <v>0</v>
      </c>
      <c r="F48" s="16"/>
      <c r="G48" s="15">
        <v>0</v>
      </c>
      <c r="H48" s="16"/>
      <c r="I48" s="15">
        <v>0</v>
      </c>
      <c r="J48" s="16"/>
      <c r="K48" s="15">
        <v>0</v>
      </c>
      <c r="L48" s="16"/>
      <c r="M48" s="15">
        <v>0</v>
      </c>
      <c r="N48" s="16"/>
      <c r="O48" s="15">
        <v>0</v>
      </c>
      <c r="P48" s="16"/>
      <c r="Q48" s="15">
        <v>0</v>
      </c>
      <c r="R48" s="16"/>
      <c r="S48" s="15">
        <v>0</v>
      </c>
      <c r="T48" s="16"/>
      <c r="U48" s="15">
        <f t="shared" si="1"/>
        <v>1.2734258092450546E-13</v>
      </c>
      <c r="V48" s="16"/>
    </row>
    <row r="49" spans="1:22" x14ac:dyDescent="0.2">
      <c r="B49" s="18"/>
      <c r="C49" s="16">
        <f>SUM(C36:C48)</f>
        <v>-402585504.69</v>
      </c>
      <c r="D49" s="16"/>
      <c r="E49" s="16">
        <f>SUM(E36:E48)</f>
        <v>-28112725.709999997</v>
      </c>
      <c r="F49" s="16"/>
      <c r="G49" s="16">
        <f>SUM(G36:G48)</f>
        <v>0</v>
      </c>
      <c r="H49" s="16"/>
      <c r="I49" s="16">
        <f>SUM(I36:I48)</f>
        <v>100.57</v>
      </c>
      <c r="J49" s="16"/>
      <c r="K49" s="16">
        <f>SUM(K36:K48)</f>
        <v>0</v>
      </c>
      <c r="L49" s="16"/>
      <c r="M49" s="16">
        <f>SUM(M36:M48)</f>
        <v>0</v>
      </c>
      <c r="N49" s="16"/>
      <c r="O49" s="16">
        <f>SUM(O36:O48)</f>
        <v>44524445.449999996</v>
      </c>
      <c r="P49" s="16"/>
      <c r="Q49" s="16">
        <f>SUM(Q36:Q48)</f>
        <v>0</v>
      </c>
      <c r="R49" s="16"/>
      <c r="S49" s="16">
        <f>SUM(S36:S48)</f>
        <v>-2695316.3200000003</v>
      </c>
      <c r="T49" s="16"/>
      <c r="U49" s="16">
        <f>SUM(U36:U48)</f>
        <v>-388869000.70000005</v>
      </c>
      <c r="V49" s="16"/>
    </row>
    <row r="50" spans="1:22" x14ac:dyDescent="0.2">
      <c r="C50" s="29"/>
      <c r="D50" s="29"/>
      <c r="E50" s="29"/>
      <c r="F50" s="29"/>
      <c r="G50" s="29"/>
      <c r="H50" s="29"/>
      <c r="I50" s="30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5" x14ac:dyDescent="0.35">
      <c r="A51" s="9" t="s">
        <v>90</v>
      </c>
      <c r="C51" s="32"/>
      <c r="D51" s="33"/>
      <c r="E51" s="32"/>
      <c r="F51" s="33"/>
      <c r="G51" s="32"/>
      <c r="H51" s="33"/>
      <c r="I51" s="32"/>
      <c r="J51" s="32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2"/>
    </row>
    <row r="52" spans="1:22" x14ac:dyDescent="0.2">
      <c r="B52" s="3" t="s">
        <v>14</v>
      </c>
      <c r="C52" s="16">
        <v>275747.05</v>
      </c>
      <c r="D52" s="16"/>
      <c r="E52" s="16">
        <v>155.93</v>
      </c>
      <c r="F52" s="16"/>
      <c r="G52" s="16">
        <v>0</v>
      </c>
      <c r="H52" s="16"/>
      <c r="I52" s="16">
        <v>0</v>
      </c>
      <c r="J52" s="16"/>
      <c r="K52" s="16">
        <v>0</v>
      </c>
      <c r="L52" s="16"/>
      <c r="M52" s="16">
        <v>0</v>
      </c>
      <c r="N52" s="16"/>
      <c r="O52" s="16">
        <v>0</v>
      </c>
      <c r="P52" s="16"/>
      <c r="Q52" s="16">
        <v>0</v>
      </c>
      <c r="R52" s="16"/>
      <c r="S52" s="16">
        <v>0</v>
      </c>
      <c r="T52" s="16"/>
      <c r="U52" s="16">
        <f t="shared" ref="U52:U64" si="2">S52+Q52+O52+M52+I52+G52+E52+C52</f>
        <v>275902.98</v>
      </c>
      <c r="V52" s="16"/>
    </row>
    <row r="53" spans="1:22" x14ac:dyDescent="0.2">
      <c r="B53" s="3" t="s">
        <v>18</v>
      </c>
      <c r="C53" s="16">
        <v>20627173.23</v>
      </c>
      <c r="D53" s="16"/>
      <c r="E53" s="16">
        <v>984048.03</v>
      </c>
      <c r="F53" s="16"/>
      <c r="G53" s="16">
        <v>0</v>
      </c>
      <c r="H53" s="16"/>
      <c r="I53" s="16">
        <v>0</v>
      </c>
      <c r="J53" s="16"/>
      <c r="K53" s="16">
        <v>0</v>
      </c>
      <c r="L53" s="16"/>
      <c r="M53" s="16">
        <v>0</v>
      </c>
      <c r="N53" s="16"/>
      <c r="O53" s="16">
        <v>0</v>
      </c>
      <c r="P53" s="16"/>
      <c r="Q53" s="16">
        <v>-658299.74</v>
      </c>
      <c r="R53" s="16"/>
      <c r="S53" s="16">
        <v>0</v>
      </c>
      <c r="T53" s="16"/>
      <c r="U53" s="16">
        <f t="shared" si="2"/>
        <v>20952921.52</v>
      </c>
      <c r="V53" s="16"/>
    </row>
    <row r="54" spans="1:22" x14ac:dyDescent="0.2">
      <c r="B54" s="3" t="s">
        <v>19</v>
      </c>
      <c r="C54" s="16">
        <v>151690.44999999998</v>
      </c>
      <c r="D54" s="16"/>
      <c r="E54" s="16">
        <v>961.63</v>
      </c>
      <c r="F54" s="16"/>
      <c r="G54" s="16">
        <v>0</v>
      </c>
      <c r="H54" s="16"/>
      <c r="I54" s="16">
        <v>0</v>
      </c>
      <c r="J54" s="16"/>
      <c r="K54" s="16">
        <v>0</v>
      </c>
      <c r="L54" s="16"/>
      <c r="M54" s="16">
        <v>0</v>
      </c>
      <c r="N54" s="16"/>
      <c r="O54" s="16">
        <v>0</v>
      </c>
      <c r="P54" s="16"/>
      <c r="Q54" s="16">
        <v>0</v>
      </c>
      <c r="R54" s="16"/>
      <c r="S54" s="16">
        <v>0</v>
      </c>
      <c r="T54" s="16"/>
      <c r="U54" s="16">
        <f t="shared" si="2"/>
        <v>152652.07999999999</v>
      </c>
      <c r="V54" s="16"/>
    </row>
    <row r="55" spans="1:22" x14ac:dyDescent="0.2">
      <c r="B55" s="3" t="s">
        <v>20</v>
      </c>
      <c r="C55" s="16">
        <v>441896.45999999996</v>
      </c>
      <c r="D55" s="16"/>
      <c r="E55" s="16">
        <v>24586.66</v>
      </c>
      <c r="F55" s="16"/>
      <c r="G55" s="16">
        <v>0</v>
      </c>
      <c r="H55" s="16"/>
      <c r="I55" s="16">
        <v>0</v>
      </c>
      <c r="J55" s="16"/>
      <c r="K55" s="16">
        <v>0</v>
      </c>
      <c r="L55" s="16"/>
      <c r="M55" s="16">
        <v>0</v>
      </c>
      <c r="N55" s="16"/>
      <c r="O55" s="16">
        <v>0</v>
      </c>
      <c r="P55" s="16"/>
      <c r="Q55" s="16">
        <v>0</v>
      </c>
      <c r="R55" s="16"/>
      <c r="S55" s="16">
        <v>0</v>
      </c>
      <c r="T55" s="16"/>
      <c r="U55" s="16">
        <f t="shared" si="2"/>
        <v>466483.11999999994</v>
      </c>
      <c r="V55" s="16"/>
    </row>
    <row r="56" spans="1:22" x14ac:dyDescent="0.2">
      <c r="B56" s="3" t="s">
        <v>22</v>
      </c>
      <c r="C56" s="16">
        <v>339071.75</v>
      </c>
      <c r="D56" s="16"/>
      <c r="E56" s="16">
        <v>122267.04</v>
      </c>
      <c r="F56" s="16"/>
      <c r="G56" s="16">
        <v>0</v>
      </c>
      <c r="H56" s="16"/>
      <c r="I56" s="16">
        <v>0</v>
      </c>
      <c r="J56" s="16"/>
      <c r="K56" s="16">
        <v>0</v>
      </c>
      <c r="L56" s="16"/>
      <c r="M56" s="16">
        <v>0</v>
      </c>
      <c r="N56" s="16"/>
      <c r="O56" s="16">
        <v>0</v>
      </c>
      <c r="P56" s="16"/>
      <c r="Q56" s="16">
        <v>0</v>
      </c>
      <c r="R56" s="16"/>
      <c r="S56" s="16">
        <v>0</v>
      </c>
      <c r="T56" s="16"/>
      <c r="U56" s="16">
        <f t="shared" si="2"/>
        <v>461338.79</v>
      </c>
      <c r="V56" s="16"/>
    </row>
    <row r="57" spans="1:22" x14ac:dyDescent="0.2">
      <c r="B57" s="3" t="s">
        <v>23</v>
      </c>
      <c r="C57" s="16">
        <v>28345010.91</v>
      </c>
      <c r="D57" s="16"/>
      <c r="E57" s="16">
        <v>1071371.1100000001</v>
      </c>
      <c r="F57" s="16"/>
      <c r="G57" s="16">
        <v>0</v>
      </c>
      <c r="H57" s="16"/>
      <c r="I57" s="16">
        <v>0</v>
      </c>
      <c r="J57" s="16"/>
      <c r="K57" s="16">
        <v>0</v>
      </c>
      <c r="L57" s="16"/>
      <c r="M57" s="16">
        <v>0</v>
      </c>
      <c r="N57" s="16"/>
      <c r="O57" s="16">
        <v>0</v>
      </c>
      <c r="P57" s="16"/>
      <c r="Q57" s="16">
        <v>-815417.91</v>
      </c>
      <c r="R57" s="16"/>
      <c r="S57" s="16">
        <v>0</v>
      </c>
      <c r="T57" s="16"/>
      <c r="U57" s="16">
        <f t="shared" si="2"/>
        <v>28600964.109999999</v>
      </c>
      <c r="V57" s="16"/>
    </row>
    <row r="58" spans="1:22" x14ac:dyDescent="0.2">
      <c r="B58" s="3" t="s">
        <v>24</v>
      </c>
      <c r="C58" s="16">
        <v>6685901.3199999994</v>
      </c>
      <c r="D58" s="16"/>
      <c r="E58" s="16">
        <v>315455.53999999998</v>
      </c>
      <c r="F58" s="16"/>
      <c r="G58" s="16">
        <v>0</v>
      </c>
      <c r="H58" s="16"/>
      <c r="I58" s="16">
        <v>0</v>
      </c>
      <c r="J58" s="16"/>
      <c r="K58" s="16">
        <v>0</v>
      </c>
      <c r="L58" s="16"/>
      <c r="M58" s="16">
        <v>0</v>
      </c>
      <c r="N58" s="16"/>
      <c r="O58" s="16">
        <v>0</v>
      </c>
      <c r="P58" s="16"/>
      <c r="Q58" s="16">
        <v>-6661.73</v>
      </c>
      <c r="R58" s="16"/>
      <c r="S58" s="16">
        <v>0</v>
      </c>
      <c r="T58" s="16"/>
      <c r="U58" s="16">
        <f t="shared" si="2"/>
        <v>6994695.129999999</v>
      </c>
      <c r="V58" s="16"/>
    </row>
    <row r="59" spans="1:22" x14ac:dyDescent="0.2">
      <c r="B59" s="3" t="s">
        <v>27</v>
      </c>
      <c r="C59" s="16">
        <v>4464500.95</v>
      </c>
      <c r="D59" s="16"/>
      <c r="E59" s="16">
        <v>230850.75</v>
      </c>
      <c r="F59" s="16"/>
      <c r="G59" s="16">
        <v>0</v>
      </c>
      <c r="H59" s="16"/>
      <c r="I59" s="16">
        <v>0</v>
      </c>
      <c r="J59" s="16"/>
      <c r="K59" s="16">
        <v>0</v>
      </c>
      <c r="L59" s="16"/>
      <c r="M59" s="16">
        <v>0</v>
      </c>
      <c r="N59" s="16"/>
      <c r="O59" s="16">
        <v>0</v>
      </c>
      <c r="P59" s="16"/>
      <c r="Q59" s="16">
        <v>-30729.81</v>
      </c>
      <c r="R59" s="16"/>
      <c r="S59" s="16">
        <v>0</v>
      </c>
      <c r="T59" s="16"/>
      <c r="U59" s="16">
        <f t="shared" si="2"/>
        <v>4664621.8900000006</v>
      </c>
      <c r="V59" s="16"/>
    </row>
    <row r="60" spans="1:22" x14ac:dyDescent="0.2">
      <c r="B60" s="3" t="s">
        <v>28</v>
      </c>
      <c r="C60" s="16">
        <v>237737.23000000004</v>
      </c>
      <c r="D60" s="16"/>
      <c r="E60" s="16">
        <v>1359.35</v>
      </c>
      <c r="F60" s="16"/>
      <c r="G60" s="16">
        <v>0</v>
      </c>
      <c r="H60" s="16"/>
      <c r="I60" s="16">
        <v>-1252.0999999999999</v>
      </c>
      <c r="J60" s="16"/>
      <c r="K60" s="16">
        <v>0</v>
      </c>
      <c r="L60" s="16"/>
      <c r="M60" s="16">
        <v>0</v>
      </c>
      <c r="N60" s="16"/>
      <c r="O60" s="16">
        <v>0</v>
      </c>
      <c r="P60" s="16"/>
      <c r="Q60" s="16">
        <v>0</v>
      </c>
      <c r="R60" s="16"/>
      <c r="S60" s="16">
        <v>0</v>
      </c>
      <c r="T60" s="16"/>
      <c r="U60" s="16">
        <f t="shared" si="2"/>
        <v>237844.48000000004</v>
      </c>
      <c r="V60" s="16"/>
    </row>
    <row r="61" spans="1:22" x14ac:dyDescent="0.2">
      <c r="B61" s="3" t="s">
        <v>30</v>
      </c>
      <c r="C61" s="16">
        <v>453353.26999999996</v>
      </c>
      <c r="D61" s="16"/>
      <c r="E61" s="16">
        <v>37694.94</v>
      </c>
      <c r="F61" s="16"/>
      <c r="G61" s="16">
        <v>0</v>
      </c>
      <c r="H61" s="16"/>
      <c r="I61" s="16">
        <v>0</v>
      </c>
      <c r="J61" s="16"/>
      <c r="K61" s="16">
        <v>0</v>
      </c>
      <c r="L61" s="16"/>
      <c r="M61" s="16">
        <v>0</v>
      </c>
      <c r="N61" s="16"/>
      <c r="O61" s="16">
        <v>0</v>
      </c>
      <c r="P61" s="16"/>
      <c r="Q61" s="16">
        <v>-696.13</v>
      </c>
      <c r="R61" s="16"/>
      <c r="S61" s="16">
        <v>0</v>
      </c>
      <c r="T61" s="16"/>
      <c r="U61" s="16">
        <f t="shared" si="2"/>
        <v>490352.07999999996</v>
      </c>
      <c r="V61" s="16"/>
    </row>
    <row r="62" spans="1:22" x14ac:dyDescent="0.2">
      <c r="B62" s="3" t="s">
        <v>51</v>
      </c>
      <c r="C62" s="16">
        <v>0</v>
      </c>
      <c r="D62" s="16"/>
      <c r="E62" s="16">
        <v>0</v>
      </c>
      <c r="F62" s="16"/>
      <c r="G62" s="16">
        <v>0</v>
      </c>
      <c r="H62" s="16"/>
      <c r="I62" s="16">
        <v>0</v>
      </c>
      <c r="J62" s="16"/>
      <c r="K62" s="16">
        <v>0</v>
      </c>
      <c r="L62" s="16"/>
      <c r="M62" s="16">
        <v>0</v>
      </c>
      <c r="N62" s="16"/>
      <c r="O62" s="16">
        <v>0</v>
      </c>
      <c r="P62" s="16"/>
      <c r="Q62" s="16">
        <v>0</v>
      </c>
      <c r="R62" s="16"/>
      <c r="S62" s="16">
        <v>0</v>
      </c>
      <c r="T62" s="16"/>
      <c r="U62" s="16">
        <f t="shared" si="2"/>
        <v>0</v>
      </c>
      <c r="V62" s="16"/>
    </row>
    <row r="63" spans="1:22" x14ac:dyDescent="0.2">
      <c r="B63" s="3" t="s">
        <v>31</v>
      </c>
      <c r="C63" s="16">
        <v>246054.13</v>
      </c>
      <c r="D63" s="16"/>
      <c r="E63" s="16">
        <v>10448.44</v>
      </c>
      <c r="F63" s="16"/>
      <c r="G63" s="16">
        <v>0</v>
      </c>
      <c r="H63" s="16"/>
      <c r="I63" s="16">
        <v>0</v>
      </c>
      <c r="J63" s="16"/>
      <c r="K63" s="16">
        <v>0</v>
      </c>
      <c r="L63" s="16"/>
      <c r="M63" s="16">
        <v>0</v>
      </c>
      <c r="N63" s="16"/>
      <c r="O63" s="16">
        <v>0</v>
      </c>
      <c r="P63" s="16"/>
      <c r="Q63" s="16">
        <v>0</v>
      </c>
      <c r="R63" s="16"/>
      <c r="S63" s="16">
        <v>0</v>
      </c>
      <c r="T63" s="16"/>
      <c r="U63" s="16">
        <f t="shared" si="2"/>
        <v>256502.57</v>
      </c>
      <c r="V63" s="16"/>
    </row>
    <row r="64" spans="1:22" x14ac:dyDescent="0.2">
      <c r="B64" s="3" t="s">
        <v>54</v>
      </c>
      <c r="C64" s="15">
        <v>0</v>
      </c>
      <c r="D64" s="16"/>
      <c r="E64" s="15">
        <v>0</v>
      </c>
      <c r="F64" s="16"/>
      <c r="G64" s="15">
        <v>0</v>
      </c>
      <c r="H64" s="16"/>
      <c r="I64" s="15">
        <v>0</v>
      </c>
      <c r="J64" s="16"/>
      <c r="K64" s="15">
        <v>0</v>
      </c>
      <c r="L64" s="16"/>
      <c r="M64" s="15">
        <v>0</v>
      </c>
      <c r="N64" s="16"/>
      <c r="O64" s="15">
        <v>0</v>
      </c>
      <c r="P64" s="16"/>
      <c r="Q64" s="15">
        <v>0</v>
      </c>
      <c r="R64" s="16"/>
      <c r="S64" s="15">
        <v>0</v>
      </c>
      <c r="T64" s="16"/>
      <c r="U64" s="15">
        <f t="shared" si="2"/>
        <v>0</v>
      </c>
      <c r="V64" s="16"/>
    </row>
    <row r="65" spans="1:28" x14ac:dyDescent="0.2">
      <c r="B65" s="18"/>
      <c r="C65" s="16">
        <f>SUM(C52:C64)</f>
        <v>62268136.750000007</v>
      </c>
      <c r="D65" s="16"/>
      <c r="E65" s="16">
        <f>SUM(E52:E64)</f>
        <v>2799199.4200000004</v>
      </c>
      <c r="F65" s="16"/>
      <c r="G65" s="16">
        <f>SUM(G52:G64)</f>
        <v>0</v>
      </c>
      <c r="H65" s="16"/>
      <c r="I65" s="16">
        <f>SUM(I52:I64)</f>
        <v>-1252.0999999999999</v>
      </c>
      <c r="J65" s="16"/>
      <c r="K65" s="16">
        <f>SUM(K52:K64)</f>
        <v>0</v>
      </c>
      <c r="L65" s="16"/>
      <c r="M65" s="16">
        <f>SUM(M52:M64)</f>
        <v>0</v>
      </c>
      <c r="N65" s="16"/>
      <c r="O65" s="16">
        <f>SUM(O52:O64)</f>
        <v>0</v>
      </c>
      <c r="P65" s="16"/>
      <c r="Q65" s="16">
        <f>SUM(Q52:Q64)</f>
        <v>-1511805.3199999998</v>
      </c>
      <c r="R65" s="16"/>
      <c r="S65" s="16">
        <f>SUM(S52:S64)</f>
        <v>0</v>
      </c>
      <c r="T65" s="16"/>
      <c r="U65" s="16">
        <f>SUM(U52:U64)</f>
        <v>63554278.749999985</v>
      </c>
      <c r="V65" s="16"/>
    </row>
    <row r="66" spans="1:28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8" x14ac:dyDescent="0.2">
      <c r="A67" s="9" t="s">
        <v>91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8" x14ac:dyDescent="0.2">
      <c r="B68" s="3" t="s">
        <v>13</v>
      </c>
      <c r="C68" s="14">
        <f>C52+C36+C10+C11+C64+C48+C32+C31</f>
        <v>-81169236.599999994</v>
      </c>
      <c r="D68" s="14"/>
      <c r="E68" s="14">
        <f>E52+E36+E10+E11+E64+E48+E32+E31</f>
        <v>-9150467.7899999991</v>
      </c>
      <c r="F68" s="14"/>
      <c r="G68" s="14">
        <f>G52+G36+G10+G11+G64+G48+G32+G31</f>
        <v>8421276.8100000005</v>
      </c>
      <c r="H68" s="14"/>
      <c r="I68" s="14">
        <f>I52+I36+I10+I11+I64+I48+I32+I31</f>
        <v>0</v>
      </c>
      <c r="J68" s="14"/>
      <c r="K68" s="14">
        <f>K52+K36+K10+K11+K64+K48+K32+K31</f>
        <v>0</v>
      </c>
      <c r="L68" s="14"/>
      <c r="M68" s="14">
        <f>M52+M36+M10+M11+M64+M48+M32+M31</f>
        <v>0</v>
      </c>
      <c r="N68" s="14"/>
      <c r="O68" s="14">
        <f>O52+O36+O10+O11+O64+O48+O32+O31</f>
        <v>254433.78</v>
      </c>
      <c r="P68" s="14"/>
      <c r="Q68" s="14">
        <f>Q52+Q36+Q10+Q11+Q64+Q48+Q32+Q31</f>
        <v>0</v>
      </c>
      <c r="R68" s="14"/>
      <c r="S68" s="14">
        <f>S52+S36+S10+S11+S64+S48+S32+S31</f>
        <v>0</v>
      </c>
      <c r="T68" s="14"/>
      <c r="U68" s="14">
        <f>U52+U36+U10+U11+U64+U48+U32+U31</f>
        <v>-81643993.799999997</v>
      </c>
      <c r="V68" s="14"/>
      <c r="W68" s="2">
        <v>16</v>
      </c>
    </row>
    <row r="69" spans="1:28" x14ac:dyDescent="0.2">
      <c r="B69" s="3" t="s">
        <v>17</v>
      </c>
      <c r="C69" s="16">
        <f>C53+C54+C55+C56+C57+C58+C37+C38+C39+C40+C41+C42+C12+C13+C14+C15+C16+C17+C18+C19+C20+C21+C22</f>
        <v>-1670301354.0300002</v>
      </c>
      <c r="D69" s="16"/>
      <c r="E69" s="16">
        <f>E53+E54+E55+E56+E57+E58+E37+E38+E39+E40+E41+E42+E12+E13+E14+E15+E16+E17+E18+E19+E20+E21+E22</f>
        <v>-148093433.80000001</v>
      </c>
      <c r="F69" s="16"/>
      <c r="G69" s="16">
        <f>G53+G54+G55+G56+G57+G58+G37+G38+G39+G40+G41+G42+G12+G13+G14+G15+G16+G17+G18+G19+G20+G21+G22</f>
        <v>54659107.540000007</v>
      </c>
      <c r="H69" s="16"/>
      <c r="I69" s="16">
        <f>I53+I54+I55+I56+I57+I58+I37+I38+I39+I40+I41+I42+I12+I13+I14+I15+I16+I17+I18+I19+I20+I21+I22</f>
        <v>-16563.850000000006</v>
      </c>
      <c r="J69" s="16"/>
      <c r="K69" s="16">
        <f>K53+K54+K55+K56+K57+K58+K37+K38+K39+K40+K41+K42+K12+K13+K14+K15+K16+K17+K18+K19+K20+K21+K22</f>
        <v>0</v>
      </c>
      <c r="L69" s="16"/>
      <c r="M69" s="16">
        <f>M53+M54+M55+M56+M57+M58+M37+M38+M39+M40+M41+M42+M12+M13+M14+M15+M16+M17+M18+M19+M20+M21+M22</f>
        <v>0</v>
      </c>
      <c r="N69" s="16"/>
      <c r="O69" s="16">
        <f>O53+O54+O55+O56+O57+O58+O37+O38+O39+O40+O41+O42+O12+O13+O14+O15+O16+O17+O18+O19+O20+O21+O22</f>
        <v>42917625.75</v>
      </c>
      <c r="P69" s="16"/>
      <c r="Q69" s="16">
        <f>Q53+Q54+Q55+Q56+Q57+Q58+Q37+Q38+Q39+Q40+Q41+Q42+Q12+Q13+Q14+Q15+Q16+Q17+Q18+Q19+Q20+Q21+Q22</f>
        <v>-1480379.38</v>
      </c>
      <c r="R69" s="16"/>
      <c r="S69" s="16">
        <f>S53+S54+S55+S56+S57+S58+S37+S38+S39+S40+S41+S42+S12+S13+S14+S15+S16+S17+S18+S19+S20+S21+S22</f>
        <v>-2655400.08</v>
      </c>
      <c r="T69" s="16"/>
      <c r="U69" s="16">
        <f>U53+U54+U55+U56+U57+U58+U37+U38+U39+U40+U41+U42+U12+U13+U14+U15+U16+U17+U18+U19+U20+U21+U22</f>
        <v>-1724970397.8500001</v>
      </c>
      <c r="V69" s="16"/>
      <c r="W69" s="2">
        <v>11</v>
      </c>
    </row>
    <row r="70" spans="1:28" x14ac:dyDescent="0.2">
      <c r="B70" s="3" t="s">
        <v>26</v>
      </c>
      <c r="C70" s="15">
        <f>C59+C60+C61+C62+C63+C43+C44+C45+C46+C47+C23+C24+C25+C26+C27+C28+C29+C30</f>
        <v>-308165828.47000009</v>
      </c>
      <c r="D70" s="16"/>
      <c r="E70" s="15">
        <f>E59+E60+E61+E62+E63+E43+E44+E45+E46+E47+E23+E24+E25+E26+E27+E28+E29+E30</f>
        <v>-29787405.549999993</v>
      </c>
      <c r="F70" s="16"/>
      <c r="G70" s="15">
        <f>G59+G60+G61+G62+G63+G43+G44+G45+G46+G47+G23+G24+G25+G26+G27+G28+G29+G30</f>
        <v>4304184</v>
      </c>
      <c r="H70" s="16"/>
      <c r="I70" s="15">
        <f>I59+I60+I61+I62+I63+I43+I44+I45+I46+I47+I23+I24+I25+I26+I27+I28+I29+I30</f>
        <v>-13949.37</v>
      </c>
      <c r="J70" s="16"/>
      <c r="K70" s="15">
        <f>K59+K60+K61+K62+K63+K43+K44+K45+K46+K47+K23+K24+K25+K26+K27+K28+K29+K30</f>
        <v>0</v>
      </c>
      <c r="L70" s="16"/>
      <c r="M70" s="15">
        <f>M59+M60+M61+M62+M63+M43+M44+M45+M46+M47+M23+M24+M25+M26+M27+M28+M29+M30</f>
        <v>0</v>
      </c>
      <c r="N70" s="16"/>
      <c r="O70" s="15">
        <f>O59+O60+O61+O62+O63+O43+O44+O45+O46+O47+O23+O24+O25+O26+O27+O28+O29+O30</f>
        <v>1352385.9200000002</v>
      </c>
      <c r="P70" s="16"/>
      <c r="Q70" s="15">
        <f>Q59+Q60+Q61+Q62+Q63+Q43+Q44+Q45+Q46+Q47+Q23+Q24+Q25+Q26+Q27+Q28+Q29+Q30</f>
        <v>-31425.940000000002</v>
      </c>
      <c r="R70" s="16"/>
      <c r="S70" s="15">
        <f>S59+S60+S61+S62+S63+S43+S44+S45+S46+S47+S23+S24+S25+S26+S27+S28+S29+S30</f>
        <v>-39916.239999999998</v>
      </c>
      <c r="T70" s="16"/>
      <c r="U70" s="15">
        <f>U59+U60+U61+U62+U63+U43+U44+U45+U46+U47+U23+U24+U25+U26+U27+U28+U29+U30</f>
        <v>-332381955.64999998</v>
      </c>
      <c r="V70" s="16"/>
      <c r="W70" s="2">
        <v>14</v>
      </c>
      <c r="X70" s="16" t="s">
        <v>92</v>
      </c>
      <c r="Y70" s="29"/>
      <c r="Z70" s="29"/>
      <c r="AA70" s="29"/>
      <c r="AB70" s="29"/>
    </row>
    <row r="71" spans="1:28" x14ac:dyDescent="0.2">
      <c r="B71" s="18"/>
      <c r="C71" s="16">
        <f>SUM(C68:C70)</f>
        <v>-2059636419.1000001</v>
      </c>
      <c r="D71" s="16"/>
      <c r="E71" s="16">
        <f>SUM(E68:E70)</f>
        <v>-187031307.13999999</v>
      </c>
      <c r="F71" s="16"/>
      <c r="G71" s="16">
        <f>SUM(G68:G70)</f>
        <v>67384568.350000009</v>
      </c>
      <c r="H71" s="16"/>
      <c r="I71" s="16">
        <f>SUM(I68:I70)</f>
        <v>-30513.220000000008</v>
      </c>
      <c r="J71" s="16"/>
      <c r="K71" s="16">
        <f>SUM(K68:K70)</f>
        <v>0</v>
      </c>
      <c r="L71" s="16"/>
      <c r="M71" s="16">
        <f>SUM(M68:M70)</f>
        <v>0</v>
      </c>
      <c r="N71" s="16"/>
      <c r="O71" s="16">
        <f>SUM(O68:O70)</f>
        <v>44524445.450000003</v>
      </c>
      <c r="P71" s="16"/>
      <c r="Q71" s="16">
        <f>SUM(Q68:Q70)</f>
        <v>-1511805.3199999998</v>
      </c>
      <c r="R71" s="16"/>
      <c r="S71" s="16">
        <f>SUM(S68:S70)</f>
        <v>-2695316.3200000003</v>
      </c>
      <c r="T71" s="16"/>
      <c r="U71" s="16">
        <f>SUM(U68:U70)</f>
        <v>-2138996347.3000002</v>
      </c>
      <c r="V71" s="16"/>
      <c r="X71" s="16">
        <f>+M77+O71+Q71+S71+K77</f>
        <v>0</v>
      </c>
      <c r="Y71" s="29"/>
      <c r="Z71" s="29"/>
      <c r="AA71" s="29"/>
      <c r="AB71" s="29"/>
    </row>
    <row r="72" spans="1:28" x14ac:dyDescent="0.2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X72" s="29"/>
      <c r="Y72" s="29"/>
      <c r="Z72" s="29"/>
      <c r="AA72" s="29"/>
      <c r="AB72" s="29"/>
    </row>
    <row r="73" spans="1:28" x14ac:dyDescent="0.2">
      <c r="A73" s="9" t="s">
        <v>93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29"/>
      <c r="Y73" s="29"/>
      <c r="Z73" s="29"/>
      <c r="AA73" s="29"/>
      <c r="AB73" s="29"/>
    </row>
    <row r="74" spans="1:28" x14ac:dyDescent="0.2">
      <c r="B74" s="3" t="s">
        <v>13</v>
      </c>
      <c r="C74" s="14">
        <v>319140.77999999991</v>
      </c>
      <c r="D74" s="14"/>
      <c r="E74" s="14">
        <v>0</v>
      </c>
      <c r="F74" s="14"/>
      <c r="G74" s="14">
        <v>0</v>
      </c>
      <c r="H74" s="14"/>
      <c r="I74" s="14">
        <v>2200</v>
      </c>
      <c r="J74" s="14"/>
      <c r="K74" s="14">
        <v>0</v>
      </c>
      <c r="L74" s="14"/>
      <c r="M74" s="14">
        <f>-11588.61-70231.31-35120.7-7123.69-56264.71-55619.24-18485.52</f>
        <v>-254433.77999999997</v>
      </c>
      <c r="N74" s="14"/>
      <c r="O74" s="14">
        <f>38525.15+5162+18182.93+4080+626.78+72882.92+10058.34+95809.91+7267.61+5166.5+22245.21+75677.25</f>
        <v>355684.6</v>
      </c>
      <c r="P74" s="14"/>
      <c r="Q74" s="14">
        <f>-21885-11450</f>
        <v>-33335</v>
      </c>
      <c r="R74" s="14"/>
      <c r="S74" s="14">
        <f>-184984.21+15831.95+6965.64-27424.11</f>
        <v>-189610.72999999998</v>
      </c>
      <c r="T74" s="14"/>
      <c r="U74" s="14">
        <f>S74+Q74+O74+M74+I74+G74+E74+C74+K74</f>
        <v>199645.86999999994</v>
      </c>
      <c r="V74" s="14"/>
      <c r="W74" s="2">
        <v>16</v>
      </c>
      <c r="X74" s="29"/>
      <c r="Y74" s="34"/>
      <c r="Z74" s="34"/>
      <c r="AA74" s="29"/>
      <c r="AB74" s="29"/>
    </row>
    <row r="75" spans="1:28" x14ac:dyDescent="0.2">
      <c r="B75" s="3" t="s">
        <v>17</v>
      </c>
      <c r="C75" s="14">
        <v>53786919.939999998</v>
      </c>
      <c r="D75" s="14"/>
      <c r="E75" s="14">
        <v>0</v>
      </c>
      <c r="F75" s="14"/>
      <c r="G75" s="14">
        <v>0</v>
      </c>
      <c r="H75" s="14"/>
      <c r="I75" s="14">
        <v>34871.78</v>
      </c>
      <c r="J75" s="14"/>
      <c r="K75" s="14">
        <f>-138907.03-103943.12-47124.97-25577189.15</f>
        <v>-25867164.27</v>
      </c>
      <c r="L75" s="14"/>
      <c r="M75" s="14">
        <f>-62665.31+16651.57+138907.03-1467782.43+150741.67+103943.12-436238.3+748975.91-2011622.35+15936.5-826579.04+39624.47-2348194.71+36485.64-2392657.34+289784.78+47124.97-3540813.51+73907.5-26163778.64+25577189.15+6658.71-516603.19+5384.22+-415741.1+23824.31-79549.75+72404.1</f>
        <v>-12914682.019999998</v>
      </c>
      <c r="N75" s="14"/>
      <c r="O75" s="14">
        <f>984613.14+8111.92+1397860.22+537723.61+688046.43+124.91+1569976.36+65689.51+1687069.8+3155.03+11488.04+2832881.19+16032.79-178064.85+1575954.87+1105675.58+1237327.69-196209.86+512410.66+977900.97+5667518.65+1423543.07+1127151.17+403.45+14158.93+968009.88+1476855.63+32952.7+2842543.65+652574.25+2183591.82+245667.65</f>
        <v>31472738.859999992</v>
      </c>
      <c r="P75" s="14"/>
      <c r="Q75" s="14">
        <f>-9972.24-49656.76-35347.62-13398.37-46521.16-67002.31-96023.06-25056.26-24644.07-29455.88-48886.9-92124.54</f>
        <v>-538089.17000000004</v>
      </c>
      <c r="R75" s="14"/>
      <c r="S75" s="35">
        <f>-132529.8-29752.61-52831.07-72072.22-29890.25-36687.7-42038.37-136964.45-101107.83-13002.73-351368.73-47464.78</f>
        <v>-1045710.5399999999</v>
      </c>
      <c r="T75" s="14"/>
      <c r="U75" s="14">
        <f>S75+Q75+O75+M75+I75+G75+E75+C75+K75</f>
        <v>44928884.579999998</v>
      </c>
      <c r="V75" s="14"/>
      <c r="W75" s="2">
        <v>11</v>
      </c>
      <c r="X75" s="36"/>
      <c r="Y75" s="34"/>
      <c r="Z75" s="34"/>
      <c r="AA75" s="29"/>
      <c r="AB75" s="29"/>
    </row>
    <row r="76" spans="1:28" x14ac:dyDescent="0.2">
      <c r="B76" s="3" t="s">
        <v>26</v>
      </c>
      <c r="C76" s="14">
        <v>3939484.5200000005</v>
      </c>
      <c r="D76" s="14"/>
      <c r="E76" s="14">
        <v>0</v>
      </c>
      <c r="F76" s="14"/>
      <c r="G76" s="14">
        <v>0</v>
      </c>
      <c r="H76" s="14"/>
      <c r="I76" s="14">
        <v>15255.44</v>
      </c>
      <c r="J76" s="14"/>
      <c r="K76" s="14">
        <f>-37894.12-16000-232591.84-32682.52-22529.39-24447.12-18800-62258.96-86627.36</f>
        <v>-533831.31000000006</v>
      </c>
      <c r="L76" s="14"/>
      <c r="M76" s="14">
        <f>37894.12-208779.96+248591.84-341331.27-44883.93+32682.52-68142.12+22529.39-6100-52594.39+24447.12-4800-29288+18800-85061.11+62258.96+696.13+86627.36-107798.26-363690.64+30729.81</f>
        <v>-747212.42999999993</v>
      </c>
      <c r="N76" s="14"/>
      <c r="O76" s="14">
        <f>20875.04+70068.98+4328.77+27684.67+263299.13+19336.71+31.92+157076.68+162.48+229534.98+2114.22+45774.03+2772.47+73633.09+42581.37+66841.43+338899+127000.49+442114.05+485317.05+44749.68+256254.63+276917.33+272490.63-11829.66+104143.17+515677.32+11648.7+332940.31+119593.59+704719.06</f>
        <v>5046751.3199999984</v>
      </c>
      <c r="P76" s="14"/>
      <c r="Q76" s="14">
        <f>-2612.48-23426-1153.17-69157.09-1381.78+9151.63-1420.5-1589.19+5973.52+16963.76-2202.04</f>
        <v>-70853.339999999982</v>
      </c>
      <c r="R76" s="14"/>
      <c r="S76" s="14">
        <v>300.19</v>
      </c>
      <c r="T76" s="14"/>
      <c r="U76" s="14">
        <f>S76+Q76+O76+M76+I76+G76+E76+C76+K76</f>
        <v>7649894.3899999987</v>
      </c>
      <c r="V76" s="14"/>
      <c r="W76" s="2">
        <v>14</v>
      </c>
      <c r="X76" s="29"/>
      <c r="Y76" s="34"/>
      <c r="Z76" s="34"/>
      <c r="AA76" s="29"/>
      <c r="AB76" s="29"/>
    </row>
    <row r="77" spans="1:28" x14ac:dyDescent="0.2">
      <c r="B77" s="18"/>
      <c r="C77" s="20">
        <f>SUM(C74:C76)</f>
        <v>58045545.240000002</v>
      </c>
      <c r="D77" s="14"/>
      <c r="E77" s="20">
        <f>SUM(E74:E76)</f>
        <v>0</v>
      </c>
      <c r="F77" s="14"/>
      <c r="G77" s="20">
        <f>SUM(G74:G76)</f>
        <v>0</v>
      </c>
      <c r="H77" s="14"/>
      <c r="I77" s="20">
        <f>SUM(I74:I76)</f>
        <v>52327.22</v>
      </c>
      <c r="J77" s="16"/>
      <c r="K77" s="20">
        <f>SUM(K74:K76)</f>
        <v>-26400995.579999998</v>
      </c>
      <c r="L77" s="14"/>
      <c r="M77" s="20">
        <f>SUM(M74:M76)</f>
        <v>-13916328.229999997</v>
      </c>
      <c r="N77" s="14"/>
      <c r="O77" s="20">
        <f>SUM(O74:O76)</f>
        <v>36875174.779999994</v>
      </c>
      <c r="P77" s="14"/>
      <c r="Q77" s="20">
        <f>SUM(Q74:Q76)</f>
        <v>-642277.51</v>
      </c>
      <c r="R77" s="14"/>
      <c r="S77" s="20">
        <f>SUM(S74:S76)</f>
        <v>-1235021.08</v>
      </c>
      <c r="T77" s="14"/>
      <c r="U77" s="20">
        <f>SUM(U74:U76)</f>
        <v>52778424.839999996</v>
      </c>
      <c r="V77" s="16"/>
      <c r="X77" s="16">
        <v>0</v>
      </c>
      <c r="Y77" s="34"/>
      <c r="Z77" s="36"/>
      <c r="AA77" s="29"/>
      <c r="AB77" s="29"/>
    </row>
    <row r="78" spans="1:28" x14ac:dyDescent="0.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X78" s="36"/>
      <c r="Y78" s="29"/>
      <c r="Z78" s="29"/>
      <c r="AA78" s="29"/>
      <c r="AB78" s="29"/>
    </row>
    <row r="79" spans="1:28" x14ac:dyDescent="0.2">
      <c r="B79" s="18" t="s">
        <v>94</v>
      </c>
      <c r="C79" s="15">
        <f>C71+C77</f>
        <v>-2001590873.8600001</v>
      </c>
      <c r="D79" s="14"/>
      <c r="E79" s="15">
        <f>E71+E77</f>
        <v>-187031307.13999999</v>
      </c>
      <c r="F79" s="14"/>
      <c r="G79" s="15">
        <f>G71+G77</f>
        <v>67384568.350000009</v>
      </c>
      <c r="H79" s="14"/>
      <c r="I79" s="15">
        <f>I71+I77</f>
        <v>21813.999999999993</v>
      </c>
      <c r="J79" s="16"/>
      <c r="K79" s="15">
        <f>K71+K77</f>
        <v>-26400995.579999998</v>
      </c>
      <c r="L79" s="14"/>
      <c r="M79" s="15">
        <f>M71+M77</f>
        <v>-13916328.229999997</v>
      </c>
      <c r="N79" s="14"/>
      <c r="O79" s="15">
        <f>O71+O77</f>
        <v>81399620.229999989</v>
      </c>
      <c r="P79" s="14"/>
      <c r="Q79" s="15">
        <f>Q71+Q77</f>
        <v>-2154082.83</v>
      </c>
      <c r="R79" s="14"/>
      <c r="S79" s="15">
        <f>S71+S77</f>
        <v>-3930337.4000000004</v>
      </c>
      <c r="T79" s="14"/>
      <c r="U79" s="15">
        <f>U71+U77</f>
        <v>-2086217922.4600003</v>
      </c>
      <c r="V79" s="16"/>
      <c r="X79" s="37"/>
    </row>
    <row r="80" spans="1:28" x14ac:dyDescent="0.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6" x14ac:dyDescent="0.2">
      <c r="A81" s="9" t="s">
        <v>95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6" x14ac:dyDescent="0.2">
      <c r="B82" s="3" t="s">
        <v>13</v>
      </c>
      <c r="C82" s="14">
        <v>-51500719.059999995</v>
      </c>
      <c r="D82" s="14"/>
      <c r="E82" s="16">
        <v>-14818571.390000001</v>
      </c>
      <c r="F82" s="14"/>
      <c r="G82" s="16">
        <v>8008540.6900000004</v>
      </c>
      <c r="H82" s="14"/>
      <c r="I82" s="16">
        <v>0</v>
      </c>
      <c r="J82" s="14"/>
      <c r="K82" s="14">
        <v>0</v>
      </c>
      <c r="L82" s="14"/>
      <c r="M82" s="14">
        <v>0</v>
      </c>
      <c r="N82" s="14"/>
      <c r="O82" s="16">
        <v>0</v>
      </c>
      <c r="P82" s="14"/>
      <c r="Q82" s="16">
        <v>0</v>
      </c>
      <c r="R82" s="14"/>
      <c r="S82" s="16">
        <v>0</v>
      </c>
      <c r="T82" s="14"/>
      <c r="U82" s="14">
        <f>S82+Q82+O82+M82+I82+G82+E82+C82</f>
        <v>-58310749.759999998</v>
      </c>
      <c r="V82" s="14"/>
      <c r="W82" s="38" t="s">
        <v>96</v>
      </c>
    </row>
    <row r="83" spans="1:26" x14ac:dyDescent="0.2">
      <c r="B83" s="3" t="s">
        <v>17</v>
      </c>
      <c r="C83" s="14">
        <v>0</v>
      </c>
      <c r="D83" s="14"/>
      <c r="E83" s="16">
        <v>0</v>
      </c>
      <c r="F83" s="14"/>
      <c r="G83" s="16">
        <v>0</v>
      </c>
      <c r="H83" s="14"/>
      <c r="I83" s="16">
        <v>0</v>
      </c>
      <c r="J83" s="14"/>
      <c r="K83" s="14">
        <v>0</v>
      </c>
      <c r="L83" s="14"/>
      <c r="M83" s="14">
        <v>0</v>
      </c>
      <c r="N83" s="14"/>
      <c r="O83" s="16">
        <v>0</v>
      </c>
      <c r="P83" s="14"/>
      <c r="Q83" s="16">
        <v>0</v>
      </c>
      <c r="R83" s="14"/>
      <c r="S83" s="16">
        <v>0</v>
      </c>
      <c r="T83" s="14"/>
      <c r="U83" s="14">
        <f>S83+Q83+O83+M83+I83+G83+E83+C83</f>
        <v>0</v>
      </c>
      <c r="V83" s="14"/>
      <c r="W83" s="38" t="s">
        <v>97</v>
      </c>
      <c r="Z83" s="37"/>
    </row>
    <row r="84" spans="1:26" x14ac:dyDescent="0.2">
      <c r="B84" s="3" t="s">
        <v>26</v>
      </c>
      <c r="C84" s="15">
        <v>-164.16000000000003</v>
      </c>
      <c r="D84" s="14"/>
      <c r="E84" s="15">
        <v>-44.52</v>
      </c>
      <c r="F84" s="14"/>
      <c r="G84" s="15">
        <v>0</v>
      </c>
      <c r="H84" s="14"/>
      <c r="I84" s="15">
        <v>0</v>
      </c>
      <c r="J84" s="16"/>
      <c r="K84" s="15">
        <v>0</v>
      </c>
      <c r="L84" s="14"/>
      <c r="M84" s="15">
        <v>0</v>
      </c>
      <c r="N84" s="14"/>
      <c r="O84" s="15">
        <v>0</v>
      </c>
      <c r="P84" s="14"/>
      <c r="Q84" s="15">
        <v>0</v>
      </c>
      <c r="R84" s="14"/>
      <c r="S84" s="15">
        <v>0</v>
      </c>
      <c r="T84" s="14"/>
      <c r="U84" s="15">
        <f>S84+Q84+O84+M84+I84+G84+E84+C84</f>
        <v>-208.68000000000004</v>
      </c>
      <c r="V84" s="16"/>
      <c r="W84" s="38" t="s">
        <v>98</v>
      </c>
    </row>
    <row r="85" spans="1:26" x14ac:dyDescent="0.2">
      <c r="B85" s="18" t="s">
        <v>99</v>
      </c>
      <c r="C85" s="16">
        <f>SUM(C82:C84)</f>
        <v>-51500883.219999991</v>
      </c>
      <c r="D85" s="16"/>
      <c r="E85" s="16">
        <f>SUM(E82:E84)</f>
        <v>-14818615.91</v>
      </c>
      <c r="F85" s="16"/>
      <c r="G85" s="16">
        <f>SUM(G82:G84)</f>
        <v>8008540.6900000004</v>
      </c>
      <c r="H85" s="16"/>
      <c r="I85" s="16">
        <f>SUM(I82:I84)</f>
        <v>0</v>
      </c>
      <c r="J85" s="16"/>
      <c r="K85" s="16">
        <f>SUM(K82:K84)</f>
        <v>0</v>
      </c>
      <c r="L85" s="16"/>
      <c r="M85" s="16">
        <f>SUM(M82:M84)</f>
        <v>0</v>
      </c>
      <c r="N85" s="16"/>
      <c r="O85" s="16">
        <f>SUM(O82:O84)</f>
        <v>0</v>
      </c>
      <c r="P85" s="16"/>
      <c r="Q85" s="16">
        <f>SUM(Q82:Q84)</f>
        <v>0</v>
      </c>
      <c r="R85" s="16"/>
      <c r="S85" s="16">
        <f>SUM(S82:S84)</f>
        <v>0</v>
      </c>
      <c r="T85" s="16"/>
      <c r="U85" s="16">
        <f>SUM(U82:U84)</f>
        <v>-58310958.439999998</v>
      </c>
      <c r="V85" s="16"/>
    </row>
    <row r="86" spans="1:26" x14ac:dyDescent="0.2">
      <c r="B86" s="18"/>
      <c r="C86" s="16"/>
      <c r="D86" s="14"/>
      <c r="E86" s="16"/>
      <c r="F86" s="14"/>
      <c r="G86" s="16"/>
      <c r="H86" s="14"/>
      <c r="I86" s="16"/>
      <c r="J86" s="16"/>
      <c r="K86" s="16"/>
      <c r="L86" s="14"/>
      <c r="M86" s="16"/>
      <c r="N86" s="14"/>
      <c r="O86" s="16"/>
      <c r="P86" s="14"/>
      <c r="Q86" s="16"/>
      <c r="R86" s="14"/>
      <c r="S86" s="16"/>
      <c r="T86" s="14"/>
      <c r="U86" s="16"/>
      <c r="V86" s="16"/>
    </row>
    <row r="87" spans="1:26" x14ac:dyDescent="0.2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6" ht="13.5" thickBot="1" x14ac:dyDescent="0.25">
      <c r="B88" s="18" t="s">
        <v>100</v>
      </c>
      <c r="C88" s="39">
        <f>C79+C85</f>
        <v>-2053091757.0800002</v>
      </c>
      <c r="D88" s="14"/>
      <c r="E88" s="39">
        <f>E79+E85</f>
        <v>-201849923.04999998</v>
      </c>
      <c r="F88" s="14"/>
      <c r="G88" s="39">
        <f>G79+G85</f>
        <v>75393109.040000007</v>
      </c>
      <c r="H88" s="14"/>
      <c r="I88" s="39">
        <f>I79+I85</f>
        <v>21813.999999999993</v>
      </c>
      <c r="J88" s="16"/>
      <c r="K88" s="39">
        <f>K79+K85</f>
        <v>-26400995.579999998</v>
      </c>
      <c r="L88" s="14"/>
      <c r="M88" s="39">
        <f>M79+M85</f>
        <v>-13916328.229999997</v>
      </c>
      <c r="N88" s="14"/>
      <c r="O88" s="39">
        <f>O79+O85</f>
        <v>81399620.229999989</v>
      </c>
      <c r="P88" s="14"/>
      <c r="Q88" s="39">
        <f>Q79+Q85</f>
        <v>-2154082.83</v>
      </c>
      <c r="R88" s="14"/>
      <c r="S88" s="39">
        <f>S79+S85</f>
        <v>-3930337.4000000004</v>
      </c>
      <c r="T88" s="14"/>
      <c r="U88" s="39">
        <f>U79+U85</f>
        <v>-2144528880.9000003</v>
      </c>
      <c r="V88" s="16"/>
    </row>
    <row r="89" spans="1:26" ht="13.5" thickTop="1" x14ac:dyDescent="0.2">
      <c r="B89" s="18"/>
      <c r="C89" s="16"/>
      <c r="D89" s="14"/>
      <c r="E89" s="16"/>
      <c r="F89" s="14"/>
      <c r="G89" s="16"/>
      <c r="H89" s="14"/>
      <c r="I89" s="16"/>
      <c r="J89" s="16"/>
      <c r="K89" s="16"/>
      <c r="L89" s="14"/>
      <c r="M89" s="16"/>
      <c r="N89" s="14"/>
      <c r="O89" s="16"/>
      <c r="P89" s="14"/>
      <c r="Q89" s="16"/>
      <c r="R89" s="14"/>
      <c r="S89" s="16"/>
      <c r="T89" s="14"/>
      <c r="U89" s="16"/>
      <c r="V89" s="16"/>
    </row>
    <row r="90" spans="1:26" ht="13.5" thickBot="1" x14ac:dyDescent="0.25">
      <c r="B90" s="18" t="s">
        <v>101</v>
      </c>
      <c r="C90" s="16"/>
      <c r="D90" s="14"/>
      <c r="E90" s="16"/>
      <c r="F90" s="14"/>
      <c r="G90" s="16"/>
      <c r="H90" s="14"/>
      <c r="I90" s="16"/>
      <c r="J90" s="16"/>
      <c r="K90" s="16"/>
      <c r="L90" s="14"/>
      <c r="M90" s="16"/>
      <c r="N90" s="14"/>
      <c r="O90" s="16"/>
      <c r="P90" s="14"/>
      <c r="Q90" s="16"/>
      <c r="R90" s="14"/>
      <c r="S90" s="16"/>
      <c r="T90" s="14"/>
      <c r="U90" s="23">
        <f>U88-U32-U31</f>
        <v>-2144465520.5400004</v>
      </c>
      <c r="V90" s="16"/>
    </row>
    <row r="91" spans="1:26" ht="13.5" thickTop="1" x14ac:dyDescent="0.2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6" x14ac:dyDescent="0.2">
      <c r="A92" s="9" t="s">
        <v>102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6" ht="13.5" thickBot="1" x14ac:dyDescent="0.25">
      <c r="A93" s="9" t="s">
        <v>103</v>
      </c>
      <c r="C93" s="39">
        <f>'Summary - Cost - PG 1 (Reg)'!D133+C88-C32</f>
        <v>4716068886.5699997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39">
        <f>'Summary - Cost - PG 1 (Reg)'!N133+'Summary - Reserve - PG 2 (Reg)'!U88-U32-U31</f>
        <v>5011031245.2199993</v>
      </c>
      <c r="V93" s="16"/>
    </row>
    <row r="94" spans="1:26" ht="13.5" thickTop="1" x14ac:dyDescent="0.2">
      <c r="C94" s="14"/>
      <c r="D94" s="14"/>
      <c r="E94" s="14"/>
      <c r="F94" s="14"/>
      <c r="G94" s="14"/>
      <c r="H94" s="14"/>
      <c r="I94" s="14"/>
      <c r="J94" s="14"/>
      <c r="K94" s="14"/>
      <c r="L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6" x14ac:dyDescent="0.2">
      <c r="F95" s="14"/>
      <c r="G95" s="14"/>
      <c r="H95" s="14"/>
      <c r="I95" s="14"/>
      <c r="J95" s="14"/>
      <c r="N95" s="40"/>
      <c r="O95" s="40"/>
      <c r="P95" s="40"/>
      <c r="Q95" s="40"/>
      <c r="R95" s="40"/>
      <c r="S95" s="40"/>
      <c r="T95" s="40"/>
      <c r="U95" s="40"/>
      <c r="V95" s="41"/>
    </row>
    <row r="96" spans="1:26" x14ac:dyDescent="0.2">
      <c r="C96" s="42" t="s">
        <v>104</v>
      </c>
      <c r="D96" s="43"/>
      <c r="E96" s="43"/>
      <c r="F96" s="14"/>
      <c r="G96" s="14"/>
      <c r="H96" s="14"/>
      <c r="I96" s="14"/>
      <c r="J96" s="14"/>
      <c r="N96" s="40"/>
      <c r="O96" s="40"/>
      <c r="P96" s="40"/>
      <c r="Q96" s="40"/>
      <c r="R96" s="40"/>
      <c r="S96" s="198" t="s">
        <v>105</v>
      </c>
      <c r="T96" s="43"/>
      <c r="U96" s="43">
        <f>+U68+U74-U32-U31</f>
        <v>-81380987.569999993</v>
      </c>
      <c r="V96" s="44"/>
      <c r="W96" s="45" t="s">
        <v>106</v>
      </c>
    </row>
    <row r="97" spans="3:23" x14ac:dyDescent="0.2">
      <c r="C97" s="43">
        <f>+U97+U83</f>
        <v>-1680041513.2700002</v>
      </c>
      <c r="D97" s="43"/>
      <c r="E97" s="46" t="s">
        <v>107</v>
      </c>
      <c r="F97" s="14"/>
      <c r="G97" s="14"/>
      <c r="H97" s="14"/>
      <c r="I97" s="14"/>
      <c r="J97" s="14"/>
      <c r="N97" s="40"/>
      <c r="O97" s="40"/>
      <c r="P97" s="40"/>
      <c r="Q97" s="40"/>
      <c r="R97" s="40"/>
      <c r="S97" s="198" t="s">
        <v>108</v>
      </c>
      <c r="T97" s="43"/>
      <c r="U97" s="43">
        <f>+U69+U75</f>
        <v>-1680041513.2700002</v>
      </c>
      <c r="V97" s="44"/>
      <c r="W97" s="47" t="s">
        <v>107</v>
      </c>
    </row>
    <row r="98" spans="3:23" x14ac:dyDescent="0.2">
      <c r="C98" s="43">
        <f>+U84+U98</f>
        <v>-324732269.94</v>
      </c>
      <c r="D98" s="43"/>
      <c r="E98" s="43" t="s">
        <v>109</v>
      </c>
      <c r="F98" s="14"/>
      <c r="G98" s="14"/>
      <c r="H98" s="14"/>
      <c r="I98" s="14"/>
      <c r="J98" s="14"/>
      <c r="N98" s="40"/>
      <c r="O98" s="40"/>
      <c r="P98" s="40"/>
      <c r="Q98" s="40"/>
      <c r="R98" s="40"/>
      <c r="S98" s="198" t="s">
        <v>110</v>
      </c>
      <c r="T98" s="43"/>
      <c r="U98" s="43">
        <f>+U70+U76</f>
        <v>-324732061.25999999</v>
      </c>
      <c r="V98" s="44"/>
      <c r="W98" s="45" t="s">
        <v>111</v>
      </c>
    </row>
    <row r="99" spans="3:23" x14ac:dyDescent="0.2">
      <c r="C99" s="48">
        <f>+U82+U96</f>
        <v>-139691737.32999998</v>
      </c>
      <c r="D99" s="43"/>
      <c r="E99" s="43" t="s">
        <v>112</v>
      </c>
      <c r="F99" s="14"/>
      <c r="G99" s="14"/>
      <c r="H99" s="14"/>
      <c r="I99" s="14"/>
      <c r="J99" s="14"/>
      <c r="N99" s="40"/>
      <c r="O99" s="40"/>
      <c r="P99" s="40"/>
      <c r="Q99" s="40"/>
      <c r="R99" s="40"/>
      <c r="S99" s="43"/>
      <c r="T99" s="43"/>
      <c r="U99" s="43"/>
      <c r="V99" s="44"/>
      <c r="W99" s="45"/>
    </row>
    <row r="100" spans="3:23" x14ac:dyDescent="0.2">
      <c r="C100" s="43">
        <f>SUM(C97:C99)</f>
        <v>-2144465520.5400002</v>
      </c>
      <c r="D100" s="43"/>
      <c r="E100" s="46" t="s">
        <v>113</v>
      </c>
      <c r="F100" s="14"/>
      <c r="G100" s="14"/>
      <c r="H100" s="14"/>
      <c r="I100" s="14"/>
      <c r="J100" s="14"/>
      <c r="K100" s="49"/>
      <c r="L100" s="49"/>
      <c r="M100" s="49"/>
      <c r="N100" s="49"/>
      <c r="O100" s="49"/>
      <c r="P100" s="49"/>
      <c r="Q100" s="49"/>
      <c r="R100" s="49"/>
      <c r="S100" s="198" t="s">
        <v>114</v>
      </c>
      <c r="T100" s="50"/>
      <c r="U100" s="50">
        <f>SUM(U96:U98)</f>
        <v>-2086154562.1000001</v>
      </c>
      <c r="V100" s="44"/>
      <c r="W100" s="51" t="s">
        <v>115</v>
      </c>
    </row>
    <row r="101" spans="3:23" x14ac:dyDescent="0.2">
      <c r="C101" s="48">
        <f>+C105</f>
        <v>0</v>
      </c>
      <c r="D101" s="52"/>
      <c r="E101" s="53" t="s">
        <v>116</v>
      </c>
      <c r="F101" s="52"/>
      <c r="G101" s="52"/>
      <c r="H101" s="52"/>
      <c r="I101" s="52"/>
      <c r="J101" s="52"/>
      <c r="K101" s="49"/>
      <c r="L101" s="49"/>
      <c r="M101" s="49"/>
      <c r="N101" s="49"/>
      <c r="O101" s="49"/>
      <c r="P101" s="49"/>
      <c r="Q101" s="49"/>
      <c r="R101" s="49"/>
      <c r="S101" s="198" t="s">
        <v>117</v>
      </c>
      <c r="T101" s="50"/>
      <c r="U101" s="50">
        <f>+U84</f>
        <v>-208.68000000000004</v>
      </c>
      <c r="V101" s="44"/>
      <c r="W101" s="45" t="s">
        <v>118</v>
      </c>
    </row>
    <row r="102" spans="3:23" x14ac:dyDescent="0.2">
      <c r="C102" s="43">
        <f>+C100-C101</f>
        <v>-2144465520.5400002</v>
      </c>
      <c r="D102" s="52"/>
      <c r="E102" s="43" t="s">
        <v>119</v>
      </c>
      <c r="F102" s="52"/>
      <c r="G102" s="52"/>
      <c r="H102" s="52"/>
      <c r="I102" s="52"/>
      <c r="J102" s="52"/>
      <c r="K102" s="49"/>
      <c r="L102" s="49"/>
      <c r="M102" s="49"/>
      <c r="N102" s="49"/>
      <c r="O102" s="49"/>
      <c r="P102" s="49"/>
      <c r="Q102" s="49"/>
      <c r="R102" s="49"/>
      <c r="S102" s="198" t="s">
        <v>120</v>
      </c>
      <c r="T102" s="50"/>
      <c r="U102" s="50">
        <f>+U82+U83</f>
        <v>-58310749.759999998</v>
      </c>
      <c r="V102" s="44"/>
      <c r="W102" s="45" t="s">
        <v>121</v>
      </c>
    </row>
    <row r="103" spans="3:23" ht="13.5" thickBot="1" x14ac:dyDescent="0.25">
      <c r="C103" s="52"/>
      <c r="D103" s="52"/>
      <c r="E103" s="54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3:23" x14ac:dyDescent="0.2">
      <c r="C104" s="55">
        <f>+U97</f>
        <v>-1680041513.2700002</v>
      </c>
      <c r="D104" s="56"/>
      <c r="E104" s="57" t="s">
        <v>107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8" t="s">
        <v>122</v>
      </c>
      <c r="R104" s="59"/>
      <c r="S104" s="59"/>
      <c r="T104" s="59"/>
      <c r="U104" s="59"/>
      <c r="V104" s="60"/>
    </row>
    <row r="105" spans="3:23" x14ac:dyDescent="0.2">
      <c r="C105" s="48">
        <f>+'KY_Res by Plant Acct-P29 (Reg)'!R220</f>
        <v>0</v>
      </c>
      <c r="D105" s="56"/>
      <c r="E105" s="57" t="s">
        <v>123</v>
      </c>
      <c r="F105" s="52"/>
      <c r="G105" s="53" t="s">
        <v>116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61"/>
      <c r="R105" s="62"/>
      <c r="S105" s="63" t="s">
        <v>124</v>
      </c>
      <c r="T105" s="62"/>
      <c r="U105" s="62">
        <f>+U68-U32-U48-U64-U31</f>
        <v>-81580633.439999998</v>
      </c>
      <c r="V105" s="64"/>
    </row>
    <row r="106" spans="3:23" x14ac:dyDescent="0.2">
      <c r="C106" s="56"/>
      <c r="D106" s="56"/>
      <c r="E106" s="56" t="s">
        <v>125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65"/>
      <c r="R106" s="62"/>
      <c r="S106" s="63" t="s">
        <v>67</v>
      </c>
      <c r="T106" s="62"/>
      <c r="U106" s="62">
        <f>+U74</f>
        <v>199645.86999999994</v>
      </c>
      <c r="V106" s="64"/>
    </row>
    <row r="107" spans="3:23" x14ac:dyDescent="0.2">
      <c r="C107" s="55">
        <f>+C104-C105</f>
        <v>-1680041513.2700002</v>
      </c>
      <c r="D107" s="56"/>
      <c r="E107" s="56" t="s">
        <v>126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65"/>
      <c r="R107" s="62"/>
      <c r="S107" s="63" t="s">
        <v>127</v>
      </c>
      <c r="T107" s="62"/>
      <c r="U107" s="62">
        <f>+U82</f>
        <v>-58310749.759999998</v>
      </c>
      <c r="V107" s="64"/>
    </row>
    <row r="108" spans="3:23" ht="13.5" thickBot="1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65"/>
      <c r="R108" s="62"/>
      <c r="S108" s="62"/>
      <c r="T108" s="62"/>
      <c r="U108" s="66">
        <f>SUM(U105:U107)</f>
        <v>-139691737.32999998</v>
      </c>
      <c r="V108" s="64"/>
      <c r="W108" s="22"/>
    </row>
    <row r="109" spans="3:23" ht="13.5" thickTop="1" x14ac:dyDescent="0.2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65"/>
      <c r="R109" s="62"/>
      <c r="S109" s="62"/>
      <c r="T109" s="62"/>
      <c r="U109" s="62"/>
      <c r="V109" s="64"/>
      <c r="W109" s="22"/>
    </row>
    <row r="110" spans="3:23" x14ac:dyDescent="0.2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67" t="s">
        <v>17</v>
      </c>
      <c r="R110" s="62"/>
      <c r="S110" s="68">
        <f>+'Recon Depr Exp to IS P4 (Reg)'!M61</f>
        <v>0.69</v>
      </c>
      <c r="T110" s="62"/>
      <c r="U110" s="62">
        <f>+U108*0.7</f>
        <v>-97784216.130999982</v>
      </c>
      <c r="V110" s="64"/>
      <c r="W110" s="22"/>
    </row>
    <row r="111" spans="3:23" x14ac:dyDescent="0.2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67" t="s">
        <v>26</v>
      </c>
      <c r="R111" s="62"/>
      <c r="S111" s="68">
        <f>+'Recon Depr Exp to IS P4 (Reg)'!M75</f>
        <v>0.31</v>
      </c>
      <c r="T111" s="62"/>
      <c r="U111" s="62">
        <f>+U108*0.3</f>
        <v>-41907521.198999994</v>
      </c>
      <c r="V111" s="64"/>
    </row>
    <row r="112" spans="3:23" ht="13.5" thickBot="1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65"/>
      <c r="R112" s="62"/>
      <c r="S112" s="62"/>
      <c r="T112" s="62"/>
      <c r="U112" s="66">
        <f>SUM(U110:U111)</f>
        <v>-139691737.32999998</v>
      </c>
      <c r="V112" s="64"/>
    </row>
    <row r="113" spans="3:22" ht="14.25" thickTop="1" thickBot="1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69"/>
      <c r="R113" s="70"/>
      <c r="S113" s="70"/>
      <c r="T113" s="70"/>
      <c r="U113" s="70">
        <f>+U112-C99</f>
        <v>0</v>
      </c>
      <c r="V113" s="71"/>
    </row>
    <row r="114" spans="3:22" x14ac:dyDescent="0.2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3:22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3:22" x14ac:dyDescent="0.2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3:22" x14ac:dyDescent="0.2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spans="3:22" x14ac:dyDescent="0.2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3:22" x14ac:dyDescent="0.2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spans="3:22" x14ac:dyDescent="0.2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3:22" x14ac:dyDescent="0.2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spans="3:22" x14ac:dyDescent="0.2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3:22" x14ac:dyDescent="0.2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spans="3:22" x14ac:dyDescent="0.2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3:22" x14ac:dyDescent="0.2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3:22" x14ac:dyDescent="0.2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3:22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3:22" x14ac:dyDescent="0.2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3:22" x14ac:dyDescent="0.2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3:22" x14ac:dyDescent="0.2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3:22" x14ac:dyDescent="0.2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3:22" x14ac:dyDescent="0.2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3:22" x14ac:dyDescent="0.2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3:22" x14ac:dyDescent="0.2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3:22" x14ac:dyDescent="0.2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3:22" x14ac:dyDescent="0.2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3:22" x14ac:dyDescent="0.2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3:22" x14ac:dyDescent="0.2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3:22" x14ac:dyDescent="0.2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3:22" x14ac:dyDescent="0.2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3:22" x14ac:dyDescent="0.2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3:22" x14ac:dyDescent="0.2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3:22" x14ac:dyDescent="0.2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3:22" x14ac:dyDescent="0.2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3:22" x14ac:dyDescent="0.2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3:22" x14ac:dyDescent="0.2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3:22" x14ac:dyDescent="0.2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3:22" x14ac:dyDescent="0.2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3:22" x14ac:dyDescent="0.2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3:22" x14ac:dyDescent="0.2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3:22" x14ac:dyDescent="0.2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3:22" x14ac:dyDescent="0.2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3:22" x14ac:dyDescent="0.2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3:22" x14ac:dyDescent="0.2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3:22" x14ac:dyDescent="0.2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3:22" x14ac:dyDescent="0.2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3:22" x14ac:dyDescent="0.2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3:22" x14ac:dyDescent="0.2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3:22" x14ac:dyDescent="0.2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3:22" x14ac:dyDescent="0.2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3:22" x14ac:dyDescent="0.2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3:22" x14ac:dyDescent="0.2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3:22" x14ac:dyDescent="0.2"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3:22" x14ac:dyDescent="0.2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3:22" x14ac:dyDescent="0.2"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3:22" x14ac:dyDescent="0.2"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3:22" x14ac:dyDescent="0.2"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3:22" x14ac:dyDescent="0.2"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3:22" x14ac:dyDescent="0.2"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3:22" x14ac:dyDescent="0.2"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3:22" x14ac:dyDescent="0.2"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3:22" x14ac:dyDescent="0.2"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3:22" x14ac:dyDescent="0.2"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3:22" x14ac:dyDescent="0.2"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3:22" x14ac:dyDescent="0.2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3:22" x14ac:dyDescent="0.2"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3:22" x14ac:dyDescent="0.2"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3:22" x14ac:dyDescent="0.2"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3:22" x14ac:dyDescent="0.2"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3:22" x14ac:dyDescent="0.2"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3:22" x14ac:dyDescent="0.2"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3:22" x14ac:dyDescent="0.2"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3:22" x14ac:dyDescent="0.2"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3:22" x14ac:dyDescent="0.2"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3:22" x14ac:dyDescent="0.2"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3:22" x14ac:dyDescent="0.2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3:22" x14ac:dyDescent="0.2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3:22" x14ac:dyDescent="0.2"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3:22" x14ac:dyDescent="0.2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3:22" x14ac:dyDescent="0.2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3:22" x14ac:dyDescent="0.2"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3:22" x14ac:dyDescent="0.2"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3:22" x14ac:dyDescent="0.2"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3:22" x14ac:dyDescent="0.2"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3:22" x14ac:dyDescent="0.2"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3:22" x14ac:dyDescent="0.2"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3:22" x14ac:dyDescent="0.2"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3:22" x14ac:dyDescent="0.2"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3:22" x14ac:dyDescent="0.2"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3:22" x14ac:dyDescent="0.2"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3:22" x14ac:dyDescent="0.2"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spans="3:22" x14ac:dyDescent="0.2"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spans="3:22" x14ac:dyDescent="0.2"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3:22" x14ac:dyDescent="0.2"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3:22" x14ac:dyDescent="0.2"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3:22" x14ac:dyDescent="0.2"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3:22" x14ac:dyDescent="0.2"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3:22" x14ac:dyDescent="0.2"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3:22" x14ac:dyDescent="0.2"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3:22" x14ac:dyDescent="0.2"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3:22" x14ac:dyDescent="0.2"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3:22" x14ac:dyDescent="0.2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  <row r="213" spans="3:22" x14ac:dyDescent="0.2"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</row>
    <row r="214" spans="3:22" x14ac:dyDescent="0.2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3:22" x14ac:dyDescent="0.2"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spans="3:22" x14ac:dyDescent="0.2"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3:22" x14ac:dyDescent="0.2"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3:22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spans="3:22" x14ac:dyDescent="0.2"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spans="3:22" x14ac:dyDescent="0.2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spans="3:22" x14ac:dyDescent="0.2"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3:22" x14ac:dyDescent="0.2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</row>
    <row r="223" spans="3:22" x14ac:dyDescent="0.2"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</row>
    <row r="224" spans="3:22" x14ac:dyDescent="0.2"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</row>
    <row r="225" spans="3:22" x14ac:dyDescent="0.2"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3:22" x14ac:dyDescent="0.2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3:22" x14ac:dyDescent="0.2"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</row>
    <row r="228" spans="3:22" x14ac:dyDescent="0.2"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3:22" x14ac:dyDescent="0.2"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</row>
    <row r="230" spans="3:22" x14ac:dyDescent="0.2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3:22" x14ac:dyDescent="0.2"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</row>
    <row r="232" spans="3:22" x14ac:dyDescent="0.2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</row>
    <row r="233" spans="3:22" x14ac:dyDescent="0.2"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</row>
    <row r="234" spans="3:22" x14ac:dyDescent="0.2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</row>
    <row r="235" spans="3:22" x14ac:dyDescent="0.2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3:22" x14ac:dyDescent="0.2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3:22" x14ac:dyDescent="0.2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3:22" x14ac:dyDescent="0.2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3:22" x14ac:dyDescent="0.2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3:22" x14ac:dyDescent="0.2"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3:22" x14ac:dyDescent="0.2"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3:22" x14ac:dyDescent="0.2"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3:22" x14ac:dyDescent="0.2"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3:22" x14ac:dyDescent="0.2"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3:22" x14ac:dyDescent="0.2"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3:22" x14ac:dyDescent="0.2"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3:22" x14ac:dyDescent="0.2"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3:22" x14ac:dyDescent="0.2"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3:22" x14ac:dyDescent="0.2"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3:22" x14ac:dyDescent="0.2"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3:22" x14ac:dyDescent="0.2"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3:22" x14ac:dyDescent="0.2"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3:22" x14ac:dyDescent="0.2"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3:22" x14ac:dyDescent="0.2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3:22" x14ac:dyDescent="0.2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3:22" x14ac:dyDescent="0.2"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3:22" x14ac:dyDescent="0.2"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3:22" x14ac:dyDescent="0.2"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3:22" x14ac:dyDescent="0.2"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3:22" x14ac:dyDescent="0.2"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3:22" x14ac:dyDescent="0.2"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3:22" x14ac:dyDescent="0.2"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3:22" x14ac:dyDescent="0.2"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3:22" x14ac:dyDescent="0.2"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3:22" x14ac:dyDescent="0.2"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3:22" x14ac:dyDescent="0.2"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3:22" x14ac:dyDescent="0.2"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3:22" x14ac:dyDescent="0.2"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3:22" x14ac:dyDescent="0.2"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3:22" x14ac:dyDescent="0.2"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3:22" x14ac:dyDescent="0.2"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3:22" x14ac:dyDescent="0.2"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3:22" x14ac:dyDescent="0.2"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3:22" x14ac:dyDescent="0.2"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</row>
    <row r="275" spans="3:22" x14ac:dyDescent="0.2"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</row>
    <row r="276" spans="3:22" x14ac:dyDescent="0.2"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</row>
    <row r="277" spans="3:22" x14ac:dyDescent="0.2"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</row>
    <row r="278" spans="3:22" x14ac:dyDescent="0.2"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</row>
    <row r="279" spans="3:22" x14ac:dyDescent="0.2"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</row>
    <row r="280" spans="3:22" x14ac:dyDescent="0.2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3:22" x14ac:dyDescent="0.2"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</row>
    <row r="282" spans="3:22" x14ac:dyDescent="0.2"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</row>
    <row r="283" spans="3:22" x14ac:dyDescent="0.2"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</row>
    <row r="284" spans="3:22" x14ac:dyDescent="0.2"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3:22" x14ac:dyDescent="0.2"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</row>
    <row r="286" spans="3:22" x14ac:dyDescent="0.2"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3:22" x14ac:dyDescent="0.2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</row>
    <row r="288" spans="3:22" x14ac:dyDescent="0.2"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3:22" x14ac:dyDescent="0.2"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</row>
    <row r="290" spans="3:22" x14ac:dyDescent="0.2"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3:22" x14ac:dyDescent="0.2"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</row>
    <row r="292" spans="3:22" x14ac:dyDescent="0.2"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</row>
    <row r="293" spans="3:22" x14ac:dyDescent="0.2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</row>
    <row r="294" spans="3:22" x14ac:dyDescent="0.2"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</row>
    <row r="295" spans="3:22" x14ac:dyDescent="0.2"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</row>
    <row r="296" spans="3:22" x14ac:dyDescent="0.2"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3:22" x14ac:dyDescent="0.2"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</row>
    <row r="298" spans="3:22" x14ac:dyDescent="0.2"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</row>
    <row r="299" spans="3:22" x14ac:dyDescent="0.2"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</row>
    <row r="300" spans="3:22" x14ac:dyDescent="0.2"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</row>
    <row r="301" spans="3:22" x14ac:dyDescent="0.2"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</row>
    <row r="302" spans="3:22" x14ac:dyDescent="0.2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3:22" x14ac:dyDescent="0.2"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</row>
    <row r="304" spans="3:22" x14ac:dyDescent="0.2"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3:22" x14ac:dyDescent="0.2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</row>
    <row r="306" spans="3:22" x14ac:dyDescent="0.2"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</row>
    <row r="307" spans="3:22" x14ac:dyDescent="0.2"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</row>
    <row r="308" spans="3:22" x14ac:dyDescent="0.2"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</row>
    <row r="309" spans="3:22" x14ac:dyDescent="0.2"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</row>
    <row r="310" spans="3:22" x14ac:dyDescent="0.2"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3:22" x14ac:dyDescent="0.2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3:22" x14ac:dyDescent="0.2"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3:22" x14ac:dyDescent="0.2"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3:22" x14ac:dyDescent="0.2"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3:22" x14ac:dyDescent="0.2"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3:22" x14ac:dyDescent="0.2"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3:22" x14ac:dyDescent="0.2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3:22" x14ac:dyDescent="0.2"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3:22" x14ac:dyDescent="0.2"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3:22" x14ac:dyDescent="0.2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3:22" x14ac:dyDescent="0.2"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</row>
    <row r="322" spans="3:22" x14ac:dyDescent="0.2"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</row>
    <row r="323" spans="3:22" x14ac:dyDescent="0.2"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</row>
    <row r="324" spans="3:22" x14ac:dyDescent="0.2"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</row>
    <row r="325" spans="3:22" x14ac:dyDescent="0.2"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3:22" x14ac:dyDescent="0.2"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3:22" x14ac:dyDescent="0.2"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3:22" x14ac:dyDescent="0.2"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3:22" x14ac:dyDescent="0.2"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</sheetData>
  <mergeCells count="3">
    <mergeCell ref="A1:U1"/>
    <mergeCell ref="A2:U2"/>
    <mergeCell ref="A3:U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2" manualBreakCount="2">
    <brk id="50" max="16383" man="1"/>
    <brk id="1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33"/>
  </sheetPr>
  <dimension ref="A1:M45"/>
  <sheetViews>
    <sheetView zoomScaleNormal="100" workbookViewId="0">
      <selection sqref="A1:N1"/>
    </sheetView>
  </sheetViews>
  <sheetFormatPr defaultRowHeight="12.75" x14ac:dyDescent="0.2"/>
  <cols>
    <col min="1" max="1" width="43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0" customFormat="1" ht="15.75" x14ac:dyDescent="0.25">
      <c r="A2" s="210" t="s">
        <v>3013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3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3" x14ac:dyDescent="0.2">
      <c r="B8" s="17"/>
      <c r="D8" s="17"/>
      <c r="F8" s="17"/>
      <c r="H8" s="17"/>
      <c r="J8" s="17"/>
      <c r="L8" s="17"/>
    </row>
    <row r="9" spans="1:13" x14ac:dyDescent="0.2">
      <c r="A9" s="9" t="s">
        <v>2865</v>
      </c>
    </row>
    <row r="10" spans="1:13" x14ac:dyDescent="0.2">
      <c r="A10" s="9" t="s">
        <v>24</v>
      </c>
    </row>
    <row r="11" spans="1:13" x14ac:dyDescent="0.2">
      <c r="A11" s="3" t="s">
        <v>2952</v>
      </c>
      <c r="B11" s="14">
        <v>653945.04</v>
      </c>
      <c r="C11" s="14"/>
      <c r="D11" s="16">
        <v>0</v>
      </c>
      <c r="E11" s="14"/>
      <c r="F11" s="16">
        <v>0</v>
      </c>
      <c r="G11" s="14"/>
      <c r="H11" s="16">
        <v>0</v>
      </c>
      <c r="I11" s="14"/>
      <c r="J11" s="14">
        <f>H11+F11+D11</f>
        <v>0</v>
      </c>
      <c r="K11" s="14"/>
      <c r="L11" s="14">
        <f>J11+B11</f>
        <v>653945.04</v>
      </c>
      <c r="M11" s="14"/>
    </row>
    <row r="12" spans="1:13" x14ac:dyDescent="0.2">
      <c r="A12" s="3" t="s">
        <v>2953</v>
      </c>
      <c r="B12" s="14">
        <v>408580.31999999995</v>
      </c>
      <c r="C12" s="14"/>
      <c r="D12" s="16">
        <v>0</v>
      </c>
      <c r="E12" s="14"/>
      <c r="F12" s="16">
        <v>0</v>
      </c>
      <c r="G12" s="14"/>
      <c r="H12" s="16">
        <v>0</v>
      </c>
      <c r="I12" s="14"/>
      <c r="J12" s="14">
        <f t="shared" ref="J12:J17" si="0">H12+F12+D12</f>
        <v>0</v>
      </c>
      <c r="K12" s="14"/>
      <c r="L12" s="14">
        <f t="shared" ref="L12:L17" si="1">J12+B12</f>
        <v>408580.31999999995</v>
      </c>
      <c r="M12" s="14"/>
    </row>
    <row r="13" spans="1:13" x14ac:dyDescent="0.2">
      <c r="A13" s="3" t="s">
        <v>2954</v>
      </c>
      <c r="B13" s="14">
        <v>8906774.2300000004</v>
      </c>
      <c r="C13" s="14"/>
      <c r="D13" s="16">
        <v>538.74</v>
      </c>
      <c r="E13" s="14"/>
      <c r="F13" s="16">
        <v>0</v>
      </c>
      <c r="G13" s="14"/>
      <c r="H13" s="16">
        <v>0</v>
      </c>
      <c r="I13" s="14"/>
      <c r="J13" s="14">
        <f t="shared" si="0"/>
        <v>538.74</v>
      </c>
      <c r="K13" s="14"/>
      <c r="L13" s="14">
        <f t="shared" si="1"/>
        <v>8907312.9700000007</v>
      </c>
      <c r="M13" s="14"/>
    </row>
    <row r="14" spans="1:13" x14ac:dyDescent="0.2">
      <c r="A14" s="3" t="s">
        <v>2955</v>
      </c>
      <c r="B14" s="14">
        <v>18473453.48</v>
      </c>
      <c r="C14" s="14"/>
      <c r="D14" s="16">
        <v>14575.18</v>
      </c>
      <c r="E14" s="14"/>
      <c r="F14" s="16">
        <v>-3607.81</v>
      </c>
      <c r="G14" s="14"/>
      <c r="H14" s="16">
        <v>0</v>
      </c>
      <c r="I14" s="14"/>
      <c r="J14" s="14">
        <f t="shared" si="0"/>
        <v>10967.37</v>
      </c>
      <c r="K14" s="14"/>
      <c r="L14" s="14">
        <f t="shared" si="1"/>
        <v>18484420.850000001</v>
      </c>
      <c r="M14" s="14"/>
    </row>
    <row r="15" spans="1:13" x14ac:dyDescent="0.2">
      <c r="A15" s="3" t="s">
        <v>2958</v>
      </c>
      <c r="B15" s="14">
        <v>13805502.43</v>
      </c>
      <c r="C15" s="14"/>
      <c r="D15" s="16">
        <v>0</v>
      </c>
      <c r="E15" s="14"/>
      <c r="F15" s="16">
        <v>0</v>
      </c>
      <c r="G15" s="14"/>
      <c r="H15" s="16">
        <v>0</v>
      </c>
      <c r="I15" s="14"/>
      <c r="J15" s="14">
        <f t="shared" si="0"/>
        <v>0</v>
      </c>
      <c r="K15" s="14"/>
      <c r="L15" s="14">
        <f t="shared" si="1"/>
        <v>13805502.43</v>
      </c>
      <c r="M15" s="14"/>
    </row>
    <row r="16" spans="1:13" x14ac:dyDescent="0.2">
      <c r="A16" s="3" t="s">
        <v>2959</v>
      </c>
      <c r="B16" s="14">
        <v>13877671.050000001</v>
      </c>
      <c r="C16" s="14"/>
      <c r="D16" s="16">
        <v>0</v>
      </c>
      <c r="E16" s="14"/>
      <c r="F16" s="16">
        <v>0</v>
      </c>
      <c r="G16" s="14"/>
      <c r="H16" s="16">
        <v>0</v>
      </c>
      <c r="I16" s="14"/>
      <c r="J16" s="14">
        <f t="shared" si="0"/>
        <v>0</v>
      </c>
      <c r="K16" s="14"/>
      <c r="L16" s="14">
        <f t="shared" si="1"/>
        <v>13877671.050000001</v>
      </c>
      <c r="M16" s="14"/>
    </row>
    <row r="17" spans="1:13" x14ac:dyDescent="0.2">
      <c r="A17" s="3" t="s">
        <v>2960</v>
      </c>
      <c r="B17" s="15">
        <v>6322674.2399999993</v>
      </c>
      <c r="C17" s="16"/>
      <c r="D17" s="16">
        <v>0</v>
      </c>
      <c r="E17" s="14"/>
      <c r="F17" s="16">
        <v>0</v>
      </c>
      <c r="G17" s="14"/>
      <c r="H17" s="16">
        <v>0</v>
      </c>
      <c r="I17" s="16"/>
      <c r="J17" s="15">
        <f t="shared" si="0"/>
        <v>0</v>
      </c>
      <c r="K17" s="16"/>
      <c r="L17" s="15">
        <f t="shared" si="1"/>
        <v>6322674.2399999993</v>
      </c>
      <c r="M17" s="16"/>
    </row>
    <row r="18" spans="1:13" x14ac:dyDescent="0.2">
      <c r="B18" s="16">
        <f>SUM(B11:B17)</f>
        <v>62448600.789999999</v>
      </c>
      <c r="C18" s="16"/>
      <c r="D18" s="19">
        <f>SUM(D11:D17)</f>
        <v>15113.92</v>
      </c>
      <c r="E18" s="16"/>
      <c r="F18" s="19">
        <f>SUM(F11:F17)</f>
        <v>-3607.81</v>
      </c>
      <c r="G18" s="16"/>
      <c r="H18" s="19">
        <f>SUM(H11:H17)</f>
        <v>0</v>
      </c>
      <c r="I18" s="16"/>
      <c r="J18" s="16">
        <f>SUM(J11:J17)</f>
        <v>11506.11</v>
      </c>
      <c r="K18" s="16"/>
      <c r="L18" s="16">
        <f>SUM(L11:L17)</f>
        <v>62460106.899999999</v>
      </c>
      <c r="M18" s="16"/>
    </row>
    <row r="19" spans="1:13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">
      <c r="A21" s="9" t="s">
        <v>3014</v>
      </c>
      <c r="B21" s="20">
        <f>B18</f>
        <v>62448600.789999999</v>
      </c>
      <c r="C21" s="132"/>
      <c r="D21" s="20">
        <f>D18</f>
        <v>15113.92</v>
      </c>
      <c r="E21" s="132"/>
      <c r="F21" s="20">
        <f>F18</f>
        <v>-3607.81</v>
      </c>
      <c r="G21" s="132"/>
      <c r="H21" s="20">
        <f>H18</f>
        <v>0</v>
      </c>
      <c r="I21" s="132"/>
      <c r="J21" s="20">
        <f>J18</f>
        <v>11506.11</v>
      </c>
      <c r="K21" s="132"/>
      <c r="L21" s="20">
        <f>L18</f>
        <v>62460106.899999999</v>
      </c>
      <c r="M21" s="132"/>
    </row>
    <row r="22" spans="1:13" x14ac:dyDescent="0.2">
      <c r="A22" s="9"/>
      <c r="B22" s="16"/>
      <c r="C22" s="132"/>
      <c r="D22" s="16"/>
      <c r="E22" s="132"/>
      <c r="F22" s="16"/>
      <c r="G22" s="132"/>
      <c r="H22" s="16"/>
      <c r="I22" s="132"/>
      <c r="J22" s="16"/>
      <c r="K22" s="132"/>
      <c r="L22" s="16"/>
      <c r="M22" s="132"/>
    </row>
    <row r="23" spans="1:13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9" t="s">
        <v>2841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A25" s="9" t="s"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">
      <c r="A26" s="3" t="s">
        <v>2967</v>
      </c>
      <c r="B26" s="15">
        <v>0</v>
      </c>
      <c r="C26" s="16"/>
      <c r="D26" s="16">
        <v>0</v>
      </c>
      <c r="E26" s="14"/>
      <c r="F26" s="16">
        <v>0</v>
      </c>
      <c r="G26" s="14"/>
      <c r="H26" s="16">
        <v>0</v>
      </c>
      <c r="I26" s="16"/>
      <c r="J26" s="15">
        <f>H26+F26+D26</f>
        <v>0</v>
      </c>
      <c r="K26" s="16"/>
      <c r="L26" s="15">
        <f>J26+B26</f>
        <v>0</v>
      </c>
      <c r="M26" s="16"/>
    </row>
    <row r="27" spans="1:13" x14ac:dyDescent="0.2">
      <c r="B27" s="16">
        <f>SUM(B26:B26)</f>
        <v>0</v>
      </c>
      <c r="C27" s="16"/>
      <c r="D27" s="19">
        <f>SUM(D26:D26)</f>
        <v>0</v>
      </c>
      <c r="E27" s="16"/>
      <c r="F27" s="19">
        <f>SUM(F26:F26)</f>
        <v>0</v>
      </c>
      <c r="G27" s="16"/>
      <c r="H27" s="19">
        <f>SUM(H26:H26)</f>
        <v>0</v>
      </c>
      <c r="I27" s="16"/>
      <c r="J27" s="16">
        <f>SUM(J26:J26)</f>
        <v>0</v>
      </c>
      <c r="K27" s="16"/>
      <c r="L27" s="16">
        <f>SUM(L26:L26)</f>
        <v>0</v>
      </c>
      <c r="M27" s="16"/>
    </row>
    <row r="28" spans="1:13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">
      <c r="A29" s="9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">
      <c r="A30" s="3" t="s">
        <v>3002</v>
      </c>
      <c r="B30" s="16">
        <v>269.39000000013039</v>
      </c>
      <c r="C30" s="16"/>
      <c r="D30" s="16">
        <v>-269.39</v>
      </c>
      <c r="E30" s="14"/>
      <c r="F30" s="16">
        <v>0</v>
      </c>
      <c r="G30" s="14"/>
      <c r="H30" s="16">
        <v>0</v>
      </c>
      <c r="I30" s="16"/>
      <c r="J30" s="16">
        <f>H30+F30+D30</f>
        <v>-269.39</v>
      </c>
      <c r="K30" s="16"/>
      <c r="L30" s="16">
        <f>J30+B30</f>
        <v>1.3039880286669359E-10</v>
      </c>
      <c r="M30" s="16"/>
    </row>
    <row r="31" spans="1:13" x14ac:dyDescent="0.2">
      <c r="A31" s="3" t="s">
        <v>3004</v>
      </c>
      <c r="B31" s="16">
        <v>269.34999999962747</v>
      </c>
      <c r="C31" s="16"/>
      <c r="D31" s="16">
        <v>-269.35000000000002</v>
      </c>
      <c r="E31" s="14"/>
      <c r="F31" s="16">
        <v>0</v>
      </c>
      <c r="G31" s="14"/>
      <c r="H31" s="16">
        <v>0</v>
      </c>
      <c r="I31" s="16"/>
      <c r="J31" s="16">
        <f>H31+F31+D31</f>
        <v>-269.35000000000002</v>
      </c>
      <c r="K31" s="16"/>
      <c r="L31" s="16">
        <f>J31+B31</f>
        <v>-3.7255176721373573E-10</v>
      </c>
      <c r="M31" s="16"/>
    </row>
    <row r="32" spans="1:13" x14ac:dyDescent="0.2">
      <c r="A32" s="3" t="s">
        <v>3006</v>
      </c>
      <c r="B32" s="16">
        <v>0</v>
      </c>
      <c r="C32" s="16"/>
      <c r="D32" s="16">
        <v>0</v>
      </c>
      <c r="E32" s="14"/>
      <c r="F32" s="16">
        <v>0</v>
      </c>
      <c r="G32" s="14"/>
      <c r="H32" s="16">
        <v>0</v>
      </c>
      <c r="I32" s="16"/>
      <c r="J32" s="16">
        <f>H32+F32+D32</f>
        <v>0</v>
      </c>
      <c r="K32" s="16"/>
      <c r="L32" s="16">
        <f>J32+B32</f>
        <v>0</v>
      </c>
      <c r="M32" s="16"/>
    </row>
    <row r="33" spans="1:13" s="29" customFormat="1" x14ac:dyDescent="0.2">
      <c r="A33" s="29" t="s">
        <v>3007</v>
      </c>
      <c r="B33" s="16">
        <v>0</v>
      </c>
      <c r="C33" s="16"/>
      <c r="D33" s="16">
        <v>0</v>
      </c>
      <c r="E33" s="14"/>
      <c r="F33" s="16">
        <v>0</v>
      </c>
      <c r="G33" s="14"/>
      <c r="H33" s="16">
        <v>0</v>
      </c>
      <c r="I33" s="16"/>
      <c r="J33" s="16">
        <f>H33+F33+D33</f>
        <v>0</v>
      </c>
      <c r="K33" s="16"/>
      <c r="L33" s="16">
        <f>J33+B33</f>
        <v>0</v>
      </c>
      <c r="M33" s="16"/>
    </row>
    <row r="34" spans="1:13" s="29" customFormat="1" x14ac:dyDescent="0.2">
      <c r="A34" s="29" t="s">
        <v>3008</v>
      </c>
      <c r="B34" s="16">
        <v>0</v>
      </c>
      <c r="C34" s="16"/>
      <c r="D34" s="16">
        <v>0</v>
      </c>
      <c r="E34" s="14"/>
      <c r="F34" s="16">
        <v>0</v>
      </c>
      <c r="G34" s="14"/>
      <c r="H34" s="16">
        <v>0</v>
      </c>
      <c r="I34" s="16"/>
      <c r="J34" s="16">
        <f>H34+F34+D34</f>
        <v>0</v>
      </c>
      <c r="K34" s="16"/>
      <c r="L34" s="16">
        <f>J34+B34</f>
        <v>0</v>
      </c>
      <c r="M34" s="16"/>
    </row>
    <row r="35" spans="1:13" x14ac:dyDescent="0.2">
      <c r="B35" s="19">
        <f>SUM(B30:B34)</f>
        <v>538.73999999975786</v>
      </c>
      <c r="C35" s="16"/>
      <c r="D35" s="19">
        <f>SUM(D30:D34)</f>
        <v>-538.74</v>
      </c>
      <c r="E35" s="16"/>
      <c r="F35" s="19">
        <f>SUM(F30:F34)</f>
        <v>0</v>
      </c>
      <c r="G35" s="16"/>
      <c r="H35" s="19">
        <f>SUM(H30:H34)</f>
        <v>0</v>
      </c>
      <c r="I35" s="16"/>
      <c r="J35" s="19">
        <f>SUM(J30:J34)</f>
        <v>-538.74</v>
      </c>
      <c r="K35" s="16"/>
      <c r="L35" s="19">
        <f>SUM(L30:L34)</f>
        <v>-2.4215296434704214E-10</v>
      </c>
      <c r="M35" s="16"/>
    </row>
    <row r="36" spans="1:13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2">
      <c r="A38" s="9" t="s">
        <v>3015</v>
      </c>
      <c r="B38" s="20">
        <f>B27+B35</f>
        <v>538.73999999975786</v>
      </c>
      <c r="C38" s="132"/>
      <c r="D38" s="20">
        <f>D27+D35</f>
        <v>-538.74</v>
      </c>
      <c r="E38" s="132"/>
      <c r="F38" s="20">
        <f>F27+F35</f>
        <v>0</v>
      </c>
      <c r="G38" s="132"/>
      <c r="H38" s="20">
        <f>H27+H35</f>
        <v>0</v>
      </c>
      <c r="I38" s="132"/>
      <c r="J38" s="20">
        <f>J27+J35</f>
        <v>-538.74</v>
      </c>
      <c r="K38" s="132"/>
      <c r="L38" s="20">
        <f>L27+L35</f>
        <v>-2.4215296434704214E-10</v>
      </c>
      <c r="M38" s="132"/>
    </row>
    <row r="39" spans="1:13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3.5" thickBot="1" x14ac:dyDescent="0.25">
      <c r="A41" s="9" t="s">
        <v>3012</v>
      </c>
      <c r="B41" s="39">
        <f>B21+B38</f>
        <v>62449139.530000001</v>
      </c>
      <c r="C41" s="14"/>
      <c r="D41" s="39">
        <f>D21+D38</f>
        <v>14575.18</v>
      </c>
      <c r="E41" s="14"/>
      <c r="F41" s="39">
        <f>F21+F38</f>
        <v>-3607.81</v>
      </c>
      <c r="G41" s="14"/>
      <c r="H41" s="39">
        <f>H21+H38</f>
        <v>0</v>
      </c>
      <c r="I41" s="14"/>
      <c r="J41" s="39">
        <f>J21+J38</f>
        <v>10967.37</v>
      </c>
      <c r="K41" s="14"/>
      <c r="L41" s="39">
        <f>L21+L38</f>
        <v>62460106.899999999</v>
      </c>
      <c r="M41" s="14"/>
    </row>
    <row r="42" spans="1:13" ht="13.5" thickTop="1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3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3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3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14"/>
  <sheetViews>
    <sheetView zoomScale="90" zoomScaleNormal="90" workbookViewId="0">
      <selection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85546875" style="3" customWidth="1"/>
    <col min="14" max="14" width="16.42578125" style="3" customWidth="1"/>
    <col min="15" max="15" width="1.710937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3016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6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P6" s="1" t="s">
        <v>2793</v>
      </c>
    </row>
    <row r="7" spans="1:16" x14ac:dyDescent="0.2">
      <c r="A7" s="9" t="s">
        <v>2794</v>
      </c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L8" s="17"/>
    </row>
    <row r="9" spans="1:16" x14ac:dyDescent="0.2">
      <c r="A9" s="9" t="s">
        <v>2798</v>
      </c>
      <c r="B9" s="17"/>
      <c r="D9" s="17"/>
      <c r="F9" s="17"/>
      <c r="H9" s="17"/>
      <c r="J9" s="17"/>
      <c r="L9" s="17"/>
    </row>
    <row r="10" spans="1:16" x14ac:dyDescent="0.2">
      <c r="A10" s="9" t="s">
        <v>27</v>
      </c>
    </row>
    <row r="11" spans="1:16" x14ac:dyDescent="0.2">
      <c r="A11" s="3" t="s">
        <v>363</v>
      </c>
      <c r="B11" s="136">
        <f>'KY_Cost Plant Acct-Gas-P20(REG)'!B11</f>
        <v>60478.68</v>
      </c>
      <c r="C11" s="136"/>
      <c r="D11" s="136">
        <f>'KY_Cost Plant Acct-Gas-P20(REG)'!D11</f>
        <v>0</v>
      </c>
      <c r="E11" s="136"/>
      <c r="F11" s="136">
        <f>'KY_Cost Plant Acct-Gas-P20(REG)'!F11</f>
        <v>0</v>
      </c>
      <c r="G11" s="136"/>
      <c r="H11" s="136">
        <f>'KY_Cost Plant Acct-Gas-P20(REG)'!H11</f>
        <v>0</v>
      </c>
      <c r="I11" s="136"/>
      <c r="J11" s="136">
        <f t="shared" ref="J11:J28" si="0">H11+F11+D11</f>
        <v>0</v>
      </c>
      <c r="K11" s="136"/>
      <c r="L11" s="136">
        <f t="shared" ref="L11:L28" si="1">J11+B11</f>
        <v>60478.68</v>
      </c>
      <c r="M11" s="147"/>
      <c r="N11" s="37">
        <f>'KY_Res by Plant Acct-P29 (Reg)'!R406</f>
        <v>1.6058265828178264E-12</v>
      </c>
      <c r="P11" s="37">
        <f t="shared" ref="P11:P28" si="2">L11+N11</f>
        <v>60478.68</v>
      </c>
    </row>
    <row r="12" spans="1:16" x14ac:dyDescent="0.2">
      <c r="A12" s="3" t="s">
        <v>364</v>
      </c>
      <c r="B12" s="136">
        <f>'KY_Cost Plant Acct-Gas-P20(REG)'!B12</f>
        <v>74018.23</v>
      </c>
      <c r="C12" s="136"/>
      <c r="D12" s="136">
        <f>'KY_Cost Plant Acct-Gas-P20(REG)'!D12</f>
        <v>0</v>
      </c>
      <c r="E12" s="136"/>
      <c r="F12" s="136">
        <f>'KY_Cost Plant Acct-Gas-P20(REG)'!F12</f>
        <v>0</v>
      </c>
      <c r="G12" s="136"/>
      <c r="H12" s="136">
        <f>'KY_Cost Plant Acct-Gas-P20(REG)'!H12</f>
        <v>0</v>
      </c>
      <c r="I12" s="136"/>
      <c r="J12" s="136">
        <f t="shared" si="0"/>
        <v>0</v>
      </c>
      <c r="K12" s="136"/>
      <c r="L12" s="136">
        <f t="shared" si="1"/>
        <v>74018.23</v>
      </c>
      <c r="M12" s="147"/>
      <c r="N12" s="37">
        <f>'KY_Res by Plant Acct-P29 (Reg)'!R407</f>
        <v>-77439.69</v>
      </c>
      <c r="P12" s="37">
        <f t="shared" si="2"/>
        <v>-3421.4600000000064</v>
      </c>
    </row>
    <row r="13" spans="1:16" x14ac:dyDescent="0.2">
      <c r="A13" s="3" t="s">
        <v>366</v>
      </c>
      <c r="B13" s="136">
        <f>'KY_Cost Plant Acct-Gas-P20(REG)'!B13+'KY_Cost Plant Acct-Gas-P20(REG)'!B79</f>
        <v>499023.44000000006</v>
      </c>
      <c r="C13" s="136"/>
      <c r="D13" s="136">
        <f>'KY_Cost Plant Acct-Gas-P20(REG)'!D13+'KY_Cost Plant Acct-Gas-P20(REG)'!D79</f>
        <v>0</v>
      </c>
      <c r="E13" s="136"/>
      <c r="F13" s="136">
        <f>'KY_Cost Plant Acct-Gas-P20(REG)'!F13</f>
        <v>0</v>
      </c>
      <c r="G13" s="136"/>
      <c r="H13" s="136">
        <f>'KY_Cost Plant Acct-Gas-P20(REG)'!H13</f>
        <v>0</v>
      </c>
      <c r="I13" s="136"/>
      <c r="J13" s="136">
        <f t="shared" si="0"/>
        <v>0</v>
      </c>
      <c r="K13" s="136"/>
      <c r="L13" s="136">
        <f t="shared" si="1"/>
        <v>499023.44000000006</v>
      </c>
      <c r="M13" s="147"/>
      <c r="N13" s="37">
        <f>'KY_Res by Plant Acct-P29 (Reg)'!R408</f>
        <v>-96886.810000000027</v>
      </c>
      <c r="P13" s="37">
        <f t="shared" si="2"/>
        <v>402136.63</v>
      </c>
    </row>
    <row r="14" spans="1:16" x14ac:dyDescent="0.2">
      <c r="A14" s="3" t="s">
        <v>367</v>
      </c>
      <c r="B14" s="136">
        <f>'KY_Cost Plant Acct-Gas-P20(REG)'!B14+'KY_Cost Plant Acct-Gas-P20(REG)'!B80</f>
        <v>676148.76</v>
      </c>
      <c r="C14" s="136"/>
      <c r="D14" s="136">
        <f>'KY_Cost Plant Acct-Gas-P20(REG)'!D14+'KY_Cost Plant Acct-Gas-P20(REG)'!D80</f>
        <v>64116.049999999996</v>
      </c>
      <c r="E14" s="136"/>
      <c r="F14" s="136">
        <f>'KY_Cost Plant Acct-Gas-P20(REG)'!F14</f>
        <v>0</v>
      </c>
      <c r="G14" s="136"/>
      <c r="H14" s="136">
        <f>'KY_Cost Plant Acct-Gas-P20(REG)'!H14</f>
        <v>0</v>
      </c>
      <c r="I14" s="136"/>
      <c r="J14" s="136">
        <f t="shared" si="0"/>
        <v>64116.049999999996</v>
      </c>
      <c r="K14" s="136"/>
      <c r="L14" s="136">
        <f t="shared" si="1"/>
        <v>740264.81</v>
      </c>
      <c r="M14" s="147"/>
      <c r="N14" s="37">
        <f>'KY_Res by Plant Acct-P29 (Reg)'!R409</f>
        <v>-301167.39</v>
      </c>
      <c r="P14" s="37">
        <f t="shared" si="2"/>
        <v>439097.42000000004</v>
      </c>
    </row>
    <row r="15" spans="1:16" x14ac:dyDescent="0.2">
      <c r="A15" s="3" t="s">
        <v>369</v>
      </c>
      <c r="B15" s="136">
        <f>'KY_Cost Plant Acct-Gas-P20(REG)'!B15+'KY_Cost Plant Acct-Gas-P20(REG)'!B81</f>
        <v>345275799.37999994</v>
      </c>
      <c r="C15" s="136"/>
      <c r="D15" s="136">
        <f>'KY_Cost Plant Acct-Gas-P20(REG)'!D15+'KY_Cost Plant Acct-Gas-P20(REG)'!D81</f>
        <v>19340560.91</v>
      </c>
      <c r="E15" s="136"/>
      <c r="F15" s="136">
        <f>'KY_Cost Plant Acct-Gas-P20(REG)'!F15</f>
        <v>-1280572.2</v>
      </c>
      <c r="G15" s="136"/>
      <c r="H15" s="136">
        <f>'KY_Cost Plant Acct-Gas-P20(REG)'!H15+'KY_Cost Plant Acct-Gas-P20(REG)'!H81</f>
        <v>-14225.03</v>
      </c>
      <c r="I15" s="136"/>
      <c r="J15" s="136">
        <f t="shared" si="0"/>
        <v>18045763.68</v>
      </c>
      <c r="K15" s="136"/>
      <c r="L15" s="136">
        <f t="shared" si="1"/>
        <v>363321563.05999994</v>
      </c>
      <c r="M15" s="147"/>
      <c r="N15" s="37">
        <f>'KY_Res by Plant Acct-P29 (Reg)'!R410</f>
        <v>-132056886.01999995</v>
      </c>
      <c r="P15" s="37">
        <f t="shared" si="2"/>
        <v>231264677.03999999</v>
      </c>
    </row>
    <row r="16" spans="1:16" x14ac:dyDescent="0.2">
      <c r="A16" s="21" t="s">
        <v>370</v>
      </c>
      <c r="B16" s="136">
        <f>'KY_Cost Plant Acct-Gas-P20(REG)'!B16+'KY_Cost Plant Acct-Gas-P20(REG)'!B82</f>
        <v>53168328.370000005</v>
      </c>
      <c r="C16" s="136"/>
      <c r="D16" s="136">
        <f>'KY_Cost Plant Acct-Gas-P20(REG)'!D16+'KY_Cost Plant Acct-Gas-P20(REG)'!D82</f>
        <v>-7784936.1600000001</v>
      </c>
      <c r="E16" s="136"/>
      <c r="F16" s="136">
        <f>'KY_Cost Plant Acct-Gas-P20(REG)'!F16</f>
        <v>0</v>
      </c>
      <c r="G16" s="136"/>
      <c r="H16" s="136">
        <f>'KY_Cost Plant Acct-Gas-P20(REG)'!H16+'KY_Cost Plant Acct-Gas-P20(REG)'!H82</f>
        <v>-430720.5</v>
      </c>
      <c r="I16" s="136"/>
      <c r="J16" s="136">
        <f>H16+F16+D16</f>
        <v>-8215656.6600000001</v>
      </c>
      <c r="K16" s="136"/>
      <c r="L16" s="136">
        <f>J16+B16</f>
        <v>44952671.710000008</v>
      </c>
      <c r="M16" s="147"/>
      <c r="N16" s="37">
        <f>'KY_Res by Plant Acct-P29 (Reg)'!R411</f>
        <v>-3613869.9899999998</v>
      </c>
      <c r="P16" s="37">
        <f t="shared" si="2"/>
        <v>41338801.720000006</v>
      </c>
    </row>
    <row r="17" spans="1:16" x14ac:dyDescent="0.2">
      <c r="A17" s="21" t="s">
        <v>3017</v>
      </c>
      <c r="B17" s="136">
        <f>'KY_Cost Plant Acct-Gas-P20(REG)'!B17+'KY_Cost Plant Acct-Gas-P20(REG)'!B83</f>
        <v>0</v>
      </c>
      <c r="C17" s="136"/>
      <c r="D17" s="136">
        <f>'KY_Cost Plant Acct-Gas-P20(REG)'!D17+'KY_Cost Plant Acct-Gas-P20(REG)'!D83</f>
        <v>4708493.8500000006</v>
      </c>
      <c r="E17" s="136"/>
      <c r="F17" s="136">
        <f>'KY_Cost Plant Acct-Gas-P20(REG)'!F17</f>
        <v>0</v>
      </c>
      <c r="G17" s="136"/>
      <c r="H17" s="136">
        <f>'KY_Cost Plant Acct-Gas-P20(REG)'!H17+'KY_Cost Plant Acct-Gas-P20(REG)'!H83</f>
        <v>444945.53</v>
      </c>
      <c r="I17" s="136"/>
      <c r="J17" s="136">
        <f>H17+F17+D17</f>
        <v>5153439.3800000008</v>
      </c>
      <c r="K17" s="136"/>
      <c r="L17" s="136">
        <f>J17+B17</f>
        <v>5153439.3800000008</v>
      </c>
      <c r="M17" s="147"/>
      <c r="N17" s="37">
        <f>'KY_Res by Plant Acct-P29 (Reg)'!R412</f>
        <v>-25654.01</v>
      </c>
      <c r="P17" s="37">
        <f t="shared" si="2"/>
        <v>5127785.370000001</v>
      </c>
    </row>
    <row r="18" spans="1:16" x14ac:dyDescent="0.2">
      <c r="A18" s="3" t="s">
        <v>371</v>
      </c>
      <c r="B18" s="136">
        <f>'KY_Cost Plant Acct-Gas-P20(REG)'!B18+'KY_Cost Plant Acct-Gas-P20(REG)'!B84</f>
        <v>20979533.659999996</v>
      </c>
      <c r="C18" s="136"/>
      <c r="D18" s="136">
        <f>'KY_Cost Plant Acct-Gas-P20(REG)'!D18+'KY_Cost Plant Acct-Gas-P20(REG)'!D84</f>
        <v>1630670.27</v>
      </c>
      <c r="E18" s="136"/>
      <c r="F18" s="136">
        <f>'KY_Cost Plant Acct-Gas-P20(REG)'!F18</f>
        <v>-9430.7199999999993</v>
      </c>
      <c r="G18" s="136"/>
      <c r="H18" s="136">
        <f>'KY_Cost Plant Acct-Gas-P20(REG)'!H18</f>
        <v>0</v>
      </c>
      <c r="I18" s="136"/>
      <c r="J18" s="136">
        <f t="shared" si="0"/>
        <v>1621239.55</v>
      </c>
      <c r="K18" s="136"/>
      <c r="L18" s="136">
        <f t="shared" si="1"/>
        <v>22600773.209999997</v>
      </c>
      <c r="M18" s="147"/>
      <c r="N18" s="37">
        <f>'KY_Res by Plant Acct-P29 (Reg)'!R413</f>
        <v>-2923602.1700000004</v>
      </c>
      <c r="P18" s="37">
        <f t="shared" si="2"/>
        <v>19677171.039999995</v>
      </c>
    </row>
    <row r="19" spans="1:16" x14ac:dyDescent="0.2">
      <c r="A19" s="3" t="s">
        <v>372</v>
      </c>
      <c r="B19" s="136">
        <f>'KY_Cost Plant Acct-Gas-P20(REG)'!B19+'KY_Cost Plant Acct-Gas-P20(REG)'!B85</f>
        <v>7668455.3600000003</v>
      </c>
      <c r="C19" s="136"/>
      <c r="D19" s="136">
        <f>'KY_Cost Plant Acct-Gas-P20(REG)'!D19+'KY_Cost Plant Acct-Gas-P20(REG)'!D85</f>
        <v>4892694.78</v>
      </c>
      <c r="E19" s="136"/>
      <c r="F19" s="136">
        <f>'KY_Cost Plant Acct-Gas-P20(REG)'!F19</f>
        <v>-324494.27</v>
      </c>
      <c r="G19" s="136"/>
      <c r="H19" s="136">
        <f>'KY_Cost Plant Acct-Gas-P20(REG)'!H19</f>
        <v>0</v>
      </c>
      <c r="I19" s="136"/>
      <c r="J19" s="136">
        <f t="shared" si="0"/>
        <v>4568200.51</v>
      </c>
      <c r="K19" s="136"/>
      <c r="L19" s="136">
        <f t="shared" si="1"/>
        <v>12236655.870000001</v>
      </c>
      <c r="M19" s="147"/>
      <c r="N19" s="37">
        <f>'KY_Res by Plant Acct-P29 (Reg)'!R414</f>
        <v>-1109878.3099999996</v>
      </c>
      <c r="P19" s="37">
        <f t="shared" si="2"/>
        <v>11126777.560000002</v>
      </c>
    </row>
    <row r="20" spans="1:16" x14ac:dyDescent="0.2">
      <c r="A20" s="3" t="s">
        <v>373</v>
      </c>
      <c r="B20" s="136">
        <f>'KY_Cost Plant Acct-Gas-P20(REG)'!B20+'KY_Cost Plant Acct-Gas-P20(REG)'!B86</f>
        <v>197421647.67999998</v>
      </c>
      <c r="C20" s="136"/>
      <c r="D20" s="136">
        <f>'KY_Cost Plant Acct-Gas-P20(REG)'!D20+'KY_Cost Plant Acct-Gas-P20(REG)'!D86</f>
        <v>17802173.809999999</v>
      </c>
      <c r="E20" s="136"/>
      <c r="F20" s="136">
        <f>'KY_Cost Plant Acct-Gas-P20(REG)'!F20</f>
        <v>-171007.24</v>
      </c>
      <c r="G20" s="136"/>
      <c r="H20" s="136">
        <f>'KY_Cost Plant Acct-Gas-P20(REG)'!H20+'KY_Cost Plant Acct-Gas-P20(REG)'!H86</f>
        <v>-56900.08</v>
      </c>
      <c r="I20" s="136"/>
      <c r="J20" s="136">
        <f t="shared" si="0"/>
        <v>17574266.489999998</v>
      </c>
      <c r="K20" s="136"/>
      <c r="L20" s="136">
        <f>J20+B20</f>
        <v>214995914.16999999</v>
      </c>
      <c r="M20" s="147"/>
      <c r="N20" s="37">
        <f>'KY_Res by Plant Acct-P29 (Reg)'!R415</f>
        <v>-92996368.470000014</v>
      </c>
      <c r="P20" s="37">
        <f t="shared" si="2"/>
        <v>121999545.69999997</v>
      </c>
    </row>
    <row r="21" spans="1:16" x14ac:dyDescent="0.2">
      <c r="A21" s="21" t="s">
        <v>374</v>
      </c>
      <c r="B21" s="136">
        <f>'KY_Cost Plant Acct-Gas-P20(REG)'!B21+'KY_Cost Plant Acct-Gas-P20(REG)'!B87</f>
        <v>169924268.93000001</v>
      </c>
      <c r="C21" s="136"/>
      <c r="D21" s="136">
        <f>'KY_Cost Plant Acct-Gas-P20(REG)'!D21+'KY_Cost Plant Acct-Gas-P20(REG)'!D87</f>
        <v>3690876.7699999996</v>
      </c>
      <c r="E21" s="136"/>
      <c r="F21" s="136">
        <f>'KY_Cost Plant Acct-Gas-P20(REG)'!F21</f>
        <v>0</v>
      </c>
      <c r="G21" s="136"/>
      <c r="H21" s="136">
        <f>'KY_Cost Plant Acct-Gas-P20(REG)'!H21+'KY_Cost Plant Acct-Gas-P20(REG)'!H87</f>
        <v>-1559609.04</v>
      </c>
      <c r="I21" s="136"/>
      <c r="J21" s="136">
        <f>H21+F21+D21</f>
        <v>2131267.7299999995</v>
      </c>
      <c r="K21" s="136"/>
      <c r="L21" s="136">
        <f>J21+B21</f>
        <v>172055536.66</v>
      </c>
      <c r="M21" s="147"/>
      <c r="N21" s="37">
        <f>'KY_Res by Plant Acct-P29 (Reg)'!R416</f>
        <v>-17837669.130000003</v>
      </c>
      <c r="P21" s="37">
        <f t="shared" si="2"/>
        <v>154217867.53</v>
      </c>
    </row>
    <row r="22" spans="1:16" x14ac:dyDescent="0.2">
      <c r="A22" s="21" t="s">
        <v>3018</v>
      </c>
      <c r="B22" s="136">
        <f>'KY_Cost Plant Acct-Gas-P20(REG)'!B22+'KY_Cost Plant Acct-Gas-P20(REG)'!B88</f>
        <v>0</v>
      </c>
      <c r="C22" s="136"/>
      <c r="D22" s="136">
        <f>'KY_Cost Plant Acct-Gas-P20(REG)'!D22+'KY_Cost Plant Acct-Gas-P20(REG)'!D88</f>
        <v>10912031.370000001</v>
      </c>
      <c r="E22" s="136"/>
      <c r="F22" s="136">
        <f>'KY_Cost Plant Acct-Gas-P20(REG)'!F22+'KY_Cost Plant Acct-Gas-P20(REG)'!F88</f>
        <v>0</v>
      </c>
      <c r="G22" s="136"/>
      <c r="H22" s="136">
        <f>'KY_Cost Plant Acct-Gas-P20(REG)'!H22+'KY_Cost Plant Acct-Gas-P20(REG)'!H88</f>
        <v>1616509.12</v>
      </c>
      <c r="I22" s="136"/>
      <c r="J22" s="136">
        <f>H22+F22+D22</f>
        <v>12528540.490000002</v>
      </c>
      <c r="K22" s="136"/>
      <c r="L22" s="136">
        <f>J22+B22</f>
        <v>12528540.490000002</v>
      </c>
      <c r="M22" s="147"/>
      <c r="N22" s="37">
        <f>'KY_Res by Plant Acct-P29 (Reg)'!R417</f>
        <v>-132731.16999999998</v>
      </c>
      <c r="P22" s="37">
        <f t="shared" si="2"/>
        <v>12395809.320000002</v>
      </c>
    </row>
    <row r="23" spans="1:16" x14ac:dyDescent="0.2">
      <c r="A23" s="3" t="s">
        <v>375</v>
      </c>
      <c r="B23" s="136">
        <f>'KY_Cost Plant Acct-Gas-P20(REG)'!B23+'KY_Cost Plant Acct-Gas-P20(REG)'!B89</f>
        <v>49165597.850000001</v>
      </c>
      <c r="C23" s="136"/>
      <c r="D23" s="136">
        <f>'KY_Cost Plant Acct-Gas-P20(REG)'!D23+'KY_Cost Plant Acct-Gas-P20(REG)'!D89</f>
        <v>6292711.4699999997</v>
      </c>
      <c r="E23" s="136"/>
      <c r="F23" s="136">
        <f>'KY_Cost Plant Acct-Gas-P20(REG)'!F23</f>
        <v>-730340.16</v>
      </c>
      <c r="G23" s="136"/>
      <c r="H23" s="136">
        <f>'KY_Cost Plant Acct-Gas-P20(REG)'!H23</f>
        <v>0</v>
      </c>
      <c r="I23" s="136"/>
      <c r="J23" s="136">
        <f t="shared" si="0"/>
        <v>5562371.3099999996</v>
      </c>
      <c r="K23" s="136"/>
      <c r="L23" s="136">
        <f t="shared" si="1"/>
        <v>54727969.160000004</v>
      </c>
      <c r="M23" s="147"/>
      <c r="N23" s="37">
        <f>'KY_Res by Plant Acct-P29 (Reg)'!R418</f>
        <v>-13905917.970000004</v>
      </c>
      <c r="P23" s="37">
        <f t="shared" si="2"/>
        <v>40822051.189999998</v>
      </c>
    </row>
    <row r="24" spans="1:16" x14ac:dyDescent="0.2">
      <c r="A24" s="3" t="s">
        <v>376</v>
      </c>
      <c r="B24" s="136">
        <f>'KY_Cost Plant Acct-Gas-P20(REG)'!B24+'KY_Cost Plant Acct-Gas-P20(REG)'!B90</f>
        <v>25988269.190000001</v>
      </c>
      <c r="C24" s="136"/>
      <c r="D24" s="136">
        <f>'KY_Cost Plant Acct-Gas-P20(REG)'!D24+'KY_Cost Plant Acct-Gas-P20(REG)'!D90</f>
        <v>394291.91</v>
      </c>
      <c r="E24" s="136"/>
      <c r="F24" s="136">
        <f>'KY_Cost Plant Acct-Gas-P20(REG)'!F24</f>
        <v>-53.07</v>
      </c>
      <c r="G24" s="136"/>
      <c r="H24" s="136">
        <f>'KY_Cost Plant Acct-Gas-P20(REG)'!H24</f>
        <v>0</v>
      </c>
      <c r="I24" s="136"/>
      <c r="J24" s="136">
        <f t="shared" si="0"/>
        <v>394238.83999999997</v>
      </c>
      <c r="K24" s="136"/>
      <c r="L24" s="136">
        <f t="shared" si="1"/>
        <v>26382508.030000001</v>
      </c>
      <c r="M24" s="147"/>
      <c r="N24" s="37">
        <f>'KY_Res by Plant Acct-P29 (Reg)'!R419</f>
        <v>-5487938.8499999996</v>
      </c>
      <c r="P24" s="37">
        <f t="shared" si="2"/>
        <v>20894569.18</v>
      </c>
    </row>
    <row r="25" spans="1:16" x14ac:dyDescent="0.2">
      <c r="A25" s="3" t="s">
        <v>377</v>
      </c>
      <c r="B25" s="136">
        <f>'KY_Cost Plant Acct-Gas-P20(REG)'!B25+'KY_Cost Plant Acct-Gas-P20(REG)'!B91</f>
        <v>960686.95</v>
      </c>
      <c r="C25" s="136"/>
      <c r="D25" s="136">
        <f>'KY_Cost Plant Acct-Gas-P20(REG)'!D25+'KY_Cost Plant Acct-Gas-P20(REG)'!D91</f>
        <v>0</v>
      </c>
      <c r="E25" s="136"/>
      <c r="F25" s="136">
        <f>'KY_Cost Plant Acct-Gas-P20(REG)'!F25</f>
        <v>0</v>
      </c>
      <c r="G25" s="136"/>
      <c r="H25" s="136">
        <f>'KY_Cost Plant Acct-Gas-P20(REG)'!H25</f>
        <v>0</v>
      </c>
      <c r="I25" s="136"/>
      <c r="J25" s="136">
        <f t="shared" si="0"/>
        <v>0</v>
      </c>
      <c r="K25" s="136"/>
      <c r="L25" s="136">
        <f t="shared" si="1"/>
        <v>960686.95</v>
      </c>
      <c r="M25" s="147"/>
      <c r="N25" s="37">
        <f>'KY_Res by Plant Acct-P29 (Reg)'!R420</f>
        <v>-241445.1</v>
      </c>
      <c r="P25" s="37">
        <f t="shared" si="2"/>
        <v>719241.85</v>
      </c>
    </row>
    <row r="26" spans="1:16" x14ac:dyDescent="0.2">
      <c r="A26" s="3" t="s">
        <v>378</v>
      </c>
      <c r="B26" s="136">
        <f>'KY_Cost Plant Acct-Gas-P20(REG)'!B26+'KY_Cost Plant Acct-Gas-P20(REG)'!B92</f>
        <v>51112.34</v>
      </c>
      <c r="C26" s="133"/>
      <c r="D26" s="136">
        <f>'KY_Cost Plant Acct-Gas-P20(REG)'!D26+'KY_Cost Plant Acct-Gas-P20(REG)'!D92</f>
        <v>0</v>
      </c>
      <c r="E26" s="133"/>
      <c r="F26" s="136">
        <f>'KY_Cost Plant Acct-Gas-P20(REG)'!F26</f>
        <v>0</v>
      </c>
      <c r="G26" s="133"/>
      <c r="H26" s="136">
        <f>'KY_Cost Plant Acct-Gas-P20(REG)'!H26</f>
        <v>0</v>
      </c>
      <c r="I26" s="133"/>
      <c r="J26" s="133">
        <f t="shared" si="0"/>
        <v>0</v>
      </c>
      <c r="K26" s="133"/>
      <c r="L26" s="133">
        <f t="shared" si="1"/>
        <v>51112.34</v>
      </c>
      <c r="M26" s="148"/>
      <c r="N26" s="37">
        <f>'KY_Res by Plant Acct-P29 (Reg)'!R421</f>
        <v>-28657.94</v>
      </c>
      <c r="O26" s="29"/>
      <c r="P26" s="37">
        <f t="shared" si="2"/>
        <v>22454.399999999998</v>
      </c>
    </row>
    <row r="27" spans="1:16" x14ac:dyDescent="0.2">
      <c r="A27" s="3" t="s">
        <v>379</v>
      </c>
      <c r="B27" s="136">
        <f>'KY_Cost Plant Acct-Gas-P20(REG)'!B27</f>
        <v>37095.39</v>
      </c>
      <c r="C27" s="133"/>
      <c r="D27" s="136">
        <f>'KY_Cost Plant Acct-Gas-P20(REG)'!D27</f>
        <v>0</v>
      </c>
      <c r="E27" s="133"/>
      <c r="F27" s="136">
        <f>'KY_Cost Plant Acct-Gas-P20(REG)'!F27</f>
        <v>-37095.39</v>
      </c>
      <c r="G27" s="133"/>
      <c r="H27" s="136">
        <f>'KY_Cost Plant Acct-Gas-P20(REG)'!H27</f>
        <v>0</v>
      </c>
      <c r="I27" s="133"/>
      <c r="J27" s="133">
        <f t="shared" si="0"/>
        <v>-37095.39</v>
      </c>
      <c r="K27" s="133"/>
      <c r="L27" s="133">
        <f t="shared" si="1"/>
        <v>0</v>
      </c>
      <c r="M27" s="148"/>
      <c r="N27" s="37">
        <f>'KY_Res by Plant Acct-P29 (Reg)'!R422</f>
        <v>0</v>
      </c>
      <c r="O27" s="29"/>
      <c r="P27" s="37">
        <f t="shared" si="2"/>
        <v>0</v>
      </c>
    </row>
    <row r="28" spans="1:16" x14ac:dyDescent="0.2">
      <c r="A28" s="3" t="s">
        <v>380</v>
      </c>
      <c r="B28" s="151">
        <f>'KY_Cost Plant Acct-Gas-P20(REG)'!B28</f>
        <v>11524688.960000001</v>
      </c>
      <c r="C28" s="133"/>
      <c r="D28" s="151">
        <f>'KY_Cost Plant Acct-Gas-P20(REG)'!D28</f>
        <v>0</v>
      </c>
      <c r="E28" s="133"/>
      <c r="F28" s="151">
        <f>'KY_Cost Plant Acct-Gas-P20(REG)'!F28</f>
        <v>-23043.13</v>
      </c>
      <c r="G28" s="133"/>
      <c r="H28" s="151">
        <f>'KY_Cost Plant Acct-Gas-P20(REG)'!H28</f>
        <v>1120194</v>
      </c>
      <c r="I28" s="133"/>
      <c r="J28" s="151">
        <f t="shared" si="0"/>
        <v>1097150.8700000001</v>
      </c>
      <c r="K28" s="133"/>
      <c r="L28" s="151">
        <f t="shared" si="1"/>
        <v>12621839.830000002</v>
      </c>
      <c r="M28" s="148"/>
      <c r="N28" s="134">
        <f>'KY_Res by Plant Acct-P29 (Reg)'!R423</f>
        <v>-1602634.8600000017</v>
      </c>
      <c r="O28" s="29"/>
      <c r="P28" s="134">
        <f t="shared" si="2"/>
        <v>11019204.970000001</v>
      </c>
    </row>
    <row r="29" spans="1:16" x14ac:dyDescent="0.2">
      <c r="B29" s="133">
        <f>SUM(B11:B28)</f>
        <v>883475153.1700002</v>
      </c>
      <c r="C29" s="133"/>
      <c r="D29" s="133">
        <f>SUM(D11:D28)</f>
        <v>61943685.030000001</v>
      </c>
      <c r="E29" s="133"/>
      <c r="F29" s="133">
        <f>SUM(F11:F28)</f>
        <v>-2576036.1799999997</v>
      </c>
      <c r="G29" s="133"/>
      <c r="H29" s="133">
        <f>SUM(H11:H28)</f>
        <v>1120194</v>
      </c>
      <c r="I29" s="133"/>
      <c r="J29" s="133">
        <f>SUM(J11:J28)</f>
        <v>60487842.850000001</v>
      </c>
      <c r="K29" s="133"/>
      <c r="L29" s="133">
        <f>SUM(L11:L28)</f>
        <v>943962996.01999998</v>
      </c>
      <c r="M29" s="148"/>
      <c r="N29" s="36">
        <f>SUM(N11:N28)</f>
        <v>-272438747.88</v>
      </c>
      <c r="O29" s="29"/>
      <c r="P29" s="36">
        <f>SUM(P11:P28)</f>
        <v>671524248.13999999</v>
      </c>
    </row>
    <row r="30" spans="1:16" x14ac:dyDescent="0.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47"/>
    </row>
    <row r="31" spans="1:16" x14ac:dyDescent="0.2">
      <c r="A31" s="9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47"/>
    </row>
    <row r="32" spans="1:16" x14ac:dyDescent="0.2">
      <c r="A32" s="3" t="s">
        <v>3019</v>
      </c>
      <c r="B32" s="136">
        <f>'KY_Cost Plant Acct-Gas-P20(REG)'!B32+'KY_Cost Plant Acct-Gas-P20(REG)'!B95</f>
        <v>43682.79</v>
      </c>
      <c r="C32" s="136"/>
      <c r="D32" s="136">
        <f>'KY_Cost Plant Acct-Gas-P20(REG)'!D32+'KY_Cost Plant Acct-Gas-P20(REG)'!D95</f>
        <v>-2742.07</v>
      </c>
      <c r="E32" s="136"/>
      <c r="F32" s="136">
        <f>'KY_Cost Plant Acct-Gas-P20(REG)'!F32</f>
        <v>0</v>
      </c>
      <c r="G32" s="136"/>
      <c r="H32" s="136">
        <f>'KY_Cost Plant Acct-Gas-P20(REG)'!H32</f>
        <v>0</v>
      </c>
      <c r="I32" s="136"/>
      <c r="J32" s="136">
        <f>H32+F32+D32</f>
        <v>-2742.07</v>
      </c>
      <c r="K32" s="136"/>
      <c r="L32" s="136">
        <f>J32+B32</f>
        <v>40940.720000000001</v>
      </c>
      <c r="M32" s="147"/>
      <c r="N32" s="37">
        <f>'KY_Res by Plant Acct-P29 (Reg)'!R427</f>
        <v>-15241.85</v>
      </c>
      <c r="P32" s="37">
        <f>L32+N32</f>
        <v>25698.870000000003</v>
      </c>
    </row>
    <row r="33" spans="1:16" x14ac:dyDescent="0.2">
      <c r="A33" s="3" t="s">
        <v>3020</v>
      </c>
      <c r="B33" s="136">
        <f>'KY_Cost Plant Acct-Gas-P20(REG)'!B33+'KY_Cost Plant Acct-Gas-P20(REG)'!B96</f>
        <v>926192.23</v>
      </c>
      <c r="C33" s="136"/>
      <c r="D33" s="136">
        <f>'KY_Cost Plant Acct-Gas-P20(REG)'!D33+'KY_Cost Plant Acct-Gas-P20(REG)'!D96</f>
        <v>139050.34</v>
      </c>
      <c r="E33" s="136"/>
      <c r="F33" s="136">
        <f>'KY_Cost Plant Acct-Gas-P20(REG)'!F33</f>
        <v>-140373.57999999999</v>
      </c>
      <c r="G33" s="136"/>
      <c r="H33" s="136">
        <f>'KY_Cost Plant Acct-Gas-P20(REG)'!H33</f>
        <v>0</v>
      </c>
      <c r="I33" s="136"/>
      <c r="J33" s="136">
        <f t="shared" ref="J33:J39" si="3">H33+F33+D33</f>
        <v>-1323.2399999999907</v>
      </c>
      <c r="K33" s="136"/>
      <c r="L33" s="136">
        <f t="shared" ref="L33:L39" si="4">J33+B33</f>
        <v>924868.99</v>
      </c>
      <c r="M33" s="147"/>
      <c r="N33" s="37">
        <f>'KY_Res by Plant Acct-P29 (Reg)'!R428</f>
        <v>-588254.99000000046</v>
      </c>
      <c r="P33" s="37">
        <f t="shared" ref="P33:P39" si="5">L33+N33</f>
        <v>336613.99999999953</v>
      </c>
    </row>
    <row r="34" spans="1:16" x14ac:dyDescent="0.2">
      <c r="A34" s="3" t="s">
        <v>385</v>
      </c>
      <c r="B34" s="136">
        <f>'KY_Cost Plant Acct-Gas-P20(REG)'!B34+'KY_Cost Plant Acct-Gas-P20(REG)'!B97</f>
        <v>828416.91</v>
      </c>
      <c r="C34" s="136"/>
      <c r="D34" s="136">
        <f>'KY_Cost Plant Acct-Gas-P20(REG)'!D34+'KY_Cost Plant Acct-Gas-P20(REG)'!D97</f>
        <v>46461.920000000013</v>
      </c>
      <c r="E34" s="136"/>
      <c r="F34" s="136">
        <f>'KY_Cost Plant Acct-Gas-P20(REG)'!F34</f>
        <v>-36801.83</v>
      </c>
      <c r="G34" s="136"/>
      <c r="H34" s="136">
        <f>'KY_Cost Plant Acct-Gas-P20(REG)'!H34</f>
        <v>0</v>
      </c>
      <c r="I34" s="136"/>
      <c r="J34" s="136">
        <f t="shared" si="3"/>
        <v>9660.0900000000111</v>
      </c>
      <c r="K34" s="136"/>
      <c r="L34" s="136">
        <f t="shared" si="4"/>
        <v>838077</v>
      </c>
      <c r="M34" s="147"/>
      <c r="N34" s="37">
        <f>'KY_Res by Plant Acct-P29 (Reg)'!R429</f>
        <v>-151499.67000000007</v>
      </c>
      <c r="P34" s="37">
        <f t="shared" si="5"/>
        <v>686577.33</v>
      </c>
    </row>
    <row r="35" spans="1:16" x14ac:dyDescent="0.2">
      <c r="A35" s="3" t="s">
        <v>387</v>
      </c>
      <c r="B35" s="136">
        <f>'KY_Cost Plant Acct-Gas-P20(REG)'!B35+'KY_Cost Plant Acct-Gas-P20(REG)'!B98</f>
        <v>6771338.4300000006</v>
      </c>
      <c r="C35" s="136"/>
      <c r="D35" s="136">
        <f>'KY_Cost Plant Acct-Gas-P20(REG)'!D35+'KY_Cost Plant Acct-Gas-P20(REG)'!D98</f>
        <v>447082.9</v>
      </c>
      <c r="E35" s="136"/>
      <c r="F35" s="136">
        <f>'KY_Cost Plant Acct-Gas-P20(REG)'!F35</f>
        <v>-335120.42</v>
      </c>
      <c r="G35" s="136"/>
      <c r="H35" s="136">
        <f>'KY_Cost Plant Acct-Gas-P20(REG)'!H35</f>
        <v>0</v>
      </c>
      <c r="I35" s="136"/>
      <c r="J35" s="136">
        <f t="shared" si="3"/>
        <v>111962.48000000004</v>
      </c>
      <c r="K35" s="136"/>
      <c r="L35" s="136">
        <f t="shared" si="4"/>
        <v>6883300.9100000011</v>
      </c>
      <c r="M35" s="147"/>
      <c r="N35" s="37">
        <f>'KY_Res by Plant Acct-P29 (Reg)'!R430</f>
        <v>-2574624.2499999995</v>
      </c>
      <c r="P35" s="37">
        <f t="shared" si="5"/>
        <v>4308676.660000002</v>
      </c>
    </row>
    <row r="36" spans="1:16" x14ac:dyDescent="0.2">
      <c r="A36" s="3" t="s">
        <v>388</v>
      </c>
      <c r="B36" s="136">
        <f>'KY_Cost Plant Acct-Gas-P20(REG)'!B36+'KY_Cost Plant Acct-Gas-P20(REG)'!B99</f>
        <v>0</v>
      </c>
      <c r="C36" s="136"/>
      <c r="D36" s="136">
        <f>'KY_Cost Plant Acct-Gas-P20(REG)'!D36+'KY_Cost Plant Acct-Gas-P20(REG)'!D99</f>
        <v>0</v>
      </c>
      <c r="E36" s="136"/>
      <c r="F36" s="136">
        <f>'KY_Cost Plant Acct-Gas-P20(REG)'!F36</f>
        <v>0</v>
      </c>
      <c r="G36" s="136"/>
      <c r="H36" s="136">
        <f>'KY_Cost Plant Acct-Gas-P20(REG)'!H36</f>
        <v>0</v>
      </c>
      <c r="I36" s="136"/>
      <c r="J36" s="136">
        <f t="shared" si="3"/>
        <v>0</v>
      </c>
      <c r="K36" s="136"/>
      <c r="L36" s="136">
        <f t="shared" si="4"/>
        <v>0</v>
      </c>
      <c r="M36" s="147"/>
      <c r="N36" s="37">
        <f>'KY_Res by Plant Acct-P29 (Reg)'!R431</f>
        <v>0</v>
      </c>
      <c r="P36" s="37">
        <f t="shared" si="5"/>
        <v>0</v>
      </c>
    </row>
    <row r="37" spans="1:16" x14ac:dyDescent="0.2">
      <c r="A37" s="3" t="s">
        <v>3021</v>
      </c>
      <c r="B37" s="136">
        <f>'KY_Cost Plant Acct-Gas-P20(REG)'!B37+'KY_Cost Plant Acct-Gas-P20(REG)'!B100</f>
        <v>3317259.49</v>
      </c>
      <c r="C37" s="133"/>
      <c r="D37" s="136">
        <f>'KY_Cost Plant Acct-Gas-P20(REG)'!D37+'KY_Cost Plant Acct-Gas-P20(REG)'!D100</f>
        <v>445433.43</v>
      </c>
      <c r="E37" s="133"/>
      <c r="F37" s="136">
        <f>'KY_Cost Plant Acct-Gas-P20(REG)'!F37</f>
        <v>-281849.92</v>
      </c>
      <c r="G37" s="133"/>
      <c r="H37" s="136">
        <f>'KY_Cost Plant Acct-Gas-P20(REG)'!H37</f>
        <v>0</v>
      </c>
      <c r="I37" s="133"/>
      <c r="J37" s="133">
        <f t="shared" si="3"/>
        <v>163583.51</v>
      </c>
      <c r="K37" s="133"/>
      <c r="L37" s="133">
        <f t="shared" si="4"/>
        <v>3480843</v>
      </c>
      <c r="M37" s="148"/>
      <c r="N37" s="37">
        <f>'KY_Res by Plant Acct-P29 (Reg)'!R432</f>
        <v>-2242509.2500000005</v>
      </c>
      <c r="P37" s="37">
        <f t="shared" si="5"/>
        <v>1238333.7499999995</v>
      </c>
    </row>
    <row r="38" spans="1:16" x14ac:dyDescent="0.2">
      <c r="A38" s="3" t="s">
        <v>390</v>
      </c>
      <c r="B38" s="133">
        <f>'KY_Cost Plant Acct-Gas-P20(REG)'!B38+'KY_Cost Plant Acct-Gas-P20(REG)'!B101</f>
        <v>214328.50999999998</v>
      </c>
      <c r="C38" s="133"/>
      <c r="D38" s="133">
        <f>'KY_Cost Plant Acct-Gas-P20(REG)'!D38+'KY_Cost Plant Acct-Gas-P20(REG)'!D101</f>
        <v>0</v>
      </c>
      <c r="E38" s="133"/>
      <c r="F38" s="133">
        <f>'KY_Cost Plant Acct-Gas-P20(REG)'!F38</f>
        <v>0</v>
      </c>
      <c r="G38" s="133"/>
      <c r="H38" s="133">
        <f>'KY_Cost Plant Acct-Gas-P20(REG)'!H38</f>
        <v>0</v>
      </c>
      <c r="I38" s="133"/>
      <c r="J38" s="133">
        <f t="shared" si="3"/>
        <v>0</v>
      </c>
      <c r="K38" s="133"/>
      <c r="L38" s="133">
        <f t="shared" si="4"/>
        <v>214328.50999999998</v>
      </c>
      <c r="M38" s="148"/>
      <c r="N38" s="36">
        <f>'KY_Res by Plant Acct-P29 (Reg)'!R433</f>
        <v>-117119.18</v>
      </c>
      <c r="O38" s="29"/>
      <c r="P38" s="36">
        <f t="shared" si="5"/>
        <v>97209.329999999987</v>
      </c>
    </row>
    <row r="39" spans="1:16" x14ac:dyDescent="0.2">
      <c r="A39" s="21" t="s">
        <v>392</v>
      </c>
      <c r="B39" s="133">
        <f>'KY_Cost Plant Acct-Gas-P20(REG)'!B39+'KY_Cost Plant Acct-Gas-P20(REG)'!B102</f>
        <v>0</v>
      </c>
      <c r="C39" s="133"/>
      <c r="D39" s="133">
        <f>'KY_Cost Plant Acct-Gas-P20(REG)'!D39+'KY_Cost Plant Acct-Gas-P20(REG)'!D102</f>
        <v>0</v>
      </c>
      <c r="E39" s="133"/>
      <c r="F39" s="133">
        <f>'KY_Cost Plant Acct-Gas-P20(REG)'!F39+'KY_Cost Plant Acct-Gas-P20(REG)'!F102</f>
        <v>0</v>
      </c>
      <c r="G39" s="133"/>
      <c r="H39" s="133">
        <f>'KY_Cost Plant Acct-Gas-P20(REG)'!H39+'KY_Cost Plant Acct-Gas-P20(REG)'!H102</f>
        <v>0</v>
      </c>
      <c r="I39" s="133"/>
      <c r="J39" s="133">
        <f t="shared" si="3"/>
        <v>0</v>
      </c>
      <c r="K39" s="133"/>
      <c r="L39" s="133">
        <f t="shared" si="4"/>
        <v>0</v>
      </c>
      <c r="M39" s="148"/>
      <c r="N39" s="36">
        <f>'KY_Res by Plant Acct-P29 (Reg)'!R434</f>
        <v>-9.0949470177292824E-13</v>
      </c>
      <c r="P39" s="36">
        <f t="shared" si="5"/>
        <v>-9.0949470177292824E-13</v>
      </c>
    </row>
    <row r="40" spans="1:16" x14ac:dyDescent="0.2">
      <c r="B40" s="150">
        <f>SUM(B32:B39)</f>
        <v>12101218.360000001</v>
      </c>
      <c r="C40" s="133"/>
      <c r="D40" s="150">
        <f>SUM(D32:D39)</f>
        <v>1075286.52</v>
      </c>
      <c r="E40" s="133"/>
      <c r="F40" s="150">
        <f>SUM(F32:F39)</f>
        <v>-794145.75</v>
      </c>
      <c r="G40" s="133"/>
      <c r="H40" s="150">
        <f>SUM(H32:H39)</f>
        <v>0</v>
      </c>
      <c r="I40" s="133"/>
      <c r="J40" s="150">
        <f>SUM(J32:J39)</f>
        <v>281140.77000000008</v>
      </c>
      <c r="K40" s="133"/>
      <c r="L40" s="150">
        <f>SUM(L32:L39)</f>
        <v>12382359.130000001</v>
      </c>
      <c r="M40" s="148"/>
      <c r="N40" s="150">
        <f>SUM(N32:N39)</f>
        <v>-5689249.1899999995</v>
      </c>
      <c r="P40" s="150">
        <f>SUM(P32:P39)</f>
        <v>6693109.9400000013</v>
      </c>
    </row>
    <row r="41" spans="1:16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48"/>
    </row>
    <row r="42" spans="1:16" x14ac:dyDescent="0.2">
      <c r="A42" s="9" t="s">
        <v>29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48"/>
    </row>
    <row r="43" spans="1:16" x14ac:dyDescent="0.2">
      <c r="A43" s="3" t="s">
        <v>394</v>
      </c>
      <c r="B43" s="151">
        <f>'KY_Cost Plant Acct-Gas-P20(REG)'!B43</f>
        <v>387.49</v>
      </c>
      <c r="C43" s="133"/>
      <c r="D43" s="151">
        <f>'KY_Cost Plant Acct-Gas-P20(REG)'!D43</f>
        <v>0</v>
      </c>
      <c r="E43" s="133"/>
      <c r="F43" s="151">
        <f>'KY_Cost Plant Acct-Gas-P20(REG)'!F43</f>
        <v>0</v>
      </c>
      <c r="G43" s="133"/>
      <c r="H43" s="151">
        <f>'KY_Cost Plant Acct-Gas-P20(REG)'!H43</f>
        <v>0</v>
      </c>
      <c r="I43" s="133"/>
      <c r="J43" s="151">
        <f>H43+F43+D43</f>
        <v>0</v>
      </c>
      <c r="K43" s="133"/>
      <c r="L43" s="151">
        <f>J43+B43</f>
        <v>387.49</v>
      </c>
      <c r="M43" s="148"/>
      <c r="N43" s="134">
        <f>'KY_Res by Plant Acct-P29 (Reg)'!R470</f>
        <v>-208.68000000000004</v>
      </c>
      <c r="P43" s="134">
        <f>L43+N43</f>
        <v>178.80999999999997</v>
      </c>
    </row>
    <row r="44" spans="1:16" x14ac:dyDescent="0.2">
      <c r="B44" s="133">
        <f>SUM(B43)</f>
        <v>387.49</v>
      </c>
      <c r="C44" s="133"/>
      <c r="D44" s="133">
        <f>SUM(D43)</f>
        <v>0</v>
      </c>
      <c r="E44" s="133"/>
      <c r="F44" s="133">
        <f>SUM(F43)</f>
        <v>0</v>
      </c>
      <c r="G44" s="133"/>
      <c r="H44" s="133">
        <f>SUM(H43)</f>
        <v>0</v>
      </c>
      <c r="I44" s="133"/>
      <c r="J44" s="133">
        <f>SUM(J43)</f>
        <v>0</v>
      </c>
      <c r="K44" s="133"/>
      <c r="L44" s="133">
        <f>SUM(L43)</f>
        <v>387.49</v>
      </c>
      <c r="M44" s="148"/>
      <c r="N44" s="37">
        <f>SUM(N43)</f>
        <v>-208.68000000000004</v>
      </c>
      <c r="P44" s="37">
        <f>SUM(P43)</f>
        <v>178.80999999999997</v>
      </c>
    </row>
    <row r="45" spans="1:16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48"/>
    </row>
    <row r="46" spans="1:16" x14ac:dyDescent="0.2">
      <c r="A46" s="9" t="s">
        <v>30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48"/>
    </row>
    <row r="47" spans="1:16" x14ac:dyDescent="0.2">
      <c r="A47" s="3" t="s">
        <v>396</v>
      </c>
      <c r="B47" s="133">
        <f>+'Tot Gas PIS COST SPLIT-P18(Reg)'!B47</f>
        <v>32864.07</v>
      </c>
      <c r="C47" s="133"/>
      <c r="D47" s="133">
        <f>+'Tot Gas PIS COST SPLIT-P18(Reg)'!D47</f>
        <v>0</v>
      </c>
      <c r="E47" s="133"/>
      <c r="F47" s="133">
        <f>+'Tot Gas PIS COST SPLIT-P18(Reg)'!F47</f>
        <v>0</v>
      </c>
      <c r="G47" s="133"/>
      <c r="H47" s="133">
        <f>+'Tot Gas PIS COST SPLIT-P18(Reg)'!H47</f>
        <v>0</v>
      </c>
      <c r="I47" s="133"/>
      <c r="J47" s="133">
        <f t="shared" ref="J47:J64" si="6">H47+F47+D47</f>
        <v>0</v>
      </c>
      <c r="K47" s="133"/>
      <c r="L47" s="133">
        <f t="shared" ref="L47:L64" si="7">J47+B47</f>
        <v>32864.07</v>
      </c>
      <c r="M47" s="148"/>
      <c r="N47" s="37">
        <f>'KY_Res by Plant Acct-P29 (Reg)'!R439+'IN_Total PIS_Gas_NBV-P21(Reg)'!N11</f>
        <v>0</v>
      </c>
      <c r="P47" s="37">
        <f t="shared" ref="P47:P64" si="8">L47+N47</f>
        <v>32864.07</v>
      </c>
    </row>
    <row r="48" spans="1:16" x14ac:dyDescent="0.2">
      <c r="A48" s="3" t="s">
        <v>397</v>
      </c>
      <c r="B48" s="133">
        <f>+'Tot Gas PIS COST SPLIT-P18(Reg)'!B48</f>
        <v>101212.48999999999</v>
      </c>
      <c r="C48" s="133"/>
      <c r="D48" s="133">
        <f>+'Tot Gas PIS COST SPLIT-P18(Reg)'!D48</f>
        <v>0</v>
      </c>
      <c r="E48" s="133"/>
      <c r="F48" s="133">
        <f>+'Tot Gas PIS COST SPLIT-P18(Reg)'!F48</f>
        <v>0</v>
      </c>
      <c r="G48" s="133"/>
      <c r="H48" s="133">
        <f>+'Tot Gas PIS COST SPLIT-P18(Reg)'!H48</f>
        <v>0</v>
      </c>
      <c r="I48" s="133"/>
      <c r="J48" s="133">
        <f t="shared" si="6"/>
        <v>0</v>
      </c>
      <c r="K48" s="133"/>
      <c r="L48" s="133">
        <f t="shared" si="7"/>
        <v>101212.48999999999</v>
      </c>
      <c r="M48" s="148"/>
      <c r="N48" s="37">
        <f>'KY_Res by Plant Acct-P29 (Reg)'!R440</f>
        <v>-70329.789999999994</v>
      </c>
      <c r="P48" s="37">
        <f t="shared" si="8"/>
        <v>30882.699999999997</v>
      </c>
    </row>
    <row r="49" spans="1:16" x14ac:dyDescent="0.2">
      <c r="A49" s="3" t="s">
        <v>399</v>
      </c>
      <c r="B49" s="133">
        <f>+'Tot Gas PIS COST SPLIT-P18(Reg)'!B49+'Tot Gas PIS COST SPLIT-P18(Reg)'!B106</f>
        <v>10054179.92</v>
      </c>
      <c r="C49" s="133"/>
      <c r="D49" s="133">
        <f>+'Tot Gas PIS COST SPLIT-P18(Reg)'!D49+'Tot Gas PIS COST SPLIT-P18(Reg)'!D106</f>
        <v>54209.109999999986</v>
      </c>
      <c r="E49" s="133"/>
      <c r="F49" s="133">
        <f>+'Tot Gas PIS COST SPLIT-P18(Reg)'!F49+'Tot Gas PIS COST SPLIT-P18(Reg)'!F106</f>
        <v>-10299.040000000001</v>
      </c>
      <c r="G49" s="133"/>
      <c r="H49" s="133">
        <f>+'Tot Gas PIS COST SPLIT-P18(Reg)'!H49+'Tot Gas PIS COST SPLIT-P18(Reg)'!H106</f>
        <v>0</v>
      </c>
      <c r="I49" s="133"/>
      <c r="J49" s="133">
        <f t="shared" si="6"/>
        <v>43910.069999999985</v>
      </c>
      <c r="K49" s="133"/>
      <c r="L49" s="133">
        <f t="shared" si="7"/>
        <v>10098089.99</v>
      </c>
      <c r="M49" s="148"/>
      <c r="N49" s="37">
        <f>'KY_Res by Plant Acct-P29 (Reg)'!R441</f>
        <v>-1585389.44</v>
      </c>
      <c r="P49" s="37">
        <f t="shared" si="8"/>
        <v>8512700.5500000007</v>
      </c>
    </row>
    <row r="50" spans="1:16" x14ac:dyDescent="0.2">
      <c r="A50" s="3" t="s">
        <v>400</v>
      </c>
      <c r="B50" s="133">
        <f>+'Tot Gas PIS COST SPLIT-P18(Reg)'!B50+'Tot Gas PIS COST SPLIT-P18(Reg)'!B107</f>
        <v>33043.050000000003</v>
      </c>
      <c r="C50" s="133"/>
      <c r="D50" s="133">
        <f>+'Tot Gas PIS COST SPLIT-P18(Reg)'!D50+'Tot Gas PIS COST SPLIT-P18(Reg)'!D107</f>
        <v>0</v>
      </c>
      <c r="E50" s="133"/>
      <c r="F50" s="133">
        <f>+'Tot Gas PIS COST SPLIT-P18(Reg)'!F50+'Tot Gas PIS COST SPLIT-P18(Reg)'!F107</f>
        <v>0</v>
      </c>
      <c r="G50" s="133"/>
      <c r="H50" s="133">
        <f>+'Tot Gas PIS COST SPLIT-P18(Reg)'!H50+'Tot Gas PIS COST SPLIT-P18(Reg)'!H107</f>
        <v>0</v>
      </c>
      <c r="I50" s="133"/>
      <c r="J50" s="133">
        <f>H50+F50+D50</f>
        <v>0</v>
      </c>
      <c r="K50" s="133"/>
      <c r="L50" s="133">
        <f>J50+B50</f>
        <v>33043.050000000003</v>
      </c>
      <c r="M50" s="148"/>
      <c r="N50" s="37">
        <f>'KY_Res by Plant Acct-P29 (Reg)'!R442</f>
        <v>-16568.57</v>
      </c>
      <c r="P50" s="37">
        <f t="shared" si="8"/>
        <v>16474.480000000003</v>
      </c>
    </row>
    <row r="51" spans="1:16" x14ac:dyDescent="0.2">
      <c r="A51" s="3" t="s">
        <v>401</v>
      </c>
      <c r="B51" s="133">
        <f>+'Tot Gas PIS COST SPLIT-P18(Reg)'!B51+'Tot Gas PIS COST SPLIT-P18(Reg)'!B108</f>
        <v>5725497.79</v>
      </c>
      <c r="C51" s="133"/>
      <c r="D51" s="133">
        <f>+'Tot Gas PIS COST SPLIT-P18(Reg)'!D51+'Tot Gas PIS COST SPLIT-P18(Reg)'!D108</f>
        <v>722597.72</v>
      </c>
      <c r="E51" s="133"/>
      <c r="F51" s="133">
        <f>+'Tot Gas PIS COST SPLIT-P18(Reg)'!F51+'Tot Gas PIS COST SPLIT-P18(Reg)'!F108</f>
        <v>-4266.4799999999996</v>
      </c>
      <c r="G51" s="133"/>
      <c r="H51" s="133">
        <f>+'Tot Gas PIS COST SPLIT-P18(Reg)'!H51+'Tot Gas PIS COST SPLIT-P18(Reg)'!H108</f>
        <v>0</v>
      </c>
      <c r="I51" s="133"/>
      <c r="J51" s="133">
        <f t="shared" si="6"/>
        <v>718331.24</v>
      </c>
      <c r="K51" s="133"/>
      <c r="L51" s="133">
        <f>J51+B51</f>
        <v>6443829.0300000003</v>
      </c>
      <c r="M51" s="148"/>
      <c r="N51" s="37">
        <f>'KY_Res by Plant Acct-P29 (Reg)'!R443+'IN_Total PIS_Gas_NBV-P21(Reg)'!N12</f>
        <v>-975700.35999999987</v>
      </c>
      <c r="P51" s="37">
        <f t="shared" si="8"/>
        <v>5468128.6699999999</v>
      </c>
    </row>
    <row r="52" spans="1:16" x14ac:dyDescent="0.2">
      <c r="A52" s="3" t="s">
        <v>407</v>
      </c>
      <c r="B52" s="133">
        <f>+'Tot Gas PIS COST SPLIT-P18(Reg)'!B52</f>
        <v>548241.14</v>
      </c>
      <c r="C52" s="133"/>
      <c r="D52" s="133">
        <f>+'Tot Gas PIS COST SPLIT-P18(Reg)'!D52</f>
        <v>0</v>
      </c>
      <c r="E52" s="133"/>
      <c r="F52" s="133">
        <f>+'Tot Gas PIS COST SPLIT-P18(Reg)'!F52</f>
        <v>0</v>
      </c>
      <c r="G52" s="133"/>
      <c r="H52" s="133">
        <f>+'Tot Gas PIS COST SPLIT-P18(Reg)'!H52</f>
        <v>0</v>
      </c>
      <c r="I52" s="133"/>
      <c r="J52" s="133">
        <f t="shared" si="6"/>
        <v>0</v>
      </c>
      <c r="K52" s="133"/>
      <c r="L52" s="133">
        <f t="shared" si="7"/>
        <v>548241.14</v>
      </c>
      <c r="M52" s="148"/>
      <c r="N52" s="37">
        <f>'KY_Res by Plant Acct-P29 (Reg)'!R444</f>
        <v>-569589.96</v>
      </c>
      <c r="P52" s="37">
        <f t="shared" si="8"/>
        <v>-21348.819999999949</v>
      </c>
    </row>
    <row r="53" spans="1:16" x14ac:dyDescent="0.2">
      <c r="A53" s="3" t="s">
        <v>408</v>
      </c>
      <c r="B53" s="133">
        <f>+'Tot Gas PIS COST SPLIT-P18(Reg)'!B53</f>
        <v>400511.4</v>
      </c>
      <c r="C53" s="133"/>
      <c r="D53" s="133">
        <f>+'Tot Gas PIS COST SPLIT-P18(Reg)'!D53</f>
        <v>0</v>
      </c>
      <c r="E53" s="133"/>
      <c r="F53" s="133">
        <f>+'Tot Gas PIS COST SPLIT-P18(Reg)'!F53</f>
        <v>0</v>
      </c>
      <c r="G53" s="133"/>
      <c r="H53" s="133">
        <f>+'Tot Gas PIS COST SPLIT-P18(Reg)'!H53</f>
        <v>0</v>
      </c>
      <c r="I53" s="133"/>
      <c r="J53" s="133">
        <f t="shared" si="6"/>
        <v>0</v>
      </c>
      <c r="K53" s="133"/>
      <c r="L53" s="133">
        <f t="shared" si="7"/>
        <v>400511.4</v>
      </c>
      <c r="M53" s="148"/>
      <c r="N53" s="37">
        <f>'KY_Res by Plant Acct-P29 (Reg)'!R445</f>
        <v>-452027.29</v>
      </c>
      <c r="P53" s="37">
        <f t="shared" si="8"/>
        <v>-51515.889999999956</v>
      </c>
    </row>
    <row r="54" spans="1:16" x14ac:dyDescent="0.2">
      <c r="A54" s="3" t="s">
        <v>409</v>
      </c>
      <c r="B54" s="133">
        <f>+'Tot Gas PIS COST SPLIT-P18(Reg)'!B54</f>
        <v>9648855</v>
      </c>
      <c r="C54" s="133"/>
      <c r="D54" s="133">
        <f>+'Tot Gas PIS COST SPLIT-P18(Reg)'!D54</f>
        <v>0</v>
      </c>
      <c r="E54" s="133"/>
      <c r="F54" s="133">
        <f>+'Tot Gas PIS COST SPLIT-P18(Reg)'!F54</f>
        <v>0</v>
      </c>
      <c r="G54" s="133"/>
      <c r="H54" s="133">
        <f>+'Tot Gas PIS COST SPLIT-P18(Reg)'!H54</f>
        <v>0</v>
      </c>
      <c r="I54" s="133"/>
      <c r="J54" s="133">
        <f t="shared" si="6"/>
        <v>0</v>
      </c>
      <c r="K54" s="133"/>
      <c r="L54" s="133">
        <f t="shared" si="7"/>
        <v>9648855</v>
      </c>
      <c r="M54" s="148"/>
      <c r="N54" s="37">
        <f>'KY_Res by Plant Acct-P29 (Reg)'!R446</f>
        <v>-8261091.0800000001</v>
      </c>
      <c r="P54" s="37">
        <f t="shared" si="8"/>
        <v>1387763.92</v>
      </c>
    </row>
    <row r="55" spans="1:16" x14ac:dyDescent="0.2">
      <c r="A55" s="3" t="s">
        <v>403</v>
      </c>
      <c r="B55" s="133">
        <f>+'Tot Gas PIS COST SPLIT-P18(Reg)'!B55+'Tot Gas PIS COST SPLIT-P18(Reg)'!B109</f>
        <v>5995334.5199999996</v>
      </c>
      <c r="C55" s="133"/>
      <c r="D55" s="133">
        <f>+'Tot Gas PIS COST SPLIT-P18(Reg)'!D55+'Tot Gas PIS COST SPLIT-P18(Reg)'!D109</f>
        <v>0</v>
      </c>
      <c r="E55" s="133"/>
      <c r="F55" s="133">
        <f>+'Tot Gas PIS COST SPLIT-P18(Reg)'!F55+'Tot Gas PIS COST SPLIT-P18(Reg)'!F109</f>
        <v>-22422.080000000002</v>
      </c>
      <c r="G55" s="133"/>
      <c r="H55" s="133">
        <f>+'Tot Gas PIS COST SPLIT-P18(Reg)'!H55+'Tot Gas PIS COST SPLIT-P18(Reg)'!H109</f>
        <v>0</v>
      </c>
      <c r="I55" s="133"/>
      <c r="J55" s="133">
        <f t="shared" si="6"/>
        <v>-22422.080000000002</v>
      </c>
      <c r="K55" s="133"/>
      <c r="L55" s="133">
        <f t="shared" si="7"/>
        <v>5972912.4399999995</v>
      </c>
      <c r="M55" s="148"/>
      <c r="N55" s="37">
        <f>'KY_Res by Plant Acct-P29 (Reg)'!R447+'IN_Total PIS_Gas_NBV-P21(Reg)'!N13</f>
        <v>-2122650.6599999997</v>
      </c>
      <c r="P55" s="37">
        <f t="shared" si="8"/>
        <v>3850261.78</v>
      </c>
    </row>
    <row r="56" spans="1:16" x14ac:dyDescent="0.2">
      <c r="A56" s="3" t="s">
        <v>404</v>
      </c>
      <c r="B56" s="133">
        <f>+'Tot Gas PIS COST SPLIT-P18(Reg)'!B56+'Tot Gas PIS COST SPLIT-P18(Reg)'!B110</f>
        <v>0</v>
      </c>
      <c r="C56" s="133"/>
      <c r="D56" s="133">
        <f>+'Tot Gas PIS COST SPLIT-P18(Reg)'!D56+'Tot Gas PIS COST SPLIT-P18(Reg)'!D110</f>
        <v>0</v>
      </c>
      <c r="E56" s="133"/>
      <c r="F56" s="133">
        <f>+'Tot Gas PIS COST SPLIT-P18(Reg)'!F56+'Tot Gas PIS COST SPLIT-P18(Reg)'!F110</f>
        <v>0</v>
      </c>
      <c r="G56" s="133"/>
      <c r="H56" s="133">
        <f>+'Tot Gas PIS COST SPLIT-P18(Reg)'!H56+'Tot Gas PIS COST SPLIT-P18(Reg)'!H110</f>
        <v>0</v>
      </c>
      <c r="I56" s="133"/>
      <c r="J56" s="133">
        <f t="shared" si="6"/>
        <v>0</v>
      </c>
      <c r="K56" s="133"/>
      <c r="L56" s="133">
        <f t="shared" si="7"/>
        <v>0</v>
      </c>
      <c r="M56" s="148"/>
      <c r="N56" s="37">
        <f>'KY_Res by Plant Acct-P29 (Reg)'!R448+'IN_Total PIS_Gas_NBV-P21(Reg)'!N14</f>
        <v>2.3283064365386963E-10</v>
      </c>
      <c r="P56" s="37">
        <f t="shared" si="8"/>
        <v>2.3283064365386963E-10</v>
      </c>
    </row>
    <row r="57" spans="1:16" x14ac:dyDescent="0.2">
      <c r="A57" s="3" t="s">
        <v>405</v>
      </c>
      <c r="B57" s="133">
        <f>+'Tot Gas PIS COST SPLIT-P18(Reg)'!B57+'Tot Gas PIS COST SPLIT-P18(Reg)'!B111</f>
        <v>13722923.879999997</v>
      </c>
      <c r="C57" s="133"/>
      <c r="D57" s="133">
        <f>+'Tot Gas PIS COST SPLIT-P18(Reg)'!D57+'Tot Gas PIS COST SPLIT-P18(Reg)'!D111</f>
        <v>895215.52</v>
      </c>
      <c r="E57" s="133"/>
      <c r="F57" s="133">
        <f>+'Tot Gas PIS COST SPLIT-P18(Reg)'!F57+'Tot Gas PIS COST SPLIT-P18(Reg)'!F111</f>
        <v>-93523.34</v>
      </c>
      <c r="G57" s="133"/>
      <c r="H57" s="133">
        <f>+'Tot Gas PIS COST SPLIT-P18(Reg)'!H57+'Tot Gas PIS COST SPLIT-P18(Reg)'!H111</f>
        <v>0</v>
      </c>
      <c r="I57" s="133"/>
      <c r="J57" s="133">
        <f t="shared" si="6"/>
        <v>801692.18</v>
      </c>
      <c r="K57" s="133"/>
      <c r="L57" s="133">
        <f>J57+B57</f>
        <v>14524616.059999997</v>
      </c>
      <c r="M57" s="148"/>
      <c r="N57" s="37">
        <f>'KY_Res by Plant Acct-P29 (Reg)'!R449+'IN_Res by Plant Acct-P30 (Reg)'!R32</f>
        <v>-2602508.6900000009</v>
      </c>
      <c r="P57" s="37">
        <f>L57+N57</f>
        <v>11922107.369999995</v>
      </c>
    </row>
    <row r="58" spans="1:16" x14ac:dyDescent="0.2">
      <c r="A58" s="3" t="s">
        <v>410</v>
      </c>
      <c r="B58" s="133">
        <f>+'Tot Gas PIS COST SPLIT-P18(Reg)'!B58+'Tot Gas PIS COST SPLIT-P18(Reg)'!B112</f>
        <v>23292603.909999996</v>
      </c>
      <c r="C58" s="133"/>
      <c r="D58" s="133">
        <f>+'Tot Gas PIS COST SPLIT-P18(Reg)'!D58+'Tot Gas PIS COST SPLIT-P18(Reg)'!D112</f>
        <v>1481298.8</v>
      </c>
      <c r="E58" s="133"/>
      <c r="F58" s="133">
        <f>+'Tot Gas PIS COST SPLIT-P18(Reg)'!F58+'Tot Gas PIS COST SPLIT-P18(Reg)'!F112</f>
        <v>-36754.15</v>
      </c>
      <c r="G58" s="133"/>
      <c r="H58" s="133">
        <f>+'Tot Gas PIS COST SPLIT-P18(Reg)'!H58+'Tot Gas PIS COST SPLIT-P18(Reg)'!H112</f>
        <v>0</v>
      </c>
      <c r="I58" s="133"/>
      <c r="J58" s="133">
        <f t="shared" si="6"/>
        <v>1444544.6500000001</v>
      </c>
      <c r="K58" s="133"/>
      <c r="L58" s="133">
        <f t="shared" si="7"/>
        <v>24737148.559999995</v>
      </c>
      <c r="M58" s="148"/>
      <c r="N58" s="37">
        <f>'KY_Res by Plant Acct-P29 (Reg)'!R450+'IN_Total PIS_Gas_NBV-P21(Reg)'!N16</f>
        <v>-9131581.8799999971</v>
      </c>
      <c r="P58" s="37">
        <f t="shared" si="8"/>
        <v>15605566.679999998</v>
      </c>
    </row>
    <row r="59" spans="1:16" x14ac:dyDescent="0.2">
      <c r="A59" s="3" t="s">
        <v>411</v>
      </c>
      <c r="B59" s="133">
        <f>+'Tot Gas PIS COST SPLIT-P18(Reg)'!B59+'Tot Gas PIS COST SPLIT-P18(Reg)'!B113</f>
        <v>56199067.460000001</v>
      </c>
      <c r="C59" s="133"/>
      <c r="D59" s="133">
        <f>+'Tot Gas PIS COST SPLIT-P18(Reg)'!D59+'Tot Gas PIS COST SPLIT-P18(Reg)'!D113</f>
        <v>5724026.1799999997</v>
      </c>
      <c r="E59" s="133"/>
      <c r="F59" s="133">
        <f>+'Tot Gas PIS COST SPLIT-P18(Reg)'!F59+'Tot Gas PIS COST SPLIT-P18(Reg)'!F113</f>
        <v>-140346.94</v>
      </c>
      <c r="G59" s="133"/>
      <c r="H59" s="133">
        <f>+'Tot Gas PIS COST SPLIT-P18(Reg)'!H59+'Tot Gas PIS COST SPLIT-P18(Reg)'!H113</f>
        <v>0</v>
      </c>
      <c r="I59" s="133"/>
      <c r="J59" s="133">
        <f t="shared" si="6"/>
        <v>5583679.2399999993</v>
      </c>
      <c r="K59" s="133"/>
      <c r="L59" s="133">
        <f t="shared" si="7"/>
        <v>61782746.700000003</v>
      </c>
      <c r="M59" s="148"/>
      <c r="N59" s="37">
        <f>'KY_Res by Plant Acct-P29 (Reg)'!R451+'IN_Res by Plant Acct-P30 (Reg)'!R34</f>
        <v>-8261841.6500000022</v>
      </c>
      <c r="P59" s="37">
        <f t="shared" si="8"/>
        <v>53520905.049999997</v>
      </c>
    </row>
    <row r="60" spans="1:16" x14ac:dyDescent="0.2">
      <c r="A60" s="3" t="s">
        <v>412</v>
      </c>
      <c r="B60" s="133">
        <f>+'Tot Gas PIS COST SPLIT-P18(Reg)'!B60+'Tot Gas PIS COST SPLIT-P18(Reg)'!B114</f>
        <v>1985203.96</v>
      </c>
      <c r="C60" s="133"/>
      <c r="D60" s="133">
        <f>+'Tot Gas PIS COST SPLIT-P18(Reg)'!D60+'Tot Gas PIS COST SPLIT-P18(Reg)'!D114</f>
        <v>150841.40999999992</v>
      </c>
      <c r="E60" s="133"/>
      <c r="F60" s="133">
        <f>+'Tot Gas PIS COST SPLIT-P18(Reg)'!F60+'Tot Gas PIS COST SPLIT-P18(Reg)'!F114</f>
        <v>-13110.7</v>
      </c>
      <c r="G60" s="133"/>
      <c r="H60" s="133">
        <f>+'Tot Gas PIS COST SPLIT-P18(Reg)'!H60+'Tot Gas PIS COST SPLIT-P18(Reg)'!H114</f>
        <v>0</v>
      </c>
      <c r="I60" s="133"/>
      <c r="J60" s="133">
        <f t="shared" si="6"/>
        <v>137730.7099999999</v>
      </c>
      <c r="K60" s="133"/>
      <c r="L60" s="133">
        <f t="shared" si="7"/>
        <v>2122934.67</v>
      </c>
      <c r="M60" s="148"/>
      <c r="N60" s="37">
        <f>'KY_Res by Plant Acct-P29 (Reg)'!R452</f>
        <v>-287386.69</v>
      </c>
      <c r="P60" s="37">
        <f t="shared" si="8"/>
        <v>1835547.98</v>
      </c>
    </row>
    <row r="61" spans="1:16" x14ac:dyDescent="0.2">
      <c r="A61" s="3" t="s">
        <v>413</v>
      </c>
      <c r="B61" s="133">
        <f>+'Tot Gas PIS COST SPLIT-P18(Reg)'!B61+'Tot Gas PIS COST SPLIT-P18(Reg)'!B115</f>
        <v>22844423.969999999</v>
      </c>
      <c r="C61" s="133"/>
      <c r="D61" s="133">
        <f>+'Tot Gas PIS COST SPLIT-P18(Reg)'!D61+'Tot Gas PIS COST SPLIT-P18(Reg)'!D115</f>
        <v>350863.48</v>
      </c>
      <c r="E61" s="133"/>
      <c r="F61" s="133">
        <f>+'Tot Gas PIS COST SPLIT-P18(Reg)'!F61+'Tot Gas PIS COST SPLIT-P18(Reg)'!F115</f>
        <v>-178700.26</v>
      </c>
      <c r="G61" s="133"/>
      <c r="H61" s="133">
        <f>+'Tot Gas PIS COST SPLIT-P18(Reg)'!H61+'Tot Gas PIS COST SPLIT-P18(Reg)'!H115</f>
        <v>0</v>
      </c>
      <c r="I61" s="133"/>
      <c r="J61" s="133">
        <f t="shared" si="6"/>
        <v>172163.21999999997</v>
      </c>
      <c r="K61" s="133"/>
      <c r="L61" s="133">
        <f t="shared" si="7"/>
        <v>23016587.189999998</v>
      </c>
      <c r="M61" s="148"/>
      <c r="N61" s="37">
        <f>'KY_Res by Plant Acct-P29 (Reg)'!R453</f>
        <v>-5985222.870000002</v>
      </c>
      <c r="P61" s="37">
        <f t="shared" si="8"/>
        <v>17031364.319999997</v>
      </c>
    </row>
    <row r="62" spans="1:16" x14ac:dyDescent="0.2">
      <c r="A62" s="3" t="s">
        <v>414</v>
      </c>
      <c r="B62" s="133">
        <f>+'Tot Gas PIS COST SPLIT-P18(Reg)'!B62+'Tot Gas PIS COST SPLIT-P18(Reg)'!B116</f>
        <v>3715650.09</v>
      </c>
      <c r="C62" s="133"/>
      <c r="D62" s="133">
        <f>+'Tot Gas PIS COST SPLIT-P18(Reg)'!D62+'Tot Gas PIS COST SPLIT-P18(Reg)'!D116</f>
        <v>174245.66</v>
      </c>
      <c r="E62" s="133"/>
      <c r="F62" s="133">
        <f>+'Tot Gas PIS COST SPLIT-P18(Reg)'!F62+'Tot Gas PIS COST SPLIT-P18(Reg)'!F116</f>
        <v>0</v>
      </c>
      <c r="G62" s="133"/>
      <c r="H62" s="133">
        <f>+'Tot Gas PIS COST SPLIT-P18(Reg)'!H62+'Tot Gas PIS COST SPLIT-P18(Reg)'!H116</f>
        <v>0</v>
      </c>
      <c r="I62" s="133"/>
      <c r="J62" s="133">
        <f t="shared" si="6"/>
        <v>174245.66</v>
      </c>
      <c r="K62" s="133"/>
      <c r="L62" s="133">
        <f t="shared" si="7"/>
        <v>3889895.75</v>
      </c>
      <c r="M62" s="148"/>
      <c r="N62" s="37">
        <f>'KY_Res by Plant Acct-P29 (Reg)'!R454+'IN_Total PIS_Gas_NBV-P21(Reg)'!N18</f>
        <v>-593566.83000000007</v>
      </c>
      <c r="P62" s="37">
        <f t="shared" si="8"/>
        <v>3296328.92</v>
      </c>
    </row>
    <row r="63" spans="1:16" x14ac:dyDescent="0.2">
      <c r="A63" s="3" t="s">
        <v>415</v>
      </c>
      <c r="B63" s="133">
        <f>+'Tot Gas PIS COST SPLIT-P18(Reg)'!B63</f>
        <v>211678.65</v>
      </c>
      <c r="C63" s="133"/>
      <c r="D63" s="133">
        <f>+'Tot Gas PIS COST SPLIT-P18(Reg)'!D63</f>
        <v>0</v>
      </c>
      <c r="E63" s="133"/>
      <c r="F63" s="133">
        <f>+'Tot Gas PIS COST SPLIT-P18(Reg)'!F63</f>
        <v>-60682.27</v>
      </c>
      <c r="G63" s="133"/>
      <c r="H63" s="133">
        <f>+'Tot Gas PIS COST SPLIT-P18(Reg)'!H63</f>
        <v>38709.760000000002</v>
      </c>
      <c r="I63" s="133"/>
      <c r="J63" s="133">
        <f t="shared" si="6"/>
        <v>-21972.509999999995</v>
      </c>
      <c r="K63" s="133"/>
      <c r="L63" s="133">
        <f t="shared" si="7"/>
        <v>189706.14</v>
      </c>
      <c r="M63" s="148"/>
      <c r="N63" s="37">
        <f>'KY_Res by Plant Acct-P29 (Reg)'!R455</f>
        <v>-110476.79999999999</v>
      </c>
      <c r="P63" s="37">
        <f t="shared" si="8"/>
        <v>79229.340000000026</v>
      </c>
    </row>
    <row r="64" spans="1:16" x14ac:dyDescent="0.2">
      <c r="A64" s="3" t="s">
        <v>416</v>
      </c>
      <c r="B64" s="151">
        <f>+'Tot Gas PIS COST SPLIT-P18(Reg)'!B64</f>
        <v>4968621.09</v>
      </c>
      <c r="C64" s="133"/>
      <c r="D64" s="151">
        <f>+'Tot Gas PIS COST SPLIT-P18(Reg)'!D64</f>
        <v>0</v>
      </c>
      <c r="E64" s="133"/>
      <c r="F64" s="151">
        <f>+'Tot Gas PIS COST SPLIT-P18(Reg)'!F64</f>
        <v>-113692.42</v>
      </c>
      <c r="G64" s="133"/>
      <c r="H64" s="151">
        <f>+'Tot Gas PIS COST SPLIT-P18(Reg)'!H64</f>
        <v>-688774.51</v>
      </c>
      <c r="I64" s="133"/>
      <c r="J64" s="151">
        <f t="shared" si="6"/>
        <v>-802466.93</v>
      </c>
      <c r="K64" s="133"/>
      <c r="L64" s="151">
        <f t="shared" si="7"/>
        <v>4166154.1599999997</v>
      </c>
      <c r="M64" s="148"/>
      <c r="N64" s="134">
        <f>'KY_Res by Plant Acct-P29 (Reg)'!R456</f>
        <v>-914814.91</v>
      </c>
      <c r="P64" s="134">
        <f t="shared" si="8"/>
        <v>3251339.2499999995</v>
      </c>
    </row>
    <row r="65" spans="1:16" x14ac:dyDescent="0.2">
      <c r="B65" s="133">
        <f>SUM(B47:B64)</f>
        <v>159479912.39000002</v>
      </c>
      <c r="C65" s="133"/>
      <c r="D65" s="133">
        <f>SUM(D47:D64)</f>
        <v>9553297.8800000008</v>
      </c>
      <c r="E65" s="133"/>
      <c r="F65" s="133">
        <f>SUM(F47:F64)</f>
        <v>-673797.68</v>
      </c>
      <c r="G65" s="133"/>
      <c r="H65" s="133">
        <f>SUM(H47:H64)</f>
        <v>-650064.75</v>
      </c>
      <c r="I65" s="133"/>
      <c r="J65" s="133">
        <f>SUM(J47:J64)</f>
        <v>8229435.4500000011</v>
      </c>
      <c r="K65" s="133"/>
      <c r="L65" s="133">
        <f>SUM(L47:L64)</f>
        <v>167709347.83999997</v>
      </c>
      <c r="M65" s="148"/>
      <c r="N65" s="37">
        <f>SUM(N47:N64)</f>
        <v>-41940747.469999999</v>
      </c>
      <c r="P65" s="37">
        <f>SUM(P47:P64)</f>
        <v>125768600.37</v>
      </c>
    </row>
    <row r="66" spans="1:16" x14ac:dyDescent="0.2">
      <c r="A66" s="9" t="s">
        <v>31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47"/>
    </row>
    <row r="67" spans="1:16" x14ac:dyDescent="0.2">
      <c r="A67" s="3" t="s">
        <v>419</v>
      </c>
      <c r="B67" s="136">
        <f>'KY_Cost Plant Acct-Gas-P20(REG)'!B68</f>
        <v>220659.05</v>
      </c>
      <c r="C67" s="136"/>
      <c r="D67" s="136">
        <f>'KY_Cost Plant Acct-Gas-P20(REG)'!D68</f>
        <v>0</v>
      </c>
      <c r="E67" s="136"/>
      <c r="F67" s="136">
        <f>'KY_Cost Plant Acct-Gas-P20(REG)'!F68</f>
        <v>0</v>
      </c>
      <c r="G67" s="136"/>
      <c r="H67" s="136">
        <f>'KY_Cost Plant Acct-Gas-P20(REG)'!H68</f>
        <v>0</v>
      </c>
      <c r="I67" s="136"/>
      <c r="J67" s="136">
        <f>H67+F67+D67</f>
        <v>0</v>
      </c>
      <c r="K67" s="136"/>
      <c r="L67" s="136">
        <f>J67+B67</f>
        <v>220659.05</v>
      </c>
      <c r="M67" s="147"/>
      <c r="N67" s="37">
        <f>'KY_Res by Plant Acct-P29 (Reg)'!R460</f>
        <v>-211165.35</v>
      </c>
      <c r="P67" s="37">
        <f>L67+N67</f>
        <v>9493.6999999999825</v>
      </c>
    </row>
    <row r="68" spans="1:16" x14ac:dyDescent="0.2">
      <c r="A68" s="3" t="s">
        <v>420</v>
      </c>
      <c r="B68" s="136">
        <f>'KY_Cost Plant Acct-Gas-P20(REG)'!B69+'KY_Cost Plant Acct-Gas-P20(REG)'!B120</f>
        <v>52506548.680000007</v>
      </c>
      <c r="C68" s="136"/>
      <c r="D68" s="136">
        <f>'KY_Cost Plant Acct-Gas-P20(REG)'!D69+'KY_Cost Plant Acct-Gas-P20(REG)'!D120</f>
        <v>339706.24000000022</v>
      </c>
      <c r="E68" s="136"/>
      <c r="F68" s="136">
        <f>'KY_Cost Plant Acct-Gas-P20(REG)'!F69</f>
        <v>-217700.06</v>
      </c>
      <c r="G68" s="136"/>
      <c r="H68" s="136">
        <f>'KY_Cost Plant Acct-Gas-P20(REG)'!H69</f>
        <v>0</v>
      </c>
      <c r="I68" s="136"/>
      <c r="J68" s="136">
        <f>H68+F68+D68</f>
        <v>122006.18000000023</v>
      </c>
      <c r="K68" s="136"/>
      <c r="L68" s="136">
        <f>J68+B68</f>
        <v>52628554.860000007</v>
      </c>
      <c r="M68" s="147"/>
      <c r="N68" s="37">
        <f>'KY_Res by Plant Acct-P29 (Reg)'!R461</f>
        <v>-11729845.799999999</v>
      </c>
      <c r="P68" s="37">
        <f>L68+N68</f>
        <v>40898709.06000001</v>
      </c>
    </row>
    <row r="69" spans="1:16" x14ac:dyDescent="0.2">
      <c r="A69" s="21" t="s">
        <v>3022</v>
      </c>
      <c r="B69" s="133">
        <f>'KY_Cost Plant Acct-Gas-P20(REG)'!B70</f>
        <v>2327883.9799999995</v>
      </c>
      <c r="C69" s="133"/>
      <c r="D69" s="133">
        <f>'KY_Cost Plant Acct-Gas-P20(REG)'!D70</f>
        <v>0</v>
      </c>
      <c r="E69" s="133"/>
      <c r="F69" s="133">
        <f>'KY_Cost Plant Acct-Gas-P20(REG)'!F70</f>
        <v>-42504.33</v>
      </c>
      <c r="G69" s="133"/>
      <c r="H69" s="133">
        <f>'KY_Cost Plant Acct-Gas-P20(REG)'!H70</f>
        <v>28516.28</v>
      </c>
      <c r="I69" s="133"/>
      <c r="J69" s="133">
        <f>H69+F69+D69</f>
        <v>-13988.050000000003</v>
      </c>
      <c r="K69" s="133"/>
      <c r="L69" s="133">
        <f>J69+B69</f>
        <v>2313895.9299999997</v>
      </c>
      <c r="M69" s="148"/>
      <c r="N69" s="36">
        <f>'KY_Res by Plant Acct-P29 (Reg)'!R462</f>
        <v>-372199.95999999996</v>
      </c>
      <c r="O69" s="29"/>
      <c r="P69" s="36">
        <f>L69+N69</f>
        <v>1941695.9699999997</v>
      </c>
    </row>
    <row r="70" spans="1:16" x14ac:dyDescent="0.2">
      <c r="B70" s="150">
        <f>SUM(B67:B69)</f>
        <v>55055091.710000001</v>
      </c>
      <c r="C70" s="133"/>
      <c r="D70" s="150">
        <f>SUM(D67:D69)</f>
        <v>339706.24000000022</v>
      </c>
      <c r="E70" s="133"/>
      <c r="F70" s="150">
        <f>SUM(F67:F69)</f>
        <v>-260204.39</v>
      </c>
      <c r="G70" s="133"/>
      <c r="H70" s="150">
        <f>SUM(H67:H69)</f>
        <v>28516.28</v>
      </c>
      <c r="I70" s="133"/>
      <c r="J70" s="150">
        <f>SUM(J67:J69)</f>
        <v>108018.13000000022</v>
      </c>
      <c r="K70" s="133"/>
      <c r="L70" s="150">
        <f>SUM(L67:L69)</f>
        <v>55163109.840000004</v>
      </c>
      <c r="M70" s="148"/>
      <c r="N70" s="150">
        <f>SUM(N67:N69)</f>
        <v>-12313211.109999999</v>
      </c>
      <c r="P70" s="150">
        <f>SUM(P67:P69)</f>
        <v>42849898.730000012</v>
      </c>
    </row>
    <row r="71" spans="1:16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48"/>
    </row>
    <row r="72" spans="1:16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47"/>
    </row>
    <row r="73" spans="1:16" ht="13.5" thickBot="1" x14ac:dyDescent="0.25">
      <c r="A73" s="9" t="s">
        <v>3023</v>
      </c>
      <c r="B73" s="141">
        <f>B70+B65+B44+B40+B29</f>
        <v>1110111763.1200004</v>
      </c>
      <c r="C73" s="133"/>
      <c r="D73" s="141">
        <f>D70+D65+D44+D40+D29</f>
        <v>72911975.670000002</v>
      </c>
      <c r="E73" s="133"/>
      <c r="F73" s="141">
        <f>F70+F65+F44+F40+F29</f>
        <v>-4304184</v>
      </c>
      <c r="G73" s="133"/>
      <c r="H73" s="141">
        <f>H70+H65+H44+H40+H29</f>
        <v>498645.53</v>
      </c>
      <c r="I73" s="133"/>
      <c r="J73" s="141">
        <f>J70+J65+J44+J40+J29</f>
        <v>69106437.200000003</v>
      </c>
      <c r="K73" s="133"/>
      <c r="L73" s="141">
        <f>L70+L65+L44+L40+L29</f>
        <v>1179218200.3199999</v>
      </c>
      <c r="M73" s="147"/>
      <c r="N73" s="141">
        <f>N70+N65+N44+N40+N29</f>
        <v>-332382164.32999998</v>
      </c>
      <c r="P73" s="141">
        <f>P70+P65+P44+P40+P29</f>
        <v>846836035.99000001</v>
      </c>
    </row>
    <row r="74" spans="1:16" ht="13.5" thickTop="1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47"/>
    </row>
    <row r="75" spans="1:16" x14ac:dyDescent="0.2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47"/>
    </row>
    <row r="76" spans="1:16" x14ac:dyDescent="0.2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47"/>
    </row>
    <row r="77" spans="1:16" x14ac:dyDescent="0.2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47"/>
    </row>
    <row r="78" spans="1:16" x14ac:dyDescent="0.2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47"/>
    </row>
    <row r="79" spans="1:16" x14ac:dyDescent="0.2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47"/>
    </row>
    <row r="80" spans="1:16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2:13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2:13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2:13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2:13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2:13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2:13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2:13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</row>
    <row r="88" spans="2:13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2:13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2:13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2:13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2:13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2:13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2:13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2:13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2:13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2:13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2:13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2:13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2:13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2:13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2:13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2:13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2:13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2:13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</row>
    <row r="106" spans="2:13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</row>
    <row r="107" spans="2:13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</row>
    <row r="108" spans="2:13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  <row r="110" spans="2:13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</row>
    <row r="111" spans="2:13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2:13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</row>
    <row r="113" spans="2:13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</row>
    <row r="114" spans="2:13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66"/>
  <sheetViews>
    <sheetView zoomScaleNormal="100" workbookViewId="0">
      <selection sqref="A1:N1"/>
    </sheetView>
  </sheetViews>
  <sheetFormatPr defaultRowHeight="12.75" x14ac:dyDescent="0.2"/>
  <cols>
    <col min="1" max="1" width="49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0" customFormat="1" ht="15.75" x14ac:dyDescent="0.25">
      <c r="A2" s="210" t="s">
        <v>3024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36"/>
      <c r="F6" s="136"/>
      <c r="H6" s="7" t="s">
        <v>4</v>
      </c>
      <c r="J6" s="136"/>
      <c r="L6" s="7" t="s">
        <v>5</v>
      </c>
    </row>
    <row r="7" spans="1:13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3" x14ac:dyDescent="0.2">
      <c r="A8" s="9" t="s">
        <v>2794</v>
      </c>
      <c r="B8" s="17"/>
      <c r="D8" s="17"/>
      <c r="F8" s="17"/>
      <c r="H8" s="17"/>
      <c r="J8" s="17"/>
      <c r="L8" s="17"/>
    </row>
    <row r="9" spans="1:13" x14ac:dyDescent="0.2">
      <c r="A9" s="9" t="s">
        <v>2809</v>
      </c>
      <c r="B9" s="17"/>
      <c r="D9" s="17"/>
      <c r="F9" s="17"/>
      <c r="H9" s="17"/>
      <c r="J9" s="17"/>
      <c r="L9" s="17"/>
    </row>
    <row r="10" spans="1:13" x14ac:dyDescent="0.2">
      <c r="A10" s="9" t="s">
        <v>27</v>
      </c>
    </row>
    <row r="11" spans="1:13" x14ac:dyDescent="0.2">
      <c r="A11" s="3" t="s">
        <v>363</v>
      </c>
      <c r="B11" s="136">
        <f>'KY_Cost Plant Acct-Gas-P20(REG)'!B11</f>
        <v>60478.68</v>
      </c>
      <c r="C11" s="136"/>
      <c r="D11" s="136">
        <f>'KY_Cost Plant Acct-Gas-P20(REG)'!D11</f>
        <v>0</v>
      </c>
      <c r="E11" s="136"/>
      <c r="F11" s="136">
        <f>'KY_Cost Plant Acct-Gas-P20(REG)'!F11</f>
        <v>0</v>
      </c>
      <c r="G11" s="136"/>
      <c r="H11" s="136">
        <f>'KY_Cost Plant Acct-Gas-P20(REG)'!H11</f>
        <v>0</v>
      </c>
      <c r="I11" s="136"/>
      <c r="J11" s="136">
        <f t="shared" ref="J11:J28" si="0">H11+F11+D11</f>
        <v>0</v>
      </c>
      <c r="K11" s="136"/>
      <c r="L11" s="136">
        <f t="shared" ref="L11:L28" si="1">J11+B11</f>
        <v>60478.68</v>
      </c>
      <c r="M11" s="147"/>
    </row>
    <row r="12" spans="1:13" x14ac:dyDescent="0.2">
      <c r="A12" s="3" t="s">
        <v>364</v>
      </c>
      <c r="B12" s="136">
        <f>'KY_Cost Plant Acct-Gas-P20(REG)'!B12</f>
        <v>74018.23</v>
      </c>
      <c r="C12" s="136"/>
      <c r="D12" s="136">
        <f>'KY_Cost Plant Acct-Gas-P20(REG)'!D12</f>
        <v>0</v>
      </c>
      <c r="E12" s="136"/>
      <c r="F12" s="136">
        <f>'KY_Cost Plant Acct-Gas-P20(REG)'!F12</f>
        <v>0</v>
      </c>
      <c r="G12" s="136"/>
      <c r="H12" s="136">
        <f>'KY_Cost Plant Acct-Gas-P20(REG)'!H12</f>
        <v>0</v>
      </c>
      <c r="I12" s="136"/>
      <c r="J12" s="136">
        <f t="shared" si="0"/>
        <v>0</v>
      </c>
      <c r="K12" s="136"/>
      <c r="L12" s="136">
        <f t="shared" si="1"/>
        <v>74018.23</v>
      </c>
      <c r="M12" s="147"/>
    </row>
    <row r="13" spans="1:13" x14ac:dyDescent="0.2">
      <c r="A13" s="3" t="s">
        <v>366</v>
      </c>
      <c r="B13" s="136">
        <f>'KY_Cost Plant Acct-Gas-P20(REG)'!B13</f>
        <v>499023.44000000006</v>
      </c>
      <c r="C13" s="136"/>
      <c r="D13" s="136">
        <f>'KY_Cost Plant Acct-Gas-P20(REG)'!D13</f>
        <v>0</v>
      </c>
      <c r="E13" s="136"/>
      <c r="F13" s="136">
        <f>'KY_Cost Plant Acct-Gas-P20(REG)'!F13</f>
        <v>0</v>
      </c>
      <c r="G13" s="136"/>
      <c r="H13" s="136">
        <f>'KY_Cost Plant Acct-Gas-P20(REG)'!H13</f>
        <v>0</v>
      </c>
      <c r="I13" s="136"/>
      <c r="J13" s="136">
        <f t="shared" si="0"/>
        <v>0</v>
      </c>
      <c r="K13" s="136"/>
      <c r="L13" s="136">
        <f t="shared" si="1"/>
        <v>499023.44000000006</v>
      </c>
      <c r="M13" s="147"/>
    </row>
    <row r="14" spans="1:13" x14ac:dyDescent="0.2">
      <c r="A14" s="3" t="s">
        <v>367</v>
      </c>
      <c r="B14" s="136">
        <f>'KY_Cost Plant Acct-Gas-P20(REG)'!B14</f>
        <v>676148.76</v>
      </c>
      <c r="C14" s="136"/>
      <c r="D14" s="136">
        <f>'KY_Cost Plant Acct-Gas-P20(REG)'!D14</f>
        <v>8219.56</v>
      </c>
      <c r="E14" s="136"/>
      <c r="F14" s="136">
        <f>'KY_Cost Plant Acct-Gas-P20(REG)'!F14</f>
        <v>0</v>
      </c>
      <c r="G14" s="136"/>
      <c r="H14" s="136">
        <f>'KY_Cost Plant Acct-Gas-P20(REG)'!H14</f>
        <v>0</v>
      </c>
      <c r="I14" s="136"/>
      <c r="J14" s="136">
        <f t="shared" si="0"/>
        <v>8219.56</v>
      </c>
      <c r="K14" s="136"/>
      <c r="L14" s="136">
        <f t="shared" si="1"/>
        <v>684368.32000000007</v>
      </c>
      <c r="M14" s="147"/>
    </row>
    <row r="15" spans="1:13" x14ac:dyDescent="0.2">
      <c r="A15" s="3" t="s">
        <v>369</v>
      </c>
      <c r="B15" s="136">
        <f>'KY_Cost Plant Acct-Gas-P20(REG)'!B15</f>
        <v>339167608.12999994</v>
      </c>
      <c r="C15" s="136"/>
      <c r="D15" s="136">
        <f>'KY_Cost Plant Acct-Gas-P20(REG)'!D15</f>
        <v>21936653.969999999</v>
      </c>
      <c r="E15" s="136"/>
      <c r="F15" s="136">
        <f>'KY_Cost Plant Acct-Gas-P20(REG)'!F15</f>
        <v>-1280572.2</v>
      </c>
      <c r="G15" s="136"/>
      <c r="H15" s="136">
        <f>'KY_Cost Plant Acct-Gas-P20(REG)'!H15</f>
        <v>0</v>
      </c>
      <c r="I15" s="136"/>
      <c r="J15" s="136">
        <f t="shared" si="0"/>
        <v>20656081.77</v>
      </c>
      <c r="K15" s="136"/>
      <c r="L15" s="136">
        <f t="shared" si="1"/>
        <v>359823689.89999992</v>
      </c>
      <c r="M15" s="147"/>
    </row>
    <row r="16" spans="1:13" x14ac:dyDescent="0.2">
      <c r="A16" s="21" t="s">
        <v>370</v>
      </c>
      <c r="B16" s="136">
        <f>'KY_Cost Plant Acct-Gas-P20(REG)'!B16</f>
        <v>44949628.180000007</v>
      </c>
      <c r="C16" s="136"/>
      <c r="D16" s="136">
        <f>'KY_Cost Plant Acct-Gas-P20(REG)'!D16</f>
        <v>0</v>
      </c>
      <c r="E16" s="136"/>
      <c r="F16" s="136">
        <f>'KY_Cost Plant Acct-Gas-P20(REG)'!F16</f>
        <v>0</v>
      </c>
      <c r="G16" s="136"/>
      <c r="H16" s="136">
        <f>'KY_Cost Plant Acct-Gas-P20(REG)'!H16</f>
        <v>0</v>
      </c>
      <c r="I16" s="136"/>
      <c r="J16" s="136">
        <f t="shared" si="0"/>
        <v>0</v>
      </c>
      <c r="K16" s="136"/>
      <c r="L16" s="136">
        <f t="shared" si="1"/>
        <v>44949628.180000007</v>
      </c>
      <c r="M16" s="147"/>
    </row>
    <row r="17" spans="1:15" x14ac:dyDescent="0.2">
      <c r="A17" s="21" t="s">
        <v>3017</v>
      </c>
      <c r="B17" s="136">
        <f>'KY_Cost Plant Acct-Gas-P20(REG)'!B17</f>
        <v>0</v>
      </c>
      <c r="C17" s="136"/>
      <c r="D17" s="136">
        <f>'KY_Cost Plant Acct-Gas-P20(REG)'!D17</f>
        <v>179569.98</v>
      </c>
      <c r="E17" s="136"/>
      <c r="F17" s="136">
        <f>'KY_Cost Plant Acct-Gas-P20(REG)'!F17</f>
        <v>0</v>
      </c>
      <c r="G17" s="136"/>
      <c r="H17" s="136">
        <f>'KY_Cost Plant Acct-Gas-P20(REG)'!H17</f>
        <v>0</v>
      </c>
      <c r="I17" s="136"/>
      <c r="J17" s="136">
        <f t="shared" si="0"/>
        <v>179569.98</v>
      </c>
      <c r="K17" s="136"/>
      <c r="L17" s="136">
        <f t="shared" si="1"/>
        <v>179569.98</v>
      </c>
      <c r="M17" s="147"/>
    </row>
    <row r="18" spans="1:15" x14ac:dyDescent="0.2">
      <c r="A18" s="3" t="s">
        <v>371</v>
      </c>
      <c r="B18" s="136">
        <f>'KY_Cost Plant Acct-Gas-P20(REG)'!B18</f>
        <v>17844141.799999997</v>
      </c>
      <c r="C18" s="136"/>
      <c r="D18" s="136">
        <f>'KY_Cost Plant Acct-Gas-P20(REG)'!D18</f>
        <v>1247525.26</v>
      </c>
      <c r="E18" s="136"/>
      <c r="F18" s="136">
        <f>'KY_Cost Plant Acct-Gas-P20(REG)'!F18</f>
        <v>-9430.7199999999993</v>
      </c>
      <c r="G18" s="136"/>
      <c r="H18" s="136">
        <f>'KY_Cost Plant Acct-Gas-P20(REG)'!H18</f>
        <v>0</v>
      </c>
      <c r="I18" s="136"/>
      <c r="J18" s="136">
        <f t="shared" si="0"/>
        <v>1238094.54</v>
      </c>
      <c r="K18" s="136"/>
      <c r="L18" s="136">
        <f t="shared" si="1"/>
        <v>19082236.339999996</v>
      </c>
      <c r="M18" s="147"/>
    </row>
    <row r="19" spans="1:15" x14ac:dyDescent="0.2">
      <c r="A19" s="3" t="s">
        <v>372</v>
      </c>
      <c r="B19" s="136">
        <f>'KY_Cost Plant Acct-Gas-P20(REG)'!B19</f>
        <v>7274058.1400000006</v>
      </c>
      <c r="C19" s="136"/>
      <c r="D19" s="136">
        <f>'KY_Cost Plant Acct-Gas-P20(REG)'!D19</f>
        <v>4094054.27</v>
      </c>
      <c r="E19" s="136"/>
      <c r="F19" s="136">
        <f>'KY_Cost Plant Acct-Gas-P20(REG)'!F19</f>
        <v>-324494.27</v>
      </c>
      <c r="G19" s="136"/>
      <c r="H19" s="136">
        <f>'KY_Cost Plant Acct-Gas-P20(REG)'!H19</f>
        <v>0</v>
      </c>
      <c r="I19" s="136"/>
      <c r="J19" s="136">
        <f t="shared" si="0"/>
        <v>3769560</v>
      </c>
      <c r="K19" s="136"/>
      <c r="L19" s="136">
        <f t="shared" si="1"/>
        <v>11043618.140000001</v>
      </c>
      <c r="M19" s="147"/>
    </row>
    <row r="20" spans="1:15" x14ac:dyDescent="0.2">
      <c r="A20" s="3" t="s">
        <v>373</v>
      </c>
      <c r="B20" s="136">
        <f>'KY_Cost Plant Acct-Gas-P20(REG)'!B20</f>
        <v>193819261.01999998</v>
      </c>
      <c r="C20" s="136"/>
      <c r="D20" s="136">
        <f>'KY_Cost Plant Acct-Gas-P20(REG)'!D20</f>
        <v>20702540.91</v>
      </c>
      <c r="E20" s="136"/>
      <c r="F20" s="136">
        <f>'KY_Cost Plant Acct-Gas-P20(REG)'!F20</f>
        <v>-171007.24</v>
      </c>
      <c r="G20" s="136"/>
      <c r="H20" s="136">
        <f>'KY_Cost Plant Acct-Gas-P20(REG)'!H20</f>
        <v>0</v>
      </c>
      <c r="I20" s="136"/>
      <c r="J20" s="136">
        <f t="shared" si="0"/>
        <v>20531533.670000002</v>
      </c>
      <c r="K20" s="136"/>
      <c r="L20" s="136">
        <f t="shared" si="1"/>
        <v>214350794.69</v>
      </c>
      <c r="M20" s="147"/>
    </row>
    <row r="21" spans="1:15" x14ac:dyDescent="0.2">
      <c r="A21" s="21" t="s">
        <v>374</v>
      </c>
      <c r="B21" s="136">
        <f>'KY_Cost Plant Acct-Gas-P20(REG)'!B21</f>
        <v>142154048.62</v>
      </c>
      <c r="C21" s="136"/>
      <c r="D21" s="136">
        <f>'KY_Cost Plant Acct-Gas-P20(REG)'!D21</f>
        <v>29882409.699999999</v>
      </c>
      <c r="E21" s="136"/>
      <c r="F21" s="136">
        <f>'KY_Cost Plant Acct-Gas-P20(REG)'!F21</f>
        <v>0</v>
      </c>
      <c r="G21" s="136"/>
      <c r="H21" s="136">
        <f>'KY_Cost Plant Acct-Gas-P20(REG)'!H21</f>
        <v>0</v>
      </c>
      <c r="I21" s="136"/>
      <c r="J21" s="136">
        <f>H21+F21+D21</f>
        <v>29882409.699999999</v>
      </c>
      <c r="K21" s="136"/>
      <c r="L21" s="136">
        <f>J21+B21</f>
        <v>172036458.31999999</v>
      </c>
      <c r="M21" s="147"/>
    </row>
    <row r="22" spans="1:15" x14ac:dyDescent="0.2">
      <c r="A22" s="21" t="s">
        <v>3018</v>
      </c>
      <c r="B22" s="136">
        <f>'KY_Cost Plant Acct-Gas-P20(REG)'!B22</f>
        <v>0</v>
      </c>
      <c r="C22" s="136"/>
      <c r="D22" s="136">
        <f>'KY_Cost Plant Acct-Gas-P20(REG)'!D22</f>
        <v>1579477.72</v>
      </c>
      <c r="E22" s="136"/>
      <c r="F22" s="136">
        <f>'KY_Cost Plant Acct-Gas-P20(REG)'!F22</f>
        <v>0</v>
      </c>
      <c r="G22" s="136"/>
      <c r="H22" s="136">
        <f>'KY_Cost Plant Acct-Gas-P20(REG)'!H22</f>
        <v>0</v>
      </c>
      <c r="I22" s="136"/>
      <c r="J22" s="136">
        <f>H22+F22+D22</f>
        <v>1579477.72</v>
      </c>
      <c r="K22" s="136"/>
      <c r="L22" s="136">
        <f>J22+B22</f>
        <v>1579477.72</v>
      </c>
      <c r="M22" s="147"/>
    </row>
    <row r="23" spans="1:15" x14ac:dyDescent="0.2">
      <c r="A23" s="3" t="s">
        <v>375</v>
      </c>
      <c r="B23" s="136">
        <f>'KY_Cost Plant Acct-Gas-P20(REG)'!B23</f>
        <v>49044202.07</v>
      </c>
      <c r="C23" s="136"/>
      <c r="D23" s="136">
        <f>'KY_Cost Plant Acct-Gas-P20(REG)'!D23</f>
        <v>4917044.54</v>
      </c>
      <c r="E23" s="136"/>
      <c r="F23" s="136">
        <f>'KY_Cost Plant Acct-Gas-P20(REG)'!F23</f>
        <v>-730340.16</v>
      </c>
      <c r="G23" s="136"/>
      <c r="H23" s="136">
        <f>'KY_Cost Plant Acct-Gas-P20(REG)'!H23</f>
        <v>0</v>
      </c>
      <c r="I23" s="136"/>
      <c r="J23" s="136">
        <f t="shared" si="0"/>
        <v>4186704.38</v>
      </c>
      <c r="K23" s="136"/>
      <c r="L23" s="136">
        <f t="shared" si="1"/>
        <v>53230906.450000003</v>
      </c>
      <c r="M23" s="147"/>
    </row>
    <row r="24" spans="1:15" x14ac:dyDescent="0.2">
      <c r="A24" s="3" t="s">
        <v>376</v>
      </c>
      <c r="B24" s="136">
        <f>'KY_Cost Plant Acct-Gas-P20(REG)'!B24</f>
        <v>25972269.190000001</v>
      </c>
      <c r="C24" s="136"/>
      <c r="D24" s="136">
        <f>'KY_Cost Plant Acct-Gas-P20(REG)'!D24</f>
        <v>377381.25</v>
      </c>
      <c r="E24" s="136"/>
      <c r="F24" s="136">
        <f>'KY_Cost Plant Acct-Gas-P20(REG)'!F24</f>
        <v>-53.07</v>
      </c>
      <c r="G24" s="136"/>
      <c r="H24" s="136">
        <f>'KY_Cost Plant Acct-Gas-P20(REG)'!H24</f>
        <v>0</v>
      </c>
      <c r="I24" s="136"/>
      <c r="J24" s="136">
        <f t="shared" si="0"/>
        <v>377328.18</v>
      </c>
      <c r="K24" s="136"/>
      <c r="L24" s="136">
        <f t="shared" si="1"/>
        <v>26349597.370000001</v>
      </c>
      <c r="M24" s="147"/>
    </row>
    <row r="25" spans="1:15" x14ac:dyDescent="0.2">
      <c r="A25" s="3" t="s">
        <v>377</v>
      </c>
      <c r="B25" s="136">
        <f>'KY_Cost Plant Acct-Gas-P20(REG)'!B25</f>
        <v>960686.95</v>
      </c>
      <c r="C25" s="136"/>
      <c r="D25" s="136">
        <f>'KY_Cost Plant Acct-Gas-P20(REG)'!D25</f>
        <v>0</v>
      </c>
      <c r="E25" s="136"/>
      <c r="F25" s="136">
        <f>'KY_Cost Plant Acct-Gas-P20(REG)'!F25</f>
        <v>0</v>
      </c>
      <c r="G25" s="136"/>
      <c r="H25" s="136">
        <f>'KY_Cost Plant Acct-Gas-P20(REG)'!H25</f>
        <v>0</v>
      </c>
      <c r="I25" s="136"/>
      <c r="J25" s="136">
        <f t="shared" si="0"/>
        <v>0</v>
      </c>
      <c r="K25" s="136"/>
      <c r="L25" s="136">
        <f t="shared" si="1"/>
        <v>960686.95</v>
      </c>
      <c r="M25" s="147"/>
    </row>
    <row r="26" spans="1:15" x14ac:dyDescent="0.2">
      <c r="A26" s="3" t="s">
        <v>378</v>
      </c>
      <c r="B26" s="136">
        <f>'KY_Cost Plant Acct-Gas-P20(REG)'!B26</f>
        <v>51112.34</v>
      </c>
      <c r="C26" s="133"/>
      <c r="D26" s="136">
        <f>'KY_Cost Plant Acct-Gas-P20(REG)'!D26</f>
        <v>0</v>
      </c>
      <c r="E26" s="133"/>
      <c r="F26" s="136">
        <f>'KY_Cost Plant Acct-Gas-P20(REG)'!F26</f>
        <v>0</v>
      </c>
      <c r="G26" s="133"/>
      <c r="H26" s="136">
        <f>'KY_Cost Plant Acct-Gas-P20(REG)'!H26</f>
        <v>0</v>
      </c>
      <c r="I26" s="133"/>
      <c r="J26" s="133">
        <f t="shared" si="0"/>
        <v>0</v>
      </c>
      <c r="K26" s="133"/>
      <c r="L26" s="133">
        <f t="shared" si="1"/>
        <v>51112.34</v>
      </c>
      <c r="M26" s="148"/>
      <c r="N26" s="29"/>
      <c r="O26" s="29"/>
    </row>
    <row r="27" spans="1:15" x14ac:dyDescent="0.2">
      <c r="A27" s="3" t="s">
        <v>379</v>
      </c>
      <c r="B27" s="136">
        <f>'KY_Cost Plant Acct-Gas-P20(REG)'!B27</f>
        <v>37095.39</v>
      </c>
      <c r="C27" s="133"/>
      <c r="D27" s="136">
        <f>'KY_Cost Plant Acct-Gas-P20(REG)'!D27</f>
        <v>0</v>
      </c>
      <c r="E27" s="133"/>
      <c r="F27" s="136">
        <f>'KY_Cost Plant Acct-Gas-P20(REG)'!F27</f>
        <v>-37095.39</v>
      </c>
      <c r="G27" s="133"/>
      <c r="H27" s="136">
        <f>'KY_Cost Plant Acct-Gas-P20(REG)'!H27</f>
        <v>0</v>
      </c>
      <c r="I27" s="133"/>
      <c r="J27" s="133">
        <f t="shared" si="0"/>
        <v>-37095.39</v>
      </c>
      <c r="K27" s="133"/>
      <c r="L27" s="133">
        <f t="shared" si="1"/>
        <v>0</v>
      </c>
      <c r="M27" s="148"/>
      <c r="N27" s="29"/>
      <c r="O27" s="29"/>
    </row>
    <row r="28" spans="1:15" x14ac:dyDescent="0.2">
      <c r="A28" s="3" t="s">
        <v>380</v>
      </c>
      <c r="B28" s="151">
        <f>'KY_Cost Plant Acct-Gas-P20(REG)'!B28</f>
        <v>11524688.960000001</v>
      </c>
      <c r="C28" s="133"/>
      <c r="D28" s="151">
        <f>'KY_Cost Plant Acct-Gas-P20(REG)'!D28</f>
        <v>0</v>
      </c>
      <c r="E28" s="133"/>
      <c r="F28" s="151">
        <f>'KY_Cost Plant Acct-Gas-P20(REG)'!F28</f>
        <v>-23043.13</v>
      </c>
      <c r="G28" s="133"/>
      <c r="H28" s="151">
        <f>'KY_Cost Plant Acct-Gas-P20(REG)'!H28</f>
        <v>1120194</v>
      </c>
      <c r="I28" s="133"/>
      <c r="J28" s="151">
        <f t="shared" si="0"/>
        <v>1097150.8700000001</v>
      </c>
      <c r="K28" s="133"/>
      <c r="L28" s="151">
        <f t="shared" si="1"/>
        <v>12621839.830000002</v>
      </c>
      <c r="M28" s="148"/>
      <c r="N28" s="29"/>
      <c r="O28" s="29"/>
    </row>
    <row r="29" spans="1:15" x14ac:dyDescent="0.2">
      <c r="B29" s="133">
        <f>SUM(B11:B28)</f>
        <v>834108469.9000001</v>
      </c>
      <c r="C29" s="133"/>
      <c r="D29" s="133">
        <f>SUM(D11:D28)</f>
        <v>84924877.160000011</v>
      </c>
      <c r="E29" s="133"/>
      <c r="F29" s="133">
        <f>SUM(F11:F28)</f>
        <v>-2576036.1799999997</v>
      </c>
      <c r="G29" s="133"/>
      <c r="H29" s="133">
        <f>SUM(H11:H28)</f>
        <v>1120194</v>
      </c>
      <c r="I29" s="133"/>
      <c r="J29" s="133">
        <f>SUM(J11:J28)</f>
        <v>83469034.980000004</v>
      </c>
      <c r="K29" s="133"/>
      <c r="L29" s="133">
        <f>SUM(L11:L28)</f>
        <v>917577504.88</v>
      </c>
      <c r="M29" s="148"/>
      <c r="N29" s="29"/>
      <c r="O29" s="29"/>
    </row>
    <row r="30" spans="1:15" x14ac:dyDescent="0.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47"/>
    </row>
    <row r="31" spans="1:15" x14ac:dyDescent="0.2">
      <c r="A31" s="9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47"/>
    </row>
    <row r="32" spans="1:15" x14ac:dyDescent="0.2">
      <c r="A32" s="3" t="s">
        <v>3019</v>
      </c>
      <c r="B32" s="136">
        <f>'KY_Cost Plant Acct-Gas-P20(REG)'!B32</f>
        <v>43682.79</v>
      </c>
      <c r="C32" s="136"/>
      <c r="D32" s="136">
        <f>'KY_Cost Plant Acct-Gas-P20(REG)'!D32</f>
        <v>-2742.07</v>
      </c>
      <c r="E32" s="136"/>
      <c r="F32" s="136">
        <f>'KY_Cost Plant Acct-Gas-P20(REG)'!F32</f>
        <v>0</v>
      </c>
      <c r="G32" s="136"/>
      <c r="H32" s="136">
        <f>'KY_Cost Plant Acct-Gas-P20(REG)'!H32</f>
        <v>0</v>
      </c>
      <c r="I32" s="136"/>
      <c r="J32" s="136">
        <f>H32+F32+D32</f>
        <v>-2742.07</v>
      </c>
      <c r="K32" s="136"/>
      <c r="L32" s="136">
        <f>J32+B32</f>
        <v>40940.720000000001</v>
      </c>
      <c r="M32" s="147"/>
    </row>
    <row r="33" spans="1:13" x14ac:dyDescent="0.2">
      <c r="A33" s="3" t="s">
        <v>3020</v>
      </c>
      <c r="B33" s="136">
        <f>'KY_Cost Plant Acct-Gas-P20(REG)'!B33</f>
        <v>926192.23</v>
      </c>
      <c r="C33" s="136"/>
      <c r="D33" s="136">
        <f>'KY_Cost Plant Acct-Gas-P20(REG)'!D33</f>
        <v>139050.34</v>
      </c>
      <c r="E33" s="136"/>
      <c r="F33" s="136">
        <f>'KY_Cost Plant Acct-Gas-P20(REG)'!F33</f>
        <v>-140373.57999999999</v>
      </c>
      <c r="G33" s="136"/>
      <c r="H33" s="136">
        <f>'KY_Cost Plant Acct-Gas-P20(REG)'!H33</f>
        <v>0</v>
      </c>
      <c r="I33" s="136"/>
      <c r="J33" s="136">
        <f t="shared" ref="J33:J39" si="2">H33+F33+D33</f>
        <v>-1323.2399999999907</v>
      </c>
      <c r="K33" s="136"/>
      <c r="L33" s="136">
        <f t="shared" ref="L33:L39" si="3">J33+B33</f>
        <v>924868.99</v>
      </c>
      <c r="M33" s="147"/>
    </row>
    <row r="34" spans="1:13" x14ac:dyDescent="0.2">
      <c r="A34" s="3" t="s">
        <v>385</v>
      </c>
      <c r="B34" s="136">
        <f>'KY_Cost Plant Acct-Gas-P20(REG)'!B34</f>
        <v>586018.38</v>
      </c>
      <c r="C34" s="136"/>
      <c r="D34" s="136">
        <f>'KY_Cost Plant Acct-Gas-P20(REG)'!D34</f>
        <v>242398.53</v>
      </c>
      <c r="E34" s="136"/>
      <c r="F34" s="136">
        <f>'KY_Cost Plant Acct-Gas-P20(REG)'!F34</f>
        <v>-36801.83</v>
      </c>
      <c r="G34" s="136"/>
      <c r="H34" s="136">
        <f>'KY_Cost Plant Acct-Gas-P20(REG)'!H34</f>
        <v>0</v>
      </c>
      <c r="I34" s="136"/>
      <c r="J34" s="136">
        <f t="shared" si="2"/>
        <v>205596.7</v>
      </c>
      <c r="K34" s="136"/>
      <c r="L34" s="136">
        <f t="shared" si="3"/>
        <v>791615.08000000007</v>
      </c>
      <c r="M34" s="147"/>
    </row>
    <row r="35" spans="1:13" x14ac:dyDescent="0.2">
      <c r="A35" s="3" t="s">
        <v>387</v>
      </c>
      <c r="B35" s="136">
        <f>'KY_Cost Plant Acct-Gas-P20(REG)'!B35</f>
        <v>6512040.870000001</v>
      </c>
      <c r="C35" s="136"/>
      <c r="D35" s="136">
        <f>'KY_Cost Plant Acct-Gas-P20(REG)'!D35</f>
        <v>326535.52</v>
      </c>
      <c r="E35" s="136"/>
      <c r="F35" s="136">
        <f>'KY_Cost Plant Acct-Gas-P20(REG)'!F35</f>
        <v>-335120.42</v>
      </c>
      <c r="G35" s="136"/>
      <c r="H35" s="136">
        <f>'KY_Cost Plant Acct-Gas-P20(REG)'!H35</f>
        <v>0</v>
      </c>
      <c r="I35" s="136"/>
      <c r="J35" s="136">
        <f t="shared" si="2"/>
        <v>-8584.8999999999651</v>
      </c>
      <c r="K35" s="136"/>
      <c r="L35" s="136">
        <f t="shared" si="3"/>
        <v>6503455.9700000007</v>
      </c>
      <c r="M35" s="147"/>
    </row>
    <row r="36" spans="1:13" x14ac:dyDescent="0.2">
      <c r="A36" s="3" t="s">
        <v>388</v>
      </c>
      <c r="B36" s="136">
        <f>'KY_Cost Plant Acct-Gas-P20(REG)'!B36</f>
        <v>0</v>
      </c>
      <c r="C36" s="136"/>
      <c r="D36" s="136">
        <f>'KY_Cost Plant Acct-Gas-P20(REG)'!D36</f>
        <v>0</v>
      </c>
      <c r="E36" s="136"/>
      <c r="F36" s="136">
        <f>'KY_Cost Plant Acct-Gas-P20(REG)'!F36</f>
        <v>0</v>
      </c>
      <c r="G36" s="136"/>
      <c r="H36" s="136">
        <f>'KY_Cost Plant Acct-Gas-P20(REG)'!H36</f>
        <v>0</v>
      </c>
      <c r="I36" s="136"/>
      <c r="J36" s="136">
        <f t="shared" si="2"/>
        <v>0</v>
      </c>
      <c r="K36" s="136"/>
      <c r="L36" s="136">
        <f t="shared" si="3"/>
        <v>0</v>
      </c>
      <c r="M36" s="147"/>
    </row>
    <row r="37" spans="1:13" x14ac:dyDescent="0.2">
      <c r="A37" s="3" t="s">
        <v>3025</v>
      </c>
      <c r="B37" s="136">
        <f>'KY_Cost Plant Acct-Gas-P20(REG)'!B37</f>
        <v>3317259.49</v>
      </c>
      <c r="C37" s="133"/>
      <c r="D37" s="136">
        <f>'KY_Cost Plant Acct-Gas-P20(REG)'!D37</f>
        <v>445433.43</v>
      </c>
      <c r="E37" s="133"/>
      <c r="F37" s="136">
        <f>'KY_Cost Plant Acct-Gas-P20(REG)'!F37</f>
        <v>-281849.92</v>
      </c>
      <c r="G37" s="133"/>
      <c r="H37" s="136">
        <f>'KY_Cost Plant Acct-Gas-P20(REG)'!H37</f>
        <v>0</v>
      </c>
      <c r="I37" s="133"/>
      <c r="J37" s="133">
        <f t="shared" si="2"/>
        <v>163583.51</v>
      </c>
      <c r="K37" s="133"/>
      <c r="L37" s="133">
        <f t="shared" si="3"/>
        <v>3480843</v>
      </c>
      <c r="M37" s="148"/>
    </row>
    <row r="38" spans="1:13" x14ac:dyDescent="0.2">
      <c r="A38" s="3" t="s">
        <v>390</v>
      </c>
      <c r="B38" s="133">
        <f>'KY_Cost Plant Acct-Gas-P20(REG)'!B38</f>
        <v>214328.50999999998</v>
      </c>
      <c r="C38" s="133"/>
      <c r="D38" s="133">
        <f>'KY_Cost Plant Acct-Gas-P20(REG)'!D38</f>
        <v>0</v>
      </c>
      <c r="E38" s="133"/>
      <c r="F38" s="133">
        <f>'KY_Cost Plant Acct-Gas-P20(REG)'!F38</f>
        <v>0</v>
      </c>
      <c r="G38" s="133"/>
      <c r="H38" s="133">
        <f>'KY_Cost Plant Acct-Gas-P20(REG)'!H38</f>
        <v>0</v>
      </c>
      <c r="I38" s="133"/>
      <c r="J38" s="133">
        <f t="shared" si="2"/>
        <v>0</v>
      </c>
      <c r="K38" s="133"/>
      <c r="L38" s="133">
        <f t="shared" si="3"/>
        <v>214328.50999999998</v>
      </c>
      <c r="M38" s="148"/>
    </row>
    <row r="39" spans="1:13" x14ac:dyDescent="0.2">
      <c r="A39" s="21" t="s">
        <v>392</v>
      </c>
      <c r="B39" s="133">
        <f>'KY_Cost Plant Acct-Gas-P20(REG)'!B39</f>
        <v>0</v>
      </c>
      <c r="C39" s="133"/>
      <c r="D39" s="133">
        <f>'KY_Cost Plant Acct-Gas-P20(REG)'!D39</f>
        <v>0</v>
      </c>
      <c r="E39" s="133"/>
      <c r="F39" s="133">
        <f>'KY_Cost Plant Acct-Gas-P20(REG)'!F39</f>
        <v>0</v>
      </c>
      <c r="G39" s="133"/>
      <c r="H39" s="133">
        <f>'KY_Cost Plant Acct-Gas-P20(REG)'!H39</f>
        <v>0</v>
      </c>
      <c r="I39" s="133"/>
      <c r="J39" s="133">
        <f t="shared" si="2"/>
        <v>0</v>
      </c>
      <c r="K39" s="133"/>
      <c r="L39" s="133">
        <f t="shared" si="3"/>
        <v>0</v>
      </c>
      <c r="M39" s="148"/>
    </row>
    <row r="40" spans="1:13" x14ac:dyDescent="0.2">
      <c r="B40" s="150">
        <f>SUM(B32:B39)</f>
        <v>11599522.270000001</v>
      </c>
      <c r="C40" s="133"/>
      <c r="D40" s="150">
        <f>SUM(D32:D39)</f>
        <v>1150675.75</v>
      </c>
      <c r="E40" s="133"/>
      <c r="F40" s="150">
        <f>SUM(F32:F39)</f>
        <v>-794145.75</v>
      </c>
      <c r="G40" s="133"/>
      <c r="H40" s="150">
        <f>SUM(H32:H39)</f>
        <v>0</v>
      </c>
      <c r="I40" s="133"/>
      <c r="J40" s="150">
        <f>SUM(J32:J39)</f>
        <v>356530.00000000006</v>
      </c>
      <c r="K40" s="133"/>
      <c r="L40" s="150">
        <f>SUM(L32:L39)</f>
        <v>11956052.270000001</v>
      </c>
      <c r="M40" s="148"/>
    </row>
    <row r="41" spans="1:13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48"/>
    </row>
    <row r="42" spans="1:13" x14ac:dyDescent="0.2">
      <c r="A42" s="9" t="s">
        <v>29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48"/>
    </row>
    <row r="43" spans="1:13" x14ac:dyDescent="0.2">
      <c r="A43" s="3" t="s">
        <v>394</v>
      </c>
      <c r="B43" s="151">
        <f>'KY_Cost Plant Acct-Gas-P20(REG)'!B43</f>
        <v>387.49</v>
      </c>
      <c r="C43" s="133"/>
      <c r="D43" s="151">
        <f>'KY_Cost Plant Acct-Gas-P20(REG)'!D43</f>
        <v>0</v>
      </c>
      <c r="E43" s="133"/>
      <c r="F43" s="151">
        <f>'KY_Cost Plant Acct-Gas-P20(REG)'!F43</f>
        <v>0</v>
      </c>
      <c r="G43" s="133"/>
      <c r="H43" s="151">
        <f>'KY_Cost Plant Acct-Gas-P20(REG)'!H43</f>
        <v>0</v>
      </c>
      <c r="I43" s="133"/>
      <c r="J43" s="151">
        <f>H43+F43+D43</f>
        <v>0</v>
      </c>
      <c r="K43" s="133"/>
      <c r="L43" s="151">
        <f>J43+B43</f>
        <v>387.49</v>
      </c>
      <c r="M43" s="148"/>
    </row>
    <row r="44" spans="1:13" x14ac:dyDescent="0.2">
      <c r="B44" s="133">
        <f>SUM(B43)</f>
        <v>387.49</v>
      </c>
      <c r="C44" s="133"/>
      <c r="D44" s="133">
        <f>SUM(D43)</f>
        <v>0</v>
      </c>
      <c r="E44" s="133"/>
      <c r="F44" s="133">
        <f>SUM(F43)</f>
        <v>0</v>
      </c>
      <c r="G44" s="133"/>
      <c r="H44" s="133">
        <f>SUM(H43)</f>
        <v>0</v>
      </c>
      <c r="I44" s="133"/>
      <c r="J44" s="133">
        <f>SUM(J43)</f>
        <v>0</v>
      </c>
      <c r="K44" s="133"/>
      <c r="L44" s="133">
        <f>SUM(L43)</f>
        <v>387.49</v>
      </c>
      <c r="M44" s="148"/>
    </row>
    <row r="45" spans="1:13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48"/>
    </row>
    <row r="46" spans="1:13" x14ac:dyDescent="0.2">
      <c r="A46" s="9" t="s">
        <v>30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48"/>
    </row>
    <row r="47" spans="1:13" x14ac:dyDescent="0.2">
      <c r="A47" s="3" t="s">
        <v>396</v>
      </c>
      <c r="B47" s="133">
        <f>'KY_Cost Plant Acct-Gas-P20(REG)'!B47+'IN_Cost Plant Acct-Gas-P22(Reg)'!B11</f>
        <v>32864.07</v>
      </c>
      <c r="C47" s="133"/>
      <c r="D47" s="133">
        <f>'KY_Cost Plant Acct-Gas-P20(REG)'!D47+'IN_Cost Plant Acct-Gas-P22(Reg)'!D11</f>
        <v>0</v>
      </c>
      <c r="E47" s="133"/>
      <c r="F47" s="133">
        <f>'KY_Cost Plant Acct-Gas-P20(REG)'!F47+'IN_Cost Plant Acct-Gas-P22(Reg)'!F11</f>
        <v>0</v>
      </c>
      <c r="G47" s="133"/>
      <c r="H47" s="133">
        <f>'KY_Cost Plant Acct-Gas-P20(REG)'!H47+'IN_Cost Plant Acct-Gas-P22(Reg)'!H11</f>
        <v>0</v>
      </c>
      <c r="I47" s="133"/>
      <c r="J47" s="133">
        <f t="shared" ref="J47:J64" si="4">H47+F47+D47</f>
        <v>0</v>
      </c>
      <c r="K47" s="133"/>
      <c r="L47" s="133">
        <f t="shared" ref="L47:L64" si="5">J47+B47</f>
        <v>32864.07</v>
      </c>
      <c r="M47" s="148"/>
    </row>
    <row r="48" spans="1:13" x14ac:dyDescent="0.2">
      <c r="A48" s="3" t="s">
        <v>397</v>
      </c>
      <c r="B48" s="133">
        <f>'KY_Cost Plant Acct-Gas-P20(REG)'!B48</f>
        <v>101212.48999999999</v>
      </c>
      <c r="C48" s="133"/>
      <c r="D48" s="133">
        <f>'KY_Cost Plant Acct-Gas-P20(REG)'!D48</f>
        <v>0</v>
      </c>
      <c r="E48" s="133"/>
      <c r="F48" s="133">
        <f>'KY_Cost Plant Acct-Gas-P20(REG)'!F48</f>
        <v>0</v>
      </c>
      <c r="G48" s="133"/>
      <c r="H48" s="133">
        <f>'KY_Cost Plant Acct-Gas-P20(REG)'!H48</f>
        <v>0</v>
      </c>
      <c r="I48" s="133"/>
      <c r="J48" s="133">
        <f t="shared" si="4"/>
        <v>0</v>
      </c>
      <c r="K48" s="133"/>
      <c r="L48" s="133">
        <f t="shared" si="5"/>
        <v>101212.48999999999</v>
      </c>
      <c r="M48" s="148"/>
    </row>
    <row r="49" spans="1:13" x14ac:dyDescent="0.2">
      <c r="A49" s="3" t="s">
        <v>399</v>
      </c>
      <c r="B49" s="133">
        <f>'KY_Cost Plant Acct-Gas-P20(REG)'!B49</f>
        <v>9722689.7400000002</v>
      </c>
      <c r="C49" s="133"/>
      <c r="D49" s="133">
        <f>'KY_Cost Plant Acct-Gas-P20(REG)'!D49</f>
        <v>326690.18</v>
      </c>
      <c r="E49" s="133"/>
      <c r="F49" s="133">
        <f>'KY_Cost Plant Acct-Gas-P20(REG)'!F49</f>
        <v>-10299.040000000001</v>
      </c>
      <c r="G49" s="133"/>
      <c r="H49" s="133">
        <f>'KY_Cost Plant Acct-Gas-P20(REG)'!H49</f>
        <v>0</v>
      </c>
      <c r="I49" s="133"/>
      <c r="J49" s="133">
        <f t="shared" si="4"/>
        <v>316391.14</v>
      </c>
      <c r="K49" s="133"/>
      <c r="L49" s="133">
        <f t="shared" si="5"/>
        <v>10039080.880000001</v>
      </c>
      <c r="M49" s="148"/>
    </row>
    <row r="50" spans="1:13" x14ac:dyDescent="0.2">
      <c r="A50" s="3" t="s">
        <v>400</v>
      </c>
      <c r="B50" s="133">
        <f>'KY_Cost Plant Acct-Gas-P20(REG)'!B50</f>
        <v>33043.050000000003</v>
      </c>
      <c r="C50" s="133"/>
      <c r="D50" s="133">
        <f>'KY_Cost Plant Acct-Gas-P20(REG)'!D50</f>
        <v>0</v>
      </c>
      <c r="E50" s="133"/>
      <c r="F50" s="133">
        <f>'KY_Cost Plant Acct-Gas-P20(REG)'!F50</f>
        <v>0</v>
      </c>
      <c r="G50" s="133"/>
      <c r="H50" s="133">
        <f>'KY_Cost Plant Acct-Gas-P20(REG)'!H50</f>
        <v>0</v>
      </c>
      <c r="I50" s="133"/>
      <c r="J50" s="133">
        <f t="shared" si="4"/>
        <v>0</v>
      </c>
      <c r="K50" s="133"/>
      <c r="L50" s="133">
        <f t="shared" si="5"/>
        <v>33043.050000000003</v>
      </c>
      <c r="M50" s="148"/>
    </row>
    <row r="51" spans="1:13" x14ac:dyDescent="0.2">
      <c r="A51" s="3" t="s">
        <v>401</v>
      </c>
      <c r="B51" s="133">
        <f>'KY_Cost Plant Acct-Gas-P20(REG)'!B51+'IN_Cost Plant Acct-Gas-P22(Reg)'!B12</f>
        <v>5505216.0099999998</v>
      </c>
      <c r="C51" s="133"/>
      <c r="D51" s="133">
        <f>'KY_Cost Plant Acct-Gas-P20(REG)'!D51+'IN_Cost Plant Acct-Gas-P22(Reg)'!D12</f>
        <v>296980.06999999995</v>
      </c>
      <c r="E51" s="133"/>
      <c r="F51" s="133">
        <f>'KY_Cost Plant Acct-Gas-P20(REG)'!F51+'IN_Cost Plant Acct-Gas-P22(Reg)'!F12</f>
        <v>-4266.4799999999996</v>
      </c>
      <c r="G51" s="133"/>
      <c r="H51" s="133">
        <f>'KY_Cost Plant Acct-Gas-P20(REG)'!H51+'IN_Cost Plant Acct-Gas-P22(Reg)'!H12</f>
        <v>0</v>
      </c>
      <c r="I51" s="133"/>
      <c r="J51" s="133">
        <f t="shared" si="4"/>
        <v>292713.58999999997</v>
      </c>
      <c r="K51" s="133"/>
      <c r="L51" s="133">
        <f t="shared" si="5"/>
        <v>5797929.5999999996</v>
      </c>
      <c r="M51" s="148"/>
    </row>
    <row r="52" spans="1:13" x14ac:dyDescent="0.2">
      <c r="A52" s="3" t="s">
        <v>407</v>
      </c>
      <c r="B52" s="133">
        <f>'KY_Cost Plant Acct-Gas-P20(REG)'!B52</f>
        <v>548241.14</v>
      </c>
      <c r="C52" s="133"/>
      <c r="D52" s="133">
        <f>'KY_Cost Plant Acct-Gas-P20(REG)'!D52</f>
        <v>0</v>
      </c>
      <c r="E52" s="133"/>
      <c r="F52" s="133">
        <f>'KY_Cost Plant Acct-Gas-P20(REG)'!F52</f>
        <v>0</v>
      </c>
      <c r="G52" s="133"/>
      <c r="H52" s="133">
        <f>'KY_Cost Plant Acct-Gas-P20(REG)'!H52</f>
        <v>0</v>
      </c>
      <c r="I52" s="133"/>
      <c r="J52" s="133">
        <f t="shared" si="4"/>
        <v>0</v>
      </c>
      <c r="K52" s="133"/>
      <c r="L52" s="133">
        <f t="shared" si="5"/>
        <v>548241.14</v>
      </c>
      <c r="M52" s="148"/>
    </row>
    <row r="53" spans="1:13" x14ac:dyDescent="0.2">
      <c r="A53" s="3" t="s">
        <v>408</v>
      </c>
      <c r="B53" s="133">
        <f>'KY_Cost Plant Acct-Gas-P20(REG)'!B53</f>
        <v>400511.4</v>
      </c>
      <c r="C53" s="133"/>
      <c r="D53" s="133">
        <f>'KY_Cost Plant Acct-Gas-P20(REG)'!D53</f>
        <v>0</v>
      </c>
      <c r="E53" s="133"/>
      <c r="F53" s="133">
        <f>'KY_Cost Plant Acct-Gas-P20(REG)'!F53</f>
        <v>0</v>
      </c>
      <c r="G53" s="133"/>
      <c r="H53" s="133">
        <f>'KY_Cost Plant Acct-Gas-P20(REG)'!H53</f>
        <v>0</v>
      </c>
      <c r="I53" s="133"/>
      <c r="J53" s="133">
        <f t="shared" si="4"/>
        <v>0</v>
      </c>
      <c r="K53" s="133"/>
      <c r="L53" s="133">
        <f t="shared" si="5"/>
        <v>400511.4</v>
      </c>
      <c r="M53" s="148"/>
    </row>
    <row r="54" spans="1:13" x14ac:dyDescent="0.2">
      <c r="A54" s="3" t="s">
        <v>409</v>
      </c>
      <c r="B54" s="133">
        <f>'KY_Cost Plant Acct-Gas-P20(REG)'!B54</f>
        <v>9648855</v>
      </c>
      <c r="C54" s="133"/>
      <c r="D54" s="133">
        <f>'KY_Cost Plant Acct-Gas-P20(REG)'!D54</f>
        <v>0</v>
      </c>
      <c r="E54" s="133"/>
      <c r="F54" s="133">
        <f>'KY_Cost Plant Acct-Gas-P20(REG)'!F54</f>
        <v>0</v>
      </c>
      <c r="G54" s="133"/>
      <c r="H54" s="133">
        <f>'KY_Cost Plant Acct-Gas-P20(REG)'!H54</f>
        <v>0</v>
      </c>
      <c r="I54" s="133"/>
      <c r="J54" s="133">
        <f t="shared" si="4"/>
        <v>0</v>
      </c>
      <c r="K54" s="133"/>
      <c r="L54" s="133">
        <f t="shared" si="5"/>
        <v>9648855</v>
      </c>
      <c r="M54" s="148"/>
    </row>
    <row r="55" spans="1:13" x14ac:dyDescent="0.2">
      <c r="A55" s="3" t="s">
        <v>403</v>
      </c>
      <c r="B55" s="133">
        <f>'KY_Cost Plant Acct-Gas-P20(REG)'!B55+'IN_Cost Plant Acct-Gas-P22(Reg)'!B13</f>
        <v>5995334.5199999996</v>
      </c>
      <c r="C55" s="133"/>
      <c r="D55" s="133">
        <f>'KY_Cost Plant Acct-Gas-P20(REG)'!D55+'IN_Cost Plant Acct-Gas-P22(Reg)'!D13</f>
        <v>0</v>
      </c>
      <c r="E55" s="133"/>
      <c r="F55" s="133">
        <f>'KY_Cost Plant Acct-Gas-P20(REG)'!F55+'IN_Cost Plant Acct-Gas-P22(Reg)'!F13</f>
        <v>-22422.080000000002</v>
      </c>
      <c r="G55" s="133"/>
      <c r="H55" s="133">
        <f>'KY_Cost Plant Acct-Gas-P20(REG)'!H55+'IN_Cost Plant Acct-Gas-P22(Reg)'!H13</f>
        <v>0</v>
      </c>
      <c r="I55" s="133"/>
      <c r="J55" s="133">
        <f t="shared" si="4"/>
        <v>-22422.080000000002</v>
      </c>
      <c r="K55" s="133"/>
      <c r="L55" s="133">
        <f t="shared" si="5"/>
        <v>5972912.4399999995</v>
      </c>
      <c r="M55" s="148"/>
    </row>
    <row r="56" spans="1:13" x14ac:dyDescent="0.2">
      <c r="A56" s="3" t="s">
        <v>404</v>
      </c>
      <c r="B56" s="133">
        <f>'KY_Cost Plant Acct-Gas-P20(REG)'!B56+'IN_Cost Plant Acct-Gas-P22(Reg)'!B14</f>
        <v>0</v>
      </c>
      <c r="C56" s="133"/>
      <c r="D56" s="133">
        <f>'KY_Cost Plant Acct-Gas-P20(REG)'!D56+'IN_Cost Plant Acct-Gas-P22(Reg)'!D14</f>
        <v>0</v>
      </c>
      <c r="E56" s="133"/>
      <c r="F56" s="133">
        <f>'KY_Cost Plant Acct-Gas-P20(REG)'!F56+'IN_Cost Plant Acct-Gas-P22(Reg)'!F14</f>
        <v>0</v>
      </c>
      <c r="G56" s="133"/>
      <c r="H56" s="133">
        <f>'KY_Cost Plant Acct-Gas-P20(REG)'!H56+'IN_Cost Plant Acct-Gas-P22(Reg)'!H14</f>
        <v>0</v>
      </c>
      <c r="I56" s="133"/>
      <c r="J56" s="133">
        <f t="shared" si="4"/>
        <v>0</v>
      </c>
      <c r="K56" s="133"/>
      <c r="L56" s="133">
        <f t="shared" si="5"/>
        <v>0</v>
      </c>
      <c r="M56" s="148"/>
    </row>
    <row r="57" spans="1:13" x14ac:dyDescent="0.2">
      <c r="A57" s="3" t="s">
        <v>405</v>
      </c>
      <c r="B57" s="133">
        <f>'KY_Cost Plant Acct-Gas-P20(REG)'!B57+'IN_Cost Plant Acct-Gas-P22(Reg)'!B15</f>
        <v>13311016.099999998</v>
      </c>
      <c r="C57" s="133"/>
      <c r="D57" s="133">
        <f>'KY_Cost Plant Acct-Gas-P20(REG)'!D57+'IN_Cost Plant Acct-Gas-P22(Reg)'!D15</f>
        <v>294215.54000000004</v>
      </c>
      <c r="E57" s="133"/>
      <c r="F57" s="133">
        <f>'KY_Cost Plant Acct-Gas-P20(REG)'!F57+'IN_Cost Plant Acct-Gas-P22(Reg)'!F15</f>
        <v>-93523.34</v>
      </c>
      <c r="G57" s="133"/>
      <c r="H57" s="133">
        <f>'KY_Cost Plant Acct-Gas-P20(REG)'!H57+'IN_Cost Plant Acct-Gas-P22(Reg)'!H15</f>
        <v>0</v>
      </c>
      <c r="I57" s="133"/>
      <c r="J57" s="133">
        <f t="shared" si="4"/>
        <v>200692.20000000004</v>
      </c>
      <c r="K57" s="133"/>
      <c r="L57" s="133">
        <f t="shared" si="5"/>
        <v>13511708.299999997</v>
      </c>
      <c r="M57" s="148"/>
    </row>
    <row r="58" spans="1:13" x14ac:dyDescent="0.2">
      <c r="A58" s="3" t="s">
        <v>410</v>
      </c>
      <c r="B58" s="133">
        <f>'KY_Cost Plant Acct-Gas-P20(REG)'!B58+'IN_Cost Plant Acct-Gas-P22(Reg)'!B16</f>
        <v>21233113.369999997</v>
      </c>
      <c r="C58" s="133"/>
      <c r="D58" s="133">
        <f>'KY_Cost Plant Acct-Gas-P20(REG)'!D58+'IN_Cost Plant Acct-Gas-P22(Reg)'!D16</f>
        <v>1555728.07</v>
      </c>
      <c r="E58" s="133"/>
      <c r="F58" s="133">
        <f>'KY_Cost Plant Acct-Gas-P20(REG)'!F58+'IN_Cost Plant Acct-Gas-P22(Reg)'!F16</f>
        <v>-36754.15</v>
      </c>
      <c r="G58" s="133"/>
      <c r="H58" s="133">
        <f>'KY_Cost Plant Acct-Gas-P20(REG)'!H58+'IN_Cost Plant Acct-Gas-P22(Reg)'!H16</f>
        <v>0</v>
      </c>
      <c r="I58" s="133"/>
      <c r="J58" s="133">
        <f t="shared" si="4"/>
        <v>1518973.9200000002</v>
      </c>
      <c r="K58" s="133"/>
      <c r="L58" s="133">
        <f t="shared" si="5"/>
        <v>22752087.289999999</v>
      </c>
      <c r="M58" s="148"/>
    </row>
    <row r="59" spans="1:13" x14ac:dyDescent="0.2">
      <c r="A59" s="3" t="s">
        <v>411</v>
      </c>
      <c r="B59" s="133">
        <f>'KY_Cost Plant Acct-Gas-P20(REG)'!B59+'IN_Cost Plant Acct-Gas-P22(Reg)'!B17</f>
        <v>48024050.43</v>
      </c>
      <c r="C59" s="133"/>
      <c r="D59" s="133">
        <f>'KY_Cost Plant Acct-Gas-P20(REG)'!D59+'IN_Cost Plant Acct-Gas-P22(Reg)'!D17</f>
        <v>6552636.0499999998</v>
      </c>
      <c r="E59" s="133"/>
      <c r="F59" s="133">
        <f>'KY_Cost Plant Acct-Gas-P20(REG)'!F59+'IN_Cost Plant Acct-Gas-P22(Reg)'!F17</f>
        <v>-140346.94</v>
      </c>
      <c r="G59" s="133"/>
      <c r="H59" s="133">
        <f>'KY_Cost Plant Acct-Gas-P20(REG)'!H59+'IN_Cost Plant Acct-Gas-P22(Reg)'!H17</f>
        <v>0</v>
      </c>
      <c r="I59" s="133"/>
      <c r="J59" s="133">
        <f t="shared" si="4"/>
        <v>6412289.1099999994</v>
      </c>
      <c r="K59" s="133"/>
      <c r="L59" s="133">
        <f t="shared" si="5"/>
        <v>54436339.539999999</v>
      </c>
      <c r="M59" s="148"/>
    </row>
    <row r="60" spans="1:13" x14ac:dyDescent="0.2">
      <c r="A60" s="3" t="s">
        <v>412</v>
      </c>
      <c r="B60" s="133">
        <f>'KY_Cost Plant Acct-Gas-P20(REG)'!B60</f>
        <v>995647.17999999993</v>
      </c>
      <c r="C60" s="133"/>
      <c r="D60" s="133">
        <f>'KY_Cost Plant Acct-Gas-P20(REG)'!D60</f>
        <v>1140398.19</v>
      </c>
      <c r="E60" s="133"/>
      <c r="F60" s="133">
        <f>'KY_Cost Plant Acct-Gas-P20(REG)'!F60</f>
        <v>-13110.7</v>
      </c>
      <c r="G60" s="133"/>
      <c r="H60" s="133">
        <f>'KY_Cost Plant Acct-Gas-P20(REG)'!H60</f>
        <v>0</v>
      </c>
      <c r="I60" s="133"/>
      <c r="J60" s="133">
        <f t="shared" si="4"/>
        <v>1127287.49</v>
      </c>
      <c r="K60" s="133"/>
      <c r="L60" s="133">
        <f t="shared" si="5"/>
        <v>2122934.67</v>
      </c>
      <c r="M60" s="148"/>
    </row>
    <row r="61" spans="1:13" x14ac:dyDescent="0.2">
      <c r="A61" s="3" t="s">
        <v>413</v>
      </c>
      <c r="B61" s="133">
        <f>'KY_Cost Plant Acct-Gas-P20(REG)'!B61</f>
        <v>20401709.09</v>
      </c>
      <c r="C61" s="133"/>
      <c r="D61" s="133">
        <f>'KY_Cost Plant Acct-Gas-P20(REG)'!D61</f>
        <v>1217832.72</v>
      </c>
      <c r="E61" s="133"/>
      <c r="F61" s="133">
        <f>'KY_Cost Plant Acct-Gas-P20(REG)'!F61</f>
        <v>-178700.26</v>
      </c>
      <c r="G61" s="133"/>
      <c r="H61" s="133">
        <f>'KY_Cost Plant Acct-Gas-P20(REG)'!H61</f>
        <v>0</v>
      </c>
      <c r="I61" s="133"/>
      <c r="J61" s="133">
        <f t="shared" si="4"/>
        <v>1039132.46</v>
      </c>
      <c r="K61" s="133"/>
      <c r="L61" s="133">
        <f t="shared" si="5"/>
        <v>21440841.550000001</v>
      </c>
      <c r="M61" s="148"/>
    </row>
    <row r="62" spans="1:13" x14ac:dyDescent="0.2">
      <c r="A62" s="3" t="s">
        <v>414</v>
      </c>
      <c r="B62" s="133">
        <f>'KY_Cost Plant Acct-Gas-P20(REG)'!B62+'IN_Cost Plant Acct-Gas-P22(Reg)'!B18</f>
        <v>3381017.67</v>
      </c>
      <c r="C62" s="133"/>
      <c r="D62" s="133">
        <f>'KY_Cost Plant Acct-Gas-P20(REG)'!D62+'IN_Cost Plant Acct-Gas-P22(Reg)'!D18</f>
        <v>120643.20999999999</v>
      </c>
      <c r="E62" s="133"/>
      <c r="F62" s="133">
        <f>'KY_Cost Plant Acct-Gas-P20(REG)'!F62+'IN_Cost Plant Acct-Gas-P22(Reg)'!F18</f>
        <v>0</v>
      </c>
      <c r="G62" s="133"/>
      <c r="H62" s="133">
        <f>'KY_Cost Plant Acct-Gas-P20(REG)'!H62+'IN_Cost Plant Acct-Gas-P22(Reg)'!H18</f>
        <v>0</v>
      </c>
      <c r="I62" s="133"/>
      <c r="J62" s="133">
        <f t="shared" si="4"/>
        <v>120643.20999999999</v>
      </c>
      <c r="K62" s="133"/>
      <c r="L62" s="133">
        <f t="shared" si="5"/>
        <v>3501660.88</v>
      </c>
      <c r="M62" s="148"/>
    </row>
    <row r="63" spans="1:13" x14ac:dyDescent="0.2">
      <c r="A63" s="3" t="s">
        <v>415</v>
      </c>
      <c r="B63" s="133">
        <f>'KY_Cost Plant Acct-Gas-P20(REG)'!B63</f>
        <v>211678.65</v>
      </c>
      <c r="C63" s="133"/>
      <c r="D63" s="133">
        <f>'KY_Cost Plant Acct-Gas-P20(REG)'!D63</f>
        <v>0</v>
      </c>
      <c r="E63" s="133"/>
      <c r="F63" s="133">
        <f>'KY_Cost Plant Acct-Gas-P20(REG)'!F63</f>
        <v>-60682.27</v>
      </c>
      <c r="G63" s="133"/>
      <c r="H63" s="133">
        <f>'KY_Cost Plant Acct-Gas-P20(REG)'!H63</f>
        <v>38709.760000000002</v>
      </c>
      <c r="I63" s="133"/>
      <c r="J63" s="133">
        <f t="shared" si="4"/>
        <v>-21972.509999999995</v>
      </c>
      <c r="K63" s="133"/>
      <c r="L63" s="133">
        <f t="shared" si="5"/>
        <v>189706.14</v>
      </c>
      <c r="M63" s="148"/>
    </row>
    <row r="64" spans="1:13" x14ac:dyDescent="0.2">
      <c r="A64" s="3" t="s">
        <v>416</v>
      </c>
      <c r="B64" s="151">
        <f>'KY_Cost Plant Acct-Gas-P20(REG)'!B64</f>
        <v>4968621.09</v>
      </c>
      <c r="C64" s="133"/>
      <c r="D64" s="151">
        <f>'KY_Cost Plant Acct-Gas-P20(REG)'!D64</f>
        <v>0</v>
      </c>
      <c r="E64" s="133"/>
      <c r="F64" s="151">
        <f>'KY_Cost Plant Acct-Gas-P20(REG)'!F64</f>
        <v>-113692.42</v>
      </c>
      <c r="G64" s="133"/>
      <c r="H64" s="151">
        <f>'KY_Cost Plant Acct-Gas-P20(REG)'!H64</f>
        <v>-688774.51</v>
      </c>
      <c r="I64" s="133"/>
      <c r="J64" s="151">
        <f t="shared" si="4"/>
        <v>-802466.93</v>
      </c>
      <c r="K64" s="133"/>
      <c r="L64" s="151">
        <f t="shared" si="5"/>
        <v>4166154.1599999997</v>
      </c>
      <c r="M64" s="148"/>
    </row>
    <row r="65" spans="1:13" x14ac:dyDescent="0.2">
      <c r="B65" s="133">
        <f>SUM(B47:B64)</f>
        <v>144514821</v>
      </c>
      <c r="C65" s="133"/>
      <c r="D65" s="133">
        <f>SUM(D47:D64)</f>
        <v>11505124.030000001</v>
      </c>
      <c r="E65" s="133"/>
      <c r="F65" s="133">
        <f>SUM(F47:F64)</f>
        <v>-673797.68</v>
      </c>
      <c r="G65" s="133"/>
      <c r="H65" s="133">
        <f>SUM(H47:H64)</f>
        <v>-650064.75</v>
      </c>
      <c r="I65" s="133"/>
      <c r="J65" s="133">
        <f>SUM(J47:J64)</f>
        <v>10181261.6</v>
      </c>
      <c r="K65" s="133"/>
      <c r="L65" s="133">
        <f>SUM(L47:L64)</f>
        <v>154696082.59999996</v>
      </c>
      <c r="M65" s="148"/>
    </row>
    <row r="66" spans="1:13" x14ac:dyDescent="0.2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47"/>
    </row>
    <row r="67" spans="1:13" x14ac:dyDescent="0.2">
      <c r="A67" s="9" t="s">
        <v>31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47"/>
    </row>
    <row r="68" spans="1:13" x14ac:dyDescent="0.2">
      <c r="A68" s="3" t="s">
        <v>419</v>
      </c>
      <c r="B68" s="136">
        <f>'KY_Cost Plant Acct-Gas-P20(REG)'!B68</f>
        <v>220659.05</v>
      </c>
      <c r="C68" s="136"/>
      <c r="D68" s="136">
        <f>'KY_Cost Plant Acct-Gas-P20(REG)'!D68</f>
        <v>0</v>
      </c>
      <c r="E68" s="136"/>
      <c r="F68" s="136">
        <f>'KY_Cost Plant Acct-Gas-P20(REG)'!F68</f>
        <v>0</v>
      </c>
      <c r="G68" s="136"/>
      <c r="H68" s="136">
        <f>'KY_Cost Plant Acct-Gas-P20(REG)'!H68</f>
        <v>0</v>
      </c>
      <c r="I68" s="136"/>
      <c r="J68" s="136">
        <f>H68+F68+D68</f>
        <v>0</v>
      </c>
      <c r="K68" s="136"/>
      <c r="L68" s="136">
        <f>J68+B68</f>
        <v>220659.05</v>
      </c>
      <c r="M68" s="147"/>
    </row>
    <row r="69" spans="1:13" x14ac:dyDescent="0.2">
      <c r="A69" s="3" t="s">
        <v>420</v>
      </c>
      <c r="B69" s="136">
        <f>'KY_Cost Plant Acct-Gas-P20(REG)'!B69</f>
        <v>46810948.000000007</v>
      </c>
      <c r="C69" s="136"/>
      <c r="D69" s="136">
        <f>'KY_Cost Plant Acct-Gas-P20(REG)'!D69</f>
        <v>4123769.1</v>
      </c>
      <c r="E69" s="136"/>
      <c r="F69" s="136">
        <f>'KY_Cost Plant Acct-Gas-P20(REG)'!F69</f>
        <v>-217700.06</v>
      </c>
      <c r="G69" s="136"/>
      <c r="H69" s="136">
        <f>'KY_Cost Plant Acct-Gas-P20(REG)'!H69</f>
        <v>0</v>
      </c>
      <c r="I69" s="136"/>
      <c r="J69" s="136">
        <f>H69+F69+D69</f>
        <v>3906069.04</v>
      </c>
      <c r="K69" s="136"/>
      <c r="L69" s="136">
        <f>J69+B69</f>
        <v>50717017.040000007</v>
      </c>
      <c r="M69" s="147"/>
    </row>
    <row r="70" spans="1:13" x14ac:dyDescent="0.2">
      <c r="A70" s="21" t="s">
        <v>3022</v>
      </c>
      <c r="B70" s="133">
        <f>'KY_Cost Plant Acct-Gas-P20(REG)'!B70</f>
        <v>2327883.9799999995</v>
      </c>
      <c r="C70" s="133"/>
      <c r="D70" s="133">
        <f>'KY_Cost Plant Acct-Gas-P20(REG)'!D70</f>
        <v>0</v>
      </c>
      <c r="E70" s="133"/>
      <c r="F70" s="133">
        <f>'KY_Cost Plant Acct-Gas-P20(REG)'!F70</f>
        <v>-42504.33</v>
      </c>
      <c r="G70" s="133"/>
      <c r="H70" s="133">
        <f>'KY_Cost Plant Acct-Gas-P20(REG)'!H70</f>
        <v>28516.28</v>
      </c>
      <c r="I70" s="133"/>
      <c r="J70" s="133">
        <f>H70+F70+D70</f>
        <v>-13988.050000000003</v>
      </c>
      <c r="K70" s="133"/>
      <c r="L70" s="133">
        <f>J70+B70</f>
        <v>2313895.9299999997</v>
      </c>
      <c r="M70" s="147"/>
    </row>
    <row r="71" spans="1:13" x14ac:dyDescent="0.2">
      <c r="B71" s="150">
        <f>SUM(B68:B70)</f>
        <v>49359491.030000001</v>
      </c>
      <c r="C71" s="133"/>
      <c r="D71" s="150">
        <f>SUM(D68:D70)</f>
        <v>4123769.1</v>
      </c>
      <c r="E71" s="133"/>
      <c r="F71" s="150">
        <f>SUM(F68:F70)</f>
        <v>-260204.39</v>
      </c>
      <c r="G71" s="133"/>
      <c r="H71" s="150">
        <f>SUM(H68:H70)</f>
        <v>28516.28</v>
      </c>
      <c r="I71" s="133"/>
      <c r="J71" s="150">
        <f>SUM(J68:J70)</f>
        <v>3892080.99</v>
      </c>
      <c r="K71" s="133"/>
      <c r="L71" s="150">
        <f>SUM(L68:L70)</f>
        <v>53251572.020000003</v>
      </c>
      <c r="M71" s="148"/>
    </row>
    <row r="72" spans="1:13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48"/>
    </row>
    <row r="73" spans="1:13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47"/>
    </row>
    <row r="74" spans="1:13" x14ac:dyDescent="0.2">
      <c r="A74" s="9" t="s">
        <v>3026</v>
      </c>
      <c r="B74" s="165">
        <f>B71+B65+B44+B40+B29</f>
        <v>1039582691.6900001</v>
      </c>
      <c r="C74" s="133"/>
      <c r="D74" s="165">
        <f>D71+D65+D44+D40+D29</f>
        <v>101704446.04000002</v>
      </c>
      <c r="E74" s="133"/>
      <c r="F74" s="165">
        <f>F71+F65+F44+F40+F29</f>
        <v>-4304184</v>
      </c>
      <c r="G74" s="133"/>
      <c r="H74" s="165">
        <f>H71+H65+H44+H40+H29</f>
        <v>498645.53</v>
      </c>
      <c r="I74" s="133"/>
      <c r="J74" s="165">
        <f>J71+J65+J44+J40+J29</f>
        <v>97898907.570000008</v>
      </c>
      <c r="K74" s="133"/>
      <c r="L74" s="165">
        <f>L71+L65+L44+L40+L29</f>
        <v>1137481599.26</v>
      </c>
      <c r="M74" s="147"/>
    </row>
    <row r="75" spans="1:13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47"/>
    </row>
    <row r="76" spans="1:13" x14ac:dyDescent="0.2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47"/>
    </row>
    <row r="77" spans="1:13" x14ac:dyDescent="0.2">
      <c r="A77" s="9" t="s">
        <v>2878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47"/>
    </row>
    <row r="78" spans="1:13" x14ac:dyDescent="0.2">
      <c r="A78" s="9" t="s">
        <v>27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47"/>
    </row>
    <row r="79" spans="1:13" x14ac:dyDescent="0.2">
      <c r="A79" s="3" t="s">
        <v>366</v>
      </c>
      <c r="B79" s="136">
        <f>'KY_Cost Plant Acct-Gas-P20(REG)'!B79</f>
        <v>0</v>
      </c>
      <c r="C79" s="136"/>
      <c r="D79" s="136">
        <f>'KY_Cost Plant Acct-Gas-P20(REG)'!D79</f>
        <v>0</v>
      </c>
      <c r="E79" s="136"/>
      <c r="F79" s="136">
        <v>0</v>
      </c>
      <c r="G79" s="136"/>
      <c r="H79" s="136">
        <v>0</v>
      </c>
      <c r="I79" s="136"/>
      <c r="J79" s="136">
        <f t="shared" ref="J79:J90" si="6">H79+F79+D79</f>
        <v>0</v>
      </c>
      <c r="K79" s="136"/>
      <c r="L79" s="136">
        <f t="shared" ref="L79:L90" si="7">J79+B79</f>
        <v>0</v>
      </c>
      <c r="M79" s="147"/>
    </row>
    <row r="80" spans="1:13" x14ac:dyDescent="0.2">
      <c r="A80" s="3" t="s">
        <v>3027</v>
      </c>
      <c r="B80" s="136">
        <f>'KY_Cost Plant Acct-Gas-P20(REG)'!B80</f>
        <v>0</v>
      </c>
      <c r="C80" s="136"/>
      <c r="D80" s="136">
        <f>'KY_Cost Plant Acct-Gas-P20(REG)'!D80</f>
        <v>55896.49</v>
      </c>
      <c r="E80" s="136"/>
      <c r="F80" s="136">
        <v>0</v>
      </c>
      <c r="G80" s="136"/>
      <c r="H80" s="136">
        <v>0</v>
      </c>
      <c r="I80" s="136"/>
      <c r="J80" s="136">
        <f t="shared" si="6"/>
        <v>55896.49</v>
      </c>
      <c r="K80" s="136"/>
      <c r="L80" s="136">
        <f t="shared" si="7"/>
        <v>55896.49</v>
      </c>
      <c r="M80" s="147"/>
    </row>
    <row r="81" spans="1:13" x14ac:dyDescent="0.2">
      <c r="A81" s="3" t="s">
        <v>369</v>
      </c>
      <c r="B81" s="136">
        <f>'KY_Cost Plant Acct-Gas-P20(REG)'!B81</f>
        <v>6108191.2500000075</v>
      </c>
      <c r="C81" s="136"/>
      <c r="D81" s="136">
        <f>'KY_Cost Plant Acct-Gas-P20(REG)'!D81</f>
        <v>-2596093.06</v>
      </c>
      <c r="E81" s="136"/>
      <c r="F81" s="136">
        <f>'KY_Cost Plant Acct-Gas-P20(REG)'!F81</f>
        <v>0</v>
      </c>
      <c r="G81" s="136"/>
      <c r="H81" s="136">
        <f>'KY_Cost Plant Acct-Gas-P20(REG)'!H81</f>
        <v>-14225.03</v>
      </c>
      <c r="I81" s="136"/>
      <c r="J81" s="136">
        <f t="shared" si="6"/>
        <v>-2610318.09</v>
      </c>
      <c r="K81" s="136"/>
      <c r="L81" s="136">
        <f t="shared" si="7"/>
        <v>3497873.1600000076</v>
      </c>
      <c r="M81" s="147"/>
    </row>
    <row r="82" spans="1:13" x14ac:dyDescent="0.2">
      <c r="A82" s="21" t="s">
        <v>370</v>
      </c>
      <c r="B82" s="136">
        <f>'KY_Cost Plant Acct-Gas-P20(REG)'!B82</f>
        <v>8218700.1900000004</v>
      </c>
      <c r="C82" s="136"/>
      <c r="D82" s="136">
        <f>'KY_Cost Plant Acct-Gas-P20(REG)'!D82</f>
        <v>-7784936.1600000001</v>
      </c>
      <c r="E82" s="136"/>
      <c r="F82" s="136">
        <f>'KY_Cost Plant Acct-Gas-P20(REG)'!F82</f>
        <v>0</v>
      </c>
      <c r="G82" s="136"/>
      <c r="H82" s="136">
        <f>'KY_Cost Plant Acct-Gas-P20(REG)'!H82</f>
        <v>-430720.5</v>
      </c>
      <c r="I82" s="136"/>
      <c r="J82" s="136">
        <f>H82+F82+D82</f>
        <v>-8215656.6600000001</v>
      </c>
      <c r="K82" s="136"/>
      <c r="L82" s="136">
        <f>J82+B82</f>
        <v>3043.5300000002608</v>
      </c>
      <c r="M82" s="147"/>
    </row>
    <row r="83" spans="1:13" x14ac:dyDescent="0.2">
      <c r="A83" s="21" t="s">
        <v>3017</v>
      </c>
      <c r="B83" s="136">
        <f>'KY_Cost Plant Acct-Gas-P20(REG)'!B83</f>
        <v>0</v>
      </c>
      <c r="C83" s="136"/>
      <c r="D83" s="136">
        <f>'KY_Cost Plant Acct-Gas-P20(REG)'!D83</f>
        <v>4528923.87</v>
      </c>
      <c r="E83" s="136"/>
      <c r="F83" s="136">
        <f>'KY_Cost Plant Acct-Gas-P20(REG)'!F83</f>
        <v>0</v>
      </c>
      <c r="G83" s="136"/>
      <c r="H83" s="136">
        <f>'KY_Cost Plant Acct-Gas-P20(REG)'!H83</f>
        <v>444945.53</v>
      </c>
      <c r="I83" s="136"/>
      <c r="J83" s="136">
        <f>H83+F83+D83</f>
        <v>4973869.4000000004</v>
      </c>
      <c r="K83" s="136"/>
      <c r="L83" s="136">
        <f>J83+B83</f>
        <v>4973869.4000000004</v>
      </c>
      <c r="M83" s="147"/>
    </row>
    <row r="84" spans="1:13" x14ac:dyDescent="0.2">
      <c r="A84" s="3" t="s">
        <v>371</v>
      </c>
      <c r="B84" s="136">
        <f>'KY_Cost Plant Acct-Gas-P20(REG)'!B84</f>
        <v>3135391.8600000003</v>
      </c>
      <c r="C84" s="136"/>
      <c r="D84" s="136">
        <f>'KY_Cost Plant Acct-Gas-P20(REG)'!D84</f>
        <v>383145.01</v>
      </c>
      <c r="E84" s="136"/>
      <c r="F84" s="136">
        <v>0</v>
      </c>
      <c r="G84" s="136"/>
      <c r="H84" s="136">
        <v>0</v>
      </c>
      <c r="I84" s="136"/>
      <c r="J84" s="136">
        <f t="shared" si="6"/>
        <v>383145.01</v>
      </c>
      <c r="K84" s="136"/>
      <c r="L84" s="136">
        <f t="shared" si="7"/>
        <v>3518536.87</v>
      </c>
      <c r="M84" s="147"/>
    </row>
    <row r="85" spans="1:13" x14ac:dyDescent="0.2">
      <c r="A85" s="3" t="s">
        <v>372</v>
      </c>
      <c r="B85" s="136">
        <f>'KY_Cost Plant Acct-Gas-P20(REG)'!B85</f>
        <v>394397.22</v>
      </c>
      <c r="C85" s="136"/>
      <c r="D85" s="136">
        <f>'KY_Cost Plant Acct-Gas-P20(REG)'!D85</f>
        <v>798640.51</v>
      </c>
      <c r="E85" s="136"/>
      <c r="F85" s="136">
        <v>0</v>
      </c>
      <c r="G85" s="136"/>
      <c r="H85" s="136">
        <v>0</v>
      </c>
      <c r="I85" s="136"/>
      <c r="J85" s="136">
        <f t="shared" si="6"/>
        <v>798640.51</v>
      </c>
      <c r="K85" s="136"/>
      <c r="L85" s="136">
        <f t="shared" si="7"/>
        <v>1193037.73</v>
      </c>
      <c r="M85" s="147"/>
    </row>
    <row r="86" spans="1:13" x14ac:dyDescent="0.2">
      <c r="A86" s="3" t="s">
        <v>373</v>
      </c>
      <c r="B86" s="136">
        <f>'KY_Cost Plant Acct-Gas-P20(REG)'!B86</f>
        <v>3602386.6599999997</v>
      </c>
      <c r="C86" s="133"/>
      <c r="D86" s="136">
        <f>'KY_Cost Plant Acct-Gas-P20(REG)'!D86</f>
        <v>-2900367.1</v>
      </c>
      <c r="E86" s="133"/>
      <c r="F86" s="133">
        <v>0</v>
      </c>
      <c r="G86" s="133"/>
      <c r="H86" s="136">
        <f>'KY_Cost Plant Acct-Gas-P20(REG)'!H86</f>
        <v>-56900.08</v>
      </c>
      <c r="I86" s="133"/>
      <c r="J86" s="133">
        <f t="shared" si="6"/>
        <v>-2957267.18</v>
      </c>
      <c r="K86" s="133"/>
      <c r="L86" s="133">
        <f t="shared" si="7"/>
        <v>645119.47999999952</v>
      </c>
      <c r="M86" s="147"/>
    </row>
    <row r="87" spans="1:13" x14ac:dyDescent="0.2">
      <c r="A87" s="21" t="s">
        <v>374</v>
      </c>
      <c r="B87" s="136">
        <f>'KY_Cost Plant Acct-Gas-P20(REG)'!B87</f>
        <v>27770220.310000002</v>
      </c>
      <c r="C87" s="133"/>
      <c r="D87" s="136">
        <f>'KY_Cost Plant Acct-Gas-P20(REG)'!D87</f>
        <v>-26191532.93</v>
      </c>
      <c r="E87" s="133"/>
      <c r="F87" s="133">
        <v>0</v>
      </c>
      <c r="G87" s="133"/>
      <c r="H87" s="136">
        <f>'KY_Cost Plant Acct-Gas-P20(REG)'!H87</f>
        <v>-1559609.04</v>
      </c>
      <c r="I87" s="133"/>
      <c r="J87" s="133">
        <f>H87+F87+D87</f>
        <v>-27751141.969999999</v>
      </c>
      <c r="K87" s="133"/>
      <c r="L87" s="133">
        <f>J87+B87</f>
        <v>19078.340000003576</v>
      </c>
      <c r="M87" s="147"/>
    </row>
    <row r="88" spans="1:13" x14ac:dyDescent="0.2">
      <c r="A88" s="21" t="s">
        <v>3028</v>
      </c>
      <c r="B88" s="136">
        <f>'KY_Cost Plant Acct-Gas-P20(REG)'!B88</f>
        <v>0</v>
      </c>
      <c r="C88" s="133"/>
      <c r="D88" s="136">
        <f>'KY_Cost Plant Acct-Gas-P20(REG)'!D88</f>
        <v>9332553.6500000004</v>
      </c>
      <c r="E88" s="133"/>
      <c r="F88" s="136">
        <f>'KY_Cost Plant Acct-Gas-P20(REG)'!F88</f>
        <v>0</v>
      </c>
      <c r="G88" s="133"/>
      <c r="H88" s="136">
        <f>'KY_Cost Plant Acct-Gas-P20(REG)'!H88</f>
        <v>1616509.12</v>
      </c>
      <c r="I88" s="133"/>
      <c r="J88" s="133">
        <f>H88+F88+D88</f>
        <v>10949062.77</v>
      </c>
      <c r="K88" s="133"/>
      <c r="L88" s="133">
        <f>J88+B88</f>
        <v>10949062.77</v>
      </c>
      <c r="M88" s="147"/>
    </row>
    <row r="89" spans="1:13" x14ac:dyDescent="0.2">
      <c r="A89" s="3" t="s">
        <v>375</v>
      </c>
      <c r="B89" s="136">
        <f>'KY_Cost Plant Acct-Gas-P20(REG)'!B89</f>
        <v>121395.78</v>
      </c>
      <c r="C89" s="133"/>
      <c r="D89" s="136">
        <f>'KY_Cost Plant Acct-Gas-P20(REG)'!D89</f>
        <v>1375666.93</v>
      </c>
      <c r="E89" s="133"/>
      <c r="F89" s="133">
        <v>0</v>
      </c>
      <c r="G89" s="133"/>
      <c r="H89" s="133">
        <v>0</v>
      </c>
      <c r="I89" s="133"/>
      <c r="J89" s="133">
        <f t="shared" si="6"/>
        <v>1375666.93</v>
      </c>
      <c r="K89" s="133"/>
      <c r="L89" s="133">
        <f t="shared" si="7"/>
        <v>1497062.71</v>
      </c>
      <c r="M89" s="147"/>
    </row>
    <row r="90" spans="1:13" x14ac:dyDescent="0.2">
      <c r="A90" s="3" t="s">
        <v>376</v>
      </c>
      <c r="B90" s="136">
        <f>'KY_Cost Plant Acct-Gas-P20(REG)'!B90</f>
        <v>16000</v>
      </c>
      <c r="C90" s="133"/>
      <c r="D90" s="136">
        <f>'KY_Cost Plant Acct-Gas-P20(REG)'!D90</f>
        <v>16910.66</v>
      </c>
      <c r="E90" s="133"/>
      <c r="F90" s="133">
        <v>0</v>
      </c>
      <c r="G90" s="133"/>
      <c r="H90" s="133">
        <v>0</v>
      </c>
      <c r="I90" s="133"/>
      <c r="J90" s="133">
        <f t="shared" si="6"/>
        <v>16910.66</v>
      </c>
      <c r="K90" s="133"/>
      <c r="L90" s="133">
        <f t="shared" si="7"/>
        <v>32910.660000000003</v>
      </c>
      <c r="M90" s="147"/>
    </row>
    <row r="91" spans="1:13" x14ac:dyDescent="0.2">
      <c r="A91" s="3" t="s">
        <v>377</v>
      </c>
      <c r="B91" s="133">
        <f>'KY_Cost Plant Acct-Gas-P20(REG)'!B91</f>
        <v>0</v>
      </c>
      <c r="C91" s="133"/>
      <c r="D91" s="133">
        <f>'KY_Cost Plant Acct-Gas-P20(REG)'!D91</f>
        <v>0</v>
      </c>
      <c r="E91" s="133"/>
      <c r="F91" s="133">
        <v>0</v>
      </c>
      <c r="G91" s="133"/>
      <c r="H91" s="133">
        <v>0</v>
      </c>
      <c r="I91" s="133"/>
      <c r="J91" s="133">
        <f>H91+F91+D91</f>
        <v>0</v>
      </c>
      <c r="K91" s="133"/>
      <c r="L91" s="133">
        <f>J91+B91</f>
        <v>0</v>
      </c>
      <c r="M91" s="147"/>
    </row>
    <row r="92" spans="1:13" x14ac:dyDescent="0.2">
      <c r="A92" s="3" t="s">
        <v>378</v>
      </c>
      <c r="B92" s="134">
        <f>'KY_Cost Plant Acct-Gas-P20(REG)'!B92</f>
        <v>0</v>
      </c>
      <c r="D92" s="134">
        <f>'KY_Cost Plant Acct-Gas-P20(REG)'!D92</f>
        <v>0</v>
      </c>
      <c r="F92" s="134">
        <f>'KY_Cost Plant Acct-Gas-P20(REG)'!F92</f>
        <v>0</v>
      </c>
      <c r="H92" s="134">
        <f>'KY_Cost Plant Acct-Gas-P20(REG)'!H92</f>
        <v>0</v>
      </c>
      <c r="J92" s="134">
        <f>'KY_Cost Plant Acct-Gas-P20(REG)'!J92</f>
        <v>0</v>
      </c>
      <c r="L92" s="134">
        <f>'KY_Cost Plant Acct-Gas-P20(REG)'!L92</f>
        <v>0</v>
      </c>
    </row>
    <row r="93" spans="1:13" x14ac:dyDescent="0.2">
      <c r="B93" s="133">
        <f>SUM(B79:B92)</f>
        <v>49366683.270000011</v>
      </c>
      <c r="C93" s="133"/>
      <c r="D93" s="133">
        <f>SUM(D79:D92)</f>
        <v>-22981192.130000006</v>
      </c>
      <c r="E93" s="133"/>
      <c r="F93" s="133">
        <f>SUM(F79:F92)</f>
        <v>0</v>
      </c>
      <c r="G93" s="133"/>
      <c r="H93" s="133">
        <f>SUM(H79:H92)</f>
        <v>0</v>
      </c>
      <c r="I93" s="133"/>
      <c r="J93" s="133">
        <f>SUM(J79:J92)</f>
        <v>-22981192.129999995</v>
      </c>
      <c r="K93" s="133"/>
      <c r="L93" s="133">
        <f>SUM(L79:L92)</f>
        <v>26385491.140000015</v>
      </c>
      <c r="M93" s="147"/>
    </row>
    <row r="94" spans="1:13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47"/>
    </row>
    <row r="95" spans="1:13" x14ac:dyDescent="0.2">
      <c r="A95" s="9" t="s">
        <v>28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47"/>
    </row>
    <row r="96" spans="1:13" x14ac:dyDescent="0.2">
      <c r="A96" s="3" t="s">
        <v>3020</v>
      </c>
      <c r="B96" s="136">
        <f>'KY_Cost Plant Acct-Gas-P20(REG)'!B96</f>
        <v>0</v>
      </c>
      <c r="C96" s="136"/>
      <c r="D96" s="136">
        <f>'KY_Cost Plant Acct-Gas-P20(REG)'!D96</f>
        <v>0</v>
      </c>
      <c r="E96" s="136"/>
      <c r="F96" s="136">
        <v>0</v>
      </c>
      <c r="G96" s="136"/>
      <c r="H96" s="136">
        <v>0</v>
      </c>
      <c r="I96" s="136"/>
      <c r="J96" s="136">
        <f t="shared" ref="J96:J102" si="8">H96+F96+D96</f>
        <v>0</v>
      </c>
      <c r="K96" s="136"/>
      <c r="L96" s="136">
        <f t="shared" ref="L96:L102" si="9">J96+B96</f>
        <v>0</v>
      </c>
      <c r="M96" s="147"/>
    </row>
    <row r="97" spans="1:13" x14ac:dyDescent="0.2">
      <c r="A97" s="3" t="s">
        <v>385</v>
      </c>
      <c r="B97" s="136">
        <f>'KY_Cost Plant Acct-Gas-P20(REG)'!B97</f>
        <v>242398.53</v>
      </c>
      <c r="C97" s="136"/>
      <c r="D97" s="136">
        <f>'KY_Cost Plant Acct-Gas-P20(REG)'!D97</f>
        <v>-195936.61</v>
      </c>
      <c r="E97" s="136"/>
      <c r="F97" s="136">
        <v>0</v>
      </c>
      <c r="G97" s="136"/>
      <c r="H97" s="136">
        <v>0</v>
      </c>
      <c r="I97" s="136"/>
      <c r="J97" s="136">
        <f t="shared" si="8"/>
        <v>-195936.61</v>
      </c>
      <c r="K97" s="136"/>
      <c r="L97" s="136">
        <f t="shared" si="9"/>
        <v>46461.920000000013</v>
      </c>
      <c r="M97" s="147"/>
    </row>
    <row r="98" spans="1:13" x14ac:dyDescent="0.2">
      <c r="A98" s="3" t="s">
        <v>387</v>
      </c>
      <c r="B98" s="136">
        <f>'KY_Cost Plant Acct-Gas-P20(REG)'!B98</f>
        <v>259297.56</v>
      </c>
      <c r="C98" s="136"/>
      <c r="D98" s="136">
        <f>'KY_Cost Plant Acct-Gas-P20(REG)'!D98</f>
        <v>120547.38</v>
      </c>
      <c r="E98" s="136"/>
      <c r="F98" s="136">
        <v>0</v>
      </c>
      <c r="G98" s="136"/>
      <c r="H98" s="136">
        <v>0</v>
      </c>
      <c r="I98" s="136"/>
      <c r="J98" s="136">
        <f t="shared" si="8"/>
        <v>120547.38</v>
      </c>
      <c r="K98" s="136"/>
      <c r="L98" s="136">
        <f t="shared" si="9"/>
        <v>379844.94</v>
      </c>
      <c r="M98" s="147"/>
    </row>
    <row r="99" spans="1:13" x14ac:dyDescent="0.2">
      <c r="A99" s="3" t="s">
        <v>388</v>
      </c>
      <c r="B99" s="136">
        <f>'KY_Cost Plant Acct-Gas-P20(REG)'!B99</f>
        <v>0</v>
      </c>
      <c r="C99" s="136"/>
      <c r="D99" s="136">
        <f>'KY_Cost Plant Acct-Gas-P20(REG)'!D99</f>
        <v>0</v>
      </c>
      <c r="E99" s="136"/>
      <c r="F99" s="136">
        <v>0</v>
      </c>
      <c r="G99" s="136"/>
      <c r="H99" s="136">
        <v>0</v>
      </c>
      <c r="I99" s="136"/>
      <c r="J99" s="136">
        <f t="shared" si="8"/>
        <v>0</v>
      </c>
      <c r="K99" s="136"/>
      <c r="L99" s="136">
        <f t="shared" si="9"/>
        <v>0</v>
      </c>
      <c r="M99" s="147"/>
    </row>
    <row r="100" spans="1:13" x14ac:dyDescent="0.2">
      <c r="A100" s="3" t="s">
        <v>389</v>
      </c>
      <c r="B100" s="136">
        <f>'KY_Cost Plant Acct-Gas-P20(REG)'!B100</f>
        <v>0</v>
      </c>
      <c r="C100" s="133"/>
      <c r="D100" s="136">
        <f>'KY_Cost Plant Acct-Gas-P20(REG)'!D100</f>
        <v>0</v>
      </c>
      <c r="E100" s="133"/>
      <c r="F100" s="133">
        <v>0</v>
      </c>
      <c r="G100" s="133"/>
      <c r="H100" s="133">
        <v>0</v>
      </c>
      <c r="I100" s="133"/>
      <c r="J100" s="133">
        <f t="shared" si="8"/>
        <v>0</v>
      </c>
      <c r="K100" s="133"/>
      <c r="L100" s="133">
        <f t="shared" si="9"/>
        <v>0</v>
      </c>
      <c r="M100" s="148"/>
    </row>
    <row r="101" spans="1:13" x14ac:dyDescent="0.2">
      <c r="A101" s="3" t="s">
        <v>390</v>
      </c>
      <c r="B101" s="133">
        <f>'KY_Cost Plant Acct-Gas-P20(REG)'!B101</f>
        <v>0</v>
      </c>
      <c r="C101" s="133"/>
      <c r="D101" s="133">
        <f>'KY_Cost Plant Acct-Gas-P20(REG)'!D101</f>
        <v>0</v>
      </c>
      <c r="E101" s="133"/>
      <c r="F101" s="133">
        <v>0</v>
      </c>
      <c r="G101" s="133"/>
      <c r="H101" s="133">
        <v>0</v>
      </c>
      <c r="I101" s="133"/>
      <c r="J101" s="133">
        <f t="shared" si="8"/>
        <v>0</v>
      </c>
      <c r="K101" s="133"/>
      <c r="L101" s="133">
        <f t="shared" si="9"/>
        <v>0</v>
      </c>
      <c r="M101" s="148"/>
    </row>
    <row r="102" spans="1:13" x14ac:dyDescent="0.2">
      <c r="A102" s="21" t="s">
        <v>392</v>
      </c>
      <c r="B102" s="133">
        <f>'KY_Cost Plant Acct-Gas-P20(REG)'!B102</f>
        <v>0</v>
      </c>
      <c r="C102" s="133"/>
      <c r="D102" s="133">
        <f>'KY_Cost Plant Acct-Gas-P20(REG)'!D102</f>
        <v>0</v>
      </c>
      <c r="E102" s="133"/>
      <c r="F102" s="133">
        <v>0</v>
      </c>
      <c r="G102" s="133"/>
      <c r="H102" s="133">
        <v>0</v>
      </c>
      <c r="I102" s="133"/>
      <c r="J102" s="133">
        <f t="shared" si="8"/>
        <v>0</v>
      </c>
      <c r="K102" s="133"/>
      <c r="L102" s="133">
        <f t="shared" si="9"/>
        <v>0</v>
      </c>
      <c r="M102" s="148"/>
    </row>
    <row r="103" spans="1:13" x14ac:dyDescent="0.2">
      <c r="B103" s="150">
        <f>SUM(B96:B102)</f>
        <v>501696.08999999997</v>
      </c>
      <c r="C103" s="133"/>
      <c r="D103" s="150">
        <f>SUM(D96:D102)</f>
        <v>-75389.229999999981</v>
      </c>
      <c r="E103" s="133"/>
      <c r="F103" s="150">
        <f>SUM(F96:F102)</f>
        <v>0</v>
      </c>
      <c r="G103" s="133"/>
      <c r="H103" s="150">
        <f>SUM(H96:H102)</f>
        <v>0</v>
      </c>
      <c r="I103" s="133"/>
      <c r="J103" s="150">
        <f>SUM(J96:J102)</f>
        <v>-75389.229999999981</v>
      </c>
      <c r="K103" s="133"/>
      <c r="L103" s="150">
        <f>SUM(L96:L102)</f>
        <v>426306.86</v>
      </c>
      <c r="M103" s="148"/>
    </row>
    <row r="104" spans="1:13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48"/>
    </row>
    <row r="105" spans="1:13" x14ac:dyDescent="0.2">
      <c r="A105" s="9" t="s">
        <v>30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47"/>
    </row>
    <row r="106" spans="1:13" x14ac:dyDescent="0.2">
      <c r="A106" s="3" t="s">
        <v>399</v>
      </c>
      <c r="B106" s="133">
        <f>'KY_Cost Plant Acct-Gas-P20(REG)'!B106</f>
        <v>331490.18000000005</v>
      </c>
      <c r="C106" s="133"/>
      <c r="D106" s="133">
        <f>'KY_Cost Plant Acct-Gas-P20(REG)'!D106</f>
        <v>-272481.07</v>
      </c>
      <c r="E106" s="133"/>
      <c r="F106" s="133">
        <v>0</v>
      </c>
      <c r="G106" s="133"/>
      <c r="H106" s="133">
        <v>0</v>
      </c>
      <c r="I106" s="133"/>
      <c r="J106" s="133">
        <f t="shared" ref="J106:J115" si="10">H106+F106+D106</f>
        <v>-272481.07</v>
      </c>
      <c r="K106" s="133"/>
      <c r="L106" s="133">
        <f t="shared" ref="L106:L115" si="11">J106+B106</f>
        <v>59009.110000000044</v>
      </c>
      <c r="M106" s="147"/>
    </row>
    <row r="107" spans="1:13" x14ac:dyDescent="0.2">
      <c r="A107" s="3" t="s">
        <v>3029</v>
      </c>
      <c r="B107" s="133">
        <f>'KY_Cost Plant Acct-Gas-P20(REG)'!B107</f>
        <v>0</v>
      </c>
      <c r="C107" s="133"/>
      <c r="D107" s="133">
        <f>'KY_Cost Plant Acct-Gas-P20(REG)'!D107</f>
        <v>0</v>
      </c>
      <c r="E107" s="133"/>
      <c r="F107" s="133">
        <v>0</v>
      </c>
      <c r="G107" s="133"/>
      <c r="H107" s="133">
        <v>0</v>
      </c>
      <c r="I107" s="133"/>
      <c r="J107" s="133">
        <f>H107+F107+D107</f>
        <v>0</v>
      </c>
      <c r="K107" s="133"/>
      <c r="L107" s="133">
        <f>J107+B107</f>
        <v>0</v>
      </c>
      <c r="M107" s="147"/>
    </row>
    <row r="108" spans="1:13" x14ac:dyDescent="0.2">
      <c r="A108" s="3" t="s">
        <v>401</v>
      </c>
      <c r="B108" s="133">
        <f>'KY_Cost Plant Acct-Gas-P20(REG)'!B108+'IN_Cost Plant Acct-Gas-P22(Reg)'!B26</f>
        <v>220281.78</v>
      </c>
      <c r="C108" s="133"/>
      <c r="D108" s="133">
        <f>'KY_Cost Plant Acct-Gas-P20(REG)'!D108+'IN_Cost Plant Acct-Gas-P22(Reg)'!D26</f>
        <v>425617.65</v>
      </c>
      <c r="E108" s="133"/>
      <c r="F108" s="133">
        <f>'KY_Cost Plant Acct-Gas-P20(REG)'!F108+'IN_Cost Plant Acct-Gas-P22(Reg)'!F26</f>
        <v>0</v>
      </c>
      <c r="G108" s="133"/>
      <c r="H108" s="133">
        <f>'KY_Cost Plant Acct-Gas-P20(REG)'!H108+'IN_Cost Plant Acct-Gas-P22(Reg)'!H26</f>
        <v>0</v>
      </c>
      <c r="I108" s="133"/>
      <c r="J108" s="133">
        <f t="shared" si="10"/>
        <v>425617.65</v>
      </c>
      <c r="K108" s="133"/>
      <c r="L108" s="133">
        <f t="shared" si="11"/>
        <v>645899.43000000005</v>
      </c>
      <c r="M108" s="147"/>
    </row>
    <row r="109" spans="1:13" x14ac:dyDescent="0.2">
      <c r="A109" s="3" t="s">
        <v>403</v>
      </c>
      <c r="B109" s="133">
        <f>'IN_Cost Plant Acct-Gas-P22(Reg)'!B27+'KY_Cost Plant Acct-Gas-P20(REG)'!B109</f>
        <v>0</v>
      </c>
      <c r="C109" s="133"/>
      <c r="D109" s="133">
        <f>'IN_Cost Plant Acct-Gas-P22(Reg)'!D27+'KY_Cost Plant Acct-Gas-P20(REG)'!D109</f>
        <v>0</v>
      </c>
      <c r="E109" s="133"/>
      <c r="F109" s="133">
        <f>'IN_Cost Plant Acct-Gas-P22(Reg)'!F27+'KY_Cost Plant Acct-Gas-P20(REG)'!F109</f>
        <v>0</v>
      </c>
      <c r="G109" s="133"/>
      <c r="H109" s="133">
        <f>'IN_Cost Plant Acct-Gas-P22(Reg)'!H27+'KY_Cost Plant Acct-Gas-P20(REG)'!H109</f>
        <v>0</v>
      </c>
      <c r="I109" s="133"/>
      <c r="J109" s="133">
        <f t="shared" si="10"/>
        <v>0</v>
      </c>
      <c r="K109" s="133"/>
      <c r="L109" s="133">
        <f t="shared" si="11"/>
        <v>0</v>
      </c>
      <c r="M109" s="147"/>
    </row>
    <row r="110" spans="1:13" x14ac:dyDescent="0.2">
      <c r="A110" s="3" t="s">
        <v>404</v>
      </c>
      <c r="B110" s="133">
        <f>'KY_Cost Plant Acct-Gas-P20(REG)'!B110+'IN_Cost Plant Acct-Gas-P22(Reg)'!B28</f>
        <v>0</v>
      </c>
      <c r="C110" s="133"/>
      <c r="D110" s="133">
        <f>'KY_Cost Plant Acct-Gas-P20(REG)'!D110+'IN_Cost Plant Acct-Gas-P22(Reg)'!D28</f>
        <v>0</v>
      </c>
      <c r="E110" s="133"/>
      <c r="F110" s="133">
        <f>'KY_Cost Plant Acct-Gas-P20(REG)'!F110+'IN_Cost Plant Acct-Gas-P22(Reg)'!F28</f>
        <v>0</v>
      </c>
      <c r="G110" s="133"/>
      <c r="H110" s="133">
        <f>'KY_Cost Plant Acct-Gas-P20(REG)'!H110+'IN_Cost Plant Acct-Gas-P22(Reg)'!H28</f>
        <v>0</v>
      </c>
      <c r="I110" s="133"/>
      <c r="J110" s="133">
        <f t="shared" si="10"/>
        <v>0</v>
      </c>
      <c r="K110" s="133"/>
      <c r="L110" s="133">
        <f t="shared" si="11"/>
        <v>0</v>
      </c>
      <c r="M110" s="147"/>
    </row>
    <row r="111" spans="1:13" x14ac:dyDescent="0.2">
      <c r="A111" s="3" t="s">
        <v>405</v>
      </c>
      <c r="B111" s="133">
        <f>'KY_Cost Plant Acct-Gas-P20(REG)'!B111+'IN_Cost Plant Acct-Gas-P22(Reg)'!B29</f>
        <v>411907.77999999991</v>
      </c>
      <c r="C111" s="133"/>
      <c r="D111" s="133">
        <f>'KY_Cost Plant Acct-Gas-P20(REG)'!D111+'IN_Cost Plant Acct-Gas-P22(Reg)'!D29</f>
        <v>600999.98</v>
      </c>
      <c r="E111" s="133"/>
      <c r="F111" s="133">
        <f>'KY_Cost Plant Acct-Gas-P20(REG)'!F111+'IN_Cost Plant Acct-Gas-P22(Reg)'!F29</f>
        <v>0</v>
      </c>
      <c r="G111" s="133"/>
      <c r="H111" s="133">
        <f>'KY_Cost Plant Acct-Gas-P20(REG)'!H111+'IN_Cost Plant Acct-Gas-P22(Reg)'!H29</f>
        <v>0</v>
      </c>
      <c r="I111" s="133"/>
      <c r="J111" s="133">
        <f>H111+F111+D111</f>
        <v>600999.98</v>
      </c>
      <c r="K111" s="133"/>
      <c r="L111" s="133">
        <f>J111+B111</f>
        <v>1012907.7599999999</v>
      </c>
      <c r="M111" s="147"/>
    </row>
    <row r="112" spans="1:13" x14ac:dyDescent="0.2">
      <c r="A112" s="3" t="s">
        <v>410</v>
      </c>
      <c r="B112" s="133">
        <f>'KY_Cost Plant Acct-Gas-P20(REG)'!B112+'IN_Cost Plant Acct-Gas-P22(Reg)'!B30</f>
        <v>2059490.54</v>
      </c>
      <c r="C112" s="133"/>
      <c r="D112" s="133">
        <f>'KY_Cost Plant Acct-Gas-P20(REG)'!D112+'IN_Cost Plant Acct-Gas-P22(Reg)'!D30</f>
        <v>-74429.270000000019</v>
      </c>
      <c r="E112" s="133"/>
      <c r="F112" s="133">
        <f>'KY_Cost Plant Acct-Gas-P20(REG)'!F112+'IN_Cost Plant Acct-Gas-P22(Reg)'!F30</f>
        <v>0</v>
      </c>
      <c r="G112" s="133"/>
      <c r="H112" s="133">
        <f>'KY_Cost Plant Acct-Gas-P20(REG)'!H112+'IN_Cost Plant Acct-Gas-P22(Reg)'!H30</f>
        <v>0</v>
      </c>
      <c r="I112" s="133"/>
      <c r="J112" s="133">
        <f t="shared" si="10"/>
        <v>-74429.270000000019</v>
      </c>
      <c r="K112" s="133"/>
      <c r="L112" s="133">
        <f t="shared" si="11"/>
        <v>1985061.27</v>
      </c>
      <c r="M112" s="147"/>
    </row>
    <row r="113" spans="1:13" x14ac:dyDescent="0.2">
      <c r="A113" s="3" t="s">
        <v>411</v>
      </c>
      <c r="B113" s="133">
        <f>'KY_Cost Plant Acct-Gas-P20(REG)'!B113+'IN_Cost Plant Acct-Gas-P22(Reg)'!B31</f>
        <v>8175017.0299999984</v>
      </c>
      <c r="C113" s="133"/>
      <c r="D113" s="133">
        <f>'KY_Cost Plant Acct-Gas-P20(REG)'!D113+'IN_Cost Plant Acct-Gas-P22(Reg)'!D31</f>
        <v>-828609.87</v>
      </c>
      <c r="E113" s="133"/>
      <c r="F113" s="133">
        <v>0</v>
      </c>
      <c r="G113" s="133"/>
      <c r="H113" s="133">
        <v>0</v>
      </c>
      <c r="I113" s="133"/>
      <c r="J113" s="133">
        <f t="shared" si="10"/>
        <v>-828609.87</v>
      </c>
      <c r="K113" s="133"/>
      <c r="L113" s="133">
        <f t="shared" si="11"/>
        <v>7346407.1599999983</v>
      </c>
      <c r="M113" s="147"/>
    </row>
    <row r="114" spans="1:13" x14ac:dyDescent="0.2">
      <c r="A114" s="3" t="s">
        <v>412</v>
      </c>
      <c r="B114" s="133">
        <f>'KY_Cost Plant Acct-Gas-P20(REG)'!B114</f>
        <v>989556.78</v>
      </c>
      <c r="C114" s="133"/>
      <c r="D114" s="133">
        <f>'KY_Cost Plant Acct-Gas-P20(REG)'!D114</f>
        <v>-989556.78</v>
      </c>
      <c r="E114" s="133"/>
      <c r="F114" s="133">
        <v>0</v>
      </c>
      <c r="G114" s="133"/>
      <c r="H114" s="133">
        <v>0</v>
      </c>
      <c r="I114" s="133"/>
      <c r="J114" s="133">
        <f t="shared" si="10"/>
        <v>-989556.78</v>
      </c>
      <c r="K114" s="133"/>
      <c r="L114" s="133">
        <f t="shared" si="11"/>
        <v>0</v>
      </c>
      <c r="M114" s="147"/>
    </row>
    <row r="115" spans="1:13" x14ac:dyDescent="0.2">
      <c r="A115" s="3" t="s">
        <v>413</v>
      </c>
      <c r="B115" s="133">
        <f>'KY_Cost Plant Acct-Gas-P20(REG)'!B115</f>
        <v>2442714.88</v>
      </c>
      <c r="C115" s="133"/>
      <c r="D115" s="133">
        <f>'KY_Cost Plant Acct-Gas-P20(REG)'!D115</f>
        <v>-866969.24</v>
      </c>
      <c r="E115" s="133"/>
      <c r="F115" s="133">
        <v>0</v>
      </c>
      <c r="G115" s="133"/>
      <c r="H115" s="133">
        <v>0</v>
      </c>
      <c r="I115" s="133"/>
      <c r="J115" s="133">
        <f t="shared" si="10"/>
        <v>-866969.24</v>
      </c>
      <c r="K115" s="133"/>
      <c r="L115" s="133">
        <f t="shared" si="11"/>
        <v>1575745.64</v>
      </c>
      <c r="M115" s="147"/>
    </row>
    <row r="116" spans="1:13" x14ac:dyDescent="0.2">
      <c r="A116" s="3" t="s">
        <v>414</v>
      </c>
      <c r="B116" s="151">
        <f>'KY_Cost Plant Acct-Gas-P20(REG)'!B116+'IN_Cost Plant Acct-Gas-P22(Reg)'!B32</f>
        <v>334632.42</v>
      </c>
      <c r="C116" s="133"/>
      <c r="D116" s="151">
        <f>'KY_Cost Plant Acct-Gas-P20(REG)'!D116+'IN_Cost Plant Acct-Gas-P22(Reg)'!D32</f>
        <v>53602.450000000004</v>
      </c>
      <c r="E116" s="133"/>
      <c r="F116" s="151">
        <f>'KY_Cost Plant Acct-Gas-P20(REG)'!F116+'IN_Cost Plant Acct-Gas-P22(Reg)'!F32</f>
        <v>0</v>
      </c>
      <c r="G116" s="133"/>
      <c r="H116" s="151">
        <f>'KY_Cost Plant Acct-Gas-P20(REG)'!H116+'IN_Cost Plant Acct-Gas-P22(Reg)'!H32</f>
        <v>0</v>
      </c>
      <c r="I116" s="133"/>
      <c r="J116" s="151">
        <f>H116+F116+D116</f>
        <v>53602.450000000004</v>
      </c>
      <c r="K116" s="133"/>
      <c r="L116" s="151">
        <f>J116+B116</f>
        <v>388234.87</v>
      </c>
      <c r="M116" s="147"/>
    </row>
    <row r="117" spans="1:13" x14ac:dyDescent="0.2">
      <c r="B117" s="133">
        <f>SUM(B106:B116)</f>
        <v>14965091.389999999</v>
      </c>
      <c r="C117" s="133"/>
      <c r="D117" s="133">
        <f>SUM(D106:D116)</f>
        <v>-1951826.15</v>
      </c>
      <c r="E117" s="133"/>
      <c r="F117" s="133">
        <f>SUM(F106:F116)</f>
        <v>0</v>
      </c>
      <c r="G117" s="133"/>
      <c r="H117" s="133">
        <f>SUM(H106:H116)</f>
        <v>0</v>
      </c>
      <c r="I117" s="133"/>
      <c r="J117" s="133">
        <f>SUM(J106:J116)</f>
        <v>-1951826.15</v>
      </c>
      <c r="K117" s="133"/>
      <c r="L117" s="133">
        <f>SUM(L106:L116)</f>
        <v>13013265.239999998</v>
      </c>
      <c r="M117" s="147"/>
    </row>
    <row r="118" spans="1:13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47"/>
    </row>
    <row r="119" spans="1:13" x14ac:dyDescent="0.2">
      <c r="A119" s="9" t="s">
        <v>31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47"/>
    </row>
    <row r="120" spans="1:13" x14ac:dyDescent="0.2">
      <c r="A120" s="3" t="s">
        <v>420</v>
      </c>
      <c r="B120" s="151">
        <f>'KY_Cost Plant Acct-Gas-P20(REG)'!B120</f>
        <v>5695600.6799999997</v>
      </c>
      <c r="C120" s="133"/>
      <c r="D120" s="151">
        <f>'KY_Cost Plant Acct-Gas-P20(REG)'!D120</f>
        <v>-3784062.86</v>
      </c>
      <c r="E120" s="133"/>
      <c r="F120" s="151">
        <v>0</v>
      </c>
      <c r="G120" s="133"/>
      <c r="H120" s="151">
        <v>0</v>
      </c>
      <c r="I120" s="133"/>
      <c r="J120" s="151">
        <f>H120+F120+D120</f>
        <v>-3784062.86</v>
      </c>
      <c r="K120" s="133"/>
      <c r="L120" s="151">
        <f>J120+B120</f>
        <v>1911537.8199999998</v>
      </c>
      <c r="M120" s="147"/>
    </row>
    <row r="121" spans="1:13" x14ac:dyDescent="0.2">
      <c r="B121" s="133">
        <f>SUM(B120)</f>
        <v>5695600.6799999997</v>
      </c>
      <c r="C121" s="133"/>
      <c r="D121" s="133">
        <f>SUM(D120)</f>
        <v>-3784062.86</v>
      </c>
      <c r="E121" s="133"/>
      <c r="F121" s="133">
        <f>SUM(F120)</f>
        <v>0</v>
      </c>
      <c r="G121" s="133"/>
      <c r="H121" s="133">
        <f>SUM(H120)</f>
        <v>0</v>
      </c>
      <c r="I121" s="133"/>
      <c r="J121" s="133">
        <f>SUM(J120)</f>
        <v>-3784062.86</v>
      </c>
      <c r="K121" s="133"/>
      <c r="L121" s="133">
        <f>SUM(L120)</f>
        <v>1911537.8199999998</v>
      </c>
      <c r="M121" s="147"/>
    </row>
    <row r="122" spans="1:13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47"/>
    </row>
    <row r="123" spans="1:13" x14ac:dyDescent="0.2">
      <c r="B123" s="133"/>
      <c r="C123" s="136"/>
      <c r="D123" s="133"/>
      <c r="E123" s="136"/>
      <c r="F123" s="133"/>
      <c r="G123" s="136"/>
      <c r="H123" s="133"/>
      <c r="I123" s="136"/>
      <c r="J123" s="133"/>
      <c r="K123" s="136"/>
      <c r="L123" s="133"/>
      <c r="M123" s="147"/>
    </row>
    <row r="124" spans="1:13" x14ac:dyDescent="0.2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47"/>
    </row>
    <row r="125" spans="1:13" x14ac:dyDescent="0.2">
      <c r="A125" s="9" t="s">
        <v>3030</v>
      </c>
      <c r="B125" s="165">
        <f>B117+B93+B103+B121</f>
        <v>70529071.430000007</v>
      </c>
      <c r="C125" s="133"/>
      <c r="D125" s="165">
        <f>D117+D93+D103+D121</f>
        <v>-28792470.370000005</v>
      </c>
      <c r="E125" s="133"/>
      <c r="F125" s="165">
        <f>F117+F93+F103+F121</f>
        <v>0</v>
      </c>
      <c r="G125" s="133"/>
      <c r="H125" s="165">
        <f>H117+H93+H103+H121</f>
        <v>0</v>
      </c>
      <c r="I125" s="133"/>
      <c r="J125" s="165">
        <f>J117+J93+J103+J121</f>
        <v>-28792470.369999994</v>
      </c>
      <c r="K125" s="133"/>
      <c r="L125" s="165">
        <f>L117+L93+L103+L121</f>
        <v>41736601.06000001</v>
      </c>
      <c r="M125" s="148"/>
    </row>
    <row r="126" spans="1:13" x14ac:dyDescent="0.2">
      <c r="B126" s="133"/>
      <c r="C126" s="136"/>
      <c r="D126" s="133"/>
      <c r="E126" s="136"/>
      <c r="F126" s="133"/>
      <c r="G126" s="136"/>
      <c r="H126" s="133"/>
      <c r="I126" s="136"/>
      <c r="J126" s="133"/>
      <c r="K126" s="136"/>
      <c r="L126" s="133"/>
      <c r="M126" s="147"/>
    </row>
    <row r="127" spans="1:13" x14ac:dyDescent="0.2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47"/>
    </row>
    <row r="128" spans="1:13" ht="13.5" thickBot="1" x14ac:dyDescent="0.25">
      <c r="A128" s="9" t="s">
        <v>3031</v>
      </c>
      <c r="B128" s="141">
        <f>B125+B74</f>
        <v>1110111763.1200001</v>
      </c>
      <c r="C128" s="136"/>
      <c r="D128" s="141">
        <f>D125+D74</f>
        <v>72911975.670000017</v>
      </c>
      <c r="E128" s="136"/>
      <c r="F128" s="141">
        <f>F125+F74</f>
        <v>-4304184</v>
      </c>
      <c r="G128" s="136"/>
      <c r="H128" s="141">
        <f>H125+H74</f>
        <v>498645.53</v>
      </c>
      <c r="I128" s="136"/>
      <c r="J128" s="141">
        <f>J125+J74</f>
        <v>69106437.200000018</v>
      </c>
      <c r="K128" s="136"/>
      <c r="L128" s="141">
        <f>L125+L74</f>
        <v>1179218200.3199999</v>
      </c>
      <c r="M128" s="147"/>
    </row>
    <row r="129" spans="2:13" ht="13.5" thickTop="1" x14ac:dyDescent="0.2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47"/>
    </row>
    <row r="130" spans="2:13" x14ac:dyDescent="0.2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47"/>
    </row>
    <row r="131" spans="2:13" x14ac:dyDescent="0.2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47"/>
    </row>
    <row r="132" spans="2:13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</row>
    <row r="133" spans="2:13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</row>
    <row r="134" spans="2:13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</row>
    <row r="135" spans="2:13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2:13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2:13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2:13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</row>
    <row r="139" spans="2:13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</row>
    <row r="140" spans="2:13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</row>
    <row r="141" spans="2:13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2:13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2:13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</row>
    <row r="144" spans="2:13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</row>
    <row r="145" spans="2:13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</row>
    <row r="146" spans="2:13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</row>
    <row r="147" spans="2:13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2:13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2:13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</row>
    <row r="150" spans="2:13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</row>
    <row r="151" spans="2:13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</row>
    <row r="152" spans="2:13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</row>
    <row r="153" spans="2:13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</row>
    <row r="154" spans="2:13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</row>
    <row r="155" spans="2:13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</row>
    <row r="156" spans="2:13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</row>
    <row r="157" spans="2:13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</row>
    <row r="158" spans="2:13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2:13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</row>
    <row r="160" spans="2:13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</row>
    <row r="161" spans="2:13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</row>
    <row r="162" spans="2:13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</row>
    <row r="163" spans="2:13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</row>
    <row r="164" spans="2:13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</row>
    <row r="165" spans="2:13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</row>
    <row r="166" spans="2:13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2" manualBreakCount="2">
    <brk id="45" max="16383" man="1"/>
    <brk id="7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15"/>
  <sheetViews>
    <sheetView zoomScale="90" zoomScaleNormal="90" workbookViewId="0">
      <selection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85546875" style="3" customWidth="1"/>
    <col min="14" max="14" width="18.5703125" style="3" customWidth="1"/>
    <col min="15" max="15" width="1.710937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3032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6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P6" s="1" t="s">
        <v>2793</v>
      </c>
    </row>
    <row r="7" spans="1:16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L8" s="17"/>
    </row>
    <row r="9" spans="1:16" x14ac:dyDescent="0.2">
      <c r="A9" s="9" t="s">
        <v>2798</v>
      </c>
      <c r="B9" s="17"/>
      <c r="D9" s="17"/>
      <c r="F9" s="17"/>
      <c r="H9" s="17"/>
      <c r="J9" s="17"/>
      <c r="L9" s="17"/>
    </row>
    <row r="10" spans="1:16" x14ac:dyDescent="0.2">
      <c r="A10" s="9" t="s">
        <v>27</v>
      </c>
    </row>
    <row r="11" spans="1:16" x14ac:dyDescent="0.2">
      <c r="A11" s="3" t="s">
        <v>363</v>
      </c>
      <c r="B11" s="136">
        <f>'KY_Cost Plant Acct-Gas-P20(REG)'!B11</f>
        <v>60478.68</v>
      </c>
      <c r="C11" s="136"/>
      <c r="D11" s="136">
        <f>'KY_Cost Plant Acct-Gas-P20(REG)'!D11</f>
        <v>0</v>
      </c>
      <c r="E11" s="136"/>
      <c r="F11" s="136">
        <f>'KY_Cost Plant Acct-Gas-P20(REG)'!F11</f>
        <v>0</v>
      </c>
      <c r="G11" s="136"/>
      <c r="H11" s="136">
        <f>'KY_Cost Plant Acct-Gas-P20(REG)'!H11</f>
        <v>0</v>
      </c>
      <c r="I11" s="136"/>
      <c r="J11" s="136">
        <f t="shared" ref="J11:J28" si="0">H11+F11+D11</f>
        <v>0</v>
      </c>
      <c r="K11" s="136"/>
      <c r="L11" s="136">
        <f t="shared" ref="L11:L28" si="1">J11+B11</f>
        <v>60478.68</v>
      </c>
      <c r="M11" s="147"/>
      <c r="N11" s="37">
        <f>'KY_Res by Plant Acct-P29 (Reg)'!R406</f>
        <v>1.6058265828178264E-12</v>
      </c>
      <c r="P11" s="37">
        <f>L11+N11</f>
        <v>60478.68</v>
      </c>
    </row>
    <row r="12" spans="1:16" x14ac:dyDescent="0.2">
      <c r="A12" s="3" t="s">
        <v>364</v>
      </c>
      <c r="B12" s="136">
        <f>'KY_Cost Plant Acct-Gas-P20(REG)'!B12</f>
        <v>74018.23</v>
      </c>
      <c r="C12" s="136"/>
      <c r="D12" s="136">
        <f>'KY_Cost Plant Acct-Gas-P20(REG)'!D12</f>
        <v>0</v>
      </c>
      <c r="E12" s="136"/>
      <c r="F12" s="136">
        <f>'KY_Cost Plant Acct-Gas-P20(REG)'!F12</f>
        <v>0</v>
      </c>
      <c r="G12" s="136"/>
      <c r="H12" s="136">
        <f>'KY_Cost Plant Acct-Gas-P20(REG)'!H12</f>
        <v>0</v>
      </c>
      <c r="I12" s="136"/>
      <c r="J12" s="136">
        <f t="shared" si="0"/>
        <v>0</v>
      </c>
      <c r="K12" s="136"/>
      <c r="L12" s="136">
        <f t="shared" si="1"/>
        <v>74018.23</v>
      </c>
      <c r="M12" s="147"/>
      <c r="N12" s="37">
        <f>'KY_Res by Plant Acct-P29 (Reg)'!R407</f>
        <v>-77439.69</v>
      </c>
      <c r="P12" s="37">
        <f t="shared" ref="P12:P28" si="2">L12+N12</f>
        <v>-3421.4600000000064</v>
      </c>
    </row>
    <row r="13" spans="1:16" x14ac:dyDescent="0.2">
      <c r="A13" s="3" t="s">
        <v>366</v>
      </c>
      <c r="B13" s="136">
        <f>'KY_Cost Plant Acct-Gas-P20(REG)'!B13+'KY_Cost Plant Acct-Gas-P20(REG)'!B79</f>
        <v>499023.44000000006</v>
      </c>
      <c r="C13" s="136"/>
      <c r="D13" s="136">
        <f>'KY_Cost Plant Acct-Gas-P20(REG)'!D13+'KY_Cost Plant Acct-Gas-P20(REG)'!D79</f>
        <v>0</v>
      </c>
      <c r="E13" s="136"/>
      <c r="F13" s="136">
        <f>'KY_Cost Plant Acct-Gas-P20(REG)'!F13</f>
        <v>0</v>
      </c>
      <c r="G13" s="136"/>
      <c r="H13" s="136">
        <f>'KY_Cost Plant Acct-Gas-P20(REG)'!H13</f>
        <v>0</v>
      </c>
      <c r="I13" s="136"/>
      <c r="J13" s="136">
        <f t="shared" si="0"/>
        <v>0</v>
      </c>
      <c r="K13" s="136"/>
      <c r="L13" s="136">
        <f t="shared" si="1"/>
        <v>499023.44000000006</v>
      </c>
      <c r="M13" s="147"/>
      <c r="N13" s="37">
        <f>'KY_Res by Plant Acct-P29 (Reg)'!R408</f>
        <v>-96886.810000000027</v>
      </c>
      <c r="P13" s="37">
        <f t="shared" si="2"/>
        <v>402136.63</v>
      </c>
    </row>
    <row r="14" spans="1:16" x14ac:dyDescent="0.2">
      <c r="A14" s="3" t="s">
        <v>367</v>
      </c>
      <c r="B14" s="136">
        <f>'KY_Cost Plant Acct-Gas-P20(REG)'!B14+'KY_Cost Plant Acct-Gas-P20(REG)'!B80</f>
        <v>676148.76</v>
      </c>
      <c r="C14" s="136"/>
      <c r="D14" s="136">
        <f>'KY_Cost Plant Acct-Gas-P20(REG)'!D14+'KY_Cost Plant Acct-Gas-P20(REG)'!D80</f>
        <v>64116.049999999996</v>
      </c>
      <c r="E14" s="136"/>
      <c r="F14" s="136">
        <f>'KY_Cost Plant Acct-Gas-P20(REG)'!F14</f>
        <v>0</v>
      </c>
      <c r="G14" s="136"/>
      <c r="H14" s="136">
        <f>'KY_Cost Plant Acct-Gas-P20(REG)'!H14</f>
        <v>0</v>
      </c>
      <c r="I14" s="136"/>
      <c r="J14" s="136">
        <f t="shared" si="0"/>
        <v>64116.049999999996</v>
      </c>
      <c r="K14" s="136"/>
      <c r="L14" s="136">
        <f t="shared" si="1"/>
        <v>740264.81</v>
      </c>
      <c r="M14" s="147"/>
      <c r="N14" s="37">
        <f>'KY_Res by Plant Acct-P29 (Reg)'!R409</f>
        <v>-301167.39</v>
      </c>
      <c r="P14" s="37">
        <f t="shared" si="2"/>
        <v>439097.42000000004</v>
      </c>
    </row>
    <row r="15" spans="1:16" x14ac:dyDescent="0.2">
      <c r="A15" s="3" t="s">
        <v>369</v>
      </c>
      <c r="B15" s="136">
        <f>'KY_Cost Plant Acct-Gas-P20(REG)'!B15+'KY_Cost Plant Acct-Gas-P20(REG)'!B81</f>
        <v>345275799.37999994</v>
      </c>
      <c r="C15" s="136"/>
      <c r="D15" s="136">
        <f>'KY_Cost Plant Acct-Gas-P20(REG)'!D15+'KY_Cost Plant Acct-Gas-P20(REG)'!D81</f>
        <v>19340560.91</v>
      </c>
      <c r="E15" s="136"/>
      <c r="F15" s="136">
        <f>'KY_Cost Plant Acct-Gas-P20(REG)'!F15</f>
        <v>-1280572.2</v>
      </c>
      <c r="G15" s="136"/>
      <c r="H15" s="136">
        <f>'KY_Cost Plant Acct-Gas-P20(REG)'!H15+'KY_Cost Plant Acct-Gas-P20(REG)'!H81</f>
        <v>-14225.03</v>
      </c>
      <c r="I15" s="136"/>
      <c r="J15" s="136">
        <f t="shared" si="0"/>
        <v>18045763.68</v>
      </c>
      <c r="K15" s="136"/>
      <c r="L15" s="136">
        <f t="shared" si="1"/>
        <v>363321563.05999994</v>
      </c>
      <c r="M15" s="147"/>
      <c r="N15" s="37">
        <f>'KY_Res by Plant Acct-P29 (Reg)'!R410</f>
        <v>-132056886.01999995</v>
      </c>
      <c r="P15" s="37">
        <f t="shared" si="2"/>
        <v>231264677.03999999</v>
      </c>
    </row>
    <row r="16" spans="1:16" x14ac:dyDescent="0.2">
      <c r="A16" s="21" t="s">
        <v>370</v>
      </c>
      <c r="B16" s="136">
        <f>'KY_Cost Plant Acct-Gas-P20(REG)'!B16+'KY_Cost Plant Acct-Gas-P20(REG)'!B82</f>
        <v>53168328.370000005</v>
      </c>
      <c r="C16" s="136"/>
      <c r="D16" s="136">
        <f>'KY_Cost Plant Acct-Gas-P20(REG)'!D16+'KY_Cost Plant Acct-Gas-P20(REG)'!D82</f>
        <v>-7784936.1600000001</v>
      </c>
      <c r="E16" s="136"/>
      <c r="F16" s="136">
        <f>'KY_Cost Plant Acct-Gas-P20(REG)'!F16</f>
        <v>0</v>
      </c>
      <c r="G16" s="136"/>
      <c r="H16" s="136">
        <f>'KY_Cost Plant Acct-Gas-P20(REG)'!H16+'KY_Cost Plant Acct-Gas-P20(REG)'!H82</f>
        <v>-430720.5</v>
      </c>
      <c r="I16" s="136"/>
      <c r="J16" s="136">
        <f t="shared" si="0"/>
        <v>-8215656.6600000001</v>
      </c>
      <c r="K16" s="136"/>
      <c r="L16" s="136">
        <f t="shared" si="1"/>
        <v>44952671.710000008</v>
      </c>
      <c r="M16" s="147"/>
      <c r="N16" s="37">
        <f>'KY_Res by Plant Acct-P29 (Reg)'!R411</f>
        <v>-3613869.9899999998</v>
      </c>
      <c r="P16" s="37">
        <f t="shared" si="2"/>
        <v>41338801.720000006</v>
      </c>
    </row>
    <row r="17" spans="1:16" x14ac:dyDescent="0.2">
      <c r="A17" s="21" t="s">
        <v>3017</v>
      </c>
      <c r="B17" s="136">
        <f>'KY_Cost Plant Acct-Gas-P20(REG)'!B17+'KY_Cost Plant Acct-Gas-P20(REG)'!B83</f>
        <v>0</v>
      </c>
      <c r="C17" s="136"/>
      <c r="D17" s="136">
        <f>'KY_Cost Plant Acct-Gas-P20(REG)'!D17+'KY_Cost Plant Acct-Gas-P20(REG)'!D83</f>
        <v>4708493.8500000006</v>
      </c>
      <c r="E17" s="136"/>
      <c r="F17" s="136">
        <f>'KY_Cost Plant Acct-Gas-P20(REG)'!F17+'KY_Cost Plant Acct-Gas-P20(REG)'!F83</f>
        <v>0</v>
      </c>
      <c r="G17" s="136"/>
      <c r="H17" s="136">
        <f>'KY_Cost Plant Acct-Gas-P20(REG)'!H17+'KY_Cost Plant Acct-Gas-P20(REG)'!H83</f>
        <v>444945.53</v>
      </c>
      <c r="I17" s="136"/>
      <c r="J17" s="136">
        <f t="shared" si="0"/>
        <v>5153439.3800000008</v>
      </c>
      <c r="K17" s="136"/>
      <c r="L17" s="136">
        <f t="shared" si="1"/>
        <v>5153439.3800000008</v>
      </c>
      <c r="M17" s="147"/>
      <c r="N17" s="37">
        <f>'KY_Res by Plant Acct-P29 (Reg)'!R412</f>
        <v>-25654.01</v>
      </c>
      <c r="P17" s="37">
        <f>L17+N17</f>
        <v>5127785.370000001</v>
      </c>
    </row>
    <row r="18" spans="1:16" x14ac:dyDescent="0.2">
      <c r="A18" s="3" t="s">
        <v>371</v>
      </c>
      <c r="B18" s="136">
        <f>'KY_Cost Plant Acct-Gas-P20(REG)'!B18+'KY_Cost Plant Acct-Gas-P20(REG)'!B84</f>
        <v>20979533.659999996</v>
      </c>
      <c r="C18" s="136"/>
      <c r="D18" s="136">
        <f>'KY_Cost Plant Acct-Gas-P20(REG)'!D18+'KY_Cost Plant Acct-Gas-P20(REG)'!D84</f>
        <v>1630670.27</v>
      </c>
      <c r="E18" s="136"/>
      <c r="F18" s="136">
        <f>'KY_Cost Plant Acct-Gas-P20(REG)'!F18</f>
        <v>-9430.7199999999993</v>
      </c>
      <c r="G18" s="136"/>
      <c r="H18" s="136">
        <f>'KY_Cost Plant Acct-Gas-P20(REG)'!H18</f>
        <v>0</v>
      </c>
      <c r="I18" s="136"/>
      <c r="J18" s="136">
        <f t="shared" si="0"/>
        <v>1621239.55</v>
      </c>
      <c r="K18" s="136"/>
      <c r="L18" s="136">
        <f t="shared" si="1"/>
        <v>22600773.209999997</v>
      </c>
      <c r="M18" s="147"/>
      <c r="N18" s="37">
        <f>'KY_Res by Plant Acct-P29 (Reg)'!R413</f>
        <v>-2923602.1700000004</v>
      </c>
      <c r="P18" s="37">
        <f t="shared" si="2"/>
        <v>19677171.039999995</v>
      </c>
    </row>
    <row r="19" spans="1:16" x14ac:dyDescent="0.2">
      <c r="A19" s="3" t="s">
        <v>372</v>
      </c>
      <c r="B19" s="136">
        <f>'KY_Cost Plant Acct-Gas-P20(REG)'!B19+'KY_Cost Plant Acct-Gas-P20(REG)'!B85</f>
        <v>7668455.3600000003</v>
      </c>
      <c r="C19" s="136"/>
      <c r="D19" s="136">
        <f>'KY_Cost Plant Acct-Gas-P20(REG)'!D19+'KY_Cost Plant Acct-Gas-P20(REG)'!D85</f>
        <v>4892694.78</v>
      </c>
      <c r="E19" s="136"/>
      <c r="F19" s="136">
        <f>'KY_Cost Plant Acct-Gas-P20(REG)'!F19</f>
        <v>-324494.27</v>
      </c>
      <c r="G19" s="136"/>
      <c r="H19" s="136">
        <f>'KY_Cost Plant Acct-Gas-P20(REG)'!H19</f>
        <v>0</v>
      </c>
      <c r="I19" s="136"/>
      <c r="J19" s="136">
        <f t="shared" si="0"/>
        <v>4568200.51</v>
      </c>
      <c r="K19" s="136"/>
      <c r="L19" s="136">
        <f t="shared" si="1"/>
        <v>12236655.870000001</v>
      </c>
      <c r="M19" s="147"/>
      <c r="N19" s="37">
        <f>'KY_Res by Plant Acct-P29 (Reg)'!R414</f>
        <v>-1109878.3099999996</v>
      </c>
      <c r="P19" s="37">
        <f t="shared" si="2"/>
        <v>11126777.560000002</v>
      </c>
    </row>
    <row r="20" spans="1:16" x14ac:dyDescent="0.2">
      <c r="A20" s="3" t="s">
        <v>373</v>
      </c>
      <c r="B20" s="136">
        <f>'KY_Cost Plant Acct-Gas-P20(REG)'!B20+'KY_Cost Plant Acct-Gas-P20(REG)'!B86</f>
        <v>197421647.67999998</v>
      </c>
      <c r="C20" s="136"/>
      <c r="D20" s="136">
        <f>'KY_Cost Plant Acct-Gas-P20(REG)'!D20+'KY_Cost Plant Acct-Gas-P20(REG)'!D86</f>
        <v>17802173.809999999</v>
      </c>
      <c r="E20" s="136"/>
      <c r="F20" s="136">
        <f>'KY_Cost Plant Acct-Gas-P20(REG)'!F20</f>
        <v>-171007.24</v>
      </c>
      <c r="G20" s="136"/>
      <c r="H20" s="136">
        <f>'KY_Cost Plant Acct-Gas-P20(REG)'!H20+'KY_Cost Plant Acct-Gas-P20(REG)'!H86</f>
        <v>-56900.08</v>
      </c>
      <c r="I20" s="136"/>
      <c r="J20" s="136">
        <f t="shared" si="0"/>
        <v>17574266.489999998</v>
      </c>
      <c r="K20" s="136"/>
      <c r="L20" s="136">
        <f t="shared" si="1"/>
        <v>214995914.16999999</v>
      </c>
      <c r="M20" s="147"/>
      <c r="N20" s="37">
        <f>'KY_Res by Plant Acct-P29 (Reg)'!R415</f>
        <v>-92996368.470000014</v>
      </c>
      <c r="P20" s="37">
        <f t="shared" si="2"/>
        <v>121999545.69999997</v>
      </c>
    </row>
    <row r="21" spans="1:16" x14ac:dyDescent="0.2">
      <c r="A21" s="21" t="s">
        <v>374</v>
      </c>
      <c r="B21" s="136">
        <f>'KY_Cost Plant Acct-Gas-P20(REG)'!B21+'KY_Cost Plant Acct-Gas-P20(REG)'!B87</f>
        <v>169924268.93000001</v>
      </c>
      <c r="C21" s="136"/>
      <c r="D21" s="136">
        <f>'KY_Cost Plant Acct-Gas-P20(REG)'!D21+'KY_Cost Plant Acct-Gas-P20(REG)'!D87</f>
        <v>3690876.7699999996</v>
      </c>
      <c r="E21" s="136"/>
      <c r="F21" s="136">
        <f>'KY_Cost Plant Acct-Gas-P20(REG)'!F21</f>
        <v>0</v>
      </c>
      <c r="G21" s="136"/>
      <c r="H21" s="136">
        <f>'KY_Cost Plant Acct-Gas-P20(REG)'!H21+'KY_Cost Plant Acct-Gas-P20(REG)'!H87</f>
        <v>-1559609.04</v>
      </c>
      <c r="I21" s="136"/>
      <c r="J21" s="136">
        <f t="shared" si="0"/>
        <v>2131267.7299999995</v>
      </c>
      <c r="K21" s="136"/>
      <c r="L21" s="136">
        <f t="shared" si="1"/>
        <v>172055536.66</v>
      </c>
      <c r="M21" s="147"/>
      <c r="N21" s="37">
        <f>'KY_Res by Plant Acct-P29 (Reg)'!R416</f>
        <v>-17837669.130000003</v>
      </c>
      <c r="P21" s="37">
        <f t="shared" si="2"/>
        <v>154217867.53</v>
      </c>
    </row>
    <row r="22" spans="1:16" x14ac:dyDescent="0.2">
      <c r="A22" s="21" t="s">
        <v>3018</v>
      </c>
      <c r="B22" s="136">
        <f>'KY_Cost Plant Acct-Gas-P20(REG)'!B22+'KY_Cost Plant Acct-Gas-P20(REG)'!B88</f>
        <v>0</v>
      </c>
      <c r="C22" s="136"/>
      <c r="D22" s="136">
        <f>'KY_Cost Plant Acct-Gas-P20(REG)'!D22+'KY_Cost Plant Acct-Gas-P20(REG)'!D88</f>
        <v>10912031.370000001</v>
      </c>
      <c r="E22" s="136"/>
      <c r="F22" s="136">
        <f>'KY_Cost Plant Acct-Gas-P20(REG)'!F22+'KY_Cost Plant Acct-Gas-P20(REG)'!F88</f>
        <v>0</v>
      </c>
      <c r="G22" s="136"/>
      <c r="H22" s="136">
        <f>'KY_Cost Plant Acct-Gas-P20(REG)'!H22+'KY_Cost Plant Acct-Gas-P20(REG)'!H88</f>
        <v>1616509.12</v>
      </c>
      <c r="I22" s="136"/>
      <c r="J22" s="136">
        <f t="shared" si="0"/>
        <v>12528540.490000002</v>
      </c>
      <c r="K22" s="136"/>
      <c r="L22" s="136">
        <f t="shared" si="1"/>
        <v>12528540.490000002</v>
      </c>
      <c r="M22" s="147"/>
      <c r="N22" s="37">
        <f>'KY_Res by Plant Acct-P29 (Reg)'!R417</f>
        <v>-132731.16999999998</v>
      </c>
      <c r="P22" s="37">
        <f t="shared" si="2"/>
        <v>12395809.320000002</v>
      </c>
    </row>
    <row r="23" spans="1:16" x14ac:dyDescent="0.2">
      <c r="A23" s="3" t="s">
        <v>375</v>
      </c>
      <c r="B23" s="136">
        <f>'KY_Cost Plant Acct-Gas-P20(REG)'!B23+'KY_Cost Plant Acct-Gas-P20(REG)'!B89</f>
        <v>49165597.850000001</v>
      </c>
      <c r="C23" s="136"/>
      <c r="D23" s="136">
        <f>'KY_Cost Plant Acct-Gas-P20(REG)'!D23+'KY_Cost Plant Acct-Gas-P20(REG)'!D89</f>
        <v>6292711.4699999997</v>
      </c>
      <c r="E23" s="136"/>
      <c r="F23" s="136">
        <f>'KY_Cost Plant Acct-Gas-P20(REG)'!F23</f>
        <v>-730340.16</v>
      </c>
      <c r="G23" s="136"/>
      <c r="H23" s="136">
        <f>'KY_Cost Plant Acct-Gas-P20(REG)'!H23</f>
        <v>0</v>
      </c>
      <c r="I23" s="136"/>
      <c r="J23" s="136">
        <f t="shared" si="0"/>
        <v>5562371.3099999996</v>
      </c>
      <c r="K23" s="136"/>
      <c r="L23" s="136">
        <f t="shared" si="1"/>
        <v>54727969.160000004</v>
      </c>
      <c r="M23" s="147"/>
      <c r="N23" s="37">
        <f>'KY_Res by Plant Acct-P29 (Reg)'!R418</f>
        <v>-13905917.970000004</v>
      </c>
      <c r="P23" s="37">
        <f t="shared" si="2"/>
        <v>40822051.189999998</v>
      </c>
    </row>
    <row r="24" spans="1:16" x14ac:dyDescent="0.2">
      <c r="A24" s="3" t="s">
        <v>376</v>
      </c>
      <c r="B24" s="136">
        <f>'KY_Cost Plant Acct-Gas-P20(REG)'!B24+'KY_Cost Plant Acct-Gas-P20(REG)'!B90</f>
        <v>25988269.190000001</v>
      </c>
      <c r="C24" s="136"/>
      <c r="D24" s="136">
        <f>'KY_Cost Plant Acct-Gas-P20(REG)'!D24+'KY_Cost Plant Acct-Gas-P20(REG)'!D90</f>
        <v>394291.91</v>
      </c>
      <c r="E24" s="136"/>
      <c r="F24" s="136">
        <f>'KY_Cost Plant Acct-Gas-P20(REG)'!F24</f>
        <v>-53.07</v>
      </c>
      <c r="G24" s="136"/>
      <c r="H24" s="136">
        <f>'KY_Cost Plant Acct-Gas-P20(REG)'!H24</f>
        <v>0</v>
      </c>
      <c r="I24" s="136"/>
      <c r="J24" s="136">
        <f t="shared" si="0"/>
        <v>394238.83999999997</v>
      </c>
      <c r="K24" s="136"/>
      <c r="L24" s="136">
        <f t="shared" si="1"/>
        <v>26382508.030000001</v>
      </c>
      <c r="M24" s="147"/>
      <c r="N24" s="37">
        <f>'KY_Res by Plant Acct-P29 (Reg)'!R419</f>
        <v>-5487938.8499999996</v>
      </c>
      <c r="P24" s="37">
        <f t="shared" si="2"/>
        <v>20894569.18</v>
      </c>
    </row>
    <row r="25" spans="1:16" x14ac:dyDescent="0.2">
      <c r="A25" s="3" t="s">
        <v>377</v>
      </c>
      <c r="B25" s="136">
        <f>'KY_Cost Plant Acct-Gas-P20(REG)'!B25+'KY_Cost Plant Acct-Gas-P20(REG)'!B91</f>
        <v>960686.95</v>
      </c>
      <c r="C25" s="136"/>
      <c r="D25" s="136">
        <f>'KY_Cost Plant Acct-Gas-P20(REG)'!D25+'KY_Cost Plant Acct-Gas-P20(REG)'!D91</f>
        <v>0</v>
      </c>
      <c r="E25" s="136"/>
      <c r="F25" s="136">
        <f>'KY_Cost Plant Acct-Gas-P20(REG)'!F25</f>
        <v>0</v>
      </c>
      <c r="G25" s="136"/>
      <c r="H25" s="136">
        <f>'KY_Cost Plant Acct-Gas-P20(REG)'!H25</f>
        <v>0</v>
      </c>
      <c r="I25" s="136"/>
      <c r="J25" s="136">
        <f t="shared" si="0"/>
        <v>0</v>
      </c>
      <c r="K25" s="136"/>
      <c r="L25" s="136">
        <f t="shared" si="1"/>
        <v>960686.95</v>
      </c>
      <c r="M25" s="147"/>
      <c r="N25" s="37">
        <f>'KY_Res by Plant Acct-P29 (Reg)'!R420</f>
        <v>-241445.1</v>
      </c>
      <c r="P25" s="37">
        <f t="shared" si="2"/>
        <v>719241.85</v>
      </c>
    </row>
    <row r="26" spans="1:16" x14ac:dyDescent="0.2">
      <c r="A26" s="3" t="s">
        <v>378</v>
      </c>
      <c r="B26" s="136">
        <f>'KY_Cost Plant Acct-Gas-P20(REG)'!B26+'KY_Cost Plant Acct-Gas-P20(REG)'!B92</f>
        <v>51112.34</v>
      </c>
      <c r="C26" s="133"/>
      <c r="D26" s="136">
        <f>'KY_Cost Plant Acct-Gas-P20(REG)'!D26+'KY_Cost Plant Acct-Gas-P20(REG)'!D92</f>
        <v>0</v>
      </c>
      <c r="E26" s="133"/>
      <c r="F26" s="136">
        <f>'KY_Cost Plant Acct-Gas-P20(REG)'!F26</f>
        <v>0</v>
      </c>
      <c r="G26" s="133"/>
      <c r="H26" s="136">
        <f>'KY_Cost Plant Acct-Gas-P20(REG)'!H26</f>
        <v>0</v>
      </c>
      <c r="I26" s="133"/>
      <c r="J26" s="133">
        <f t="shared" si="0"/>
        <v>0</v>
      </c>
      <c r="K26" s="133"/>
      <c r="L26" s="133">
        <f t="shared" si="1"/>
        <v>51112.34</v>
      </c>
      <c r="M26" s="148"/>
      <c r="N26" s="37">
        <f>'KY_Res by Plant Acct-P29 (Reg)'!R421</f>
        <v>-28657.94</v>
      </c>
      <c r="O26" s="29"/>
      <c r="P26" s="37">
        <f t="shared" si="2"/>
        <v>22454.399999999998</v>
      </c>
    </row>
    <row r="27" spans="1:16" x14ac:dyDescent="0.2">
      <c r="A27" s="3" t="s">
        <v>379</v>
      </c>
      <c r="B27" s="136">
        <f>'KY_Cost Plant Acct-Gas-P20(REG)'!B27</f>
        <v>37095.39</v>
      </c>
      <c r="C27" s="133"/>
      <c r="D27" s="136">
        <f>'KY_Cost Plant Acct-Gas-P20(REG)'!D27</f>
        <v>0</v>
      </c>
      <c r="E27" s="133"/>
      <c r="F27" s="136">
        <f>'KY_Cost Plant Acct-Gas-P20(REG)'!F27</f>
        <v>-37095.39</v>
      </c>
      <c r="G27" s="133"/>
      <c r="H27" s="136">
        <f>'KY_Cost Plant Acct-Gas-P20(REG)'!H27</f>
        <v>0</v>
      </c>
      <c r="I27" s="133"/>
      <c r="J27" s="133">
        <f t="shared" si="0"/>
        <v>-37095.39</v>
      </c>
      <c r="K27" s="133"/>
      <c r="L27" s="133">
        <f t="shared" si="1"/>
        <v>0</v>
      </c>
      <c r="M27" s="148"/>
      <c r="N27" s="37">
        <f>'KY_Res by Plant Acct-P29 (Reg)'!R422</f>
        <v>0</v>
      </c>
      <c r="O27" s="29"/>
      <c r="P27" s="37">
        <f t="shared" si="2"/>
        <v>0</v>
      </c>
    </row>
    <row r="28" spans="1:16" x14ac:dyDescent="0.2">
      <c r="A28" s="3" t="s">
        <v>380</v>
      </c>
      <c r="B28" s="151">
        <f>'KY_Cost Plant Acct-Gas-P20(REG)'!B28</f>
        <v>11524688.960000001</v>
      </c>
      <c r="C28" s="133"/>
      <c r="D28" s="151">
        <f>'KY_Cost Plant Acct-Gas-P20(REG)'!D28</f>
        <v>0</v>
      </c>
      <c r="E28" s="133"/>
      <c r="F28" s="151">
        <f>'KY_Cost Plant Acct-Gas-P20(REG)'!F28</f>
        <v>-23043.13</v>
      </c>
      <c r="G28" s="133"/>
      <c r="H28" s="151">
        <f>'KY_Cost Plant Acct-Gas-P20(REG)'!H28</f>
        <v>1120194</v>
      </c>
      <c r="I28" s="133"/>
      <c r="J28" s="151">
        <f t="shared" si="0"/>
        <v>1097150.8700000001</v>
      </c>
      <c r="K28" s="133"/>
      <c r="L28" s="151">
        <f t="shared" si="1"/>
        <v>12621839.830000002</v>
      </c>
      <c r="M28" s="148"/>
      <c r="N28" s="134">
        <f>'KY_Res by Plant Acct-P29 (Reg)'!R423</f>
        <v>-1602634.8600000017</v>
      </c>
      <c r="O28" s="29"/>
      <c r="P28" s="134">
        <f t="shared" si="2"/>
        <v>11019204.970000001</v>
      </c>
    </row>
    <row r="29" spans="1:16" x14ac:dyDescent="0.2">
      <c r="B29" s="133">
        <f>SUM(B11:B28)</f>
        <v>883475153.1700002</v>
      </c>
      <c r="C29" s="133"/>
      <c r="D29" s="133">
        <f>SUM(D11:D28)</f>
        <v>61943685.030000001</v>
      </c>
      <c r="E29" s="133"/>
      <c r="F29" s="133">
        <f>SUM(F11:F28)</f>
        <v>-2576036.1799999997</v>
      </c>
      <c r="G29" s="133"/>
      <c r="H29" s="133">
        <f>SUM(H11:H28)</f>
        <v>1120194</v>
      </c>
      <c r="I29" s="133"/>
      <c r="J29" s="133">
        <f>SUM(J11:J28)</f>
        <v>60487842.850000001</v>
      </c>
      <c r="K29" s="133"/>
      <c r="L29" s="133">
        <f>SUM(L11:L28)</f>
        <v>943962996.01999998</v>
      </c>
      <c r="M29" s="148"/>
      <c r="N29" s="36">
        <f>SUM(N11:N28)</f>
        <v>-272438747.88</v>
      </c>
      <c r="O29" s="29"/>
      <c r="P29" s="36">
        <f>SUM(P11:P28)</f>
        <v>671524248.13999999</v>
      </c>
    </row>
    <row r="30" spans="1:16" x14ac:dyDescent="0.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47"/>
    </row>
    <row r="31" spans="1:16" x14ac:dyDescent="0.2">
      <c r="A31" s="9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47"/>
    </row>
    <row r="32" spans="1:16" x14ac:dyDescent="0.2">
      <c r="A32" s="3" t="s">
        <v>3019</v>
      </c>
      <c r="B32" s="136">
        <f>'KY_Cost Plant Acct-Gas-P20(REG)'!B32+'KY_Cost Plant Acct-Gas-P20(REG)'!B95</f>
        <v>43682.79</v>
      </c>
      <c r="C32" s="136"/>
      <c r="D32" s="136">
        <f>'KY_Cost Plant Acct-Gas-P20(REG)'!D32+'KY_Cost Plant Acct-Gas-P20(REG)'!D95</f>
        <v>-2742.07</v>
      </c>
      <c r="E32" s="136"/>
      <c r="F32" s="136">
        <f>'KY_Cost Plant Acct-Gas-P20(REG)'!F32</f>
        <v>0</v>
      </c>
      <c r="G32" s="136"/>
      <c r="H32" s="136">
        <f>'KY_Cost Plant Acct-Gas-P20(REG)'!H32</f>
        <v>0</v>
      </c>
      <c r="I32" s="136"/>
      <c r="J32" s="136">
        <f>H32+F32+D32</f>
        <v>-2742.07</v>
      </c>
      <c r="K32" s="136"/>
      <c r="L32" s="136">
        <f>J32+B32</f>
        <v>40940.720000000001</v>
      </c>
      <c r="M32" s="147"/>
      <c r="N32" s="37">
        <f>'KY_Res by Plant Acct-P29 (Reg)'!R427</f>
        <v>-15241.85</v>
      </c>
      <c r="P32" s="37">
        <f>L32+N32</f>
        <v>25698.870000000003</v>
      </c>
    </row>
    <row r="33" spans="1:16" x14ac:dyDescent="0.2">
      <c r="A33" s="3" t="s">
        <v>3020</v>
      </c>
      <c r="B33" s="136">
        <f>'KY_Cost Plant Acct-Gas-P20(REG)'!B33+'KY_Cost Plant Acct-Gas-P20(REG)'!B96</f>
        <v>926192.23</v>
      </c>
      <c r="C33" s="136"/>
      <c r="D33" s="136">
        <f>'KY_Cost Plant Acct-Gas-P20(REG)'!D33+'KY_Cost Plant Acct-Gas-P20(REG)'!D96</f>
        <v>139050.34</v>
      </c>
      <c r="E33" s="136"/>
      <c r="F33" s="136">
        <f>'KY_Cost Plant Acct-Gas-P20(REG)'!F33</f>
        <v>-140373.57999999999</v>
      </c>
      <c r="G33" s="136"/>
      <c r="H33" s="136">
        <f>'KY_Cost Plant Acct-Gas-P20(REG)'!H33</f>
        <v>0</v>
      </c>
      <c r="I33" s="136"/>
      <c r="J33" s="136">
        <f t="shared" ref="J33:J39" si="3">H33+F33+D33</f>
        <v>-1323.2399999999907</v>
      </c>
      <c r="K33" s="136"/>
      <c r="L33" s="136">
        <f t="shared" ref="L33:L39" si="4">J33+B33</f>
        <v>924868.99</v>
      </c>
      <c r="M33" s="147"/>
      <c r="N33" s="37">
        <f>'KY_Res by Plant Acct-P29 (Reg)'!R428</f>
        <v>-588254.99000000046</v>
      </c>
      <c r="P33" s="37">
        <f t="shared" ref="P33:P39" si="5">L33+N33</f>
        <v>336613.99999999953</v>
      </c>
    </row>
    <row r="34" spans="1:16" x14ac:dyDescent="0.2">
      <c r="A34" s="3" t="s">
        <v>385</v>
      </c>
      <c r="B34" s="136">
        <f>'KY_Cost Plant Acct-Gas-P20(REG)'!B34+'KY_Cost Plant Acct-Gas-P20(REG)'!B97</f>
        <v>828416.91</v>
      </c>
      <c r="C34" s="136"/>
      <c r="D34" s="136">
        <f>'KY_Cost Plant Acct-Gas-P20(REG)'!D34+'KY_Cost Plant Acct-Gas-P20(REG)'!D97</f>
        <v>46461.920000000013</v>
      </c>
      <c r="E34" s="136"/>
      <c r="F34" s="136">
        <f>'KY_Cost Plant Acct-Gas-P20(REG)'!F34</f>
        <v>-36801.83</v>
      </c>
      <c r="G34" s="136"/>
      <c r="H34" s="136">
        <f>'KY_Cost Plant Acct-Gas-P20(REG)'!H34</f>
        <v>0</v>
      </c>
      <c r="I34" s="136"/>
      <c r="J34" s="136">
        <f t="shared" si="3"/>
        <v>9660.0900000000111</v>
      </c>
      <c r="K34" s="136"/>
      <c r="L34" s="136">
        <f t="shared" si="4"/>
        <v>838077</v>
      </c>
      <c r="M34" s="147"/>
      <c r="N34" s="37">
        <f>'KY_Res by Plant Acct-P29 (Reg)'!R429</f>
        <v>-151499.67000000007</v>
      </c>
      <c r="P34" s="37">
        <f t="shared" si="5"/>
        <v>686577.33</v>
      </c>
    </row>
    <row r="35" spans="1:16" x14ac:dyDescent="0.2">
      <c r="A35" s="3" t="s">
        <v>387</v>
      </c>
      <c r="B35" s="136">
        <f>'KY_Cost Plant Acct-Gas-P20(REG)'!B35+'KY_Cost Plant Acct-Gas-P20(REG)'!B98</f>
        <v>6771338.4300000006</v>
      </c>
      <c r="C35" s="136"/>
      <c r="D35" s="136">
        <f>'KY_Cost Plant Acct-Gas-P20(REG)'!D35+'KY_Cost Plant Acct-Gas-P20(REG)'!D98</f>
        <v>447082.9</v>
      </c>
      <c r="E35" s="136"/>
      <c r="F35" s="136">
        <f>'KY_Cost Plant Acct-Gas-P20(REG)'!F35</f>
        <v>-335120.42</v>
      </c>
      <c r="G35" s="136"/>
      <c r="H35" s="136">
        <f>'KY_Cost Plant Acct-Gas-P20(REG)'!H35</f>
        <v>0</v>
      </c>
      <c r="I35" s="136"/>
      <c r="J35" s="136">
        <f t="shared" si="3"/>
        <v>111962.48000000004</v>
      </c>
      <c r="K35" s="136"/>
      <c r="L35" s="136">
        <f t="shared" si="4"/>
        <v>6883300.9100000011</v>
      </c>
      <c r="M35" s="147"/>
      <c r="N35" s="37">
        <f>'KY_Res by Plant Acct-P29 (Reg)'!R430</f>
        <v>-2574624.2499999995</v>
      </c>
      <c r="P35" s="37">
        <f t="shared" si="5"/>
        <v>4308676.660000002</v>
      </c>
    </row>
    <row r="36" spans="1:16" x14ac:dyDescent="0.2">
      <c r="A36" s="3" t="s">
        <v>388</v>
      </c>
      <c r="B36" s="136">
        <f>'KY_Cost Plant Acct-Gas-P20(REG)'!B36+'KY_Cost Plant Acct-Gas-P20(REG)'!B99</f>
        <v>0</v>
      </c>
      <c r="C36" s="136"/>
      <c r="D36" s="136">
        <f>'KY_Cost Plant Acct-Gas-P20(REG)'!D36+'KY_Cost Plant Acct-Gas-P20(REG)'!D99</f>
        <v>0</v>
      </c>
      <c r="E36" s="136"/>
      <c r="F36" s="136">
        <f>'KY_Cost Plant Acct-Gas-P20(REG)'!F36</f>
        <v>0</v>
      </c>
      <c r="G36" s="136"/>
      <c r="H36" s="136">
        <f>'KY_Cost Plant Acct-Gas-P20(REG)'!H36</f>
        <v>0</v>
      </c>
      <c r="I36" s="136"/>
      <c r="J36" s="136">
        <f t="shared" si="3"/>
        <v>0</v>
      </c>
      <c r="K36" s="136"/>
      <c r="L36" s="136">
        <f t="shared" si="4"/>
        <v>0</v>
      </c>
      <c r="M36" s="147"/>
      <c r="N36" s="37">
        <f>'KY_Res by Plant Acct-P29 (Reg)'!R431</f>
        <v>0</v>
      </c>
      <c r="P36" s="37">
        <f t="shared" si="5"/>
        <v>0</v>
      </c>
    </row>
    <row r="37" spans="1:16" x14ac:dyDescent="0.2">
      <c r="A37" s="3" t="s">
        <v>3025</v>
      </c>
      <c r="B37" s="136">
        <f>'KY_Cost Plant Acct-Gas-P20(REG)'!B37+'KY_Cost Plant Acct-Gas-P20(REG)'!B100</f>
        <v>3317259.49</v>
      </c>
      <c r="C37" s="133"/>
      <c r="D37" s="136">
        <f>'KY_Cost Plant Acct-Gas-P20(REG)'!D37+'KY_Cost Plant Acct-Gas-P20(REG)'!D100</f>
        <v>445433.43</v>
      </c>
      <c r="E37" s="133"/>
      <c r="F37" s="136">
        <f>'KY_Cost Plant Acct-Gas-P20(REG)'!F37</f>
        <v>-281849.92</v>
      </c>
      <c r="G37" s="133"/>
      <c r="H37" s="136">
        <f>'KY_Cost Plant Acct-Gas-P20(REG)'!H37</f>
        <v>0</v>
      </c>
      <c r="I37" s="133"/>
      <c r="J37" s="133">
        <f t="shared" si="3"/>
        <v>163583.51</v>
      </c>
      <c r="K37" s="133"/>
      <c r="L37" s="133">
        <f t="shared" si="4"/>
        <v>3480843</v>
      </c>
      <c r="M37" s="148"/>
      <c r="N37" s="37">
        <f>'KY_Res by Plant Acct-P29 (Reg)'!R432</f>
        <v>-2242509.2500000005</v>
      </c>
      <c r="P37" s="37">
        <f t="shared" si="5"/>
        <v>1238333.7499999995</v>
      </c>
    </row>
    <row r="38" spans="1:16" x14ac:dyDescent="0.2">
      <c r="A38" s="3" t="s">
        <v>390</v>
      </c>
      <c r="B38" s="133">
        <f>'KY_Cost Plant Acct-Gas-P20(REG)'!B38+'KY_Cost Plant Acct-Gas-P20(REG)'!B101</f>
        <v>214328.50999999998</v>
      </c>
      <c r="C38" s="133"/>
      <c r="D38" s="133">
        <f>'KY_Cost Plant Acct-Gas-P20(REG)'!D38+'KY_Cost Plant Acct-Gas-P20(REG)'!D101</f>
        <v>0</v>
      </c>
      <c r="E38" s="133"/>
      <c r="F38" s="133">
        <f>'KY_Cost Plant Acct-Gas-P20(REG)'!F38</f>
        <v>0</v>
      </c>
      <c r="G38" s="133"/>
      <c r="H38" s="133">
        <f>'KY_Cost Plant Acct-Gas-P20(REG)'!H38</f>
        <v>0</v>
      </c>
      <c r="I38" s="133"/>
      <c r="J38" s="133">
        <f t="shared" si="3"/>
        <v>0</v>
      </c>
      <c r="K38" s="133"/>
      <c r="L38" s="133">
        <f t="shared" si="4"/>
        <v>214328.50999999998</v>
      </c>
      <c r="M38" s="148"/>
      <c r="N38" s="36">
        <f>'KY_Res by Plant Acct-P29 (Reg)'!R433</f>
        <v>-117119.18</v>
      </c>
      <c r="O38" s="29"/>
      <c r="P38" s="36">
        <f t="shared" si="5"/>
        <v>97209.329999999987</v>
      </c>
    </row>
    <row r="39" spans="1:16" x14ac:dyDescent="0.2">
      <c r="A39" s="21" t="s">
        <v>392</v>
      </c>
      <c r="B39" s="133">
        <f>'KY_Cost Plant Acct-Gas-P20(REG)'!B39+'KY_Cost Plant Acct-Gas-P20(REG)'!B102</f>
        <v>0</v>
      </c>
      <c r="C39" s="133"/>
      <c r="D39" s="133">
        <f>'KY_Cost Plant Acct-Gas-P20(REG)'!D39+'KY_Cost Plant Acct-Gas-P20(REG)'!D102</f>
        <v>0</v>
      </c>
      <c r="E39" s="133"/>
      <c r="F39" s="133">
        <f>'KY_Cost Plant Acct-Gas-P20(REG)'!F39</f>
        <v>0</v>
      </c>
      <c r="G39" s="133"/>
      <c r="H39" s="133">
        <f>'KY_Cost Plant Acct-Gas-P20(REG)'!H39</f>
        <v>0</v>
      </c>
      <c r="I39" s="133"/>
      <c r="J39" s="133">
        <f t="shared" si="3"/>
        <v>0</v>
      </c>
      <c r="K39" s="133"/>
      <c r="L39" s="133">
        <f t="shared" si="4"/>
        <v>0</v>
      </c>
      <c r="M39" s="148"/>
      <c r="N39" s="36">
        <f>'KY_Res by Plant Acct-P29 (Reg)'!R434</f>
        <v>-9.0949470177292824E-13</v>
      </c>
      <c r="P39" s="36">
        <f t="shared" si="5"/>
        <v>-9.0949470177292824E-13</v>
      </c>
    </row>
    <row r="40" spans="1:16" x14ac:dyDescent="0.2">
      <c r="B40" s="150">
        <f>SUM(B32:B39)</f>
        <v>12101218.360000001</v>
      </c>
      <c r="C40" s="133"/>
      <c r="D40" s="150">
        <f>SUM(D32:D39)</f>
        <v>1075286.52</v>
      </c>
      <c r="E40" s="133"/>
      <c r="F40" s="150">
        <f>SUM(F32:F39)</f>
        <v>-794145.75</v>
      </c>
      <c r="G40" s="133"/>
      <c r="H40" s="150">
        <f>SUM(H32:H39)</f>
        <v>0</v>
      </c>
      <c r="I40" s="133"/>
      <c r="J40" s="150">
        <f>SUM(J32:J39)</f>
        <v>281140.77000000008</v>
      </c>
      <c r="K40" s="133"/>
      <c r="L40" s="150">
        <f>SUM(L32:L39)</f>
        <v>12382359.130000001</v>
      </c>
      <c r="M40" s="148"/>
      <c r="N40" s="150">
        <f>SUM(N32:N39)</f>
        <v>-5689249.1899999995</v>
      </c>
      <c r="P40" s="150">
        <f>SUM(P32:P39)</f>
        <v>6693109.9400000013</v>
      </c>
    </row>
    <row r="41" spans="1:16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48"/>
    </row>
    <row r="42" spans="1:16" x14ac:dyDescent="0.2">
      <c r="A42" s="9" t="s">
        <v>29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48"/>
    </row>
    <row r="43" spans="1:16" x14ac:dyDescent="0.2">
      <c r="A43" s="3" t="s">
        <v>394</v>
      </c>
      <c r="B43" s="151">
        <f>'KY_Cost Plant Acct-Gas-P20(REG)'!B43</f>
        <v>387.49</v>
      </c>
      <c r="C43" s="133"/>
      <c r="D43" s="151">
        <f>'KY_Cost Plant Acct-Gas-P20(REG)'!D43</f>
        <v>0</v>
      </c>
      <c r="E43" s="133"/>
      <c r="F43" s="151">
        <f>'KY_Cost Plant Acct-Gas-P20(REG)'!F43</f>
        <v>0</v>
      </c>
      <c r="G43" s="133"/>
      <c r="H43" s="151">
        <f>'KY_Cost Plant Acct-Gas-P20(REG)'!H43</f>
        <v>0</v>
      </c>
      <c r="I43" s="133"/>
      <c r="J43" s="151">
        <f>H43+F43+D43</f>
        <v>0</v>
      </c>
      <c r="K43" s="133"/>
      <c r="L43" s="151">
        <f>J43+B43</f>
        <v>387.49</v>
      </c>
      <c r="M43" s="148"/>
      <c r="N43" s="134">
        <f>'KY_Res by Plant Acct-P29 (Reg)'!R470</f>
        <v>-208.68000000000004</v>
      </c>
      <c r="P43" s="134">
        <f>L43+N43</f>
        <v>178.80999999999997</v>
      </c>
    </row>
    <row r="44" spans="1:16" x14ac:dyDescent="0.2">
      <c r="B44" s="133">
        <f>SUM(B43)</f>
        <v>387.49</v>
      </c>
      <c r="C44" s="133"/>
      <c r="D44" s="133">
        <f>SUM(D43)</f>
        <v>0</v>
      </c>
      <c r="E44" s="133"/>
      <c r="F44" s="133">
        <f>SUM(F43)</f>
        <v>0</v>
      </c>
      <c r="G44" s="133"/>
      <c r="H44" s="133">
        <f>SUM(H43)</f>
        <v>0</v>
      </c>
      <c r="I44" s="133"/>
      <c r="J44" s="133">
        <f>SUM(J43)</f>
        <v>0</v>
      </c>
      <c r="K44" s="133"/>
      <c r="L44" s="133">
        <f>SUM(L43)</f>
        <v>387.49</v>
      </c>
      <c r="M44" s="148"/>
      <c r="N44" s="37">
        <f>SUM(N43)</f>
        <v>-208.68000000000004</v>
      </c>
      <c r="P44" s="37">
        <f>SUM(P43)</f>
        <v>178.80999999999997</v>
      </c>
    </row>
    <row r="45" spans="1:16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48"/>
    </row>
    <row r="46" spans="1:16" x14ac:dyDescent="0.2">
      <c r="A46" s="9" t="s">
        <v>30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48"/>
    </row>
    <row r="47" spans="1:16" x14ac:dyDescent="0.2">
      <c r="A47" s="3" t="s">
        <v>396</v>
      </c>
      <c r="B47" s="133">
        <f>'KY_Cost Plant Acct-Gas-P20(REG)'!B47</f>
        <v>29500.57</v>
      </c>
      <c r="C47" s="133"/>
      <c r="D47" s="133">
        <f>'KY_Cost Plant Acct-Gas-P20(REG)'!D47</f>
        <v>0</v>
      </c>
      <c r="E47" s="133"/>
      <c r="F47" s="133">
        <f>'KY_Cost Plant Acct-Gas-P20(REG)'!F47</f>
        <v>0</v>
      </c>
      <c r="G47" s="133"/>
      <c r="H47" s="133">
        <f>'KY_Cost Plant Acct-Gas-P20(REG)'!H47</f>
        <v>0</v>
      </c>
      <c r="I47" s="133"/>
      <c r="J47" s="133">
        <f t="shared" ref="J47:J64" si="6">H47+F47+D47</f>
        <v>0</v>
      </c>
      <c r="K47" s="133"/>
      <c r="L47" s="133">
        <f t="shared" ref="L47:L64" si="7">J47+B47</f>
        <v>29500.57</v>
      </c>
      <c r="M47" s="148"/>
      <c r="N47" s="37">
        <f>'KY_Res by Plant Acct-P29 (Reg)'!R439</f>
        <v>0</v>
      </c>
      <c r="P47" s="37">
        <f t="shared" ref="P47:P64" si="8">L47+N47</f>
        <v>29500.57</v>
      </c>
    </row>
    <row r="48" spans="1:16" x14ac:dyDescent="0.2">
      <c r="A48" s="3" t="s">
        <v>397</v>
      </c>
      <c r="B48" s="133">
        <f>'KY_Cost Plant Acct-Gas-P20(REG)'!B48</f>
        <v>101212.48999999999</v>
      </c>
      <c r="C48" s="133"/>
      <c r="D48" s="133">
        <f>'KY_Cost Plant Acct-Gas-P20(REG)'!D48</f>
        <v>0</v>
      </c>
      <c r="E48" s="133"/>
      <c r="F48" s="133">
        <f>'KY_Cost Plant Acct-Gas-P20(REG)'!F48</f>
        <v>0</v>
      </c>
      <c r="G48" s="133"/>
      <c r="H48" s="133">
        <f>'KY_Cost Plant Acct-Gas-P20(REG)'!H48</f>
        <v>0</v>
      </c>
      <c r="I48" s="133"/>
      <c r="J48" s="133">
        <f t="shared" si="6"/>
        <v>0</v>
      </c>
      <c r="K48" s="133"/>
      <c r="L48" s="133">
        <f t="shared" si="7"/>
        <v>101212.48999999999</v>
      </c>
      <c r="M48" s="148"/>
      <c r="N48" s="37">
        <f>'KY_Res by Plant Acct-P29 (Reg)'!R440</f>
        <v>-70329.789999999994</v>
      </c>
      <c r="P48" s="37">
        <f t="shared" si="8"/>
        <v>30882.699999999997</v>
      </c>
    </row>
    <row r="49" spans="1:16" x14ac:dyDescent="0.2">
      <c r="A49" s="3" t="s">
        <v>399</v>
      </c>
      <c r="B49" s="133">
        <f>'KY_Cost Plant Acct-Gas-P20(REG)'!B49+'KY_Cost Plant Acct-Gas-P20(REG)'!B106</f>
        <v>10054179.92</v>
      </c>
      <c r="C49" s="133"/>
      <c r="D49" s="133">
        <f>'KY_Cost Plant Acct-Gas-P20(REG)'!D49+'KY_Cost Plant Acct-Gas-P20(REG)'!D106</f>
        <v>54209.109999999986</v>
      </c>
      <c r="E49" s="133"/>
      <c r="F49" s="133">
        <f>'KY_Cost Plant Acct-Gas-P20(REG)'!F49</f>
        <v>-10299.040000000001</v>
      </c>
      <c r="G49" s="133"/>
      <c r="H49" s="133">
        <f>'KY_Cost Plant Acct-Gas-P20(REG)'!H49</f>
        <v>0</v>
      </c>
      <c r="I49" s="133"/>
      <c r="J49" s="133">
        <f t="shared" si="6"/>
        <v>43910.069999999985</v>
      </c>
      <c r="K49" s="133"/>
      <c r="L49" s="133">
        <f t="shared" si="7"/>
        <v>10098089.99</v>
      </c>
      <c r="M49" s="148"/>
      <c r="N49" s="37">
        <f>'KY_Res by Plant Acct-P29 (Reg)'!R441</f>
        <v>-1585389.44</v>
      </c>
      <c r="P49" s="37">
        <f t="shared" si="8"/>
        <v>8512700.5500000007</v>
      </c>
    </row>
    <row r="50" spans="1:16" x14ac:dyDescent="0.2">
      <c r="A50" s="3" t="s">
        <v>400</v>
      </c>
      <c r="B50" s="133">
        <f>'KY_Cost Plant Acct-Gas-P20(REG)'!B50+'KY_Cost Plant Acct-Gas-P20(REG)'!B107</f>
        <v>33043.050000000003</v>
      </c>
      <c r="C50" s="133"/>
      <c r="D50" s="133">
        <f>'KY_Cost Plant Acct-Gas-P20(REG)'!D50+'KY_Cost Plant Acct-Gas-P20(REG)'!D107</f>
        <v>0</v>
      </c>
      <c r="E50" s="133"/>
      <c r="F50" s="133">
        <f>'KY_Cost Plant Acct-Gas-P20(REG)'!F50</f>
        <v>0</v>
      </c>
      <c r="G50" s="133"/>
      <c r="H50" s="133">
        <f>'KY_Cost Plant Acct-Gas-P20(REG)'!H50</f>
        <v>0</v>
      </c>
      <c r="I50" s="133"/>
      <c r="J50" s="133">
        <f>H50+F50+D50</f>
        <v>0</v>
      </c>
      <c r="K50" s="133"/>
      <c r="L50" s="133">
        <f>J50+B50</f>
        <v>33043.050000000003</v>
      </c>
      <c r="M50" s="148"/>
      <c r="N50" s="37">
        <f>'KY_Res by Plant Acct-P29 (Reg)'!R442</f>
        <v>-16568.57</v>
      </c>
      <c r="P50" s="37">
        <f t="shared" si="8"/>
        <v>16474.480000000003</v>
      </c>
    </row>
    <row r="51" spans="1:16" x14ac:dyDescent="0.2">
      <c r="A51" s="3" t="s">
        <v>401</v>
      </c>
      <c r="B51" s="133">
        <f>'KY_Cost Plant Acct-Gas-P20(REG)'!B51+'KY_Cost Plant Acct-Gas-P20(REG)'!B108</f>
        <v>4222652.38</v>
      </c>
      <c r="C51" s="133"/>
      <c r="D51" s="133">
        <f>'KY_Cost Plant Acct-Gas-P20(REG)'!D51+'KY_Cost Plant Acct-Gas-P20(REG)'!D108</f>
        <v>696215</v>
      </c>
      <c r="E51" s="133"/>
      <c r="F51" s="133">
        <f>'KY_Cost Plant Acct-Gas-P20(REG)'!F51</f>
        <v>-4266.4799999999996</v>
      </c>
      <c r="G51" s="133"/>
      <c r="H51" s="133">
        <f>'KY_Cost Plant Acct-Gas-P20(REG)'!H51</f>
        <v>0</v>
      </c>
      <c r="I51" s="133"/>
      <c r="J51" s="133">
        <f t="shared" si="6"/>
        <v>691948.52</v>
      </c>
      <c r="K51" s="133"/>
      <c r="L51" s="133">
        <f t="shared" si="7"/>
        <v>4914600.9000000004</v>
      </c>
      <c r="M51" s="148"/>
      <c r="N51" s="37">
        <f>'KY_Res by Plant Acct-P29 (Reg)'!R443</f>
        <v>-785496.17999999993</v>
      </c>
      <c r="P51" s="37">
        <f t="shared" si="8"/>
        <v>4129104.7200000007</v>
      </c>
    </row>
    <row r="52" spans="1:16" x14ac:dyDescent="0.2">
      <c r="A52" s="3" t="s">
        <v>407</v>
      </c>
      <c r="B52" s="133">
        <f>'KY_Cost Plant Acct-Gas-P20(REG)'!B52</f>
        <v>548241.14</v>
      </c>
      <c r="C52" s="133"/>
      <c r="D52" s="133">
        <f>'KY_Cost Plant Acct-Gas-P20(REG)'!D52</f>
        <v>0</v>
      </c>
      <c r="E52" s="133"/>
      <c r="F52" s="133">
        <f>'KY_Cost Plant Acct-Gas-P20(REG)'!F52</f>
        <v>0</v>
      </c>
      <c r="G52" s="133"/>
      <c r="H52" s="133">
        <f>'KY_Cost Plant Acct-Gas-P20(REG)'!H52</f>
        <v>0</v>
      </c>
      <c r="I52" s="133"/>
      <c r="J52" s="133">
        <f t="shared" si="6"/>
        <v>0</v>
      </c>
      <c r="K52" s="133"/>
      <c r="L52" s="133">
        <f t="shared" si="7"/>
        <v>548241.14</v>
      </c>
      <c r="M52" s="148"/>
      <c r="N52" s="37">
        <f>'KY_Res by Plant Acct-P29 (Reg)'!R444</f>
        <v>-569589.96</v>
      </c>
      <c r="P52" s="37">
        <f t="shared" si="8"/>
        <v>-21348.819999999949</v>
      </c>
    </row>
    <row r="53" spans="1:16" x14ac:dyDescent="0.2">
      <c r="A53" s="3" t="s">
        <v>408</v>
      </c>
      <c r="B53" s="133">
        <f>'KY_Cost Plant Acct-Gas-P20(REG)'!B53</f>
        <v>400511.4</v>
      </c>
      <c r="C53" s="133"/>
      <c r="D53" s="133">
        <f>'KY_Cost Plant Acct-Gas-P20(REG)'!D53</f>
        <v>0</v>
      </c>
      <c r="E53" s="133"/>
      <c r="F53" s="133">
        <f>'KY_Cost Plant Acct-Gas-P20(REG)'!F53</f>
        <v>0</v>
      </c>
      <c r="G53" s="133"/>
      <c r="H53" s="133">
        <f>'KY_Cost Plant Acct-Gas-P20(REG)'!H53</f>
        <v>0</v>
      </c>
      <c r="I53" s="133"/>
      <c r="J53" s="133">
        <f t="shared" si="6"/>
        <v>0</v>
      </c>
      <c r="K53" s="133"/>
      <c r="L53" s="133">
        <f t="shared" si="7"/>
        <v>400511.4</v>
      </c>
      <c r="M53" s="148"/>
      <c r="N53" s="37">
        <f>'KY_Res by Plant Acct-P29 (Reg)'!R445</f>
        <v>-452027.29</v>
      </c>
      <c r="P53" s="37">
        <f t="shared" si="8"/>
        <v>-51515.889999999956</v>
      </c>
    </row>
    <row r="54" spans="1:16" x14ac:dyDescent="0.2">
      <c r="A54" s="3" t="s">
        <v>409</v>
      </c>
      <c r="B54" s="133">
        <f>'KY_Cost Plant Acct-Gas-P20(REG)'!B54</f>
        <v>9648855</v>
      </c>
      <c r="C54" s="133"/>
      <c r="D54" s="133">
        <f>'KY_Cost Plant Acct-Gas-P20(REG)'!D54</f>
        <v>0</v>
      </c>
      <c r="E54" s="133"/>
      <c r="F54" s="133">
        <f>'KY_Cost Plant Acct-Gas-P20(REG)'!F54</f>
        <v>0</v>
      </c>
      <c r="G54" s="133"/>
      <c r="H54" s="133">
        <f>'KY_Cost Plant Acct-Gas-P20(REG)'!H54</f>
        <v>0</v>
      </c>
      <c r="I54" s="133"/>
      <c r="J54" s="133">
        <f t="shared" si="6"/>
        <v>0</v>
      </c>
      <c r="K54" s="133"/>
      <c r="L54" s="133">
        <f t="shared" si="7"/>
        <v>9648855</v>
      </c>
      <c r="M54" s="148"/>
      <c r="N54" s="37">
        <f>'KY_Res by Plant Acct-P29 (Reg)'!R446</f>
        <v>-8261091.0800000001</v>
      </c>
      <c r="P54" s="37">
        <f t="shared" si="8"/>
        <v>1387763.92</v>
      </c>
    </row>
    <row r="55" spans="1:16" x14ac:dyDescent="0.2">
      <c r="A55" s="3" t="s">
        <v>403</v>
      </c>
      <c r="B55" s="133">
        <f>'KY_Cost Plant Acct-Gas-P20(REG)'!B55+'KY_Cost Plant Acct-Gas-P20(REG)'!B109</f>
        <v>3613513.9299999997</v>
      </c>
      <c r="C55" s="133"/>
      <c r="D55" s="133">
        <f>'KY_Cost Plant Acct-Gas-P20(REG)'!D55+'KY_Cost Plant Acct-Gas-P20(REG)'!D109</f>
        <v>0</v>
      </c>
      <c r="E55" s="133"/>
      <c r="F55" s="133">
        <f>'KY_Cost Plant Acct-Gas-P20(REG)'!F55+'KY_Cost Plant Acct-Gas-P20(REG)'!F109</f>
        <v>-19224.330000000002</v>
      </c>
      <c r="G55" s="133"/>
      <c r="H55" s="133">
        <f>'KY_Cost Plant Acct-Gas-P20(REG)'!H55+'KY_Cost Plant Acct-Gas-P20(REG)'!H109</f>
        <v>0</v>
      </c>
      <c r="I55" s="133"/>
      <c r="J55" s="133">
        <f t="shared" si="6"/>
        <v>-19224.330000000002</v>
      </c>
      <c r="K55" s="133"/>
      <c r="L55" s="133">
        <f>J55+B55</f>
        <v>3594289.5999999996</v>
      </c>
      <c r="M55" s="148"/>
      <c r="N55" s="37">
        <f>'KY_Res by Plant Acct-P29 (Reg)'!R447</f>
        <v>-1769329.5399999996</v>
      </c>
      <c r="P55" s="37">
        <f t="shared" si="8"/>
        <v>1824960.06</v>
      </c>
    </row>
    <row r="56" spans="1:16" x14ac:dyDescent="0.2">
      <c r="A56" s="3" t="s">
        <v>404</v>
      </c>
      <c r="B56" s="133">
        <f>'KY_Cost Plant Acct-Gas-P20(REG)'!B56+'KY_Cost Plant Acct-Gas-P20(REG)'!B110</f>
        <v>0</v>
      </c>
      <c r="C56" s="133"/>
      <c r="D56" s="133">
        <f>'KY_Cost Plant Acct-Gas-P20(REG)'!D56+'KY_Cost Plant Acct-Gas-P20(REG)'!D110</f>
        <v>0</v>
      </c>
      <c r="E56" s="133"/>
      <c r="F56" s="133">
        <f>'KY_Cost Plant Acct-Gas-P20(REG)'!F56</f>
        <v>0</v>
      </c>
      <c r="G56" s="133"/>
      <c r="H56" s="133">
        <f>'KY_Cost Plant Acct-Gas-P20(REG)'!H56</f>
        <v>0</v>
      </c>
      <c r="I56" s="133"/>
      <c r="J56" s="133">
        <f t="shared" si="6"/>
        <v>0</v>
      </c>
      <c r="K56" s="133"/>
      <c r="L56" s="133">
        <f t="shared" si="7"/>
        <v>0</v>
      </c>
      <c r="M56" s="148"/>
      <c r="N56" s="37">
        <f>'KY_Res by Plant Acct-P29 (Reg)'!R448</f>
        <v>2.3283064365386963E-10</v>
      </c>
      <c r="P56" s="37">
        <f t="shared" si="8"/>
        <v>2.3283064365386963E-10</v>
      </c>
    </row>
    <row r="57" spans="1:16" x14ac:dyDescent="0.2">
      <c r="A57" s="3" t="s">
        <v>405</v>
      </c>
      <c r="B57" s="133">
        <f>'KY_Cost Plant Acct-Gas-P20(REG)'!B57+'KY_Cost Plant Acct-Gas-P20(REG)'!B111</f>
        <v>10935420.229999999</v>
      </c>
      <c r="C57" s="133"/>
      <c r="D57" s="133">
        <f>'KY_Cost Plant Acct-Gas-P20(REG)'!D57+'KY_Cost Plant Acct-Gas-P20(REG)'!D111</f>
        <v>892926.34000000008</v>
      </c>
      <c r="E57" s="133"/>
      <c r="F57" s="133">
        <f>'KY_Cost Plant Acct-Gas-P20(REG)'!F57</f>
        <v>-68778.55</v>
      </c>
      <c r="G57" s="133"/>
      <c r="H57" s="133">
        <f>'KY_Cost Plant Acct-Gas-P20(REG)'!H57</f>
        <v>0</v>
      </c>
      <c r="I57" s="133"/>
      <c r="J57" s="133">
        <f t="shared" si="6"/>
        <v>824147.79</v>
      </c>
      <c r="K57" s="133"/>
      <c r="L57" s="133">
        <f>J57+B57</f>
        <v>11759568.02</v>
      </c>
      <c r="M57" s="148"/>
      <c r="N57" s="37">
        <f>'KY_Res by Plant Acct-P29 (Reg)'!R449</f>
        <v>-2247984.8200000008</v>
      </c>
      <c r="P57" s="37">
        <f t="shared" si="8"/>
        <v>9511583.1999999993</v>
      </c>
    </row>
    <row r="58" spans="1:16" x14ac:dyDescent="0.2">
      <c r="A58" s="3" t="s">
        <v>410</v>
      </c>
      <c r="B58" s="133">
        <f>'KY_Cost Plant Acct-Gas-P20(REG)'!B58+'KY_Cost Plant Acct-Gas-P20(REG)'!B112</f>
        <v>18289231.039999999</v>
      </c>
      <c r="C58" s="133"/>
      <c r="D58" s="133">
        <f>'KY_Cost Plant Acct-Gas-P20(REG)'!D58+'KY_Cost Plant Acct-Gas-P20(REG)'!D112</f>
        <v>1459522.26</v>
      </c>
      <c r="E58" s="133"/>
      <c r="F58" s="133">
        <f>'KY_Cost Plant Acct-Gas-P20(REG)'!F58</f>
        <v>-36252.04</v>
      </c>
      <c r="G58" s="133"/>
      <c r="H58" s="133">
        <f>'KY_Cost Plant Acct-Gas-P20(REG)'!H58</f>
        <v>0</v>
      </c>
      <c r="I58" s="133"/>
      <c r="J58" s="133">
        <f t="shared" si="6"/>
        <v>1423270.22</v>
      </c>
      <c r="K58" s="133"/>
      <c r="L58" s="133">
        <f t="shared" si="7"/>
        <v>19712501.259999998</v>
      </c>
      <c r="M58" s="148"/>
      <c r="N58" s="37">
        <f>'KY_Res by Plant Acct-P29 (Reg)'!R450</f>
        <v>-8239125.0399999963</v>
      </c>
      <c r="P58" s="37">
        <f t="shared" si="8"/>
        <v>11473376.220000003</v>
      </c>
    </row>
    <row r="59" spans="1:16" x14ac:dyDescent="0.2">
      <c r="A59" s="3" t="s">
        <v>411</v>
      </c>
      <c r="B59" s="133">
        <f>'KY_Cost Plant Acct-Gas-P20(REG)'!B59+'KY_Cost Plant Acct-Gas-P20(REG)'!B113</f>
        <v>56199067.460000001</v>
      </c>
      <c r="C59" s="133"/>
      <c r="D59" s="133">
        <f>'KY_Cost Plant Acct-Gas-P20(REG)'!D59+'KY_Cost Plant Acct-Gas-P20(REG)'!D113</f>
        <v>5724026.1799999997</v>
      </c>
      <c r="E59" s="133"/>
      <c r="F59" s="133">
        <f>'KY_Cost Plant Acct-Gas-P20(REG)'!F59</f>
        <v>-140346.94</v>
      </c>
      <c r="G59" s="133"/>
      <c r="H59" s="133">
        <f>'KY_Cost Plant Acct-Gas-P20(REG)'!H59</f>
        <v>0</v>
      </c>
      <c r="I59" s="133"/>
      <c r="J59" s="133">
        <f t="shared" si="6"/>
        <v>5583679.2399999993</v>
      </c>
      <c r="K59" s="133"/>
      <c r="L59" s="133">
        <f t="shared" si="7"/>
        <v>61782746.700000003</v>
      </c>
      <c r="M59" s="148"/>
      <c r="N59" s="37">
        <f>'KY_Res by Plant Acct-P29 (Reg)'!R451</f>
        <v>-8261841.6500000022</v>
      </c>
      <c r="P59" s="37">
        <f t="shared" si="8"/>
        <v>53520905.049999997</v>
      </c>
    </row>
    <row r="60" spans="1:16" x14ac:dyDescent="0.2">
      <c r="A60" s="3" t="s">
        <v>412</v>
      </c>
      <c r="B60" s="133">
        <f>'KY_Cost Plant Acct-Gas-P20(REG)'!B60+'KY_Cost Plant Acct-Gas-P20(REG)'!B114</f>
        <v>1985203.96</v>
      </c>
      <c r="C60" s="133"/>
      <c r="D60" s="133">
        <f>'KY_Cost Plant Acct-Gas-P20(REG)'!D60+'KY_Cost Plant Acct-Gas-P20(REG)'!D114</f>
        <v>150841.40999999992</v>
      </c>
      <c r="E60" s="133"/>
      <c r="F60" s="133">
        <f>'KY_Cost Plant Acct-Gas-P20(REG)'!F60</f>
        <v>-13110.7</v>
      </c>
      <c r="G60" s="133"/>
      <c r="H60" s="133">
        <f>'KY_Cost Plant Acct-Gas-P20(REG)'!H60</f>
        <v>0</v>
      </c>
      <c r="I60" s="133"/>
      <c r="J60" s="133">
        <f t="shared" si="6"/>
        <v>137730.7099999999</v>
      </c>
      <c r="K60" s="133"/>
      <c r="L60" s="133">
        <f t="shared" si="7"/>
        <v>2122934.67</v>
      </c>
      <c r="M60" s="148"/>
      <c r="N60" s="37">
        <f>'KY_Res by Plant Acct-P29 (Reg)'!R452</f>
        <v>-287386.69</v>
      </c>
      <c r="P60" s="37">
        <f t="shared" si="8"/>
        <v>1835547.98</v>
      </c>
    </row>
    <row r="61" spans="1:16" x14ac:dyDescent="0.2">
      <c r="A61" s="3" t="s">
        <v>413</v>
      </c>
      <c r="B61" s="133">
        <f>'KY_Cost Plant Acct-Gas-P20(REG)'!B61+'KY_Cost Plant Acct-Gas-P20(REG)'!B115</f>
        <v>22844423.969999999</v>
      </c>
      <c r="C61" s="133"/>
      <c r="D61" s="133">
        <f>'KY_Cost Plant Acct-Gas-P20(REG)'!D61+'KY_Cost Plant Acct-Gas-P20(REG)'!D115</f>
        <v>350863.48</v>
      </c>
      <c r="E61" s="133"/>
      <c r="F61" s="133">
        <f>'KY_Cost Plant Acct-Gas-P20(REG)'!F61</f>
        <v>-178700.26</v>
      </c>
      <c r="G61" s="133"/>
      <c r="H61" s="133">
        <f>'KY_Cost Plant Acct-Gas-P20(REG)'!H61</f>
        <v>0</v>
      </c>
      <c r="I61" s="133"/>
      <c r="J61" s="133">
        <f t="shared" si="6"/>
        <v>172163.21999999997</v>
      </c>
      <c r="K61" s="133"/>
      <c r="L61" s="133">
        <f t="shared" si="7"/>
        <v>23016587.189999998</v>
      </c>
      <c r="M61" s="148"/>
      <c r="N61" s="37">
        <f>'KY_Res by Plant Acct-P29 (Reg)'!R453</f>
        <v>-5985222.870000002</v>
      </c>
      <c r="P61" s="37">
        <f t="shared" si="8"/>
        <v>17031364.319999997</v>
      </c>
    </row>
    <row r="62" spans="1:16" x14ac:dyDescent="0.2">
      <c r="A62" s="3" t="s">
        <v>414</v>
      </c>
      <c r="B62" s="133">
        <f>'KY_Cost Plant Acct-Gas-P20(REG)'!B62+'KY_Cost Plant Acct-Gas-P20(REG)'!B116</f>
        <v>1835802.46</v>
      </c>
      <c r="C62" s="133"/>
      <c r="D62" s="133">
        <f>'KY_Cost Plant Acct-Gas-P20(REG)'!D62+'KY_Cost Plant Acct-Gas-P20(REG)'!D116</f>
        <v>50332.9</v>
      </c>
      <c r="E62" s="133"/>
      <c r="F62" s="133">
        <f>'KY_Cost Plant Acct-Gas-P20(REG)'!F62+'KY_Cost Plant Acct-Gas-P20(REG)'!F116</f>
        <v>0</v>
      </c>
      <c r="G62" s="133"/>
      <c r="H62" s="133">
        <f>'KY_Cost Plant Acct-Gas-P20(REG)'!H62+'KY_Cost Plant Acct-Gas-P20(REG)'!H116</f>
        <v>0</v>
      </c>
      <c r="I62" s="133"/>
      <c r="J62" s="133">
        <f t="shared" si="6"/>
        <v>50332.9</v>
      </c>
      <c r="K62" s="133"/>
      <c r="L62" s="133">
        <f t="shared" si="7"/>
        <v>1886135.3599999999</v>
      </c>
      <c r="M62" s="148"/>
      <c r="N62" s="37">
        <f>'KY_Res by Plant Acct-P29 (Reg)'!R454</f>
        <v>-451081.1100000001</v>
      </c>
      <c r="P62" s="37">
        <f t="shared" si="8"/>
        <v>1435054.2499999998</v>
      </c>
    </row>
    <row r="63" spans="1:16" x14ac:dyDescent="0.2">
      <c r="A63" s="3" t="s">
        <v>415</v>
      </c>
      <c r="B63" s="133">
        <f>'KY_Cost Plant Acct-Gas-P20(REG)'!B63</f>
        <v>211678.65</v>
      </c>
      <c r="C63" s="133"/>
      <c r="D63" s="133">
        <f>'KY_Cost Plant Acct-Gas-P20(REG)'!D63</f>
        <v>0</v>
      </c>
      <c r="E63" s="133"/>
      <c r="F63" s="133">
        <f>'KY_Cost Plant Acct-Gas-P20(REG)'!F63</f>
        <v>-60682.27</v>
      </c>
      <c r="G63" s="133"/>
      <c r="H63" s="133">
        <f>'KY_Cost Plant Acct-Gas-P20(REG)'!H63</f>
        <v>38709.760000000002</v>
      </c>
      <c r="I63" s="133"/>
      <c r="J63" s="133">
        <f t="shared" si="6"/>
        <v>-21972.509999999995</v>
      </c>
      <c r="K63" s="133"/>
      <c r="L63" s="133">
        <f t="shared" si="7"/>
        <v>189706.14</v>
      </c>
      <c r="M63" s="148"/>
      <c r="N63" s="37">
        <f>'KY_Res by Plant Acct-P29 (Reg)'!R455</f>
        <v>-110476.79999999999</v>
      </c>
      <c r="P63" s="37">
        <f t="shared" si="8"/>
        <v>79229.340000000026</v>
      </c>
    </row>
    <row r="64" spans="1:16" x14ac:dyDescent="0.2">
      <c r="A64" s="3" t="s">
        <v>416</v>
      </c>
      <c r="B64" s="151">
        <f>'KY_Cost Plant Acct-Gas-P20(REG)'!B64</f>
        <v>4968621.09</v>
      </c>
      <c r="C64" s="133"/>
      <c r="D64" s="151">
        <f>'KY_Cost Plant Acct-Gas-P20(REG)'!D64</f>
        <v>0</v>
      </c>
      <c r="E64" s="133"/>
      <c r="F64" s="151">
        <f>'KY_Cost Plant Acct-Gas-P20(REG)'!F64</f>
        <v>-113692.42</v>
      </c>
      <c r="G64" s="133"/>
      <c r="H64" s="151">
        <f>'KY_Cost Plant Acct-Gas-P20(REG)'!H64</f>
        <v>-688774.51</v>
      </c>
      <c r="I64" s="133"/>
      <c r="J64" s="151">
        <f t="shared" si="6"/>
        <v>-802466.93</v>
      </c>
      <c r="K64" s="133"/>
      <c r="L64" s="151">
        <f t="shared" si="7"/>
        <v>4166154.1599999997</v>
      </c>
      <c r="M64" s="148"/>
      <c r="N64" s="134">
        <f>'KY_Res by Plant Acct-P29 (Reg)'!R456</f>
        <v>-914814.91</v>
      </c>
      <c r="P64" s="134">
        <f t="shared" si="8"/>
        <v>3251339.2499999995</v>
      </c>
    </row>
    <row r="65" spans="1:16" x14ac:dyDescent="0.2">
      <c r="B65" s="133">
        <f>SUM(B47:B64)</f>
        <v>145921158.74000001</v>
      </c>
      <c r="C65" s="133"/>
      <c r="D65" s="133">
        <f>SUM(D47:D64)</f>
        <v>9378936.6800000016</v>
      </c>
      <c r="E65" s="133"/>
      <c r="F65" s="133">
        <f>SUM(F47:F64)</f>
        <v>-645353.03</v>
      </c>
      <c r="G65" s="133"/>
      <c r="H65" s="133">
        <f>SUM(H47:H64)</f>
        <v>-650064.75</v>
      </c>
      <c r="I65" s="133"/>
      <c r="J65" s="133">
        <f>SUM(J47:J64)</f>
        <v>8083518.9000000004</v>
      </c>
      <c r="K65" s="133"/>
      <c r="L65" s="133">
        <f>SUM(L47:L64)</f>
        <v>154004677.64000002</v>
      </c>
      <c r="M65" s="148"/>
      <c r="N65" s="37">
        <f>SUM(N47:N64)</f>
        <v>-40007755.739999995</v>
      </c>
      <c r="P65" s="37">
        <f>SUM(P47:P64)</f>
        <v>113996921.90000001</v>
      </c>
    </row>
    <row r="66" spans="1:16" x14ac:dyDescent="0.2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47"/>
    </row>
    <row r="67" spans="1:16" x14ac:dyDescent="0.2">
      <c r="A67" s="9" t="s">
        <v>31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47"/>
    </row>
    <row r="68" spans="1:16" x14ac:dyDescent="0.2">
      <c r="A68" s="3" t="s">
        <v>419</v>
      </c>
      <c r="B68" s="136">
        <f>'KY_Cost Plant Acct-Gas-P20(REG)'!B68</f>
        <v>220659.05</v>
      </c>
      <c r="C68" s="136"/>
      <c r="D68" s="136">
        <f>'KY_Cost Plant Acct-Gas-P20(REG)'!D68</f>
        <v>0</v>
      </c>
      <c r="E68" s="136"/>
      <c r="F68" s="136">
        <f>'KY_Cost Plant Acct-Gas-P20(REG)'!F68</f>
        <v>0</v>
      </c>
      <c r="G68" s="136"/>
      <c r="H68" s="136">
        <f>'KY_Cost Plant Acct-Gas-P20(REG)'!H68</f>
        <v>0</v>
      </c>
      <c r="I68" s="136"/>
      <c r="J68" s="136">
        <f>H68+F68+D68</f>
        <v>0</v>
      </c>
      <c r="K68" s="136"/>
      <c r="L68" s="136">
        <f>J68+B68</f>
        <v>220659.05</v>
      </c>
      <c r="M68" s="147"/>
      <c r="N68" s="37">
        <f>'KY_Res by Plant Acct-P29 (Reg)'!R460</f>
        <v>-211165.35</v>
      </c>
      <c r="P68" s="37">
        <f>L68+N68</f>
        <v>9493.6999999999825</v>
      </c>
    </row>
    <row r="69" spans="1:16" x14ac:dyDescent="0.2">
      <c r="A69" s="3" t="s">
        <v>420</v>
      </c>
      <c r="B69" s="136">
        <f>'KY_Cost Plant Acct-Gas-P20(REG)'!B69+'KY_Cost Plant Acct-Gas-P20(REG)'!B120</f>
        <v>52506548.680000007</v>
      </c>
      <c r="C69" s="136"/>
      <c r="D69" s="136">
        <f>'KY_Cost Plant Acct-Gas-P20(REG)'!D69+'KY_Cost Plant Acct-Gas-P20(REG)'!D120</f>
        <v>339706.24000000022</v>
      </c>
      <c r="E69" s="136"/>
      <c r="F69" s="136">
        <f>'KY_Cost Plant Acct-Gas-P20(REG)'!F69</f>
        <v>-217700.06</v>
      </c>
      <c r="G69" s="136"/>
      <c r="H69" s="136">
        <f>'KY_Cost Plant Acct-Gas-P20(REG)'!H69</f>
        <v>0</v>
      </c>
      <c r="I69" s="136"/>
      <c r="J69" s="136">
        <f>H69+F69+D69</f>
        <v>122006.18000000023</v>
      </c>
      <c r="K69" s="136"/>
      <c r="L69" s="136">
        <f>J69+B69</f>
        <v>52628554.860000007</v>
      </c>
      <c r="M69" s="147"/>
      <c r="N69" s="37">
        <f>'KY_Res by Plant Acct-P29 (Reg)'!R461</f>
        <v>-11729845.799999999</v>
      </c>
      <c r="P69" s="37">
        <f>L69+N69</f>
        <v>40898709.06000001</v>
      </c>
    </row>
    <row r="70" spans="1:16" x14ac:dyDescent="0.2">
      <c r="A70" s="21" t="s">
        <v>3022</v>
      </c>
      <c r="B70" s="136">
        <f>'KY_Cost Plant Acct-Gas-P20(REG)'!B70</f>
        <v>2327883.9799999995</v>
      </c>
      <c r="C70" s="133"/>
      <c r="D70" s="136">
        <f>'KY_Cost Plant Acct-Gas-P20(REG)'!D70</f>
        <v>0</v>
      </c>
      <c r="E70" s="133"/>
      <c r="F70" s="136">
        <f>'KY_Cost Plant Acct-Gas-P20(REG)'!F70</f>
        <v>-42504.33</v>
      </c>
      <c r="G70" s="133"/>
      <c r="H70" s="136">
        <f>'KY_Cost Plant Acct-Gas-P20(REG)'!H70</f>
        <v>28516.28</v>
      </c>
      <c r="I70" s="133"/>
      <c r="J70" s="136">
        <f>'KY_Cost Plant Acct-Gas-P20(REG)'!J70</f>
        <v>-13988.050000000003</v>
      </c>
      <c r="K70" s="133"/>
      <c r="L70" s="136">
        <f>J70+B70</f>
        <v>2313895.9299999997</v>
      </c>
      <c r="M70" s="148"/>
      <c r="N70" s="37">
        <f>'KY_Res by Plant Acct-P29 (Reg)'!R462</f>
        <v>-372199.95999999996</v>
      </c>
      <c r="O70" s="29"/>
      <c r="P70" s="36">
        <f>L70+N70</f>
        <v>1941695.9699999997</v>
      </c>
    </row>
    <row r="71" spans="1:16" x14ac:dyDescent="0.2">
      <c r="B71" s="150">
        <f>SUM(B68:B70)</f>
        <v>55055091.710000001</v>
      </c>
      <c r="C71" s="133"/>
      <c r="D71" s="150">
        <f>SUM(D68:D70)</f>
        <v>339706.24000000022</v>
      </c>
      <c r="E71" s="133"/>
      <c r="F71" s="150">
        <f>SUM(F68:F70)</f>
        <v>-260204.39</v>
      </c>
      <c r="G71" s="133"/>
      <c r="H71" s="150">
        <f>SUM(H68:H70)</f>
        <v>28516.28</v>
      </c>
      <c r="I71" s="133"/>
      <c r="J71" s="150">
        <f>SUM(J68:J70)</f>
        <v>108018.13000000022</v>
      </c>
      <c r="K71" s="133"/>
      <c r="L71" s="150">
        <f>SUM(L68:L70)</f>
        <v>55163109.840000004</v>
      </c>
      <c r="M71" s="148"/>
      <c r="N71" s="150">
        <f>SUM(N68:N70)</f>
        <v>-12313211.109999999</v>
      </c>
      <c r="P71" s="150">
        <f>SUM(P68:P70)</f>
        <v>42849898.730000012</v>
      </c>
    </row>
    <row r="72" spans="1:16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48"/>
    </row>
    <row r="73" spans="1:16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47"/>
    </row>
    <row r="74" spans="1:16" ht="13.5" thickBot="1" x14ac:dyDescent="0.25">
      <c r="A74" s="9" t="s">
        <v>3033</v>
      </c>
      <c r="B74" s="141">
        <f>B71+B65+B44+B40+B29</f>
        <v>1096553009.4700003</v>
      </c>
      <c r="C74" s="133"/>
      <c r="D74" s="141">
        <f>D71+D65+D44+D40+D29</f>
        <v>72737614.469999999</v>
      </c>
      <c r="E74" s="133"/>
      <c r="F74" s="141">
        <f>F71+F65+F44+F40+F29</f>
        <v>-4275739.3499999996</v>
      </c>
      <c r="G74" s="133"/>
      <c r="H74" s="141">
        <f>H71+H65+H44+H40+H29</f>
        <v>498645.53</v>
      </c>
      <c r="I74" s="133"/>
      <c r="J74" s="141">
        <f>J71+J65+J44+J40+J29</f>
        <v>68960520.650000006</v>
      </c>
      <c r="K74" s="133"/>
      <c r="L74" s="141">
        <f>L71+L65+L44+L40+L29</f>
        <v>1165513530.1199999</v>
      </c>
      <c r="M74" s="147"/>
      <c r="N74" s="141">
        <f>N71+N65+N44+N40+N29</f>
        <v>-330449172.59999996</v>
      </c>
      <c r="P74" s="141">
        <f>P71+P65+P44+P40+P29</f>
        <v>835064357.51999998</v>
      </c>
    </row>
    <row r="75" spans="1:16" ht="13.5" thickTop="1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47"/>
    </row>
    <row r="76" spans="1:16" x14ac:dyDescent="0.2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47"/>
      <c r="N76" s="136"/>
    </row>
    <row r="77" spans="1:16" x14ac:dyDescent="0.2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47"/>
    </row>
    <row r="78" spans="1:16" x14ac:dyDescent="0.2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47"/>
    </row>
    <row r="79" spans="1:16" x14ac:dyDescent="0.2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47"/>
    </row>
    <row r="80" spans="1:16" x14ac:dyDescent="0.2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47"/>
    </row>
    <row r="81" spans="2:13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2:13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2:13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2:13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2:13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2:13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2:13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</row>
    <row r="88" spans="2:13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2:13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2:13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2:13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2:13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2:13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2:13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2:13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2:13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2:13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2:13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2:13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2:13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2:13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2:13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2:13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2:13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2:13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</row>
    <row r="106" spans="2:13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</row>
    <row r="107" spans="2:13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</row>
    <row r="108" spans="2:13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  <row r="110" spans="2:13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</row>
    <row r="111" spans="2:13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2:13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</row>
    <row r="113" spans="2:13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</row>
    <row r="114" spans="2:13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</row>
    <row r="115" spans="2:13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32"/>
  </sheetPr>
  <dimension ref="A1:O166"/>
  <sheetViews>
    <sheetView zoomScaleNormal="100"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5" style="3" bestFit="1" customWidth="1"/>
    <col min="14" max="14" width="13.85546875" style="3" bestFit="1" customWidth="1"/>
    <col min="15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0" customFormat="1" ht="15.75" x14ac:dyDescent="0.25">
      <c r="A2" s="209" t="s">
        <v>3034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3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3" x14ac:dyDescent="0.2">
      <c r="A8" s="9"/>
      <c r="B8" s="17"/>
      <c r="D8" s="17"/>
      <c r="F8" s="17"/>
      <c r="H8" s="17"/>
      <c r="J8" s="17"/>
      <c r="L8" s="17"/>
    </row>
    <row r="9" spans="1:13" x14ac:dyDescent="0.2">
      <c r="A9" s="9" t="s">
        <v>2809</v>
      </c>
      <c r="B9" s="17"/>
      <c r="D9" s="17"/>
      <c r="F9" s="17"/>
      <c r="H9" s="17"/>
      <c r="J9" s="17"/>
      <c r="L9" s="17"/>
    </row>
    <row r="10" spans="1:13" x14ac:dyDescent="0.2">
      <c r="A10" s="9" t="s">
        <v>27</v>
      </c>
    </row>
    <row r="11" spans="1:13" x14ac:dyDescent="0.2">
      <c r="A11" s="3" t="s">
        <v>3035</v>
      </c>
      <c r="B11" s="14">
        <v>60478.68</v>
      </c>
      <c r="C11" s="14"/>
      <c r="D11" s="16">
        <v>0</v>
      </c>
      <c r="E11" s="14"/>
      <c r="F11" s="16">
        <v>0</v>
      </c>
      <c r="G11" s="14"/>
      <c r="H11" s="16">
        <v>0</v>
      </c>
      <c r="I11" s="14"/>
      <c r="J11" s="14">
        <f>H11+F11+D11</f>
        <v>0</v>
      </c>
      <c r="K11" s="14"/>
      <c r="L11" s="14">
        <f>J11+B11</f>
        <v>60478.68</v>
      </c>
      <c r="M11" s="28"/>
    </row>
    <row r="12" spans="1:13" x14ac:dyDescent="0.2">
      <c r="A12" s="3" t="s">
        <v>3036</v>
      </c>
      <c r="B12" s="14">
        <v>74018.23</v>
      </c>
      <c r="C12" s="14"/>
      <c r="D12" s="16">
        <v>0</v>
      </c>
      <c r="E12" s="14"/>
      <c r="F12" s="16">
        <v>0</v>
      </c>
      <c r="G12" s="14"/>
      <c r="H12" s="16">
        <v>0</v>
      </c>
      <c r="I12" s="14"/>
      <c r="J12" s="14">
        <f t="shared" ref="J12:J27" si="0">H12+F12+D12</f>
        <v>0</v>
      </c>
      <c r="K12" s="14"/>
      <c r="L12" s="14">
        <f t="shared" ref="L12:L28" si="1">J12+B12</f>
        <v>74018.23</v>
      </c>
      <c r="M12" s="28"/>
    </row>
    <row r="13" spans="1:13" x14ac:dyDescent="0.2">
      <c r="A13" s="3" t="s">
        <v>3037</v>
      </c>
      <c r="B13" s="14">
        <v>499023.44000000006</v>
      </c>
      <c r="C13" s="14"/>
      <c r="D13" s="16">
        <v>0</v>
      </c>
      <c r="E13" s="14"/>
      <c r="F13" s="16">
        <v>0</v>
      </c>
      <c r="G13" s="14"/>
      <c r="H13" s="16">
        <v>0</v>
      </c>
      <c r="I13" s="14"/>
      <c r="J13" s="14">
        <f t="shared" si="0"/>
        <v>0</v>
      </c>
      <c r="K13" s="14"/>
      <c r="L13" s="14">
        <f t="shared" si="1"/>
        <v>499023.44000000006</v>
      </c>
      <c r="M13" s="28"/>
    </row>
    <row r="14" spans="1:13" x14ac:dyDescent="0.2">
      <c r="A14" s="3" t="s">
        <v>3038</v>
      </c>
      <c r="B14" s="14">
        <v>676148.76</v>
      </c>
      <c r="C14" s="14"/>
      <c r="D14" s="16">
        <v>8219.56</v>
      </c>
      <c r="E14" s="14"/>
      <c r="F14" s="16">
        <v>0</v>
      </c>
      <c r="G14" s="14"/>
      <c r="H14" s="16">
        <v>0</v>
      </c>
      <c r="I14" s="14"/>
      <c r="J14" s="14">
        <f t="shared" si="0"/>
        <v>8219.56</v>
      </c>
      <c r="K14" s="14"/>
      <c r="L14" s="14">
        <f t="shared" si="1"/>
        <v>684368.32000000007</v>
      </c>
      <c r="M14" s="28"/>
    </row>
    <row r="15" spans="1:13" x14ac:dyDescent="0.2">
      <c r="A15" s="131" t="s">
        <v>3039</v>
      </c>
      <c r="B15" s="14">
        <v>339167608.12999994</v>
      </c>
      <c r="C15" s="14"/>
      <c r="D15" s="16">
        <v>21936653.969999999</v>
      </c>
      <c r="E15" s="14"/>
      <c r="F15" s="16">
        <v>-1280572.2</v>
      </c>
      <c r="G15" s="14"/>
      <c r="H15" s="16">
        <v>0</v>
      </c>
      <c r="I15" s="14"/>
      <c r="J15" s="14">
        <f t="shared" si="0"/>
        <v>20656081.77</v>
      </c>
      <c r="K15" s="14"/>
      <c r="L15" s="14">
        <f t="shared" si="1"/>
        <v>359823689.89999992</v>
      </c>
      <c r="M15" s="28"/>
    </row>
    <row r="16" spans="1:13" x14ac:dyDescent="0.2">
      <c r="A16" s="131" t="s">
        <v>3040</v>
      </c>
      <c r="B16" s="14">
        <v>44949628.180000007</v>
      </c>
      <c r="C16" s="14"/>
      <c r="D16" s="16">
        <v>0</v>
      </c>
      <c r="E16" s="14"/>
      <c r="F16" s="16">
        <v>0</v>
      </c>
      <c r="G16" s="14"/>
      <c r="H16" s="16">
        <v>0</v>
      </c>
      <c r="I16" s="14"/>
      <c r="J16" s="14">
        <f t="shared" si="0"/>
        <v>0</v>
      </c>
      <c r="K16" s="14"/>
      <c r="L16" s="14">
        <f t="shared" si="1"/>
        <v>44949628.180000007</v>
      </c>
      <c r="M16" s="28"/>
    </row>
    <row r="17" spans="1:15" x14ac:dyDescent="0.2">
      <c r="A17" s="131" t="s">
        <v>3041</v>
      </c>
      <c r="B17" s="14">
        <v>0</v>
      </c>
      <c r="C17" s="14"/>
      <c r="D17" s="16">
        <v>179569.98</v>
      </c>
      <c r="E17" s="14"/>
      <c r="F17" s="16">
        <v>0</v>
      </c>
      <c r="G17" s="14"/>
      <c r="H17" s="16">
        <v>0</v>
      </c>
      <c r="I17" s="14"/>
      <c r="J17" s="14">
        <f t="shared" si="0"/>
        <v>179569.98</v>
      </c>
      <c r="K17" s="14"/>
      <c r="L17" s="14">
        <f t="shared" si="1"/>
        <v>179569.98</v>
      </c>
      <c r="M17" s="28"/>
    </row>
    <row r="18" spans="1:15" x14ac:dyDescent="0.2">
      <c r="A18" s="3" t="s">
        <v>3042</v>
      </c>
      <c r="B18" s="14">
        <v>17844141.799999997</v>
      </c>
      <c r="C18" s="14"/>
      <c r="D18" s="16">
        <v>1247525.26</v>
      </c>
      <c r="E18" s="14"/>
      <c r="F18" s="16">
        <v>-9430.7199999999993</v>
      </c>
      <c r="G18" s="14"/>
      <c r="H18" s="16">
        <v>0</v>
      </c>
      <c r="I18" s="14"/>
      <c r="J18" s="14">
        <f t="shared" si="0"/>
        <v>1238094.54</v>
      </c>
      <c r="K18" s="14"/>
      <c r="L18" s="14">
        <f t="shared" si="1"/>
        <v>19082236.339999996</v>
      </c>
      <c r="M18" s="28"/>
    </row>
    <row r="19" spans="1:15" x14ac:dyDescent="0.2">
      <c r="A19" s="3" t="s">
        <v>3043</v>
      </c>
      <c r="B19" s="14">
        <v>7274058.1400000006</v>
      </c>
      <c r="C19" s="14"/>
      <c r="D19" s="16">
        <v>4094054.27</v>
      </c>
      <c r="E19" s="14"/>
      <c r="F19" s="16">
        <v>-324494.27</v>
      </c>
      <c r="G19" s="14"/>
      <c r="H19" s="16">
        <v>0</v>
      </c>
      <c r="I19" s="14"/>
      <c r="J19" s="14">
        <f t="shared" si="0"/>
        <v>3769560</v>
      </c>
      <c r="K19" s="14"/>
      <c r="L19" s="14">
        <f t="shared" si="1"/>
        <v>11043618.140000001</v>
      </c>
      <c r="M19" s="28"/>
    </row>
    <row r="20" spans="1:15" x14ac:dyDescent="0.2">
      <c r="A20" s="3" t="s">
        <v>3044</v>
      </c>
      <c r="B20" s="14">
        <v>193819261.01999998</v>
      </c>
      <c r="C20" s="14"/>
      <c r="D20" s="16">
        <v>20702540.91</v>
      </c>
      <c r="E20" s="14"/>
      <c r="F20" s="16">
        <v>-171007.24</v>
      </c>
      <c r="G20" s="14"/>
      <c r="H20" s="16">
        <v>0</v>
      </c>
      <c r="I20" s="14"/>
      <c r="J20" s="14">
        <f t="shared" si="0"/>
        <v>20531533.670000002</v>
      </c>
      <c r="K20" s="14"/>
      <c r="L20" s="14">
        <f t="shared" si="1"/>
        <v>214350794.69</v>
      </c>
      <c r="M20" s="28"/>
    </row>
    <row r="21" spans="1:15" x14ac:dyDescent="0.2">
      <c r="A21" s="21" t="s">
        <v>3045</v>
      </c>
      <c r="B21" s="14">
        <v>142154048.62</v>
      </c>
      <c r="C21" s="14"/>
      <c r="D21" s="16">
        <v>29882409.699999999</v>
      </c>
      <c r="E21" s="14"/>
      <c r="F21" s="16">
        <v>0</v>
      </c>
      <c r="G21" s="14"/>
      <c r="H21" s="16">
        <v>0</v>
      </c>
      <c r="I21" s="14"/>
      <c r="J21" s="14">
        <f t="shared" si="0"/>
        <v>29882409.699999999</v>
      </c>
      <c r="K21" s="14"/>
      <c r="L21" s="14">
        <f t="shared" si="1"/>
        <v>172036458.31999999</v>
      </c>
      <c r="M21" s="28"/>
    </row>
    <row r="22" spans="1:15" x14ac:dyDescent="0.2">
      <c r="A22" s="21" t="s">
        <v>3046</v>
      </c>
      <c r="B22" s="14">
        <v>0</v>
      </c>
      <c r="C22" s="14"/>
      <c r="D22" s="16">
        <v>1579477.72</v>
      </c>
      <c r="E22" s="14"/>
      <c r="F22" s="16">
        <v>0</v>
      </c>
      <c r="G22" s="14"/>
      <c r="H22" s="16">
        <v>0</v>
      </c>
      <c r="I22" s="14"/>
      <c r="J22" s="14">
        <f t="shared" si="0"/>
        <v>1579477.72</v>
      </c>
      <c r="K22" s="14"/>
      <c r="L22" s="14">
        <f t="shared" si="1"/>
        <v>1579477.72</v>
      </c>
      <c r="M22" s="28"/>
    </row>
    <row r="23" spans="1:15" x14ac:dyDescent="0.2">
      <c r="A23" s="3" t="s">
        <v>3047</v>
      </c>
      <c r="B23" s="14">
        <v>49044202.07</v>
      </c>
      <c r="C23" s="14"/>
      <c r="D23" s="16">
        <v>4917044.54</v>
      </c>
      <c r="E23" s="14"/>
      <c r="F23" s="16">
        <v>-730340.16</v>
      </c>
      <c r="G23" s="14"/>
      <c r="H23" s="16">
        <v>0</v>
      </c>
      <c r="I23" s="14"/>
      <c r="J23" s="14">
        <f t="shared" si="0"/>
        <v>4186704.38</v>
      </c>
      <c r="K23" s="14"/>
      <c r="L23" s="14">
        <f t="shared" si="1"/>
        <v>53230906.450000003</v>
      </c>
      <c r="M23" s="28"/>
    </row>
    <row r="24" spans="1:15" x14ac:dyDescent="0.2">
      <c r="A24" s="3" t="s">
        <v>3048</v>
      </c>
      <c r="B24" s="14">
        <v>25972269.190000001</v>
      </c>
      <c r="C24" s="14"/>
      <c r="D24" s="16">
        <v>377381.25</v>
      </c>
      <c r="E24" s="14"/>
      <c r="F24" s="16">
        <v>-53.07</v>
      </c>
      <c r="G24" s="14"/>
      <c r="H24" s="16">
        <v>0</v>
      </c>
      <c r="I24" s="14"/>
      <c r="J24" s="14">
        <f t="shared" si="0"/>
        <v>377328.18</v>
      </c>
      <c r="K24" s="14"/>
      <c r="L24" s="14">
        <f t="shared" si="1"/>
        <v>26349597.370000001</v>
      </c>
      <c r="M24" s="28"/>
    </row>
    <row r="25" spans="1:15" x14ac:dyDescent="0.2">
      <c r="A25" s="3" t="s">
        <v>3049</v>
      </c>
      <c r="B25" s="14">
        <v>960686.95</v>
      </c>
      <c r="C25" s="14"/>
      <c r="D25" s="16">
        <v>0</v>
      </c>
      <c r="E25" s="14"/>
      <c r="F25" s="16">
        <v>0</v>
      </c>
      <c r="G25" s="14"/>
      <c r="H25" s="16">
        <v>0</v>
      </c>
      <c r="I25" s="14"/>
      <c r="J25" s="14">
        <f t="shared" si="0"/>
        <v>0</v>
      </c>
      <c r="K25" s="14"/>
      <c r="L25" s="14">
        <f t="shared" si="1"/>
        <v>960686.95</v>
      </c>
      <c r="M25" s="28"/>
    </row>
    <row r="26" spans="1:15" x14ac:dyDescent="0.2">
      <c r="A26" s="3" t="s">
        <v>3050</v>
      </c>
      <c r="B26" s="16">
        <v>51112.34</v>
      </c>
      <c r="C26" s="16"/>
      <c r="D26" s="16">
        <v>0</v>
      </c>
      <c r="E26" s="14"/>
      <c r="F26" s="16">
        <v>0</v>
      </c>
      <c r="G26" s="14"/>
      <c r="H26" s="16">
        <v>0</v>
      </c>
      <c r="I26" s="16"/>
      <c r="J26" s="16">
        <f t="shared" si="0"/>
        <v>0</v>
      </c>
      <c r="K26" s="16"/>
      <c r="L26" s="16">
        <f t="shared" si="1"/>
        <v>51112.34</v>
      </c>
      <c r="M26" s="132"/>
      <c r="N26" s="29"/>
      <c r="O26" s="29"/>
    </row>
    <row r="27" spans="1:15" x14ac:dyDescent="0.2">
      <c r="A27" s="3" t="s">
        <v>3051</v>
      </c>
      <c r="B27" s="16">
        <v>37095.39</v>
      </c>
      <c r="C27" s="16"/>
      <c r="D27" s="16">
        <v>0</v>
      </c>
      <c r="E27" s="14"/>
      <c r="F27" s="16">
        <v>-37095.39</v>
      </c>
      <c r="G27" s="14"/>
      <c r="H27" s="16">
        <v>0</v>
      </c>
      <c r="I27" s="16"/>
      <c r="J27" s="16">
        <f t="shared" si="0"/>
        <v>-37095.39</v>
      </c>
      <c r="K27" s="16"/>
      <c r="L27" s="16">
        <f t="shared" si="1"/>
        <v>0</v>
      </c>
      <c r="M27" s="132"/>
      <c r="N27" s="29"/>
      <c r="O27" s="29"/>
    </row>
    <row r="28" spans="1:15" x14ac:dyDescent="0.2">
      <c r="A28" s="3" t="s">
        <v>3052</v>
      </c>
      <c r="B28" s="15">
        <v>11524688.960000001</v>
      </c>
      <c r="C28" s="16"/>
      <c r="D28" s="16">
        <v>0</v>
      </c>
      <c r="E28" s="14"/>
      <c r="F28" s="16">
        <v>-23043.13</v>
      </c>
      <c r="G28" s="14"/>
      <c r="H28" s="16">
        <v>1120194</v>
      </c>
      <c r="I28" s="16"/>
      <c r="J28" s="15">
        <f>H28+F28+D28</f>
        <v>1097150.8700000001</v>
      </c>
      <c r="K28" s="16"/>
      <c r="L28" s="15">
        <f t="shared" si="1"/>
        <v>12621839.830000002</v>
      </c>
      <c r="M28" s="132"/>
      <c r="N28" s="29"/>
      <c r="O28" s="29"/>
    </row>
    <row r="29" spans="1:15" x14ac:dyDescent="0.2">
      <c r="B29" s="16">
        <f>SUM(B11:B28)</f>
        <v>834108469.9000001</v>
      </c>
      <c r="C29" s="16"/>
      <c r="D29" s="19">
        <f>SUM(D11:D28)</f>
        <v>84924877.160000011</v>
      </c>
      <c r="E29" s="16"/>
      <c r="F29" s="19">
        <f>SUM(F11:F28)</f>
        <v>-2576036.1799999997</v>
      </c>
      <c r="G29" s="16"/>
      <c r="H29" s="19">
        <f>SUM(H11:H28)</f>
        <v>1120194</v>
      </c>
      <c r="I29" s="16"/>
      <c r="J29" s="16">
        <f>SUM(J11:J28)</f>
        <v>83469034.980000004</v>
      </c>
      <c r="K29" s="16"/>
      <c r="L29" s="16">
        <f>SUM(L11:L28)</f>
        <v>917577504.88</v>
      </c>
      <c r="M29" s="132"/>
      <c r="N29" s="29"/>
      <c r="O29" s="29"/>
    </row>
    <row r="30" spans="1:15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8"/>
    </row>
    <row r="31" spans="1:15" x14ac:dyDescent="0.2">
      <c r="A31" s="9" t="s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8"/>
    </row>
    <row r="32" spans="1:15" x14ac:dyDescent="0.2">
      <c r="A32" s="3" t="s">
        <v>3053</v>
      </c>
      <c r="B32" s="14">
        <v>43682.79</v>
      </c>
      <c r="C32" s="14"/>
      <c r="D32" s="16">
        <v>-2742.07</v>
      </c>
      <c r="E32" s="14"/>
      <c r="F32" s="16">
        <v>0</v>
      </c>
      <c r="G32" s="14"/>
      <c r="H32" s="16">
        <v>0</v>
      </c>
      <c r="I32" s="14"/>
      <c r="J32" s="14">
        <f>H32+F32+D32</f>
        <v>-2742.07</v>
      </c>
      <c r="K32" s="14"/>
      <c r="L32" s="14">
        <f>J32+B32</f>
        <v>40940.720000000001</v>
      </c>
      <c r="M32" s="28"/>
    </row>
    <row r="33" spans="1:13" x14ac:dyDescent="0.2">
      <c r="A33" s="131" t="s">
        <v>3054</v>
      </c>
      <c r="B33" s="14">
        <v>926192.23</v>
      </c>
      <c r="C33" s="14"/>
      <c r="D33" s="16">
        <v>139050.34</v>
      </c>
      <c r="E33" s="14"/>
      <c r="F33" s="16">
        <v>-140373.57999999999</v>
      </c>
      <c r="G33" s="14"/>
      <c r="H33" s="16">
        <v>0</v>
      </c>
      <c r="I33" s="14"/>
      <c r="J33" s="14">
        <f t="shared" ref="J33:J39" si="2">H33+F33+D33</f>
        <v>-1323.2399999999907</v>
      </c>
      <c r="K33" s="14"/>
      <c r="L33" s="14">
        <f t="shared" ref="L33:L39" si="3">J33+B33</f>
        <v>924868.99</v>
      </c>
      <c r="M33" s="28"/>
    </row>
    <row r="34" spans="1:13" x14ac:dyDescent="0.2">
      <c r="A34" s="3" t="s">
        <v>3055</v>
      </c>
      <c r="B34" s="14">
        <v>586018.38</v>
      </c>
      <c r="C34" s="14"/>
      <c r="D34" s="16">
        <v>242398.53</v>
      </c>
      <c r="E34" s="14"/>
      <c r="F34" s="16">
        <v>-36801.83</v>
      </c>
      <c r="G34" s="14"/>
      <c r="H34" s="16">
        <v>0</v>
      </c>
      <c r="I34" s="14"/>
      <c r="J34" s="14">
        <f t="shared" si="2"/>
        <v>205596.7</v>
      </c>
      <c r="K34" s="14"/>
      <c r="L34" s="14">
        <f t="shared" si="3"/>
        <v>791615.08000000007</v>
      </c>
      <c r="M34" s="28"/>
    </row>
    <row r="35" spans="1:13" x14ac:dyDescent="0.2">
      <c r="A35" s="3" t="s">
        <v>3056</v>
      </c>
      <c r="B35" s="14">
        <v>6512040.870000001</v>
      </c>
      <c r="C35" s="14"/>
      <c r="D35" s="16">
        <v>326535.52</v>
      </c>
      <c r="E35" s="14"/>
      <c r="F35" s="16">
        <v>-335120.42</v>
      </c>
      <c r="G35" s="14"/>
      <c r="H35" s="16">
        <v>0</v>
      </c>
      <c r="I35" s="14"/>
      <c r="J35" s="14">
        <f t="shared" si="2"/>
        <v>-8584.8999999999651</v>
      </c>
      <c r="K35" s="14"/>
      <c r="L35" s="14">
        <f t="shared" si="3"/>
        <v>6503455.9700000007</v>
      </c>
      <c r="M35" s="28"/>
    </row>
    <row r="36" spans="1:13" x14ac:dyDescent="0.2">
      <c r="A36" s="3" t="s">
        <v>3057</v>
      </c>
      <c r="B36" s="14">
        <v>0</v>
      </c>
      <c r="C36" s="14"/>
      <c r="D36" s="16">
        <v>0</v>
      </c>
      <c r="E36" s="14"/>
      <c r="F36" s="16">
        <v>0</v>
      </c>
      <c r="G36" s="14"/>
      <c r="H36" s="16">
        <v>0</v>
      </c>
      <c r="I36" s="14"/>
      <c r="J36" s="14">
        <f t="shared" si="2"/>
        <v>0</v>
      </c>
      <c r="K36" s="14"/>
      <c r="L36" s="14">
        <f t="shared" si="3"/>
        <v>0</v>
      </c>
      <c r="M36" s="28"/>
    </row>
    <row r="37" spans="1:13" x14ac:dyDescent="0.2">
      <c r="A37" s="3" t="s">
        <v>3058</v>
      </c>
      <c r="B37" s="16">
        <v>3317259.49</v>
      </c>
      <c r="C37" s="16"/>
      <c r="D37" s="16">
        <v>445433.43</v>
      </c>
      <c r="E37" s="14"/>
      <c r="F37" s="16">
        <v>-281849.92</v>
      </c>
      <c r="G37" s="14"/>
      <c r="H37" s="16">
        <v>0</v>
      </c>
      <c r="I37" s="16"/>
      <c r="J37" s="14">
        <f t="shared" si="2"/>
        <v>163583.51</v>
      </c>
      <c r="K37" s="16"/>
      <c r="L37" s="16">
        <f t="shared" si="3"/>
        <v>3480843</v>
      </c>
      <c r="M37" s="132"/>
    </row>
    <row r="38" spans="1:13" x14ac:dyDescent="0.2">
      <c r="A38" s="3" t="s">
        <v>3059</v>
      </c>
      <c r="B38" s="16">
        <v>214328.50999999998</v>
      </c>
      <c r="C38" s="16"/>
      <c r="D38" s="16">
        <v>0</v>
      </c>
      <c r="E38" s="14"/>
      <c r="F38" s="16">
        <v>0</v>
      </c>
      <c r="G38" s="14"/>
      <c r="H38" s="16">
        <v>0</v>
      </c>
      <c r="I38" s="16"/>
      <c r="J38" s="16">
        <f t="shared" si="2"/>
        <v>0</v>
      </c>
      <c r="K38" s="16"/>
      <c r="L38" s="16">
        <f t="shared" si="3"/>
        <v>214328.50999999998</v>
      </c>
      <c r="M38" s="132"/>
    </row>
    <row r="39" spans="1:13" x14ac:dyDescent="0.2">
      <c r="A39" s="131" t="s">
        <v>3060</v>
      </c>
      <c r="B39" s="16">
        <v>0</v>
      </c>
      <c r="C39" s="16"/>
      <c r="D39" s="16">
        <v>0</v>
      </c>
      <c r="E39" s="16"/>
      <c r="F39" s="16">
        <v>0</v>
      </c>
      <c r="G39" s="16"/>
      <c r="H39" s="16">
        <v>0</v>
      </c>
      <c r="I39" s="16"/>
      <c r="J39" s="16">
        <f t="shared" si="2"/>
        <v>0</v>
      </c>
      <c r="K39" s="16"/>
      <c r="L39" s="16">
        <f t="shared" si="3"/>
        <v>0</v>
      </c>
      <c r="M39" s="132"/>
    </row>
    <row r="40" spans="1:13" x14ac:dyDescent="0.2">
      <c r="B40" s="19">
        <f>SUM(B32:B39)</f>
        <v>11599522.270000001</v>
      </c>
      <c r="C40" s="16"/>
      <c r="D40" s="19">
        <f>SUM(D32:D39)</f>
        <v>1150675.75</v>
      </c>
      <c r="E40" s="16"/>
      <c r="F40" s="19">
        <f>SUM(F32:F39)</f>
        <v>-794145.75</v>
      </c>
      <c r="G40" s="16"/>
      <c r="H40" s="19">
        <f>SUM(H32:H39)</f>
        <v>0</v>
      </c>
      <c r="I40" s="16"/>
      <c r="J40" s="19">
        <f>SUM(J32:J39)</f>
        <v>356530.00000000006</v>
      </c>
      <c r="K40" s="16"/>
      <c r="L40" s="19">
        <f>SUM(L32:L39)</f>
        <v>11956052.270000001</v>
      </c>
      <c r="M40" s="132"/>
    </row>
    <row r="41" spans="1:13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32"/>
    </row>
    <row r="42" spans="1:13" x14ac:dyDescent="0.2">
      <c r="A42" s="9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32"/>
    </row>
    <row r="43" spans="1:13" x14ac:dyDescent="0.2">
      <c r="A43" s="3" t="s">
        <v>3061</v>
      </c>
      <c r="B43" s="15">
        <v>387.49</v>
      </c>
      <c r="C43" s="16"/>
      <c r="D43" s="16">
        <v>0</v>
      </c>
      <c r="E43" s="14"/>
      <c r="F43" s="16">
        <v>0</v>
      </c>
      <c r="G43" s="14"/>
      <c r="H43" s="16">
        <v>0</v>
      </c>
      <c r="I43" s="16"/>
      <c r="J43" s="15">
        <f>H43+F43+D43</f>
        <v>0</v>
      </c>
      <c r="K43" s="16"/>
      <c r="L43" s="15">
        <f>J43+B43</f>
        <v>387.49</v>
      </c>
      <c r="M43" s="132"/>
    </row>
    <row r="44" spans="1:13" x14ac:dyDescent="0.2">
      <c r="B44" s="16">
        <f>SUM(B43)</f>
        <v>387.49</v>
      </c>
      <c r="C44" s="16"/>
      <c r="D44" s="19">
        <f>SUM(D43)</f>
        <v>0</v>
      </c>
      <c r="E44" s="16"/>
      <c r="F44" s="19">
        <f>SUM(F43)</f>
        <v>0</v>
      </c>
      <c r="G44" s="16"/>
      <c r="H44" s="19">
        <f>SUM(H43)</f>
        <v>0</v>
      </c>
      <c r="I44" s="16"/>
      <c r="J44" s="16">
        <f>SUM(J43)</f>
        <v>0</v>
      </c>
      <c r="K44" s="16"/>
      <c r="L44" s="16">
        <f>SUM(L43)</f>
        <v>387.49</v>
      </c>
      <c r="M44" s="132"/>
    </row>
    <row r="45" spans="1:13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2"/>
    </row>
    <row r="46" spans="1:13" x14ac:dyDescent="0.2">
      <c r="A46" s="9" t="s">
        <v>30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2"/>
    </row>
    <row r="47" spans="1:13" x14ac:dyDescent="0.2">
      <c r="A47" s="3" t="s">
        <v>3062</v>
      </c>
      <c r="B47" s="16">
        <v>29500.57</v>
      </c>
      <c r="C47" s="16"/>
      <c r="D47" s="16">
        <v>0</v>
      </c>
      <c r="E47" s="14"/>
      <c r="F47" s="16">
        <v>0</v>
      </c>
      <c r="G47" s="14"/>
      <c r="H47" s="16">
        <v>0</v>
      </c>
      <c r="I47" s="16"/>
      <c r="J47" s="16">
        <f t="shared" ref="J47:J64" si="4">H47+F47+D47</f>
        <v>0</v>
      </c>
      <c r="K47" s="16"/>
      <c r="L47" s="16">
        <f t="shared" ref="L47:L64" si="5">J47+B47</f>
        <v>29500.57</v>
      </c>
      <c r="M47" s="132"/>
    </row>
    <row r="48" spans="1:13" x14ac:dyDescent="0.2">
      <c r="A48" s="3" t="s">
        <v>3063</v>
      </c>
      <c r="B48" s="16">
        <v>101212.48999999999</v>
      </c>
      <c r="C48" s="16"/>
      <c r="D48" s="16">
        <v>0</v>
      </c>
      <c r="E48" s="14"/>
      <c r="F48" s="16">
        <v>0</v>
      </c>
      <c r="G48" s="14"/>
      <c r="H48" s="16">
        <v>0</v>
      </c>
      <c r="I48" s="16"/>
      <c r="J48" s="16">
        <f t="shared" si="4"/>
        <v>0</v>
      </c>
      <c r="K48" s="16"/>
      <c r="L48" s="16">
        <f t="shared" si="5"/>
        <v>101212.48999999999</v>
      </c>
      <c r="M48" s="132"/>
    </row>
    <row r="49" spans="1:13" x14ac:dyDescent="0.2">
      <c r="A49" s="3" t="s">
        <v>3064</v>
      </c>
      <c r="B49" s="16">
        <v>9722689.7400000002</v>
      </c>
      <c r="C49" s="16"/>
      <c r="D49" s="16">
        <v>326690.18</v>
      </c>
      <c r="E49" s="14"/>
      <c r="F49" s="16">
        <v>-10299.040000000001</v>
      </c>
      <c r="G49" s="14"/>
      <c r="H49" s="16">
        <v>0</v>
      </c>
      <c r="I49" s="16"/>
      <c r="J49" s="16">
        <f t="shared" si="4"/>
        <v>316391.14</v>
      </c>
      <c r="K49" s="16"/>
      <c r="L49" s="16">
        <f t="shared" si="5"/>
        <v>10039080.880000001</v>
      </c>
      <c r="M49" s="132"/>
    </row>
    <row r="50" spans="1:13" x14ac:dyDescent="0.2">
      <c r="A50" s="3" t="s">
        <v>3065</v>
      </c>
      <c r="B50" s="16">
        <v>33043.050000000003</v>
      </c>
      <c r="C50" s="16"/>
      <c r="D50" s="16">
        <v>0</v>
      </c>
      <c r="E50" s="14"/>
      <c r="F50" s="16">
        <v>0</v>
      </c>
      <c r="G50" s="14"/>
      <c r="H50" s="16">
        <v>0</v>
      </c>
      <c r="I50" s="16"/>
      <c r="J50" s="16">
        <f t="shared" si="4"/>
        <v>0</v>
      </c>
      <c r="K50" s="16"/>
      <c r="L50" s="16">
        <f t="shared" si="5"/>
        <v>33043.050000000003</v>
      </c>
      <c r="M50" s="132"/>
    </row>
    <row r="51" spans="1:13" x14ac:dyDescent="0.2">
      <c r="A51" s="3" t="s">
        <v>3066</v>
      </c>
      <c r="B51" s="16">
        <v>4002370.6</v>
      </c>
      <c r="C51" s="16"/>
      <c r="D51" s="16">
        <v>270597.34999999998</v>
      </c>
      <c r="E51" s="14"/>
      <c r="F51" s="16">
        <v>-4266.4799999999996</v>
      </c>
      <c r="G51" s="14"/>
      <c r="H51" s="16">
        <v>0</v>
      </c>
      <c r="I51" s="16"/>
      <c r="J51" s="16">
        <f t="shared" si="4"/>
        <v>266330.87</v>
      </c>
      <c r="K51" s="16"/>
      <c r="L51" s="16">
        <f t="shared" si="5"/>
        <v>4268701.47</v>
      </c>
      <c r="M51" s="132"/>
    </row>
    <row r="52" spans="1:13" x14ac:dyDescent="0.2">
      <c r="A52" s="3" t="s">
        <v>3067</v>
      </c>
      <c r="B52" s="16">
        <v>548241.14</v>
      </c>
      <c r="C52" s="16"/>
      <c r="D52" s="16">
        <v>0</v>
      </c>
      <c r="E52" s="14"/>
      <c r="F52" s="16">
        <v>0</v>
      </c>
      <c r="G52" s="14"/>
      <c r="H52" s="16">
        <v>0</v>
      </c>
      <c r="I52" s="16"/>
      <c r="J52" s="16">
        <f t="shared" si="4"/>
        <v>0</v>
      </c>
      <c r="K52" s="16"/>
      <c r="L52" s="16">
        <f t="shared" si="5"/>
        <v>548241.14</v>
      </c>
      <c r="M52" s="132"/>
    </row>
    <row r="53" spans="1:13" x14ac:dyDescent="0.2">
      <c r="A53" s="3" t="s">
        <v>3068</v>
      </c>
      <c r="B53" s="16">
        <v>400511.4</v>
      </c>
      <c r="C53" s="16"/>
      <c r="D53" s="16">
        <v>0</v>
      </c>
      <c r="E53" s="14"/>
      <c r="F53" s="16">
        <v>0</v>
      </c>
      <c r="G53" s="14"/>
      <c r="H53" s="16">
        <v>0</v>
      </c>
      <c r="I53" s="16"/>
      <c r="J53" s="16">
        <f t="shared" si="4"/>
        <v>0</v>
      </c>
      <c r="K53" s="16"/>
      <c r="L53" s="16">
        <f t="shared" si="5"/>
        <v>400511.4</v>
      </c>
      <c r="M53" s="132"/>
    </row>
    <row r="54" spans="1:13" x14ac:dyDescent="0.2">
      <c r="A54" s="3" t="s">
        <v>3069</v>
      </c>
      <c r="B54" s="16">
        <v>9648855</v>
      </c>
      <c r="C54" s="16"/>
      <c r="D54" s="16">
        <v>0</v>
      </c>
      <c r="E54" s="14"/>
      <c r="F54" s="16">
        <v>0</v>
      </c>
      <c r="G54" s="14"/>
      <c r="H54" s="16">
        <v>0</v>
      </c>
      <c r="I54" s="16"/>
      <c r="J54" s="16">
        <f t="shared" si="4"/>
        <v>0</v>
      </c>
      <c r="K54" s="16"/>
      <c r="L54" s="16">
        <f t="shared" si="5"/>
        <v>9648855</v>
      </c>
      <c r="M54" s="132"/>
    </row>
    <row r="55" spans="1:13" x14ac:dyDescent="0.2">
      <c r="A55" s="3" t="s">
        <v>3070</v>
      </c>
      <c r="B55" s="16">
        <v>3613513.9299999997</v>
      </c>
      <c r="C55" s="16"/>
      <c r="D55" s="16">
        <v>0</v>
      </c>
      <c r="E55" s="14"/>
      <c r="F55" s="16">
        <v>-19224.330000000002</v>
      </c>
      <c r="G55" s="14"/>
      <c r="H55" s="16">
        <v>0</v>
      </c>
      <c r="I55" s="16"/>
      <c r="J55" s="16">
        <f t="shared" si="4"/>
        <v>-19224.330000000002</v>
      </c>
      <c r="K55" s="16"/>
      <c r="L55" s="16">
        <f t="shared" si="5"/>
        <v>3594289.5999999996</v>
      </c>
      <c r="M55" s="132"/>
    </row>
    <row r="56" spans="1:13" x14ac:dyDescent="0.2">
      <c r="A56" s="131" t="s">
        <v>3071</v>
      </c>
      <c r="B56" s="16">
        <v>0</v>
      </c>
      <c r="C56" s="16"/>
      <c r="D56" s="16">
        <v>0</v>
      </c>
      <c r="E56" s="14"/>
      <c r="F56" s="16">
        <v>0</v>
      </c>
      <c r="G56" s="14"/>
      <c r="H56" s="16">
        <v>0</v>
      </c>
      <c r="I56" s="16"/>
      <c r="J56" s="16">
        <f t="shared" si="4"/>
        <v>0</v>
      </c>
      <c r="K56" s="16"/>
      <c r="L56" s="16">
        <f t="shared" si="5"/>
        <v>0</v>
      </c>
      <c r="M56" s="132"/>
    </row>
    <row r="57" spans="1:13" x14ac:dyDescent="0.2">
      <c r="A57" s="3" t="s">
        <v>3072</v>
      </c>
      <c r="B57" s="16">
        <v>10560939.139999999</v>
      </c>
      <c r="C57" s="16"/>
      <c r="D57" s="16">
        <v>254499.67</v>
      </c>
      <c r="E57" s="14"/>
      <c r="F57" s="16">
        <v>-68778.55</v>
      </c>
      <c r="G57" s="14"/>
      <c r="H57" s="16">
        <v>0</v>
      </c>
      <c r="I57" s="16"/>
      <c r="J57" s="16">
        <f t="shared" si="4"/>
        <v>185721.12</v>
      </c>
      <c r="K57" s="16"/>
      <c r="L57" s="16">
        <f t="shared" si="5"/>
        <v>10746660.259999998</v>
      </c>
      <c r="M57" s="132"/>
    </row>
    <row r="58" spans="1:13" x14ac:dyDescent="0.2">
      <c r="A58" s="3" t="s">
        <v>3073</v>
      </c>
      <c r="B58" s="16">
        <v>16651077.049999999</v>
      </c>
      <c r="C58" s="16"/>
      <c r="D58" s="16">
        <v>1134391.52</v>
      </c>
      <c r="E58" s="14"/>
      <c r="F58" s="16">
        <v>-36252.04</v>
      </c>
      <c r="G58" s="14"/>
      <c r="H58" s="16">
        <v>0</v>
      </c>
      <c r="I58" s="16"/>
      <c r="J58" s="16">
        <f t="shared" si="4"/>
        <v>1098139.48</v>
      </c>
      <c r="K58" s="16"/>
      <c r="L58" s="16">
        <f t="shared" si="5"/>
        <v>17749216.529999997</v>
      </c>
      <c r="M58" s="132"/>
    </row>
    <row r="59" spans="1:13" x14ac:dyDescent="0.2">
      <c r="A59" s="3" t="s">
        <v>3074</v>
      </c>
      <c r="B59" s="16">
        <v>48024050.43</v>
      </c>
      <c r="C59" s="16"/>
      <c r="D59" s="16">
        <v>6552636.0499999998</v>
      </c>
      <c r="E59" s="14"/>
      <c r="F59" s="16">
        <v>-140346.94</v>
      </c>
      <c r="G59" s="14"/>
      <c r="H59" s="16">
        <v>0</v>
      </c>
      <c r="I59" s="16"/>
      <c r="J59" s="16">
        <f t="shared" si="4"/>
        <v>6412289.1099999994</v>
      </c>
      <c r="K59" s="16"/>
      <c r="L59" s="16">
        <f t="shared" si="5"/>
        <v>54436339.539999999</v>
      </c>
      <c r="M59" s="132"/>
    </row>
    <row r="60" spans="1:13" x14ac:dyDescent="0.2">
      <c r="A60" s="3" t="s">
        <v>3075</v>
      </c>
      <c r="B60" s="16">
        <v>995647.17999999993</v>
      </c>
      <c r="C60" s="16"/>
      <c r="D60" s="16">
        <v>1140398.19</v>
      </c>
      <c r="E60" s="14"/>
      <c r="F60" s="16">
        <v>-13110.7</v>
      </c>
      <c r="G60" s="14"/>
      <c r="H60" s="16">
        <v>0</v>
      </c>
      <c r="I60" s="16"/>
      <c r="J60" s="16">
        <f t="shared" si="4"/>
        <v>1127287.49</v>
      </c>
      <c r="K60" s="16"/>
      <c r="L60" s="16">
        <f t="shared" si="5"/>
        <v>2122934.67</v>
      </c>
      <c r="M60" s="132"/>
    </row>
    <row r="61" spans="1:13" x14ac:dyDescent="0.2">
      <c r="A61" s="3" t="s">
        <v>3076</v>
      </c>
      <c r="B61" s="16">
        <v>20401709.09</v>
      </c>
      <c r="C61" s="16"/>
      <c r="D61" s="16">
        <v>1217832.72</v>
      </c>
      <c r="E61" s="14"/>
      <c r="F61" s="16">
        <v>-178700.26</v>
      </c>
      <c r="G61" s="14"/>
      <c r="H61" s="16">
        <v>0</v>
      </c>
      <c r="I61" s="16"/>
      <c r="J61" s="16">
        <f t="shared" si="4"/>
        <v>1039132.46</v>
      </c>
      <c r="K61" s="16"/>
      <c r="L61" s="16">
        <f t="shared" si="5"/>
        <v>21440841.550000001</v>
      </c>
      <c r="M61" s="132"/>
    </row>
    <row r="62" spans="1:13" x14ac:dyDescent="0.2">
      <c r="A62" s="3" t="s">
        <v>3077</v>
      </c>
      <c r="B62" s="16">
        <v>1548686.27</v>
      </c>
      <c r="C62" s="16"/>
      <c r="D62" s="16">
        <v>56601.18</v>
      </c>
      <c r="E62" s="14"/>
      <c r="F62" s="16">
        <v>0</v>
      </c>
      <c r="G62" s="14"/>
      <c r="H62" s="16">
        <v>0</v>
      </c>
      <c r="I62" s="16"/>
      <c r="J62" s="16">
        <f t="shared" si="4"/>
        <v>56601.18</v>
      </c>
      <c r="K62" s="16"/>
      <c r="L62" s="16">
        <f t="shared" si="5"/>
        <v>1605287.45</v>
      </c>
      <c r="M62" s="132"/>
    </row>
    <row r="63" spans="1:13" x14ac:dyDescent="0.2">
      <c r="A63" s="3" t="s">
        <v>3078</v>
      </c>
      <c r="B63" s="16">
        <v>211678.65</v>
      </c>
      <c r="C63" s="16"/>
      <c r="D63" s="16">
        <v>0</v>
      </c>
      <c r="E63" s="14"/>
      <c r="F63" s="16">
        <v>-60682.27</v>
      </c>
      <c r="G63" s="14"/>
      <c r="H63" s="16">
        <v>38709.760000000002</v>
      </c>
      <c r="I63" s="16"/>
      <c r="J63" s="16">
        <f t="shared" si="4"/>
        <v>-21972.509999999995</v>
      </c>
      <c r="K63" s="16"/>
      <c r="L63" s="16">
        <f t="shared" si="5"/>
        <v>189706.14</v>
      </c>
      <c r="M63" s="132"/>
    </row>
    <row r="64" spans="1:13" x14ac:dyDescent="0.2">
      <c r="A64" s="3" t="s">
        <v>3079</v>
      </c>
      <c r="B64" s="15">
        <v>4968621.09</v>
      </c>
      <c r="C64" s="16"/>
      <c r="D64" s="16">
        <v>0</v>
      </c>
      <c r="E64" s="14"/>
      <c r="F64" s="16">
        <v>-113692.42</v>
      </c>
      <c r="G64" s="14"/>
      <c r="H64" s="16">
        <v>-688774.51</v>
      </c>
      <c r="I64" s="16"/>
      <c r="J64" s="15">
        <f t="shared" si="4"/>
        <v>-802466.93</v>
      </c>
      <c r="K64" s="16"/>
      <c r="L64" s="15">
        <f t="shared" si="5"/>
        <v>4166154.1599999997</v>
      </c>
      <c r="M64" s="132"/>
    </row>
    <row r="65" spans="1:13" x14ac:dyDescent="0.2">
      <c r="B65" s="16">
        <f>SUM(B47:B64)</f>
        <v>131462346.82000001</v>
      </c>
      <c r="C65" s="16"/>
      <c r="D65" s="19">
        <f>SUM(D47:D64)</f>
        <v>10953646.859999999</v>
      </c>
      <c r="E65" s="16"/>
      <c r="F65" s="19">
        <f>SUM(F47:F64)</f>
        <v>-645353.03</v>
      </c>
      <c r="G65" s="16"/>
      <c r="H65" s="19">
        <f>SUM(H47:H64)</f>
        <v>-650064.75</v>
      </c>
      <c r="I65" s="16"/>
      <c r="J65" s="16">
        <f>SUM(J47:J64)</f>
        <v>9658229.0800000001</v>
      </c>
      <c r="K65" s="16"/>
      <c r="L65" s="16">
        <f>SUM(L47:L64)</f>
        <v>141120575.89999998</v>
      </c>
      <c r="M65" s="132"/>
    </row>
    <row r="66" spans="1:13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8"/>
    </row>
    <row r="67" spans="1:13" x14ac:dyDescent="0.2">
      <c r="A67" s="9" t="s">
        <v>31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8"/>
    </row>
    <row r="68" spans="1:13" x14ac:dyDescent="0.2">
      <c r="A68" s="3" t="s">
        <v>3080</v>
      </c>
      <c r="B68" s="14">
        <v>220659.05</v>
      </c>
      <c r="C68" s="14"/>
      <c r="D68" s="16">
        <v>0</v>
      </c>
      <c r="E68" s="14"/>
      <c r="F68" s="16">
        <v>0</v>
      </c>
      <c r="G68" s="14"/>
      <c r="H68" s="16">
        <v>0</v>
      </c>
      <c r="I68" s="14"/>
      <c r="J68" s="14">
        <f>H68+F68+D68</f>
        <v>0</v>
      </c>
      <c r="K68" s="14"/>
      <c r="L68" s="14">
        <f>J68+B68</f>
        <v>220659.05</v>
      </c>
      <c r="M68" s="28"/>
    </row>
    <row r="69" spans="1:13" x14ac:dyDescent="0.2">
      <c r="A69" s="131" t="s">
        <v>3081</v>
      </c>
      <c r="B69" s="14">
        <v>46810948.000000007</v>
      </c>
      <c r="C69" s="14"/>
      <c r="D69" s="16">
        <v>4123769.1</v>
      </c>
      <c r="E69" s="14"/>
      <c r="F69" s="16">
        <v>-217700.06</v>
      </c>
      <c r="G69" s="14"/>
      <c r="H69" s="16">
        <v>0</v>
      </c>
      <c r="I69" s="14"/>
      <c r="J69" s="14">
        <f>H69+F69+D69</f>
        <v>3906069.04</v>
      </c>
      <c r="K69" s="14"/>
      <c r="L69" s="14">
        <f>J69+B69</f>
        <v>50717017.040000007</v>
      </c>
      <c r="M69" s="28"/>
    </row>
    <row r="70" spans="1:13" x14ac:dyDescent="0.2">
      <c r="A70" s="21" t="s">
        <v>3082</v>
      </c>
      <c r="B70" s="16">
        <v>2327883.9799999995</v>
      </c>
      <c r="C70" s="16"/>
      <c r="D70" s="16">
        <v>0</v>
      </c>
      <c r="E70" s="14"/>
      <c r="F70" s="16">
        <v>-42504.33</v>
      </c>
      <c r="G70" s="14"/>
      <c r="H70" s="16">
        <v>28516.28</v>
      </c>
      <c r="I70" s="16"/>
      <c r="J70" s="16">
        <f>H70+F70+D70</f>
        <v>-13988.050000000003</v>
      </c>
      <c r="K70" s="16"/>
      <c r="L70" s="16">
        <f>J70+B70</f>
        <v>2313895.9299999997</v>
      </c>
      <c r="M70" s="28"/>
    </row>
    <row r="71" spans="1:13" x14ac:dyDescent="0.2">
      <c r="B71" s="19">
        <f>SUM(B68:B70)</f>
        <v>49359491.030000001</v>
      </c>
      <c r="C71" s="16"/>
      <c r="D71" s="19">
        <f>SUM(D68:D70)</f>
        <v>4123769.1</v>
      </c>
      <c r="E71" s="16"/>
      <c r="F71" s="19">
        <f>SUM(F68:F70)</f>
        <v>-260204.39</v>
      </c>
      <c r="G71" s="16"/>
      <c r="H71" s="19">
        <f>SUM(H68:H70)</f>
        <v>28516.28</v>
      </c>
      <c r="I71" s="16"/>
      <c r="J71" s="19">
        <f>SUM(J68:J70)</f>
        <v>3892080.99</v>
      </c>
      <c r="K71" s="16"/>
      <c r="L71" s="19">
        <f>SUM(L68:L70)</f>
        <v>53251572.020000003</v>
      </c>
      <c r="M71" s="132"/>
    </row>
    <row r="72" spans="1:13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32"/>
    </row>
    <row r="73" spans="1:13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8"/>
    </row>
    <row r="74" spans="1:13" x14ac:dyDescent="0.2">
      <c r="A74" s="9" t="s">
        <v>3083</v>
      </c>
      <c r="B74" s="20">
        <f>B71+B65+B44+B40+B29</f>
        <v>1026530217.5100001</v>
      </c>
      <c r="C74" s="16"/>
      <c r="D74" s="20">
        <f>D71+D65+D44+D40+D29</f>
        <v>101152968.87</v>
      </c>
      <c r="E74" s="16"/>
      <c r="F74" s="20">
        <f>F71+F65+F44+F40+F29</f>
        <v>-4275739.3499999996</v>
      </c>
      <c r="G74" s="16"/>
      <c r="H74" s="20">
        <f>H71+H65+H44+H40+H29</f>
        <v>498645.53</v>
      </c>
      <c r="I74" s="16"/>
      <c r="J74" s="20">
        <f>J71+J65+J44+J40+J29</f>
        <v>97375875.050000012</v>
      </c>
      <c r="K74" s="16"/>
      <c r="L74" s="20">
        <f>L71+L65+L44+L40+L29</f>
        <v>1123906092.5599999</v>
      </c>
      <c r="M74" s="28"/>
    </row>
    <row r="75" spans="1:13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8"/>
    </row>
    <row r="76" spans="1:13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8"/>
    </row>
    <row r="77" spans="1:13" x14ac:dyDescent="0.2">
      <c r="A77" s="9" t="s">
        <v>2878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28"/>
    </row>
    <row r="78" spans="1:13" x14ac:dyDescent="0.2">
      <c r="A78" s="9" t="s">
        <v>27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8"/>
    </row>
    <row r="79" spans="1:13" x14ac:dyDescent="0.2">
      <c r="A79" s="3" t="s">
        <v>3084</v>
      </c>
      <c r="B79" s="14">
        <v>0</v>
      </c>
      <c r="C79" s="14"/>
      <c r="D79" s="16">
        <v>0</v>
      </c>
      <c r="E79" s="14"/>
      <c r="F79" s="16">
        <v>0</v>
      </c>
      <c r="G79" s="14"/>
      <c r="H79" s="16">
        <v>0</v>
      </c>
      <c r="I79" s="14"/>
      <c r="J79" s="14">
        <f t="shared" ref="J79:J92" si="6">H79+F79+D79</f>
        <v>0</v>
      </c>
      <c r="K79" s="14"/>
      <c r="L79" s="14">
        <f t="shared" ref="L79:L92" si="7">J79+B79</f>
        <v>0</v>
      </c>
      <c r="M79" s="28"/>
    </row>
    <row r="80" spans="1:13" x14ac:dyDescent="0.2">
      <c r="A80" s="131" t="s">
        <v>3085</v>
      </c>
      <c r="B80" s="14">
        <v>0</v>
      </c>
      <c r="C80" s="14"/>
      <c r="D80" s="16">
        <v>55896.49</v>
      </c>
      <c r="E80" s="14"/>
      <c r="F80" s="16">
        <v>0</v>
      </c>
      <c r="G80" s="14"/>
      <c r="H80" s="16">
        <v>0</v>
      </c>
      <c r="I80" s="14"/>
      <c r="J80" s="14">
        <f t="shared" si="6"/>
        <v>55896.49</v>
      </c>
      <c r="K80" s="14"/>
      <c r="L80" s="14">
        <f t="shared" si="7"/>
        <v>55896.49</v>
      </c>
      <c r="M80" s="28"/>
    </row>
    <row r="81" spans="1:14" x14ac:dyDescent="0.2">
      <c r="A81" s="131" t="s">
        <v>3086</v>
      </c>
      <c r="B81" s="14">
        <v>6108191.2500000075</v>
      </c>
      <c r="C81" s="14"/>
      <c r="D81" s="16">
        <v>-2596093.06</v>
      </c>
      <c r="E81" s="14"/>
      <c r="F81" s="16">
        <v>0</v>
      </c>
      <c r="G81" s="14"/>
      <c r="H81" s="16">
        <v>-14225.03</v>
      </c>
      <c r="I81" s="14"/>
      <c r="J81" s="14">
        <f>H81+F81+D81</f>
        <v>-2610318.09</v>
      </c>
      <c r="K81" s="14"/>
      <c r="L81" s="14">
        <f>J81+B81</f>
        <v>3497873.1600000076</v>
      </c>
      <c r="M81" s="28"/>
      <c r="N81" s="37"/>
    </row>
    <row r="82" spans="1:14" x14ac:dyDescent="0.2">
      <c r="A82" s="131" t="s">
        <v>3087</v>
      </c>
      <c r="B82" s="14">
        <v>8218700.1900000004</v>
      </c>
      <c r="C82" s="14"/>
      <c r="D82" s="16">
        <v>-7784936.1600000001</v>
      </c>
      <c r="E82" s="14"/>
      <c r="F82" s="16">
        <v>0</v>
      </c>
      <c r="G82" s="14"/>
      <c r="H82" s="16">
        <v>-430720.5</v>
      </c>
      <c r="I82" s="14"/>
      <c r="J82" s="14">
        <f t="shared" si="6"/>
        <v>-8215656.6600000001</v>
      </c>
      <c r="K82" s="14"/>
      <c r="L82" s="14">
        <f t="shared" si="7"/>
        <v>3043.5300000002608</v>
      </c>
      <c r="M82" s="28"/>
      <c r="N82" s="37"/>
    </row>
    <row r="83" spans="1:14" x14ac:dyDescent="0.2">
      <c r="A83" s="131" t="s">
        <v>3088</v>
      </c>
      <c r="B83" s="14">
        <v>0</v>
      </c>
      <c r="C83" s="14"/>
      <c r="D83" s="16">
        <v>4528923.87</v>
      </c>
      <c r="E83" s="14"/>
      <c r="F83" s="16">
        <v>0</v>
      </c>
      <c r="G83" s="14"/>
      <c r="H83" s="16">
        <v>444945.53</v>
      </c>
      <c r="I83" s="14"/>
      <c r="J83" s="14">
        <f t="shared" si="6"/>
        <v>4973869.4000000004</v>
      </c>
      <c r="K83" s="14"/>
      <c r="L83" s="14">
        <f>J83+B83</f>
        <v>4973869.4000000004</v>
      </c>
      <c r="M83" s="28"/>
      <c r="N83" s="37"/>
    </row>
    <row r="84" spans="1:14" x14ac:dyDescent="0.2">
      <c r="A84" s="3" t="s">
        <v>3089</v>
      </c>
      <c r="B84" s="14">
        <v>3135391.8600000003</v>
      </c>
      <c r="C84" s="14"/>
      <c r="D84" s="16">
        <v>383145.01</v>
      </c>
      <c r="E84" s="14"/>
      <c r="F84" s="16">
        <v>0</v>
      </c>
      <c r="G84" s="14"/>
      <c r="H84" s="16">
        <v>0</v>
      </c>
      <c r="I84" s="14"/>
      <c r="J84" s="14">
        <f t="shared" si="6"/>
        <v>383145.01</v>
      </c>
      <c r="K84" s="14"/>
      <c r="L84" s="14">
        <f t="shared" si="7"/>
        <v>3518536.87</v>
      </c>
      <c r="M84" s="28"/>
      <c r="N84" s="37"/>
    </row>
    <row r="85" spans="1:14" x14ac:dyDescent="0.2">
      <c r="A85" s="3" t="s">
        <v>3090</v>
      </c>
      <c r="B85" s="14">
        <v>394397.22</v>
      </c>
      <c r="C85" s="14"/>
      <c r="D85" s="16">
        <v>798640.51</v>
      </c>
      <c r="E85" s="14"/>
      <c r="F85" s="16">
        <v>0</v>
      </c>
      <c r="G85" s="14"/>
      <c r="H85" s="16">
        <v>0</v>
      </c>
      <c r="I85" s="14"/>
      <c r="J85" s="14">
        <f t="shared" si="6"/>
        <v>798640.51</v>
      </c>
      <c r="K85" s="14"/>
      <c r="L85" s="14">
        <f t="shared" si="7"/>
        <v>1193037.73</v>
      </c>
      <c r="M85" s="28"/>
    </row>
    <row r="86" spans="1:14" x14ac:dyDescent="0.2">
      <c r="A86" s="3" t="s">
        <v>3091</v>
      </c>
      <c r="B86" s="16">
        <v>3602386.6599999997</v>
      </c>
      <c r="C86" s="16"/>
      <c r="D86" s="16">
        <v>-2900367.1</v>
      </c>
      <c r="E86" s="14"/>
      <c r="F86" s="16">
        <v>0</v>
      </c>
      <c r="G86" s="14"/>
      <c r="H86" s="16">
        <v>-56900.08</v>
      </c>
      <c r="I86" s="16"/>
      <c r="J86" s="16">
        <f t="shared" si="6"/>
        <v>-2957267.18</v>
      </c>
      <c r="K86" s="16"/>
      <c r="L86" s="16">
        <f t="shared" si="7"/>
        <v>645119.47999999952</v>
      </c>
      <c r="M86" s="28"/>
      <c r="N86" s="37"/>
    </row>
    <row r="87" spans="1:14" x14ac:dyDescent="0.2">
      <c r="A87" s="21" t="s">
        <v>3092</v>
      </c>
      <c r="B87" s="14">
        <v>27770220.310000002</v>
      </c>
      <c r="C87" s="16"/>
      <c r="D87" s="16">
        <v>-26191532.93</v>
      </c>
      <c r="E87" s="14"/>
      <c r="F87" s="16">
        <v>0</v>
      </c>
      <c r="G87" s="14"/>
      <c r="H87" s="16">
        <v>-1559609.04</v>
      </c>
      <c r="I87" s="16"/>
      <c r="J87" s="14">
        <f t="shared" si="6"/>
        <v>-27751141.969999999</v>
      </c>
      <c r="K87" s="16"/>
      <c r="L87" s="14">
        <f t="shared" si="7"/>
        <v>19078.340000003576</v>
      </c>
      <c r="M87" s="28"/>
      <c r="N87" s="37"/>
    </row>
    <row r="88" spans="1:14" x14ac:dyDescent="0.2">
      <c r="A88" s="21" t="s">
        <v>3093</v>
      </c>
      <c r="B88" s="14">
        <v>0</v>
      </c>
      <c r="C88" s="16"/>
      <c r="D88" s="16">
        <v>9332553.6500000004</v>
      </c>
      <c r="E88" s="14"/>
      <c r="F88" s="16">
        <v>0</v>
      </c>
      <c r="G88" s="14"/>
      <c r="H88" s="16">
        <v>1616509.12</v>
      </c>
      <c r="I88" s="16"/>
      <c r="J88" s="14">
        <f t="shared" si="6"/>
        <v>10949062.77</v>
      </c>
      <c r="K88" s="16"/>
      <c r="L88" s="14">
        <f>J88+B88</f>
        <v>10949062.77</v>
      </c>
      <c r="M88" s="28"/>
      <c r="N88" s="37"/>
    </row>
    <row r="89" spans="1:14" x14ac:dyDescent="0.2">
      <c r="A89" s="3" t="s">
        <v>3094</v>
      </c>
      <c r="B89" s="16">
        <v>121395.78</v>
      </c>
      <c r="C89" s="16"/>
      <c r="D89" s="16">
        <v>1375666.93</v>
      </c>
      <c r="E89" s="14"/>
      <c r="F89" s="16">
        <v>0</v>
      </c>
      <c r="G89" s="14"/>
      <c r="H89" s="16">
        <v>0</v>
      </c>
      <c r="I89" s="16"/>
      <c r="J89" s="16">
        <f t="shared" si="6"/>
        <v>1375666.93</v>
      </c>
      <c r="K89" s="16"/>
      <c r="L89" s="16">
        <f t="shared" si="7"/>
        <v>1497062.71</v>
      </c>
      <c r="M89" s="28"/>
    </row>
    <row r="90" spans="1:14" x14ac:dyDescent="0.2">
      <c r="A90" s="3" t="s">
        <v>3095</v>
      </c>
      <c r="B90" s="16">
        <v>16000</v>
      </c>
      <c r="C90" s="16"/>
      <c r="D90" s="16">
        <v>16910.66</v>
      </c>
      <c r="E90" s="14"/>
      <c r="F90" s="16">
        <v>0</v>
      </c>
      <c r="G90" s="14"/>
      <c r="H90" s="16">
        <v>0</v>
      </c>
      <c r="I90" s="16"/>
      <c r="J90" s="16">
        <f t="shared" si="6"/>
        <v>16910.66</v>
      </c>
      <c r="K90" s="16"/>
      <c r="L90" s="16">
        <f t="shared" si="7"/>
        <v>32910.660000000003</v>
      </c>
      <c r="M90" s="28"/>
      <c r="N90" s="37"/>
    </row>
    <row r="91" spans="1:14" x14ac:dyDescent="0.2">
      <c r="A91" s="3" t="s">
        <v>3096</v>
      </c>
      <c r="B91" s="16">
        <v>0</v>
      </c>
      <c r="C91" s="16"/>
      <c r="D91" s="16">
        <v>0</v>
      </c>
      <c r="E91" s="14"/>
      <c r="F91" s="16">
        <v>0</v>
      </c>
      <c r="G91" s="14"/>
      <c r="H91" s="16">
        <v>0</v>
      </c>
      <c r="I91" s="16"/>
      <c r="J91" s="16">
        <f t="shared" si="6"/>
        <v>0</v>
      </c>
      <c r="K91" s="16"/>
      <c r="L91" s="16">
        <f t="shared" si="7"/>
        <v>0</v>
      </c>
      <c r="M91" s="28"/>
      <c r="N91" s="37"/>
    </row>
    <row r="92" spans="1:14" x14ac:dyDescent="0.2">
      <c r="A92" s="3" t="s">
        <v>3097</v>
      </c>
      <c r="B92" s="15">
        <v>0</v>
      </c>
      <c r="C92" s="16"/>
      <c r="D92" s="16">
        <v>0</v>
      </c>
      <c r="E92" s="14"/>
      <c r="F92" s="16">
        <v>0</v>
      </c>
      <c r="G92" s="14"/>
      <c r="H92" s="16">
        <v>0</v>
      </c>
      <c r="I92" s="16"/>
      <c r="J92" s="15">
        <f t="shared" si="6"/>
        <v>0</v>
      </c>
      <c r="K92" s="16"/>
      <c r="L92" s="15">
        <f t="shared" si="7"/>
        <v>0</v>
      </c>
      <c r="M92" s="28"/>
      <c r="N92" s="37"/>
    </row>
    <row r="93" spans="1:14" x14ac:dyDescent="0.2">
      <c r="B93" s="16">
        <f>SUM(B79:B92)</f>
        <v>49366683.270000011</v>
      </c>
      <c r="C93" s="16"/>
      <c r="D93" s="19">
        <f>SUM(D79:D92)</f>
        <v>-22981192.130000006</v>
      </c>
      <c r="E93" s="16"/>
      <c r="F93" s="19">
        <f>SUM(F79:F92)</f>
        <v>0</v>
      </c>
      <c r="G93" s="16"/>
      <c r="H93" s="19">
        <f>SUM(H79:H92)</f>
        <v>0</v>
      </c>
      <c r="I93" s="16"/>
      <c r="J93" s="16">
        <f>SUM(J79:J92)</f>
        <v>-22981192.129999995</v>
      </c>
      <c r="K93" s="16"/>
      <c r="L93" s="16">
        <f>SUM(L79:L92)</f>
        <v>26385491.140000015</v>
      </c>
      <c r="M93" s="28"/>
    </row>
    <row r="94" spans="1:14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8"/>
    </row>
    <row r="95" spans="1:14" x14ac:dyDescent="0.2">
      <c r="A95" s="9" t="s">
        <v>28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28"/>
    </row>
    <row r="96" spans="1:14" x14ac:dyDescent="0.2">
      <c r="A96" s="3" t="s">
        <v>3098</v>
      </c>
      <c r="B96" s="14">
        <v>0</v>
      </c>
      <c r="C96" s="14"/>
      <c r="D96" s="16">
        <v>0</v>
      </c>
      <c r="E96" s="14"/>
      <c r="F96" s="16">
        <v>0</v>
      </c>
      <c r="G96" s="14"/>
      <c r="H96" s="16">
        <v>0</v>
      </c>
      <c r="I96" s="14"/>
      <c r="J96" s="14">
        <f t="shared" ref="J96:J102" si="8">H96+F96+D96</f>
        <v>0</v>
      </c>
      <c r="K96" s="14"/>
      <c r="L96" s="14">
        <f t="shared" ref="L96:L102" si="9">J96+B96</f>
        <v>0</v>
      </c>
      <c r="M96" s="28"/>
    </row>
    <row r="97" spans="1:13" x14ac:dyDescent="0.2">
      <c r="A97" s="3" t="s">
        <v>3099</v>
      </c>
      <c r="B97" s="14">
        <v>242398.53</v>
      </c>
      <c r="C97" s="14"/>
      <c r="D97" s="16">
        <v>-195936.61</v>
      </c>
      <c r="E97" s="14"/>
      <c r="F97" s="16">
        <v>0</v>
      </c>
      <c r="G97" s="14"/>
      <c r="H97" s="16">
        <v>0</v>
      </c>
      <c r="I97" s="14"/>
      <c r="J97" s="14">
        <f t="shared" si="8"/>
        <v>-195936.61</v>
      </c>
      <c r="K97" s="14"/>
      <c r="L97" s="14">
        <f t="shared" si="9"/>
        <v>46461.920000000013</v>
      </c>
      <c r="M97" s="28"/>
    </row>
    <row r="98" spans="1:13" x14ac:dyDescent="0.2">
      <c r="A98" s="3" t="s">
        <v>3100</v>
      </c>
      <c r="B98" s="14">
        <v>259297.56</v>
      </c>
      <c r="C98" s="14"/>
      <c r="D98" s="16">
        <v>120547.38</v>
      </c>
      <c r="E98" s="14"/>
      <c r="F98" s="16">
        <v>0</v>
      </c>
      <c r="G98" s="14"/>
      <c r="H98" s="16">
        <v>0</v>
      </c>
      <c r="I98" s="14"/>
      <c r="J98" s="14">
        <f t="shared" si="8"/>
        <v>120547.38</v>
      </c>
      <c r="K98" s="14"/>
      <c r="L98" s="14">
        <f t="shared" si="9"/>
        <v>379844.94</v>
      </c>
      <c r="M98" s="28"/>
    </row>
    <row r="99" spans="1:13" x14ac:dyDescent="0.2">
      <c r="A99" s="131" t="s">
        <v>3101</v>
      </c>
      <c r="B99" s="14">
        <v>0</v>
      </c>
      <c r="C99" s="14"/>
      <c r="D99" s="16">
        <v>0</v>
      </c>
      <c r="E99" s="14"/>
      <c r="F99" s="16">
        <v>0</v>
      </c>
      <c r="G99" s="14"/>
      <c r="H99" s="16">
        <v>0</v>
      </c>
      <c r="I99" s="14"/>
      <c r="J99" s="14">
        <f t="shared" si="8"/>
        <v>0</v>
      </c>
      <c r="K99" s="14"/>
      <c r="L99" s="14">
        <f t="shared" si="9"/>
        <v>0</v>
      </c>
      <c r="M99" s="28"/>
    </row>
    <row r="100" spans="1:13" x14ac:dyDescent="0.2">
      <c r="A100" s="131" t="s">
        <v>3102</v>
      </c>
      <c r="B100" s="16">
        <v>0</v>
      </c>
      <c r="C100" s="16"/>
      <c r="D100" s="16">
        <v>0</v>
      </c>
      <c r="E100" s="16"/>
      <c r="F100" s="16">
        <v>0</v>
      </c>
      <c r="G100" s="16"/>
      <c r="H100" s="16">
        <v>0</v>
      </c>
      <c r="I100" s="16"/>
      <c r="J100" s="16">
        <f t="shared" si="8"/>
        <v>0</v>
      </c>
      <c r="K100" s="16"/>
      <c r="L100" s="16">
        <f t="shared" si="9"/>
        <v>0</v>
      </c>
      <c r="M100" s="132"/>
    </row>
    <row r="101" spans="1:13" x14ac:dyDescent="0.2">
      <c r="A101" s="3" t="s">
        <v>3103</v>
      </c>
      <c r="B101" s="16">
        <v>0</v>
      </c>
      <c r="C101" s="16"/>
      <c r="D101" s="16">
        <v>0</v>
      </c>
      <c r="E101" s="14"/>
      <c r="F101" s="16">
        <v>0</v>
      </c>
      <c r="G101" s="14"/>
      <c r="H101" s="16">
        <v>0</v>
      </c>
      <c r="I101" s="16"/>
      <c r="J101" s="16">
        <f t="shared" si="8"/>
        <v>0</v>
      </c>
      <c r="K101" s="16"/>
      <c r="L101" s="16">
        <f t="shared" si="9"/>
        <v>0</v>
      </c>
      <c r="M101" s="132"/>
    </row>
    <row r="102" spans="1:13" x14ac:dyDescent="0.2">
      <c r="A102" s="21" t="s">
        <v>3060</v>
      </c>
      <c r="B102" s="16">
        <v>0</v>
      </c>
      <c r="C102" s="16"/>
      <c r="D102" s="16">
        <v>0</v>
      </c>
      <c r="E102" s="14"/>
      <c r="F102" s="16">
        <v>0</v>
      </c>
      <c r="G102" s="14"/>
      <c r="H102" s="16">
        <v>0</v>
      </c>
      <c r="I102" s="16"/>
      <c r="J102" s="16">
        <f t="shared" si="8"/>
        <v>0</v>
      </c>
      <c r="K102" s="16"/>
      <c r="L102" s="16">
        <f t="shared" si="9"/>
        <v>0</v>
      </c>
      <c r="M102" s="132"/>
    </row>
    <row r="103" spans="1:13" x14ac:dyDescent="0.2">
      <c r="B103" s="19">
        <f>SUM(B96:B102)</f>
        <v>501696.08999999997</v>
      </c>
      <c r="C103" s="16"/>
      <c r="D103" s="19">
        <f>SUM(D96:D102)</f>
        <v>-75389.229999999981</v>
      </c>
      <c r="E103" s="16"/>
      <c r="F103" s="19">
        <f>SUM(F96:F102)</f>
        <v>0</v>
      </c>
      <c r="G103" s="16"/>
      <c r="H103" s="19">
        <f>SUM(H96:H102)</f>
        <v>0</v>
      </c>
      <c r="I103" s="16"/>
      <c r="J103" s="19">
        <f>SUM(J96:J102)</f>
        <v>-75389.229999999981</v>
      </c>
      <c r="K103" s="16"/>
      <c r="L103" s="19">
        <f>SUM(L96:L102)</f>
        <v>426306.86</v>
      </c>
      <c r="M103" s="132"/>
    </row>
    <row r="104" spans="1:13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32"/>
    </row>
    <row r="105" spans="1:13" x14ac:dyDescent="0.2">
      <c r="A105" s="9" t="s">
        <v>30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8"/>
    </row>
    <row r="106" spans="1:13" x14ac:dyDescent="0.2">
      <c r="A106" s="3" t="s">
        <v>3104</v>
      </c>
      <c r="B106" s="16">
        <v>331490.18000000005</v>
      </c>
      <c r="C106" s="16"/>
      <c r="D106" s="16">
        <v>-272481.07</v>
      </c>
      <c r="E106" s="14"/>
      <c r="F106" s="16">
        <v>0</v>
      </c>
      <c r="G106" s="14"/>
      <c r="H106" s="16">
        <v>0</v>
      </c>
      <c r="I106" s="16"/>
      <c r="J106" s="16">
        <f t="shared" ref="J106:J116" si="10">H106+F106+D106</f>
        <v>-272481.07</v>
      </c>
      <c r="K106" s="16"/>
      <c r="L106" s="16">
        <f t="shared" ref="L106:L116" si="11">J106+B106</f>
        <v>59009.110000000044</v>
      </c>
      <c r="M106" s="28"/>
    </row>
    <row r="107" spans="1:13" x14ac:dyDescent="0.2">
      <c r="A107" s="3" t="s">
        <v>3105</v>
      </c>
      <c r="B107" s="16">
        <v>0</v>
      </c>
      <c r="C107" s="16"/>
      <c r="D107" s="16">
        <v>0</v>
      </c>
      <c r="E107" s="14"/>
      <c r="F107" s="16">
        <v>0</v>
      </c>
      <c r="G107" s="14"/>
      <c r="H107" s="16">
        <v>0</v>
      </c>
      <c r="I107" s="16"/>
      <c r="J107" s="16">
        <f t="shared" si="10"/>
        <v>0</v>
      </c>
      <c r="K107" s="16"/>
      <c r="L107" s="16">
        <f t="shared" si="11"/>
        <v>0</v>
      </c>
      <c r="M107" s="28"/>
    </row>
    <row r="108" spans="1:13" x14ac:dyDescent="0.2">
      <c r="A108" s="3" t="s">
        <v>3106</v>
      </c>
      <c r="B108" s="16">
        <v>220281.78</v>
      </c>
      <c r="C108" s="16"/>
      <c r="D108" s="16">
        <v>425617.65</v>
      </c>
      <c r="E108" s="14"/>
      <c r="F108" s="16">
        <v>0</v>
      </c>
      <c r="G108" s="14"/>
      <c r="H108" s="16">
        <v>0</v>
      </c>
      <c r="I108" s="16"/>
      <c r="J108" s="16">
        <f t="shared" si="10"/>
        <v>425617.65</v>
      </c>
      <c r="K108" s="16"/>
      <c r="L108" s="16">
        <f t="shared" si="11"/>
        <v>645899.43000000005</v>
      </c>
      <c r="M108" s="28"/>
    </row>
    <row r="109" spans="1:13" x14ac:dyDescent="0.2">
      <c r="A109" s="21" t="s">
        <v>3107</v>
      </c>
      <c r="B109" s="16">
        <v>0</v>
      </c>
      <c r="C109" s="16"/>
      <c r="D109" s="16">
        <v>0</v>
      </c>
      <c r="E109" s="14"/>
      <c r="F109" s="16">
        <v>0</v>
      </c>
      <c r="G109" s="14"/>
      <c r="H109" s="16">
        <v>0</v>
      </c>
      <c r="I109" s="16"/>
      <c r="J109" s="16">
        <f t="shared" si="10"/>
        <v>0</v>
      </c>
      <c r="K109" s="16"/>
      <c r="L109" s="16">
        <f t="shared" si="11"/>
        <v>0</v>
      </c>
      <c r="M109" s="28"/>
    </row>
    <row r="110" spans="1:13" x14ac:dyDescent="0.2">
      <c r="A110" s="21" t="s">
        <v>3108</v>
      </c>
      <c r="B110" s="16">
        <v>0</v>
      </c>
      <c r="C110" s="16"/>
      <c r="D110" s="16">
        <v>0</v>
      </c>
      <c r="E110" s="14"/>
      <c r="F110" s="16">
        <v>0</v>
      </c>
      <c r="G110" s="14"/>
      <c r="H110" s="16">
        <v>0</v>
      </c>
      <c r="I110" s="16"/>
      <c r="J110" s="16">
        <f t="shared" si="10"/>
        <v>0</v>
      </c>
      <c r="K110" s="16"/>
      <c r="L110" s="16">
        <f t="shared" si="11"/>
        <v>0</v>
      </c>
      <c r="M110" s="28"/>
    </row>
    <row r="111" spans="1:13" x14ac:dyDescent="0.2">
      <c r="A111" s="21" t="s">
        <v>3109</v>
      </c>
      <c r="B111" s="16">
        <v>374481.08999999991</v>
      </c>
      <c r="C111" s="16"/>
      <c r="D111" s="16">
        <v>638426.67000000004</v>
      </c>
      <c r="E111" s="14"/>
      <c r="F111" s="16">
        <v>0</v>
      </c>
      <c r="G111" s="14"/>
      <c r="H111" s="16">
        <v>0</v>
      </c>
      <c r="I111" s="16"/>
      <c r="J111" s="16">
        <f t="shared" si="10"/>
        <v>638426.67000000004</v>
      </c>
      <c r="K111" s="16"/>
      <c r="L111" s="16">
        <f t="shared" si="11"/>
        <v>1012907.76</v>
      </c>
      <c r="M111" s="28"/>
    </row>
    <row r="112" spans="1:13" x14ac:dyDescent="0.2">
      <c r="A112" s="3" t="s">
        <v>3110</v>
      </c>
      <c r="B112" s="16">
        <v>1638153.99</v>
      </c>
      <c r="C112" s="16"/>
      <c r="D112" s="16">
        <v>325130.74</v>
      </c>
      <c r="E112" s="14"/>
      <c r="F112" s="16">
        <v>0</v>
      </c>
      <c r="G112" s="14"/>
      <c r="H112" s="16">
        <v>0</v>
      </c>
      <c r="I112" s="16"/>
      <c r="J112" s="16">
        <f t="shared" si="10"/>
        <v>325130.74</v>
      </c>
      <c r="K112" s="16"/>
      <c r="L112" s="16">
        <f t="shared" si="11"/>
        <v>1963284.73</v>
      </c>
      <c r="M112" s="28"/>
    </row>
    <row r="113" spans="1:13" x14ac:dyDescent="0.2">
      <c r="A113" s="3" t="s">
        <v>3111</v>
      </c>
      <c r="B113" s="16">
        <v>8175017.0299999984</v>
      </c>
      <c r="C113" s="16"/>
      <c r="D113" s="16">
        <v>-828609.87</v>
      </c>
      <c r="E113" s="14"/>
      <c r="F113" s="16">
        <v>0</v>
      </c>
      <c r="G113" s="14"/>
      <c r="H113" s="16">
        <v>0</v>
      </c>
      <c r="I113" s="16"/>
      <c r="J113" s="16">
        <f t="shared" si="10"/>
        <v>-828609.87</v>
      </c>
      <c r="K113" s="16"/>
      <c r="L113" s="16">
        <f t="shared" si="11"/>
        <v>7346407.1599999983</v>
      </c>
      <c r="M113" s="28"/>
    </row>
    <row r="114" spans="1:13" x14ac:dyDescent="0.2">
      <c r="A114" s="3" t="s">
        <v>3112</v>
      </c>
      <c r="B114" s="16">
        <v>989556.78</v>
      </c>
      <c r="C114" s="16"/>
      <c r="D114" s="16">
        <v>-989556.78</v>
      </c>
      <c r="E114" s="14"/>
      <c r="F114" s="16">
        <v>0</v>
      </c>
      <c r="G114" s="14"/>
      <c r="H114" s="16">
        <v>0</v>
      </c>
      <c r="I114" s="16"/>
      <c r="J114" s="16">
        <f t="shared" si="10"/>
        <v>-989556.78</v>
      </c>
      <c r="K114" s="16"/>
      <c r="L114" s="16">
        <f t="shared" si="11"/>
        <v>0</v>
      </c>
      <c r="M114" s="28"/>
    </row>
    <row r="115" spans="1:13" x14ac:dyDescent="0.2">
      <c r="A115" s="3" t="s">
        <v>3113</v>
      </c>
      <c r="B115" s="16">
        <v>2442714.88</v>
      </c>
      <c r="C115" s="16"/>
      <c r="D115" s="16">
        <v>-866969.24</v>
      </c>
      <c r="E115" s="14"/>
      <c r="F115" s="16">
        <v>0</v>
      </c>
      <c r="G115" s="14"/>
      <c r="H115" s="16">
        <v>0</v>
      </c>
      <c r="I115" s="16"/>
      <c r="J115" s="16">
        <f t="shared" si="10"/>
        <v>-866969.24</v>
      </c>
      <c r="K115" s="16"/>
      <c r="L115" s="16">
        <f t="shared" si="11"/>
        <v>1575745.64</v>
      </c>
      <c r="M115" s="28"/>
    </row>
    <row r="116" spans="1:13" x14ac:dyDescent="0.2">
      <c r="A116" s="3" t="s">
        <v>3114</v>
      </c>
      <c r="B116" s="15">
        <v>287116.19</v>
      </c>
      <c r="C116" s="16"/>
      <c r="D116" s="16">
        <v>-6268.28</v>
      </c>
      <c r="E116" s="14"/>
      <c r="F116" s="16">
        <v>0</v>
      </c>
      <c r="G116" s="14"/>
      <c r="H116" s="16">
        <v>0</v>
      </c>
      <c r="I116" s="16"/>
      <c r="J116" s="15">
        <f t="shared" si="10"/>
        <v>-6268.28</v>
      </c>
      <c r="K116" s="16"/>
      <c r="L116" s="15">
        <f t="shared" si="11"/>
        <v>280847.90999999997</v>
      </c>
      <c r="M116" s="28"/>
    </row>
    <row r="117" spans="1:13" x14ac:dyDescent="0.2">
      <c r="B117" s="16">
        <f>SUM(B106:B116)</f>
        <v>14458811.919999996</v>
      </c>
      <c r="C117" s="16"/>
      <c r="D117" s="19">
        <f>SUM(D106:D116)</f>
        <v>-1574710.18</v>
      </c>
      <c r="E117" s="16"/>
      <c r="F117" s="19">
        <f>SUM(F106:F116)</f>
        <v>0</v>
      </c>
      <c r="G117" s="16"/>
      <c r="H117" s="19">
        <f>SUM(H106:H116)</f>
        <v>0</v>
      </c>
      <c r="I117" s="16"/>
      <c r="J117" s="16">
        <f>SUM(J106:J116)</f>
        <v>-1574710.18</v>
      </c>
      <c r="K117" s="16"/>
      <c r="L117" s="16">
        <f>SUM(L106:L116)</f>
        <v>12884101.739999998</v>
      </c>
      <c r="M117" s="28"/>
    </row>
    <row r="118" spans="1:13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8"/>
    </row>
    <row r="119" spans="1:13" x14ac:dyDescent="0.2">
      <c r="A119" s="9" t="s">
        <v>31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8"/>
    </row>
    <row r="120" spans="1:13" x14ac:dyDescent="0.2">
      <c r="A120" s="131" t="s">
        <v>3115</v>
      </c>
      <c r="B120" s="15">
        <v>5695600.6799999997</v>
      </c>
      <c r="C120" s="16"/>
      <c r="D120" s="16">
        <v>-3784062.86</v>
      </c>
      <c r="E120" s="14"/>
      <c r="F120" s="16">
        <v>0</v>
      </c>
      <c r="G120" s="14"/>
      <c r="H120" s="16">
        <v>0</v>
      </c>
      <c r="I120" s="16"/>
      <c r="J120" s="15">
        <f>H120+F120+D120</f>
        <v>-3784062.86</v>
      </c>
      <c r="K120" s="16"/>
      <c r="L120" s="15">
        <f>J120+B120</f>
        <v>1911537.8199999998</v>
      </c>
      <c r="M120" s="28"/>
    </row>
    <row r="121" spans="1:13" x14ac:dyDescent="0.2">
      <c r="B121" s="16">
        <f>SUM(B120)</f>
        <v>5695600.6799999997</v>
      </c>
      <c r="C121" s="16"/>
      <c r="D121" s="19">
        <f>SUM(D120)</f>
        <v>-3784062.86</v>
      </c>
      <c r="E121" s="16"/>
      <c r="F121" s="19">
        <f>SUM(F120)</f>
        <v>0</v>
      </c>
      <c r="G121" s="16"/>
      <c r="H121" s="19">
        <f>SUM(H120)</f>
        <v>0</v>
      </c>
      <c r="I121" s="16"/>
      <c r="J121" s="16">
        <f>SUM(J120)</f>
        <v>-3784062.86</v>
      </c>
      <c r="K121" s="16"/>
      <c r="L121" s="16">
        <f>SUM(L120)</f>
        <v>1911537.8199999998</v>
      </c>
      <c r="M121" s="28"/>
    </row>
    <row r="122" spans="1:13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8"/>
    </row>
    <row r="123" spans="1:13" x14ac:dyDescent="0.2">
      <c r="B123" s="16"/>
      <c r="C123" s="14"/>
      <c r="D123" s="16"/>
      <c r="E123" s="14"/>
      <c r="F123" s="16"/>
      <c r="G123" s="14"/>
      <c r="H123" s="16"/>
      <c r="I123" s="14"/>
      <c r="J123" s="16"/>
      <c r="K123" s="14"/>
      <c r="L123" s="16"/>
      <c r="M123" s="28"/>
    </row>
    <row r="124" spans="1:13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28"/>
    </row>
    <row r="125" spans="1:13" x14ac:dyDescent="0.2">
      <c r="A125" s="9" t="s">
        <v>3116</v>
      </c>
      <c r="B125" s="20">
        <f>B117+B93+B103+B121</f>
        <v>70022791.960000008</v>
      </c>
      <c r="C125" s="16"/>
      <c r="D125" s="20">
        <f>D117+D93+D103+D121</f>
        <v>-28415354.400000006</v>
      </c>
      <c r="E125" s="16"/>
      <c r="F125" s="20">
        <f>F117+F93+F103+F121</f>
        <v>0</v>
      </c>
      <c r="G125" s="16"/>
      <c r="H125" s="20">
        <f>H117+H93+H103+H121</f>
        <v>0</v>
      </c>
      <c r="I125" s="16"/>
      <c r="J125" s="20">
        <f>J117+J93+J103+J121</f>
        <v>-28415354.399999995</v>
      </c>
      <c r="K125" s="16"/>
      <c r="L125" s="20">
        <f>L117+L93+L103+L121</f>
        <v>41607437.56000001</v>
      </c>
      <c r="M125" s="132"/>
    </row>
    <row r="126" spans="1:13" x14ac:dyDescent="0.2">
      <c r="B126" s="16"/>
      <c r="C126" s="14"/>
      <c r="D126" s="16"/>
      <c r="E126" s="14"/>
      <c r="F126" s="16"/>
      <c r="G126" s="14"/>
      <c r="H126" s="16"/>
      <c r="I126" s="14"/>
      <c r="J126" s="16"/>
      <c r="K126" s="14"/>
      <c r="L126" s="16"/>
      <c r="M126" s="28"/>
    </row>
    <row r="127" spans="1:13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28"/>
    </row>
    <row r="128" spans="1:13" ht="13.5" thickBot="1" x14ac:dyDescent="0.25">
      <c r="A128" s="9" t="s">
        <v>3117</v>
      </c>
      <c r="B128" s="39">
        <f>B125+B74</f>
        <v>1096553009.47</v>
      </c>
      <c r="C128" s="14"/>
      <c r="D128" s="39">
        <f>D125+D74</f>
        <v>72737614.469999999</v>
      </c>
      <c r="E128" s="14"/>
      <c r="F128" s="39">
        <f>F125+F74</f>
        <v>-4275739.3499999996</v>
      </c>
      <c r="G128" s="14"/>
      <c r="H128" s="39">
        <f>H125+H74</f>
        <v>498645.53</v>
      </c>
      <c r="I128" s="14"/>
      <c r="J128" s="39">
        <f>J125+J74</f>
        <v>68960520.650000021</v>
      </c>
      <c r="K128" s="14"/>
      <c r="L128" s="39">
        <f>L125+L74</f>
        <v>1165513530.1199999</v>
      </c>
      <c r="M128" s="28"/>
    </row>
    <row r="129" spans="2:13" ht="13.5" thickTop="1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28"/>
    </row>
    <row r="130" spans="2:13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28"/>
    </row>
    <row r="131" spans="2:13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28"/>
    </row>
    <row r="132" spans="2:13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2:13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2:13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2:13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2:13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2" manualBreakCount="2">
    <brk id="45" max="16383" man="1"/>
    <brk id="7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24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28515625" style="3" customWidth="1"/>
    <col min="14" max="14" width="13.5703125" style="3" bestFit="1" customWidth="1"/>
    <col min="15" max="15" width="1.85546875" style="3" customWidth="1"/>
    <col min="16" max="16" width="23.140625" style="3" bestFit="1" customWidth="1"/>
    <col min="17" max="16384" width="9.140625" style="3"/>
  </cols>
  <sheetData>
    <row r="1" spans="1:17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s="130" customFormat="1" ht="15.75" x14ac:dyDescent="0.25">
      <c r="A2" s="210" t="s">
        <v>3118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7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P6" s="9" t="s">
        <v>2793</v>
      </c>
    </row>
    <row r="7" spans="1:17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N7" s="11" t="s">
        <v>2795</v>
      </c>
      <c r="P7" s="11" t="s">
        <v>2796</v>
      </c>
    </row>
    <row r="8" spans="1:17" x14ac:dyDescent="0.2">
      <c r="A8" s="9" t="s">
        <v>2797</v>
      </c>
      <c r="B8" s="17"/>
      <c r="D8" s="17"/>
      <c r="F8" s="17"/>
      <c r="H8" s="17"/>
      <c r="J8" s="17"/>
      <c r="L8" s="17"/>
    </row>
    <row r="9" spans="1:17" x14ac:dyDescent="0.2">
      <c r="A9" s="9" t="s">
        <v>2798</v>
      </c>
    </row>
    <row r="10" spans="1:17" x14ac:dyDescent="0.2">
      <c r="A10" s="9" t="s">
        <v>30</v>
      </c>
    </row>
    <row r="11" spans="1:17" x14ac:dyDescent="0.2">
      <c r="A11" s="3" t="s">
        <v>396</v>
      </c>
      <c r="B11" s="136">
        <f>'IN_Cost Plant Acct-Gas-P22(Reg)'!B11</f>
        <v>3363.5</v>
      </c>
      <c r="C11" s="136"/>
      <c r="D11" s="136">
        <f>'IN_Cost Plant Acct-Gas-P22(Reg)'!D11</f>
        <v>0</v>
      </c>
      <c r="E11" s="136"/>
      <c r="F11" s="136">
        <f>'IN_Cost Plant Acct-Gas-P22(Reg)'!F11</f>
        <v>0</v>
      </c>
      <c r="G11" s="136"/>
      <c r="H11" s="136">
        <f>'IN_Cost Plant Acct-Gas-P22(Reg)'!H11</f>
        <v>0</v>
      </c>
      <c r="I11" s="136">
        <v>0</v>
      </c>
      <c r="J11" s="136">
        <f t="shared" ref="J11:J17" si="0">D11+F11+H11</f>
        <v>0</v>
      </c>
      <c r="K11" s="136"/>
      <c r="L11" s="136">
        <f t="shared" ref="L11:L18" si="1">B11+J11</f>
        <v>3363.5</v>
      </c>
      <c r="N11" s="136">
        <v>0</v>
      </c>
      <c r="O11" s="147"/>
      <c r="P11" s="37">
        <f t="shared" ref="P11:P18" si="2">L11+N11</f>
        <v>3363.5</v>
      </c>
    </row>
    <row r="12" spans="1:17" x14ac:dyDescent="0.2">
      <c r="A12" s="3" t="s">
        <v>401</v>
      </c>
      <c r="B12" s="136">
        <f>'IN_Cost Plant Acct-Gas-P22(Reg)'!B12+'IN_Cost Plant Acct-Gas-P22(Reg)'!B26</f>
        <v>1502845.41</v>
      </c>
      <c r="C12" s="136"/>
      <c r="D12" s="136">
        <f>'IN_Cost Plant Acct-Gas-P22(Reg)'!D12+'IN_Cost Plant Acct-Gas-P22(Reg)'!D26</f>
        <v>26382.720000000001</v>
      </c>
      <c r="E12" s="136"/>
      <c r="F12" s="136">
        <f>'IN_Cost Plant Acct-Gas-P22(Reg)'!F12+'IN_Cost Plant Acct-Gas-P22(Reg)'!F26</f>
        <v>0</v>
      </c>
      <c r="G12" s="136"/>
      <c r="H12" s="136">
        <f>'IN_Cost Plant Acct-Gas-P22(Reg)'!H12+'IN_Cost Plant Acct-Gas-P22(Reg)'!H26</f>
        <v>0</v>
      </c>
      <c r="I12" s="136">
        <v>0</v>
      </c>
      <c r="J12" s="136">
        <f t="shared" si="0"/>
        <v>26382.720000000001</v>
      </c>
      <c r="K12" s="136"/>
      <c r="L12" s="136">
        <f>B12+J12</f>
        <v>1529228.13</v>
      </c>
      <c r="N12" s="37">
        <f>'IN_Res by Plant Acct-P30 (Reg)'!R29</f>
        <v>-190204.18</v>
      </c>
      <c r="O12" s="147"/>
      <c r="P12" s="37">
        <f t="shared" si="2"/>
        <v>1339023.95</v>
      </c>
    </row>
    <row r="13" spans="1:17" x14ac:dyDescent="0.2">
      <c r="A13" s="3" t="s">
        <v>403</v>
      </c>
      <c r="B13" s="136">
        <f>'IN_Cost Plant Acct-Gas-P22(Reg)'!B13+'IN_Cost Plant Acct-Gas-P22(Reg)'!B27</f>
        <v>2381820.5900000003</v>
      </c>
      <c r="C13" s="136"/>
      <c r="D13" s="136">
        <f>'IN_Cost Plant Acct-Gas-P22(Reg)'!D13+'IN_Cost Plant Acct-Gas-P22(Reg)'!D27</f>
        <v>0</v>
      </c>
      <c r="E13" s="136"/>
      <c r="F13" s="136">
        <f>'IN_Cost Plant Acct-Gas-P22(Reg)'!F13+'IN_Cost Plant Acct-Gas-P22(Reg)'!F27</f>
        <v>-3197.75</v>
      </c>
      <c r="G13" s="136"/>
      <c r="H13" s="136">
        <f>'IN_Cost Plant Acct-Gas-P22(Reg)'!H13+'IN_Cost Plant Acct-Gas-P22(Reg)'!H27</f>
        <v>0</v>
      </c>
      <c r="I13" s="136">
        <v>0</v>
      </c>
      <c r="J13" s="136">
        <f t="shared" si="0"/>
        <v>-3197.75</v>
      </c>
      <c r="K13" s="136"/>
      <c r="L13" s="136">
        <f t="shared" si="1"/>
        <v>2378622.8400000003</v>
      </c>
      <c r="N13" s="37">
        <f>'IN_Res by Plant Acct-P30 (Reg)'!R30</f>
        <v>-353321.12000000017</v>
      </c>
      <c r="O13" s="147"/>
      <c r="P13" s="37">
        <f t="shared" si="2"/>
        <v>2025301.7200000002</v>
      </c>
    </row>
    <row r="14" spans="1:17" x14ac:dyDescent="0.2">
      <c r="A14" s="3" t="s">
        <v>3119</v>
      </c>
      <c r="B14" s="136">
        <f>'IN_Cost Plant Acct-Gas-P22(Reg)'!B14+'IN_Cost Plant Acct-Gas-P22(Reg)'!B28</f>
        <v>0</v>
      </c>
      <c r="C14" s="136"/>
      <c r="D14" s="136">
        <f>'IN_Cost Plant Acct-Gas-P22(Reg)'!D14+'IN_Cost Plant Acct-Gas-P22(Reg)'!D28</f>
        <v>0</v>
      </c>
      <c r="E14" s="136"/>
      <c r="F14" s="136">
        <f>'IN_Cost Plant Acct-Gas-P22(Reg)'!F14+'IN_Cost Plant Acct-Gas-P22(Reg)'!F28</f>
        <v>0</v>
      </c>
      <c r="G14" s="136"/>
      <c r="H14" s="136">
        <f>'IN_Cost Plant Acct-Gas-P22(Reg)'!H14+'IN_Cost Plant Acct-Gas-P22(Reg)'!H28</f>
        <v>0</v>
      </c>
      <c r="I14" s="136">
        <v>0</v>
      </c>
      <c r="J14" s="136">
        <f t="shared" si="0"/>
        <v>0</v>
      </c>
      <c r="K14" s="136"/>
      <c r="L14" s="136">
        <f t="shared" si="1"/>
        <v>0</v>
      </c>
      <c r="N14" s="37">
        <f>'IN_Res by Plant Acct-P30 (Reg)'!R31</f>
        <v>0</v>
      </c>
      <c r="O14" s="147"/>
      <c r="P14" s="37">
        <f t="shared" si="2"/>
        <v>0</v>
      </c>
    </row>
    <row r="15" spans="1:17" x14ac:dyDescent="0.2">
      <c r="A15" s="3" t="s">
        <v>405</v>
      </c>
      <c r="B15" s="136">
        <f>'IN_Cost Plant Acct-Gas-P22(Reg)'!B15+'IN_Cost Plant Acct-Gas-P22(Reg)'!B29</f>
        <v>2787503.65</v>
      </c>
      <c r="C15" s="136"/>
      <c r="D15" s="136">
        <f>'IN_Cost Plant Acct-Gas-P22(Reg)'!D15+'IN_Cost Plant Acct-Gas-P22(Reg)'!D29</f>
        <v>2289.1800000000003</v>
      </c>
      <c r="E15" s="136"/>
      <c r="F15" s="136">
        <f>'IN_Cost Plant Acct-Gas-P22(Reg)'!F15+'IN_Cost Plant Acct-Gas-P22(Reg)'!F29</f>
        <v>-24744.79</v>
      </c>
      <c r="G15" s="136"/>
      <c r="H15" s="136">
        <f>'IN_Cost Plant Acct-Gas-P22(Reg)'!H15+'IN_Cost Plant Acct-Gas-P22(Reg)'!H29</f>
        <v>0</v>
      </c>
      <c r="I15" s="136"/>
      <c r="J15" s="136">
        <f t="shared" si="0"/>
        <v>-22455.61</v>
      </c>
      <c r="K15" s="136"/>
      <c r="L15" s="136">
        <f t="shared" si="1"/>
        <v>2765048.04</v>
      </c>
      <c r="N15" s="37">
        <f>'IN_Res by Plant Acct-P30 (Reg)'!R32</f>
        <v>-354523.87</v>
      </c>
      <c r="O15" s="147"/>
      <c r="P15" s="37">
        <f t="shared" si="2"/>
        <v>2410524.17</v>
      </c>
    </row>
    <row r="16" spans="1:17" x14ac:dyDescent="0.2">
      <c r="A16" s="3" t="s">
        <v>410</v>
      </c>
      <c r="B16" s="136">
        <f>'IN_Cost Plant Acct-Gas-P22(Reg)'!B16+'IN_Cost Plant Acct-Gas-P22(Reg)'!B30</f>
        <v>5003372.8699999992</v>
      </c>
      <c r="C16" s="136"/>
      <c r="D16" s="136">
        <f>'IN_Cost Plant Acct-Gas-P22(Reg)'!D16+'IN_Cost Plant Acct-Gas-P22(Reg)'!D30</f>
        <v>21776.539999999979</v>
      </c>
      <c r="E16" s="136"/>
      <c r="F16" s="136">
        <f>'IN_Cost Plant Acct-Gas-P22(Reg)'!F16+'IN_Cost Plant Acct-Gas-P22(Reg)'!F30</f>
        <v>-502.11</v>
      </c>
      <c r="G16" s="136"/>
      <c r="H16" s="136">
        <f>'IN_Cost Plant Acct-Gas-P22(Reg)'!H16+'IN_Cost Plant Acct-Gas-P22(Reg)'!H30</f>
        <v>0</v>
      </c>
      <c r="I16" s="136">
        <v>0</v>
      </c>
      <c r="J16" s="136">
        <f t="shared" si="0"/>
        <v>21274.429999999978</v>
      </c>
      <c r="K16" s="136"/>
      <c r="L16" s="136">
        <f t="shared" si="1"/>
        <v>5024647.2999999989</v>
      </c>
      <c r="N16" s="37">
        <f>'IN_Res by Plant Acct-P30 (Reg)'!R33</f>
        <v>-892456.84</v>
      </c>
      <c r="O16" s="147"/>
      <c r="P16" s="37">
        <f t="shared" si="2"/>
        <v>4132190.459999999</v>
      </c>
    </row>
    <row r="17" spans="1:16" x14ac:dyDescent="0.2">
      <c r="A17" s="3" t="s">
        <v>3120</v>
      </c>
      <c r="B17" s="136">
        <f>'IN_Cost Plant Acct-Gas-P22(Reg)'!B17+'IN_Cost Plant Acct-Gas-P22(Reg)'!B31</f>
        <v>0</v>
      </c>
      <c r="C17" s="136"/>
      <c r="D17" s="136">
        <f>'IN_Cost Plant Acct-Gas-P22(Reg)'!D17+'IN_Cost Plant Acct-Gas-P22(Reg)'!D31</f>
        <v>0</v>
      </c>
      <c r="E17" s="136"/>
      <c r="F17" s="136">
        <f>'IN_Cost Plant Acct-Gas-P22(Reg)'!F17</f>
        <v>0</v>
      </c>
      <c r="G17" s="136"/>
      <c r="H17" s="136">
        <f>'IN_Cost Plant Acct-Gas-P22(Reg)'!H17</f>
        <v>0</v>
      </c>
      <c r="I17" s="136"/>
      <c r="J17" s="136">
        <f t="shared" si="0"/>
        <v>0</v>
      </c>
      <c r="K17" s="136"/>
      <c r="L17" s="136">
        <f t="shared" si="1"/>
        <v>0</v>
      </c>
      <c r="N17" s="37">
        <f>'IN_Res by Plant Acct-P30 (Reg)'!R34</f>
        <v>0</v>
      </c>
      <c r="O17" s="147"/>
      <c r="P17" s="37">
        <f t="shared" si="2"/>
        <v>0</v>
      </c>
    </row>
    <row r="18" spans="1:16" x14ac:dyDescent="0.2">
      <c r="A18" s="3" t="s">
        <v>414</v>
      </c>
      <c r="B18" s="151">
        <f>'IN_Cost Plant Acct-Gas-P22(Reg)'!B18+'IN_Cost Plant Acct-Gas-P22(Reg)'!B32</f>
        <v>1879847.63</v>
      </c>
      <c r="C18" s="133"/>
      <c r="D18" s="151">
        <f>'IN_Cost Plant Acct-Gas-P22(Reg)'!D18+'IN_Cost Plant Acct-Gas-P22(Reg)'!D32</f>
        <v>123912.76000000001</v>
      </c>
      <c r="E18" s="133"/>
      <c r="F18" s="151">
        <f>'IN_Cost Plant Acct-Gas-P22(Reg)'!F18+'IN_Cost Plant Acct-Gas-P22(Reg)'!F32</f>
        <v>0</v>
      </c>
      <c r="G18" s="133"/>
      <c r="H18" s="151">
        <f>'IN_Cost Plant Acct-Gas-P22(Reg)'!H18+'IN_Cost Plant Acct-Gas-P22(Reg)'!H32</f>
        <v>0</v>
      </c>
      <c r="I18" s="133">
        <v>0</v>
      </c>
      <c r="J18" s="151">
        <f>'IN_Cost Plant Acct-Gas-P22(Reg)'!J18+'IN_Cost Plant Acct-Gas-P22(Reg)'!J32</f>
        <v>123912.76000000001</v>
      </c>
      <c r="K18" s="133"/>
      <c r="L18" s="151">
        <f t="shared" si="1"/>
        <v>2003760.39</v>
      </c>
      <c r="M18" s="29"/>
      <c r="N18" s="134">
        <f>'IN_Res by Plant Acct-P30 (Reg)'!R35</f>
        <v>-142485.72</v>
      </c>
      <c r="O18" s="147"/>
      <c r="P18" s="134">
        <f t="shared" si="2"/>
        <v>1861274.67</v>
      </c>
    </row>
    <row r="19" spans="1:16" x14ac:dyDescent="0.2">
      <c r="B19" s="133">
        <f>SUM(B11:B18)</f>
        <v>13558753.649999999</v>
      </c>
      <c r="C19" s="133"/>
      <c r="D19" s="133">
        <f>SUM(D11:D18)</f>
        <v>174361.19999999998</v>
      </c>
      <c r="E19" s="133"/>
      <c r="F19" s="133">
        <f>SUM(F11:F18)</f>
        <v>-28444.65</v>
      </c>
      <c r="G19" s="133"/>
      <c r="H19" s="133">
        <f>SUM(H11:H18)</f>
        <v>0</v>
      </c>
      <c r="I19" s="133"/>
      <c r="J19" s="133">
        <f>SUM(J11:J18)</f>
        <v>145916.54999999999</v>
      </c>
      <c r="K19" s="133"/>
      <c r="L19" s="133">
        <f>SUM(L11:L18)</f>
        <v>13704670.199999999</v>
      </c>
      <c r="M19" s="29"/>
      <c r="N19" s="133">
        <f>SUM(N11:N18)</f>
        <v>-1932991.7300000002</v>
      </c>
      <c r="O19" s="147"/>
      <c r="P19" s="133">
        <f>SUM(P11:P18)</f>
        <v>11771678.469999999</v>
      </c>
    </row>
    <row r="20" spans="1:16" x14ac:dyDescent="0.2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29"/>
      <c r="O20" s="147"/>
    </row>
    <row r="21" spans="1:16" x14ac:dyDescent="0.2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O21" s="147"/>
    </row>
    <row r="22" spans="1:16" ht="13.5" thickBot="1" x14ac:dyDescent="0.25">
      <c r="A22" s="9" t="s">
        <v>3121</v>
      </c>
      <c r="B22" s="141">
        <f>B19</f>
        <v>13558753.649999999</v>
      </c>
      <c r="C22" s="136"/>
      <c r="D22" s="141">
        <f>D19</f>
        <v>174361.19999999998</v>
      </c>
      <c r="E22" s="136"/>
      <c r="F22" s="141">
        <f>F19</f>
        <v>-28444.65</v>
      </c>
      <c r="G22" s="136"/>
      <c r="H22" s="141">
        <f>H19</f>
        <v>0</v>
      </c>
      <c r="I22" s="136"/>
      <c r="J22" s="141">
        <f>J19</f>
        <v>145916.54999999999</v>
      </c>
      <c r="K22" s="136"/>
      <c r="L22" s="141">
        <f>L19</f>
        <v>13704670.199999999</v>
      </c>
      <c r="M22" s="147"/>
      <c r="N22" s="141">
        <f>N19</f>
        <v>-1932991.7300000002</v>
      </c>
      <c r="O22" s="147"/>
      <c r="P22" s="141">
        <f>P19</f>
        <v>11771678.469999999</v>
      </c>
    </row>
    <row r="23" spans="1:16" ht="13.5" thickTop="1" x14ac:dyDescent="0.2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47"/>
      <c r="N23" s="147"/>
      <c r="O23" s="147"/>
    </row>
    <row r="24" spans="1:16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</row>
  </sheetData>
  <mergeCells count="3">
    <mergeCell ref="A1:Q1"/>
    <mergeCell ref="A2:Q2"/>
    <mergeCell ref="A3:Q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33"/>
  </sheetPr>
  <dimension ref="A1:O36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5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5" s="130" customFormat="1" ht="15.75" x14ac:dyDescent="0.25">
      <c r="A2" s="210" t="s">
        <v>3122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5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5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5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5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5" x14ac:dyDescent="0.2">
      <c r="B8" s="17"/>
      <c r="D8" s="17"/>
      <c r="F8" s="17"/>
      <c r="H8" s="17"/>
      <c r="J8" s="17"/>
      <c r="L8" s="17"/>
    </row>
    <row r="9" spans="1:15" x14ac:dyDescent="0.2">
      <c r="A9" s="9" t="s">
        <v>3123</v>
      </c>
    </row>
    <row r="10" spans="1:15" x14ac:dyDescent="0.2">
      <c r="A10" s="9" t="s">
        <v>30</v>
      </c>
    </row>
    <row r="11" spans="1:15" x14ac:dyDescent="0.2">
      <c r="A11" s="3" t="s">
        <v>3062</v>
      </c>
      <c r="B11" s="14">
        <v>3363.5</v>
      </c>
      <c r="C11" s="14"/>
      <c r="D11" s="16">
        <v>0</v>
      </c>
      <c r="E11" s="14"/>
      <c r="F11" s="16">
        <v>0</v>
      </c>
      <c r="G11" s="14"/>
      <c r="H11" s="16">
        <v>0</v>
      </c>
      <c r="I11" s="14">
        <v>0</v>
      </c>
      <c r="J11" s="14">
        <f t="shared" ref="J11:J18" si="0">D11+F11+H11</f>
        <v>0</v>
      </c>
      <c r="K11" s="14"/>
      <c r="L11" s="14">
        <f t="shared" ref="L11:L18" si="1">B11+J11</f>
        <v>3363.5</v>
      </c>
      <c r="O11" s="28"/>
    </row>
    <row r="12" spans="1:15" x14ac:dyDescent="0.2">
      <c r="A12" s="3" t="s">
        <v>3066</v>
      </c>
      <c r="B12" s="14">
        <v>1502845.41</v>
      </c>
      <c r="C12" s="14"/>
      <c r="D12" s="16">
        <v>26382.720000000001</v>
      </c>
      <c r="E12" s="14"/>
      <c r="F12" s="16">
        <v>0</v>
      </c>
      <c r="G12" s="14"/>
      <c r="H12" s="16">
        <v>0</v>
      </c>
      <c r="I12" s="14">
        <v>0</v>
      </c>
      <c r="J12" s="14">
        <f t="shared" si="0"/>
        <v>26382.720000000001</v>
      </c>
      <c r="K12" s="14"/>
      <c r="L12" s="14">
        <f t="shared" si="1"/>
        <v>1529228.13</v>
      </c>
      <c r="O12" s="28"/>
    </row>
    <row r="13" spans="1:15" x14ac:dyDescent="0.2">
      <c r="A13" s="3" t="s">
        <v>3070</v>
      </c>
      <c r="B13" s="14">
        <v>2381820.5900000003</v>
      </c>
      <c r="C13" s="14"/>
      <c r="D13" s="16">
        <v>0</v>
      </c>
      <c r="E13" s="14"/>
      <c r="F13" s="16">
        <v>-3197.75</v>
      </c>
      <c r="G13" s="14"/>
      <c r="H13" s="16">
        <v>0</v>
      </c>
      <c r="I13" s="14">
        <v>0</v>
      </c>
      <c r="J13" s="14">
        <f t="shared" si="0"/>
        <v>-3197.75</v>
      </c>
      <c r="K13" s="14"/>
      <c r="L13" s="14">
        <f t="shared" si="1"/>
        <v>2378622.8400000003</v>
      </c>
      <c r="O13" s="28"/>
    </row>
    <row r="14" spans="1:15" x14ac:dyDescent="0.2">
      <c r="A14" s="131" t="s">
        <v>3071</v>
      </c>
      <c r="B14" s="14">
        <v>0</v>
      </c>
      <c r="C14" s="14"/>
      <c r="D14" s="16">
        <v>0</v>
      </c>
      <c r="E14" s="14"/>
      <c r="F14" s="16">
        <v>0</v>
      </c>
      <c r="G14" s="14"/>
      <c r="H14" s="16">
        <v>0</v>
      </c>
      <c r="I14" s="14">
        <v>0</v>
      </c>
      <c r="J14" s="14">
        <f t="shared" si="0"/>
        <v>0</v>
      </c>
      <c r="K14" s="14"/>
      <c r="L14" s="14">
        <f t="shared" si="1"/>
        <v>0</v>
      </c>
      <c r="O14" s="28"/>
    </row>
    <row r="15" spans="1:15" x14ac:dyDescent="0.2">
      <c r="A15" s="3" t="s">
        <v>3072</v>
      </c>
      <c r="B15" s="14">
        <v>2750076.96</v>
      </c>
      <c r="C15" s="14"/>
      <c r="D15" s="16">
        <v>39715.870000000003</v>
      </c>
      <c r="E15" s="14"/>
      <c r="F15" s="16">
        <v>-24744.79</v>
      </c>
      <c r="G15" s="14"/>
      <c r="H15" s="16">
        <v>0</v>
      </c>
      <c r="I15" s="14">
        <v>0</v>
      </c>
      <c r="J15" s="14">
        <f>D15+F15+H15</f>
        <v>14971.080000000002</v>
      </c>
      <c r="K15" s="14"/>
      <c r="L15" s="14">
        <f>B15+J15</f>
        <v>2765048.04</v>
      </c>
      <c r="O15" s="28"/>
    </row>
    <row r="16" spans="1:15" x14ac:dyDescent="0.2">
      <c r="A16" s="3" t="s">
        <v>3073</v>
      </c>
      <c r="B16" s="14">
        <v>4582036.3199999994</v>
      </c>
      <c r="C16" s="14"/>
      <c r="D16" s="16">
        <v>421336.55</v>
      </c>
      <c r="E16" s="14"/>
      <c r="F16" s="16">
        <v>-502.11</v>
      </c>
      <c r="G16" s="14"/>
      <c r="H16" s="16">
        <v>0</v>
      </c>
      <c r="I16" s="14">
        <v>0</v>
      </c>
      <c r="J16" s="14">
        <f>D16+F16+H16</f>
        <v>420834.44</v>
      </c>
      <c r="K16" s="14"/>
      <c r="L16" s="14">
        <f t="shared" si="1"/>
        <v>5002870.76</v>
      </c>
      <c r="O16" s="28"/>
    </row>
    <row r="17" spans="1:15" x14ac:dyDescent="0.2">
      <c r="A17" s="131" t="s">
        <v>3074</v>
      </c>
      <c r="B17" s="14">
        <v>0</v>
      </c>
      <c r="C17" s="14"/>
      <c r="D17" s="16">
        <v>0</v>
      </c>
      <c r="E17" s="14"/>
      <c r="F17" s="16">
        <v>0</v>
      </c>
      <c r="G17" s="14"/>
      <c r="H17" s="16">
        <v>0</v>
      </c>
      <c r="I17" s="14"/>
      <c r="J17" s="14">
        <f t="shared" si="0"/>
        <v>0</v>
      </c>
      <c r="K17" s="14"/>
      <c r="L17" s="14">
        <f t="shared" si="1"/>
        <v>0</v>
      </c>
      <c r="O17" s="28"/>
    </row>
    <row r="18" spans="1:15" x14ac:dyDescent="0.2">
      <c r="A18" s="3" t="s">
        <v>3077</v>
      </c>
      <c r="B18" s="15">
        <v>1832331.4</v>
      </c>
      <c r="C18" s="16"/>
      <c r="D18" s="16">
        <v>64042.03</v>
      </c>
      <c r="E18" s="14"/>
      <c r="F18" s="16">
        <v>0</v>
      </c>
      <c r="G18" s="14"/>
      <c r="H18" s="16">
        <v>0</v>
      </c>
      <c r="I18" s="16">
        <v>0</v>
      </c>
      <c r="J18" s="15">
        <f t="shared" si="0"/>
        <v>64042.03</v>
      </c>
      <c r="K18" s="16"/>
      <c r="L18" s="15">
        <f t="shared" si="1"/>
        <v>1896373.43</v>
      </c>
      <c r="M18" s="29"/>
      <c r="O18" s="28"/>
    </row>
    <row r="19" spans="1:15" x14ac:dyDescent="0.2">
      <c r="B19" s="16">
        <f>SUM(B11:B18)</f>
        <v>13052474.18</v>
      </c>
      <c r="C19" s="16"/>
      <c r="D19" s="19">
        <f>SUM(D11:D18)</f>
        <v>551477.17000000004</v>
      </c>
      <c r="E19" s="16"/>
      <c r="F19" s="19">
        <f>SUM(F11:F18)</f>
        <v>-28444.65</v>
      </c>
      <c r="G19" s="16"/>
      <c r="H19" s="19">
        <f>SUM(H11:H18)</f>
        <v>0</v>
      </c>
      <c r="I19" s="16"/>
      <c r="J19" s="16">
        <f>SUM(J11:J18)</f>
        <v>523032.52</v>
      </c>
      <c r="K19" s="16"/>
      <c r="L19" s="16">
        <f>SUM(L11:L18)</f>
        <v>13575506.699999999</v>
      </c>
      <c r="M19" s="29"/>
      <c r="O19" s="28"/>
    </row>
    <row r="20" spans="1:15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9"/>
      <c r="O20" s="28"/>
    </row>
    <row r="21" spans="1:1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O21" s="28"/>
    </row>
    <row r="22" spans="1:15" x14ac:dyDescent="0.2">
      <c r="A22" s="9" t="s">
        <v>3124</v>
      </c>
      <c r="B22" s="20">
        <f>B19</f>
        <v>13052474.18</v>
      </c>
      <c r="C22" s="14"/>
      <c r="D22" s="20">
        <f>D19</f>
        <v>551477.17000000004</v>
      </c>
      <c r="E22" s="14"/>
      <c r="F22" s="20">
        <f>F19</f>
        <v>-28444.65</v>
      </c>
      <c r="G22" s="14"/>
      <c r="H22" s="20">
        <f>H19</f>
        <v>0</v>
      </c>
      <c r="I22" s="14"/>
      <c r="J22" s="20">
        <f>J19</f>
        <v>523032.52</v>
      </c>
      <c r="K22" s="14"/>
      <c r="L22" s="20">
        <f>L19</f>
        <v>13575506.699999999</v>
      </c>
      <c r="M22" s="28"/>
      <c r="N22" s="28"/>
      <c r="O22" s="28"/>
    </row>
    <row r="23" spans="1:15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8"/>
      <c r="N23" s="28"/>
      <c r="O23" s="28"/>
    </row>
    <row r="24" spans="1:15" x14ac:dyDescent="0.2">
      <c r="A24" s="9" t="s">
        <v>2878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">
      <c r="A25" s="9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">
      <c r="A26" s="21" t="s">
        <v>3106</v>
      </c>
      <c r="B26" s="16">
        <v>0</v>
      </c>
      <c r="C26" s="28"/>
      <c r="D26" s="16">
        <v>0</v>
      </c>
      <c r="E26" s="14"/>
      <c r="F26" s="16">
        <v>0</v>
      </c>
      <c r="G26" s="14"/>
      <c r="H26" s="16">
        <v>0</v>
      </c>
      <c r="I26" s="28"/>
      <c r="J26" s="16">
        <f t="shared" ref="J26:J32" si="2">H26+F26+D26</f>
        <v>0</v>
      </c>
      <c r="K26" s="28"/>
      <c r="L26" s="16">
        <f t="shared" ref="L26:L32" si="3">J26+B26</f>
        <v>0</v>
      </c>
      <c r="M26" s="28"/>
      <c r="N26" s="28"/>
      <c r="O26" s="28"/>
    </row>
    <row r="27" spans="1:15" x14ac:dyDescent="0.2">
      <c r="A27" s="21" t="s">
        <v>3107</v>
      </c>
      <c r="B27" s="16">
        <v>0</v>
      </c>
      <c r="C27" s="16"/>
      <c r="D27" s="16">
        <v>0</v>
      </c>
      <c r="E27" s="14"/>
      <c r="F27" s="16">
        <v>0</v>
      </c>
      <c r="G27" s="14"/>
      <c r="H27" s="16">
        <v>0</v>
      </c>
      <c r="I27" s="16"/>
      <c r="J27" s="16">
        <f t="shared" si="2"/>
        <v>0</v>
      </c>
      <c r="K27" s="16"/>
      <c r="L27" s="16">
        <f t="shared" si="3"/>
        <v>0</v>
      </c>
      <c r="M27" s="28"/>
    </row>
    <row r="28" spans="1:15" x14ac:dyDescent="0.2">
      <c r="A28" s="131" t="s">
        <v>3108</v>
      </c>
      <c r="B28" s="16">
        <v>0</v>
      </c>
      <c r="C28" s="16"/>
      <c r="D28" s="16">
        <v>0</v>
      </c>
      <c r="E28" s="14"/>
      <c r="F28" s="16">
        <v>0</v>
      </c>
      <c r="G28" s="14"/>
      <c r="H28" s="16">
        <v>0</v>
      </c>
      <c r="I28" s="16"/>
      <c r="J28" s="16">
        <f t="shared" si="2"/>
        <v>0</v>
      </c>
      <c r="K28" s="16"/>
      <c r="L28" s="16">
        <f t="shared" si="3"/>
        <v>0</v>
      </c>
      <c r="M28" s="28"/>
    </row>
    <row r="29" spans="1:15" x14ac:dyDescent="0.2">
      <c r="A29" s="21" t="s">
        <v>3109</v>
      </c>
      <c r="B29" s="16">
        <v>37426.69</v>
      </c>
      <c r="C29" s="16"/>
      <c r="D29" s="16">
        <v>-37426.69</v>
      </c>
      <c r="E29" s="14"/>
      <c r="F29" s="16">
        <v>0</v>
      </c>
      <c r="G29" s="14"/>
      <c r="H29" s="16">
        <v>0</v>
      </c>
      <c r="I29" s="16"/>
      <c r="J29" s="16">
        <f t="shared" si="2"/>
        <v>-37426.69</v>
      </c>
      <c r="K29" s="16"/>
      <c r="L29" s="16">
        <f t="shared" si="3"/>
        <v>0</v>
      </c>
      <c r="M29" s="28"/>
    </row>
    <row r="30" spans="1:15" x14ac:dyDescent="0.2">
      <c r="A30" s="21" t="s">
        <v>3110</v>
      </c>
      <c r="B30" s="16">
        <v>421336.55</v>
      </c>
      <c r="C30" s="16"/>
      <c r="D30" s="16">
        <v>-399560.01</v>
      </c>
      <c r="E30" s="14"/>
      <c r="F30" s="16">
        <v>0</v>
      </c>
      <c r="G30" s="14"/>
      <c r="H30" s="16">
        <v>0</v>
      </c>
      <c r="I30" s="16"/>
      <c r="J30" s="16">
        <f t="shared" si="2"/>
        <v>-399560.01</v>
      </c>
      <c r="K30" s="16"/>
      <c r="L30" s="16">
        <f t="shared" si="3"/>
        <v>21776.539999999979</v>
      </c>
      <c r="M30" s="28"/>
    </row>
    <row r="31" spans="1:15" x14ac:dyDescent="0.2">
      <c r="A31" s="164" t="s">
        <v>3111</v>
      </c>
      <c r="B31" s="16">
        <v>0</v>
      </c>
      <c r="C31" s="16"/>
      <c r="D31" s="16">
        <v>0</v>
      </c>
      <c r="E31" s="14"/>
      <c r="F31" s="16">
        <v>0</v>
      </c>
      <c r="G31" s="14"/>
      <c r="H31" s="16">
        <v>0</v>
      </c>
      <c r="I31" s="16"/>
      <c r="J31" s="16">
        <f t="shared" si="2"/>
        <v>0</v>
      </c>
      <c r="K31" s="16"/>
      <c r="L31" s="16">
        <f t="shared" si="3"/>
        <v>0</v>
      </c>
      <c r="M31" s="28"/>
    </row>
    <row r="32" spans="1:15" x14ac:dyDescent="0.2">
      <c r="A32" s="21" t="s">
        <v>3114</v>
      </c>
      <c r="B32" s="16">
        <v>47516.23</v>
      </c>
      <c r="C32" s="16"/>
      <c r="D32" s="16">
        <v>59870.73</v>
      </c>
      <c r="E32" s="14"/>
      <c r="F32" s="16">
        <v>0</v>
      </c>
      <c r="G32" s="14"/>
      <c r="H32" s="16">
        <v>0</v>
      </c>
      <c r="I32" s="16"/>
      <c r="J32" s="16">
        <f t="shared" si="2"/>
        <v>59870.73</v>
      </c>
      <c r="K32" s="16"/>
      <c r="L32" s="16">
        <f t="shared" si="3"/>
        <v>107386.96</v>
      </c>
      <c r="M32" s="28"/>
    </row>
    <row r="33" spans="1:15" x14ac:dyDescent="0.2">
      <c r="A33" s="9" t="s">
        <v>3125</v>
      </c>
      <c r="B33" s="20">
        <f>SUM(B26:B32)</f>
        <v>506279.47</v>
      </c>
      <c r="C33" s="14"/>
      <c r="D33" s="20">
        <f>SUM(D26:D32)</f>
        <v>-377115.97000000003</v>
      </c>
      <c r="E33" s="14"/>
      <c r="F33" s="20">
        <f>SUM(F26:F32)</f>
        <v>0</v>
      </c>
      <c r="G33" s="14"/>
      <c r="H33" s="20">
        <f>SUM(H26:H32)</f>
        <v>0</v>
      </c>
      <c r="I33" s="14"/>
      <c r="J33" s="20">
        <f>SUM(J26:J32)</f>
        <v>-377115.97000000003</v>
      </c>
      <c r="K33" s="14"/>
      <c r="L33" s="20">
        <f>SUM(L26:L32)</f>
        <v>129163.49999999999</v>
      </c>
      <c r="M33" s="28"/>
      <c r="N33" s="28"/>
      <c r="O33" s="28"/>
    </row>
    <row r="35" spans="1:15" ht="13.5" thickBot="1" x14ac:dyDescent="0.25">
      <c r="A35" s="9" t="s">
        <v>3126</v>
      </c>
      <c r="B35" s="39">
        <f>B33+B22</f>
        <v>13558753.65</v>
      </c>
      <c r="C35" s="14"/>
      <c r="D35" s="39">
        <f>D33+D22</f>
        <v>174361.2</v>
      </c>
      <c r="E35" s="14"/>
      <c r="F35" s="39">
        <f>F33+F22</f>
        <v>-28444.65</v>
      </c>
      <c r="G35" s="14"/>
      <c r="H35" s="39">
        <f>H33+H22</f>
        <v>0</v>
      </c>
      <c r="I35" s="14"/>
      <c r="J35" s="39">
        <f>J33+J22</f>
        <v>145916.54999999999</v>
      </c>
      <c r="K35" s="14"/>
      <c r="L35" s="39">
        <f>L33+L22</f>
        <v>13704670.199999999</v>
      </c>
      <c r="M35" s="28"/>
    </row>
    <row r="36" spans="1:15" ht="13.5" thickTop="1" x14ac:dyDescent="0.2"/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51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0" customFormat="1" ht="15.75" x14ac:dyDescent="0.25">
      <c r="A2" s="210" t="s">
        <v>3127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3" x14ac:dyDescent="0.2">
      <c r="A7" s="9"/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9" spans="1:13" x14ac:dyDescent="0.2">
      <c r="A9" s="160" t="s">
        <v>3128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x14ac:dyDescent="0.2">
      <c r="A10" s="3" t="s">
        <v>3129</v>
      </c>
      <c r="B10" s="136">
        <v>1882661.68</v>
      </c>
      <c r="C10" s="136"/>
      <c r="D10" s="136">
        <v>0</v>
      </c>
      <c r="E10" s="136"/>
      <c r="F10" s="136">
        <v>0</v>
      </c>
      <c r="G10" s="136"/>
      <c r="H10" s="136">
        <v>0</v>
      </c>
      <c r="I10" s="136"/>
      <c r="J10" s="136">
        <v>0</v>
      </c>
      <c r="K10" s="136"/>
      <c r="L10" s="136">
        <v>1882661.68</v>
      </c>
      <c r="M10" s="147"/>
    </row>
    <row r="11" spans="1:13" ht="13.5" thickBot="1" x14ac:dyDescent="0.25">
      <c r="B11" s="141">
        <f>SUM(B10)</f>
        <v>1882661.68</v>
      </c>
      <c r="C11" s="136"/>
      <c r="D11" s="141">
        <f>SUM(D10)</f>
        <v>0</v>
      </c>
      <c r="E11" s="136"/>
      <c r="F11" s="141">
        <f>SUM(F10)</f>
        <v>0</v>
      </c>
      <c r="G11" s="136"/>
      <c r="H11" s="141">
        <f>SUM(H10)</f>
        <v>0</v>
      </c>
      <c r="I11" s="136"/>
      <c r="J11" s="141">
        <f>SUM(J10)</f>
        <v>0</v>
      </c>
      <c r="K11" s="136"/>
      <c r="L11" s="141">
        <f>SUM(L10)</f>
        <v>1882661.68</v>
      </c>
      <c r="M11" s="147"/>
    </row>
    <row r="12" spans="1:13" ht="13.5" thickTop="1" x14ac:dyDescent="0.2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x14ac:dyDescent="0.2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2:13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2:13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2:13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2:13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2:13" x14ac:dyDescent="0.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2:13" x14ac:dyDescent="0.2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2:13" x14ac:dyDescent="0.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2:13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2:13" x14ac:dyDescent="0.2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2:13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2:13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2:13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2:13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2:13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2:13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2:13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2:13" x14ac:dyDescent="0.2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2:13" x14ac:dyDescent="0.2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2:13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13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2:13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2:13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2:13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2:13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2:13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2:13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2:13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</row>
    <row r="44" spans="2:13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</row>
    <row r="45" spans="2:13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</row>
    <row r="46" spans="2:13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2:13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</row>
    <row r="48" spans="2:13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2:13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</row>
    <row r="50" spans="2:13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2:13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51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0" customFormat="1" ht="15.75" x14ac:dyDescent="0.25">
      <c r="A2" s="210" t="s">
        <v>3130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3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3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9" spans="1:13" x14ac:dyDescent="0.2">
      <c r="A9" s="160" t="s">
        <v>3128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x14ac:dyDescent="0.2">
      <c r="A10" s="3" t="s">
        <v>3129</v>
      </c>
      <c r="B10" s="14">
        <v>257328.32</v>
      </c>
      <c r="C10" s="136"/>
      <c r="D10" s="136">
        <v>0</v>
      </c>
      <c r="E10" s="136"/>
      <c r="F10" s="136">
        <v>0</v>
      </c>
      <c r="G10" s="136"/>
      <c r="H10" s="136">
        <v>0</v>
      </c>
      <c r="I10" s="136"/>
      <c r="J10" s="136">
        <f>D10+F10+H10</f>
        <v>0</v>
      </c>
      <c r="K10" s="136"/>
      <c r="L10" s="136">
        <f>B10+J10</f>
        <v>257328.32</v>
      </c>
      <c r="M10" s="147"/>
    </row>
    <row r="11" spans="1:13" ht="13.5" thickBot="1" x14ac:dyDescent="0.25">
      <c r="B11" s="141">
        <f>SUM(B10)</f>
        <v>257328.32</v>
      </c>
      <c r="C11" s="136"/>
      <c r="D11" s="141">
        <f>SUM(D10)</f>
        <v>0</v>
      </c>
      <c r="E11" s="136"/>
      <c r="F11" s="141">
        <f>SUM(F10)</f>
        <v>0</v>
      </c>
      <c r="G11" s="136"/>
      <c r="H11" s="141">
        <f>SUM(H10)</f>
        <v>0</v>
      </c>
      <c r="I11" s="136"/>
      <c r="J11" s="141">
        <f>SUM(J10)</f>
        <v>0</v>
      </c>
      <c r="K11" s="136"/>
      <c r="L11" s="141">
        <f>SUM(L10)</f>
        <v>257328.32</v>
      </c>
      <c r="M11" s="147"/>
    </row>
    <row r="12" spans="1:13" ht="13.5" thickTop="1" x14ac:dyDescent="0.2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x14ac:dyDescent="0.2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2:13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2:13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2:13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2:13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2:13" x14ac:dyDescent="0.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2:13" x14ac:dyDescent="0.2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2:13" x14ac:dyDescent="0.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2:13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2:13" x14ac:dyDescent="0.2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2:13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2:13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2:13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2:13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2:13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2:13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2:13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2:13" x14ac:dyDescent="0.2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2:13" x14ac:dyDescent="0.2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2:13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13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2:13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2:13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2:13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2:13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2:13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2:13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2:13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</row>
    <row r="44" spans="2:13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</row>
    <row r="45" spans="2:13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</row>
    <row r="46" spans="2:13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2:13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</row>
    <row r="48" spans="2:13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2:13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</row>
    <row r="50" spans="2:13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2:13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N125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0" customFormat="1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4" s="130" customFormat="1" ht="15.75" x14ac:dyDescent="0.25">
      <c r="A2" s="212" t="s">
        <v>3131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4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4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4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9" spans="1:14" x14ac:dyDescent="0.2">
      <c r="A9" s="9" t="s">
        <v>3132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4" x14ac:dyDescent="0.2">
      <c r="A10" s="3" t="s">
        <v>3133</v>
      </c>
      <c r="B10" s="14">
        <v>0</v>
      </c>
      <c r="C10" s="136"/>
      <c r="D10" s="136">
        <v>0</v>
      </c>
      <c r="E10" s="136"/>
      <c r="F10" s="136">
        <v>0</v>
      </c>
      <c r="G10" s="136"/>
      <c r="H10" s="136">
        <v>0</v>
      </c>
      <c r="I10" s="136"/>
      <c r="J10" s="136">
        <f>D10+F10+H10</f>
        <v>0</v>
      </c>
      <c r="K10" s="136">
        <v>0</v>
      </c>
      <c r="L10" s="136">
        <f>J10+B10</f>
        <v>0</v>
      </c>
      <c r="M10" s="147"/>
      <c r="N10" s="147"/>
    </row>
    <row r="11" spans="1:14" ht="13.5" thickBot="1" x14ac:dyDescent="0.25">
      <c r="B11" s="141">
        <f>SUM(B10:B10)</f>
        <v>0</v>
      </c>
      <c r="C11" s="136"/>
      <c r="D11" s="141">
        <f>SUM(D10:D10)</f>
        <v>0</v>
      </c>
      <c r="E11" s="136"/>
      <c r="F11" s="141">
        <f>SUM(F10:F10)</f>
        <v>0</v>
      </c>
      <c r="G11" s="136"/>
      <c r="H11" s="141">
        <f>SUM(H10:H10)</f>
        <v>0</v>
      </c>
      <c r="I11" s="136"/>
      <c r="J11" s="141">
        <f>SUM(J10:J10)</f>
        <v>0</v>
      </c>
      <c r="K11" s="136"/>
      <c r="L11" s="141">
        <f>SUM(L10:L10)</f>
        <v>0</v>
      </c>
      <c r="M11" s="147"/>
      <c r="N11" s="147"/>
    </row>
    <row r="12" spans="1:14" ht="13.5" thickTop="1" x14ac:dyDescent="0.2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47"/>
      <c r="N12" s="147"/>
    </row>
    <row r="13" spans="1:14" x14ac:dyDescent="0.2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2:14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2:14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2:14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2:14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2:14" x14ac:dyDescent="0.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2:14" x14ac:dyDescent="0.2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2:14" x14ac:dyDescent="0.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2:14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2:14" x14ac:dyDescent="0.2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2:14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2:14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2:14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2:14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2:14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2:14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2:14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2:14" x14ac:dyDescent="0.2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2:14" x14ac:dyDescent="0.2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2:14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2:14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2:14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2:14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2:14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2:14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2:14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2:14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2:14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2:14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2:14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2:14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2:14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2:14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2:14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2:14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2:14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2:14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2:14" x14ac:dyDescent="0.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2:14" x14ac:dyDescent="0.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2:14" x14ac:dyDescent="0.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2:14" x14ac:dyDescent="0.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2:14" x14ac:dyDescent="0.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2:14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2:14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2:14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2:14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2:14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2:14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2:14" x14ac:dyDescent="0.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2:14" x14ac:dyDescent="0.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2:14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2:14" x14ac:dyDescent="0.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2:14" x14ac:dyDescent="0.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2:14" x14ac:dyDescent="0.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2:14" x14ac:dyDescent="0.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2:14" x14ac:dyDescent="0.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2:14" x14ac:dyDescent="0.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2:14" x14ac:dyDescent="0.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2:14" x14ac:dyDescent="0.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2:14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2:14" x14ac:dyDescent="0.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2:14" x14ac:dyDescent="0.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2:14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2:14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2:14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</row>
    <row r="83" spans="2:14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2:14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2:14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</row>
    <row r="86" spans="2:14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2:14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2:14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2:14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</row>
    <row r="90" spans="2:14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</row>
    <row r="91" spans="2:14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2:14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</row>
    <row r="93" spans="2:14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  <row r="94" spans="2:14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</row>
    <row r="95" spans="2:14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2:14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2:14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</row>
    <row r="98" spans="2:14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2:14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</row>
    <row r="100" spans="2:14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</row>
    <row r="101" spans="2:14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2:14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2:14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</row>
    <row r="104" spans="2:14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2:14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2:14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</row>
    <row r="107" spans="2:14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2:14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2:14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2:14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2:14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2:14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2:14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2:14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2:14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2:14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2:14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2:14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2:14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2:14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2:14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2:14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2:14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2:14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2:14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7"/>
  <sheetViews>
    <sheetView zoomScaleNormal="10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2" width="9.140625" style="3"/>
    <col min="3" max="3" width="14" style="3" bestFit="1" customWidth="1"/>
    <col min="4" max="4" width="1.85546875" style="3" customWidth="1"/>
    <col min="5" max="5" width="9.140625" style="3"/>
    <col min="6" max="6" width="1.85546875" style="3" customWidth="1"/>
    <col min="7" max="7" width="13.140625" style="3" bestFit="1" customWidth="1"/>
    <col min="8" max="8" width="2" style="3" customWidth="1"/>
    <col min="9" max="9" width="13.28515625" style="3" customWidth="1"/>
    <col min="10" max="10" width="1.7109375" style="3" customWidth="1"/>
    <col min="11" max="11" width="14.5703125" style="3" bestFit="1" customWidth="1"/>
    <col min="12" max="12" width="1.7109375" style="3" customWidth="1"/>
    <col min="13" max="13" width="15.5703125" style="3" bestFit="1" customWidth="1"/>
    <col min="14" max="14" width="2.140625" style="3" customWidth="1"/>
    <col min="15" max="15" width="14" style="3" bestFit="1" customWidth="1"/>
    <col min="16" max="16" width="2" style="3" customWidth="1"/>
    <col min="17" max="17" width="13.5703125" style="3" bestFit="1" customWidth="1"/>
    <col min="18" max="18" width="1.7109375" style="3" customWidth="1"/>
    <col min="19" max="19" width="13.5703125" style="3" bestFit="1" customWidth="1"/>
    <col min="20" max="20" width="1.7109375" style="3" customWidth="1"/>
    <col min="21" max="21" width="14" style="3" bestFit="1" customWidth="1"/>
    <col min="22" max="22" width="9.140625" style="3"/>
    <col min="23" max="23" width="14.5703125" style="3" bestFit="1" customWidth="1"/>
    <col min="24" max="24" width="9.140625" style="3"/>
    <col min="25" max="25" width="13.5703125" style="3" bestFit="1" customWidth="1"/>
    <col min="26" max="16384" width="9.140625" style="3"/>
  </cols>
  <sheetData>
    <row r="1" spans="1:25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5" x14ac:dyDescent="0.2">
      <c r="A2" s="200" t="s">
        <v>128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5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5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6" spans="1:25" x14ac:dyDescent="0.2">
      <c r="C6" s="7" t="s">
        <v>3</v>
      </c>
      <c r="E6" s="14"/>
      <c r="G6" s="14"/>
      <c r="I6" s="7" t="s">
        <v>4</v>
      </c>
      <c r="J6" s="7"/>
      <c r="K6" s="7" t="s">
        <v>66</v>
      </c>
      <c r="M6" s="7" t="s">
        <v>67</v>
      </c>
      <c r="O6" s="17" t="s">
        <v>68</v>
      </c>
      <c r="Q6" s="7"/>
      <c r="S6" s="7" t="s">
        <v>69</v>
      </c>
      <c r="U6" s="7" t="s">
        <v>5</v>
      </c>
    </row>
    <row r="7" spans="1:25" x14ac:dyDescent="0.2">
      <c r="C7" s="11" t="s">
        <v>7</v>
      </c>
      <c r="E7" s="11" t="s">
        <v>70</v>
      </c>
      <c r="G7" s="11" t="s">
        <v>9</v>
      </c>
      <c r="I7" s="11" t="s">
        <v>10</v>
      </c>
      <c r="J7" s="17"/>
      <c r="K7" s="11" t="s">
        <v>71</v>
      </c>
      <c r="M7" s="11" t="s">
        <v>72</v>
      </c>
      <c r="O7" s="11" t="s">
        <v>73</v>
      </c>
      <c r="Q7" s="11" t="s">
        <v>74</v>
      </c>
      <c r="S7" s="11" t="s">
        <v>75</v>
      </c>
      <c r="U7" s="11" t="s">
        <v>7</v>
      </c>
    </row>
    <row r="10" spans="1:25" x14ac:dyDescent="0.2">
      <c r="A10" s="9" t="s">
        <v>93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9"/>
      <c r="W10" s="29"/>
      <c r="X10" s="29"/>
      <c r="Y10" s="29"/>
    </row>
    <row r="11" spans="1:25" x14ac:dyDescent="0.2">
      <c r="B11" s="3" t="s">
        <v>13</v>
      </c>
      <c r="C11" s="14">
        <f>'Summary - Reserve - PG 2 (Reg)'!C74</f>
        <v>319140.77999999991</v>
      </c>
      <c r="D11" s="14"/>
      <c r="E11" s="14">
        <v>0</v>
      </c>
      <c r="F11" s="14"/>
      <c r="G11" s="14">
        <v>0</v>
      </c>
      <c r="H11" s="14"/>
      <c r="I11" s="14">
        <f>'Summary - Reserve - PG 2 (Reg)'!I74</f>
        <v>2200</v>
      </c>
      <c r="J11" s="14"/>
      <c r="K11" s="14">
        <f>'Summary - Reserve - PG 2 (Reg)'!K74</f>
        <v>0</v>
      </c>
      <c r="L11" s="14"/>
      <c r="M11" s="14">
        <f>'Summary - Reserve - PG 2 (Reg)'!M74</f>
        <v>-254433.77999999997</v>
      </c>
      <c r="N11" s="14"/>
      <c r="O11" s="14">
        <f>'Summary - Reserve - PG 2 (Reg)'!O74</f>
        <v>355684.6</v>
      </c>
      <c r="P11" s="14"/>
      <c r="Q11" s="14">
        <f>'Summary - Reserve - PG 2 (Reg)'!Q74</f>
        <v>-33335</v>
      </c>
      <c r="R11" s="14"/>
      <c r="S11" s="14">
        <f>'Summary - Reserve - PG 2 (Reg)'!S74</f>
        <v>-189610.72999999998</v>
      </c>
      <c r="T11" s="14"/>
      <c r="U11" s="14">
        <f>S11+Q11+O11+M11+I11+G11+E11+C11+K11</f>
        <v>199645.86999999994</v>
      </c>
      <c r="V11" s="34"/>
      <c r="W11" s="34"/>
      <c r="X11" s="29"/>
      <c r="Y11" s="29"/>
    </row>
    <row r="12" spans="1:25" x14ac:dyDescent="0.2">
      <c r="B12" s="3" t="s">
        <v>17</v>
      </c>
      <c r="C12" s="14">
        <f>'Summary - Reserve - PG 2 (Reg)'!C75</f>
        <v>53786919.939999998</v>
      </c>
      <c r="D12" s="14"/>
      <c r="E12" s="14">
        <v>0</v>
      </c>
      <c r="F12" s="14"/>
      <c r="G12" s="14">
        <v>0</v>
      </c>
      <c r="H12" s="14"/>
      <c r="I12" s="14">
        <f>'Summary - Reserve - PG 2 (Reg)'!I75</f>
        <v>34871.78</v>
      </c>
      <c r="J12" s="14"/>
      <c r="K12" s="14">
        <f>'Summary - Reserve - PG 2 (Reg)'!K75</f>
        <v>-25867164.27</v>
      </c>
      <c r="L12" s="14"/>
      <c r="M12" s="14">
        <f>'Summary - Reserve - PG 2 (Reg)'!M75</f>
        <v>-12914682.019999998</v>
      </c>
      <c r="N12" s="14"/>
      <c r="O12" s="14">
        <f>'Summary - Reserve - PG 2 (Reg)'!O75</f>
        <v>31472738.859999992</v>
      </c>
      <c r="P12" s="14"/>
      <c r="Q12" s="14">
        <f>'Summary - Reserve - PG 2 (Reg)'!Q75</f>
        <v>-538089.17000000004</v>
      </c>
      <c r="R12" s="14"/>
      <c r="S12" s="14">
        <f>'Summary - Reserve - PG 2 (Reg)'!S75</f>
        <v>-1045710.5399999999</v>
      </c>
      <c r="T12" s="14"/>
      <c r="U12" s="14">
        <f>S12+Q12+O12+M12+I12+G12+E12+C12+K12</f>
        <v>44928884.579999998</v>
      </c>
      <c r="V12" s="34"/>
      <c r="W12" s="34"/>
      <c r="X12" s="29"/>
      <c r="Y12" s="29"/>
    </row>
    <row r="13" spans="1:25" x14ac:dyDescent="0.2">
      <c r="B13" s="3" t="s">
        <v>26</v>
      </c>
      <c r="C13" s="14">
        <f>'Summary - Reserve - PG 2 (Reg)'!C76</f>
        <v>3939484.5200000005</v>
      </c>
      <c r="D13" s="14"/>
      <c r="E13" s="14">
        <v>0</v>
      </c>
      <c r="F13" s="14"/>
      <c r="G13" s="14">
        <v>0</v>
      </c>
      <c r="H13" s="14"/>
      <c r="I13" s="14">
        <f>'Summary - Reserve - PG 2 (Reg)'!I76</f>
        <v>15255.44</v>
      </c>
      <c r="J13" s="14"/>
      <c r="K13" s="14">
        <f>'Summary - Reserve - PG 2 (Reg)'!K76</f>
        <v>-533831.31000000006</v>
      </c>
      <c r="L13" s="14"/>
      <c r="M13" s="14">
        <f>'Summary - Reserve - PG 2 (Reg)'!M76</f>
        <v>-747212.42999999993</v>
      </c>
      <c r="N13" s="14"/>
      <c r="O13" s="14">
        <f>'Summary - Reserve - PG 2 (Reg)'!O76</f>
        <v>5046751.3199999984</v>
      </c>
      <c r="P13" s="14"/>
      <c r="Q13" s="14">
        <f>'Summary - Reserve - PG 2 (Reg)'!Q76</f>
        <v>-70853.339999999982</v>
      </c>
      <c r="R13" s="14"/>
      <c r="S13" s="14">
        <f>'Summary - Reserve - PG 2 (Reg)'!S76</f>
        <v>300.19</v>
      </c>
      <c r="T13" s="14"/>
      <c r="U13" s="14">
        <f>S13+Q13+O13+M13+I13+G13+E13+C13+K13</f>
        <v>7649894.3899999987</v>
      </c>
      <c r="V13" s="34"/>
      <c r="W13" s="34"/>
      <c r="X13" s="29"/>
      <c r="Y13" s="29"/>
    </row>
    <row r="14" spans="1:25" x14ac:dyDescent="0.2">
      <c r="B14" s="18"/>
      <c r="C14" s="20">
        <f>SUM(C11:C13)</f>
        <v>58045545.240000002</v>
      </c>
      <c r="D14" s="14"/>
      <c r="E14" s="20">
        <f>SUM(E11:E13)</f>
        <v>0</v>
      </c>
      <c r="F14" s="14"/>
      <c r="G14" s="20">
        <f>SUM(G11:G13)</f>
        <v>0</v>
      </c>
      <c r="H14" s="14"/>
      <c r="I14" s="20">
        <f>SUM(I11:I13)</f>
        <v>52327.22</v>
      </c>
      <c r="J14" s="16"/>
      <c r="K14" s="20">
        <f>SUM(K11:K13)</f>
        <v>-26400995.579999998</v>
      </c>
      <c r="L14" s="14"/>
      <c r="M14" s="20">
        <f>SUM(M11:M13)</f>
        <v>-13916328.229999997</v>
      </c>
      <c r="N14" s="14"/>
      <c r="O14" s="20">
        <f>SUM(O11:O13)</f>
        <v>36875174.779999994</v>
      </c>
      <c r="P14" s="14"/>
      <c r="Q14" s="20">
        <f>SUM(Q11:Q13)</f>
        <v>-642277.51</v>
      </c>
      <c r="R14" s="14"/>
      <c r="S14" s="20">
        <f>SUM(S11:S13)</f>
        <v>-1235021.08</v>
      </c>
      <c r="T14" s="14"/>
      <c r="U14" s="20">
        <f>SUM(U11:U13)</f>
        <v>52778424.839999996</v>
      </c>
      <c r="V14" s="34"/>
      <c r="W14" s="36"/>
      <c r="X14" s="29"/>
      <c r="Y14" s="29"/>
    </row>
    <row r="16" spans="1:25" x14ac:dyDescent="0.2">
      <c r="A16" s="9" t="s">
        <v>129</v>
      </c>
    </row>
    <row r="17" spans="1:25" x14ac:dyDescent="0.2">
      <c r="B17" s="3" t="s">
        <v>13</v>
      </c>
      <c r="C17" s="14">
        <v>0</v>
      </c>
      <c r="U17" s="14">
        <f>S17+Q17+O17+M17+I17+G17+E17+C17+K17</f>
        <v>0</v>
      </c>
    </row>
    <row r="18" spans="1:25" x14ac:dyDescent="0.2">
      <c r="B18" s="3" t="s">
        <v>17</v>
      </c>
      <c r="C18" s="14">
        <v>0</v>
      </c>
      <c r="U18" s="14">
        <f>S18+Q18+O18+M18+I18+G18+E18+C18+K18</f>
        <v>0</v>
      </c>
    </row>
    <row r="19" spans="1:25" x14ac:dyDescent="0.2">
      <c r="B19" s="3" t="s">
        <v>26</v>
      </c>
      <c r="C19" s="14">
        <v>0</v>
      </c>
      <c r="U19" s="14">
        <f>S19+Q19+O19+M19+I19+G19+E19+C19+K19</f>
        <v>0</v>
      </c>
    </row>
    <row r="20" spans="1:25" x14ac:dyDescent="0.2">
      <c r="C20" s="20">
        <f>SUM(C17:C19)</f>
        <v>0</v>
      </c>
      <c r="E20" s="20">
        <f>SUM(E17:E19)</f>
        <v>0</v>
      </c>
      <c r="G20" s="20">
        <f>SUM(G17:G19)</f>
        <v>0</v>
      </c>
      <c r="I20" s="20">
        <f>SUM(I17:I19)</f>
        <v>0</v>
      </c>
      <c r="J20" s="16"/>
      <c r="K20" s="20">
        <f>SUM(K17:K19)</f>
        <v>0</v>
      </c>
      <c r="M20" s="20">
        <f>SUM(M17:M19)</f>
        <v>0</v>
      </c>
      <c r="O20" s="20">
        <f>SUM(O17:O19)</f>
        <v>0</v>
      </c>
      <c r="Q20" s="20">
        <f>SUM(Q17:Q19)</f>
        <v>0</v>
      </c>
      <c r="S20" s="20">
        <f>SUM(S17:S19)</f>
        <v>0</v>
      </c>
      <c r="U20" s="20">
        <f>SUM(U17:U19)</f>
        <v>0</v>
      </c>
    </row>
    <row r="21" spans="1:25" x14ac:dyDescent="0.2">
      <c r="A21" s="9" t="s">
        <v>130</v>
      </c>
    </row>
    <row r="22" spans="1:25" x14ac:dyDescent="0.2">
      <c r="B22" s="3" t="s">
        <v>13</v>
      </c>
      <c r="C22" s="14">
        <v>0</v>
      </c>
      <c r="E22" s="14">
        <v>0</v>
      </c>
      <c r="G22" s="14">
        <v>0</v>
      </c>
      <c r="I22" s="14">
        <v>0</v>
      </c>
      <c r="J22" s="14"/>
      <c r="K22" s="35">
        <v>0</v>
      </c>
      <c r="M22" s="14">
        <v>0</v>
      </c>
      <c r="O22" s="35">
        <v>0</v>
      </c>
      <c r="Q22" s="14">
        <v>0</v>
      </c>
      <c r="S22" s="14">
        <v>0</v>
      </c>
      <c r="U22" s="14">
        <f>S22+Q22+O22+M22+I22+G22+E22+C22+K22</f>
        <v>0</v>
      </c>
    </row>
    <row r="23" spans="1:25" x14ac:dyDescent="0.2">
      <c r="B23" s="3" t="s">
        <v>17</v>
      </c>
      <c r="C23" s="14">
        <v>19604788.690000001</v>
      </c>
      <c r="E23" s="14">
        <v>0</v>
      </c>
      <c r="G23" s="14">
        <v>0</v>
      </c>
      <c r="I23" s="14">
        <v>0</v>
      </c>
      <c r="J23" s="14"/>
      <c r="K23" s="35">
        <f>-138907.03-103943.12-47124.97-25577189.15</f>
        <v>-25867164.27</v>
      </c>
      <c r="M23" s="14">
        <v>0</v>
      </c>
      <c r="O23" s="35">
        <f>8111.92+1397860.22+688046.43+124.91+65689.51+1687069.8+3155.03+11488.04+16032.79-178064.85+1105675.58-196209.86+512410.66+1423543.07+1127151.17+403.45+14158.93+32952.7+652574.25+245667.65</f>
        <v>8617841.4000000004</v>
      </c>
      <c r="Q23" s="14">
        <v>0</v>
      </c>
      <c r="S23" s="14">
        <v>0</v>
      </c>
      <c r="U23" s="14">
        <f>S23+Q23+O23+M23+I23+G23+E23+C23+K23</f>
        <v>2355465.820000004</v>
      </c>
    </row>
    <row r="24" spans="1:25" x14ac:dyDescent="0.2">
      <c r="B24" s="3" t="s">
        <v>26</v>
      </c>
      <c r="C24" s="14">
        <v>3086692.6899999985</v>
      </c>
      <c r="E24" s="14">
        <v>0</v>
      </c>
      <c r="G24" s="14">
        <v>0</v>
      </c>
      <c r="I24" s="14">
        <v>0</v>
      </c>
      <c r="J24" s="14"/>
      <c r="K24" s="35">
        <f>-37894.12-16000-232591.84-32682.52-22529.39-24447.12-18800-62258.96-86627.36</f>
        <v>-533831.31000000006</v>
      </c>
      <c r="M24" s="14">
        <f>-323089.57+323089.57</f>
        <v>0</v>
      </c>
      <c r="O24" s="35">
        <f>70068.98+4328.77+263299.13+19336.71+31.92+229534.98+2114.22+162.48+2772.47+73633.09+42581.37+338899+442114.05+485317.05+276917.33+272490.63+515677.32+332940.31+704719.06</f>
        <v>4076938.8699999996</v>
      </c>
      <c r="Q24" s="14">
        <v>0</v>
      </c>
      <c r="S24" s="14">
        <v>0</v>
      </c>
      <c r="U24" s="14">
        <f>S24+Q24+O24+M24+I24+G24+E24+C24+K24</f>
        <v>6629800.2499999981</v>
      </c>
    </row>
    <row r="25" spans="1:25" x14ac:dyDescent="0.2">
      <c r="C25" s="20">
        <v>2905548.76</v>
      </c>
      <c r="E25" s="20">
        <f>SUM(E22:E24)</f>
        <v>0</v>
      </c>
      <c r="G25" s="20">
        <f>SUM(G22:G24)</f>
        <v>0</v>
      </c>
      <c r="I25" s="20">
        <f>SUM(I22:I24)</f>
        <v>0</v>
      </c>
      <c r="J25" s="16"/>
      <c r="K25" s="20">
        <f>SUM(K22:K24)</f>
        <v>-26400995.579999998</v>
      </c>
      <c r="M25" s="20">
        <f>SUM(M22:M24)</f>
        <v>0</v>
      </c>
      <c r="O25" s="20">
        <f>SUM(O22:O24)</f>
        <v>12694780.27</v>
      </c>
      <c r="Q25" s="20">
        <f>SUM(Q22:Q24)</f>
        <v>0</v>
      </c>
      <c r="S25" s="20">
        <f>SUM(S22:S24)</f>
        <v>0</v>
      </c>
      <c r="U25" s="20">
        <f>SUM(U22:U24)</f>
        <v>8985266.0700000022</v>
      </c>
      <c r="V25" s="37"/>
      <c r="W25" s="14">
        <v>0</v>
      </c>
      <c r="Y25" s="37"/>
    </row>
    <row r="26" spans="1:25" x14ac:dyDescent="0.2">
      <c r="A26" s="9" t="s">
        <v>131</v>
      </c>
      <c r="W26" s="37"/>
    </row>
    <row r="27" spans="1:25" x14ac:dyDescent="0.2">
      <c r="B27" s="3" t="s">
        <v>13</v>
      </c>
      <c r="C27" s="14">
        <v>319140.77999999991</v>
      </c>
      <c r="E27" s="14">
        <v>0</v>
      </c>
      <c r="G27" s="14">
        <v>0</v>
      </c>
      <c r="I27" s="14">
        <v>2200</v>
      </c>
      <c r="J27" s="14"/>
      <c r="K27" s="14">
        <v>0</v>
      </c>
      <c r="M27" s="35">
        <f>-11588.61-70231.31-35120.7-7123.69-56264.71-55619.24-18485.52</f>
        <v>-254433.77999999997</v>
      </c>
      <c r="O27" s="35">
        <f>38525.15+5162+18182.93+4080+626.78+72882.92+10058.34+95809.91+7267.61+5166.5+22245.21+75677.25</f>
        <v>355684.6</v>
      </c>
      <c r="Q27" s="35">
        <f>-21885-11450</f>
        <v>-33335</v>
      </c>
      <c r="S27" s="35">
        <f>-184984.21+15831.95+6965.64-27424.11</f>
        <v>-189610.72999999998</v>
      </c>
      <c r="U27" s="14">
        <f>S27+Q27+O27+M27+I27+G27+E27+C27+K27</f>
        <v>199645.86999999994</v>
      </c>
    </row>
    <row r="28" spans="1:25" x14ac:dyDescent="0.2">
      <c r="B28" s="3" t="s">
        <v>17</v>
      </c>
      <c r="C28" s="14">
        <v>34182131.250000007</v>
      </c>
      <c r="E28" s="14">
        <v>0</v>
      </c>
      <c r="G28" s="14">
        <v>0</v>
      </c>
      <c r="I28" s="14">
        <v>34871.78</v>
      </c>
      <c r="J28" s="14"/>
      <c r="K28" s="14">
        <v>0</v>
      </c>
      <c r="M28" s="35">
        <f>-62665.31+16651.57+138907.03-1467782.43+150741.67+103943.12-436238.3+748975.91-2011622.35+15936.5-826579.04+39624.47-2348194.71+36485.64-2392657.34+289784.78-3540813.51+73907.5+47124.97-26163778.64+25577189.15+6658.71-516603.19+5384.22-415741.1+23824.31-79549.75+72404.1</f>
        <v>-12914682.019999998</v>
      </c>
      <c r="O28" s="35">
        <f>984613.14+537723.61+1569976.36+2832881.19+1575954.87+1237327.69+977900.97+5667518.65+968009.88+1476855.63+2842543.65+2183591.82</f>
        <v>22854897.460000001</v>
      </c>
      <c r="Q28" s="35">
        <f>-9972.24-49656.76-35347.62-13398.37-46521.16-67002.31-96023.06-25056.26-24644.07-29455.88-48886.9-92124.54</f>
        <v>-538089.17000000004</v>
      </c>
      <c r="S28" s="35">
        <f>-132529.8-29752.61-52831.07-72072.22-29890.25-36687.7-42038.37-136964.45-101107.83-13002.73-351368.73-47464.78</f>
        <v>-1045710.5399999999</v>
      </c>
      <c r="U28" s="14">
        <f>S28+Q28+O28+M28+I28+G28+E28+C28+K28</f>
        <v>42573418.760000005</v>
      </c>
      <c r="W28" s="37"/>
    </row>
    <row r="29" spans="1:25" x14ac:dyDescent="0.2">
      <c r="B29" s="3" t="s">
        <v>26</v>
      </c>
      <c r="C29" s="14">
        <v>852791.83000000019</v>
      </c>
      <c r="E29" s="14">
        <v>0</v>
      </c>
      <c r="G29" s="14">
        <v>0</v>
      </c>
      <c r="I29" s="14">
        <v>15255.44</v>
      </c>
      <c r="J29" s="14"/>
      <c r="K29" s="14"/>
      <c r="M29" s="35">
        <f>-208779.96+37894.12+248591.84-341331.27+32682.52-44883.93+22529.39-68142.12-6100-52594.39+24447.12-4800-29288+18800-85061.11+62258.96+696.13+86627.36-107798.26-363690.64+30729.81</f>
        <v>-747212.42999999993</v>
      </c>
      <c r="O29" s="35">
        <f>20875.04+27684.67+157076.68+45774.03+66841.43+127000.49+44749.68+256254.63-11829.66+104143.17+11648.7+119593.59</f>
        <v>969812.44999999984</v>
      </c>
      <c r="Q29" s="35">
        <f>-2612.48-23426-1153.17-69157.09-1381.78+9151.63-1420.5-1589.19+5973.52+16963.76-2202.04</f>
        <v>-70853.339999999982</v>
      </c>
      <c r="S29" s="35">
        <f>300.19</f>
        <v>300.19</v>
      </c>
      <c r="U29" s="14">
        <f>S29+Q29+O29+M29+I29+G29+E29+C29+K29</f>
        <v>1020094.1400000001</v>
      </c>
    </row>
    <row r="30" spans="1:25" x14ac:dyDescent="0.2">
      <c r="C30" s="20">
        <v>9564212.0900000017</v>
      </c>
      <c r="E30" s="20">
        <f>SUM(E27:E29)</f>
        <v>0</v>
      </c>
      <c r="G30" s="20">
        <f>SUM(G27:G29)</f>
        <v>0</v>
      </c>
      <c r="I30" s="20">
        <f>SUM(I27:I29)</f>
        <v>52327.22</v>
      </c>
      <c r="J30" s="16"/>
      <c r="K30" s="20">
        <f>SUM(K27:K29)</f>
        <v>0</v>
      </c>
      <c r="M30" s="20">
        <f>SUM(M27:M29)</f>
        <v>-13916328.229999997</v>
      </c>
      <c r="O30" s="20">
        <f>SUM(O27:O29)</f>
        <v>24180394.510000002</v>
      </c>
      <c r="Q30" s="20">
        <f>SUM(Q27:Q29)</f>
        <v>-642277.51</v>
      </c>
      <c r="S30" s="20">
        <f>SUM(S27:S29)</f>
        <v>-1235021.08</v>
      </c>
      <c r="U30" s="20">
        <f>SUM(U27:U29)</f>
        <v>43793158.770000003</v>
      </c>
      <c r="W30" s="14">
        <v>0</v>
      </c>
    </row>
    <row r="31" spans="1:25" x14ac:dyDescent="0.2">
      <c r="A31" s="9" t="s">
        <v>132</v>
      </c>
    </row>
    <row r="32" spans="1:25" x14ac:dyDescent="0.2">
      <c r="B32" s="3" t="s">
        <v>13</v>
      </c>
      <c r="C32" s="14">
        <f>+C17+C22+C27</f>
        <v>319140.77999999991</v>
      </c>
      <c r="E32" s="14">
        <f>+E17+E22+E27</f>
        <v>0</v>
      </c>
      <c r="F32" s="14"/>
      <c r="G32" s="14">
        <f>+G17+G22+G27</f>
        <v>0</v>
      </c>
      <c r="H32" s="14"/>
      <c r="I32" s="14">
        <f>+I17+I22+I27</f>
        <v>2200</v>
      </c>
      <c r="J32" s="14"/>
      <c r="K32" s="14">
        <f>+K17+K22+K27</f>
        <v>0</v>
      </c>
      <c r="L32" s="14"/>
      <c r="M32" s="14">
        <f>+M17+M22+M27</f>
        <v>-254433.77999999997</v>
      </c>
      <c r="N32" s="14"/>
      <c r="O32" s="14">
        <f>+O17+O22+O27</f>
        <v>355684.6</v>
      </c>
      <c r="P32" s="14"/>
      <c r="Q32" s="14">
        <f>+Q17+Q22+Q27</f>
        <v>-33335</v>
      </c>
      <c r="R32" s="14"/>
      <c r="S32" s="14">
        <f>+S17+S22+S27</f>
        <v>-189610.72999999998</v>
      </c>
      <c r="U32" s="14">
        <f>+U17+U22+U27</f>
        <v>199645.86999999994</v>
      </c>
      <c r="W32" s="37">
        <f>+U32-'Summary - Reserve - PG 2 (Reg)'!U74</f>
        <v>0</v>
      </c>
    </row>
    <row r="33" spans="2:23" x14ac:dyDescent="0.2">
      <c r="B33" s="3" t="s">
        <v>17</v>
      </c>
      <c r="C33" s="14">
        <f>+C18+C23+C28</f>
        <v>53786919.940000013</v>
      </c>
      <c r="E33" s="14">
        <f>+E18+E23+E28</f>
        <v>0</v>
      </c>
      <c r="F33" s="14"/>
      <c r="G33" s="14">
        <f>+G18+G23+G28</f>
        <v>0</v>
      </c>
      <c r="H33" s="14"/>
      <c r="I33" s="14">
        <f>+I18+I23+I28</f>
        <v>34871.78</v>
      </c>
      <c r="J33" s="14"/>
      <c r="K33" s="14">
        <f>+K18+K23+K28</f>
        <v>-25867164.27</v>
      </c>
      <c r="L33" s="14"/>
      <c r="M33" s="14">
        <f>+M18+M23+M28</f>
        <v>-12914682.019999998</v>
      </c>
      <c r="N33" s="14"/>
      <c r="O33" s="14">
        <f>+O18+O23+O28</f>
        <v>31472738.859999999</v>
      </c>
      <c r="P33" s="14"/>
      <c r="Q33" s="14">
        <f>+Q18+Q23+Q28</f>
        <v>-538089.17000000004</v>
      </c>
      <c r="R33" s="14"/>
      <c r="S33" s="14">
        <f>+S18+S23+S28</f>
        <v>-1045710.5399999999</v>
      </c>
      <c r="U33" s="14">
        <f>+U18+U23+U28</f>
        <v>44928884.580000013</v>
      </c>
      <c r="W33" s="37">
        <f>+U33-'Summary - Reserve - PG 2 (Reg)'!U75</f>
        <v>0</v>
      </c>
    </row>
    <row r="34" spans="2:23" x14ac:dyDescent="0.2">
      <c r="B34" s="3" t="s">
        <v>26</v>
      </c>
      <c r="C34" s="14">
        <f>+C19+C24+C29</f>
        <v>3939484.5199999986</v>
      </c>
      <c r="E34" s="14">
        <f>+E19+E24+E29</f>
        <v>0</v>
      </c>
      <c r="F34" s="14"/>
      <c r="G34" s="14">
        <f>+G19+G24+G29</f>
        <v>0</v>
      </c>
      <c r="H34" s="14"/>
      <c r="I34" s="14">
        <f>+I19+I24+I29</f>
        <v>15255.44</v>
      </c>
      <c r="J34" s="14"/>
      <c r="K34" s="14">
        <f>+K19+K24+K29</f>
        <v>-533831.31000000006</v>
      </c>
      <c r="L34" s="14"/>
      <c r="M34" s="14">
        <f>+M19+M24+M29</f>
        <v>-747212.42999999993</v>
      </c>
      <c r="N34" s="14"/>
      <c r="O34" s="14">
        <f>+O19+O24+O29</f>
        <v>5046751.3199999994</v>
      </c>
      <c r="P34" s="14"/>
      <c r="Q34" s="14">
        <f>+Q19+Q24+Q29</f>
        <v>-70853.339999999982</v>
      </c>
      <c r="R34" s="14"/>
      <c r="S34" s="14">
        <f>+S19+S24+S29</f>
        <v>300.19</v>
      </c>
      <c r="U34" s="14">
        <f>S34+Q34+O34+M34+I34+G34+E34+C34+K34</f>
        <v>7649894.3899999987</v>
      </c>
      <c r="W34" s="37">
        <f>+U34-'Summary - Reserve - PG 2 (Reg)'!U76</f>
        <v>0</v>
      </c>
    </row>
    <row r="35" spans="2:23" x14ac:dyDescent="0.2">
      <c r="C35" s="20">
        <f>SUM(C32:C34)</f>
        <v>58045545.24000001</v>
      </c>
      <c r="E35" s="20">
        <f>SUM(E32:E34)</f>
        <v>0</v>
      </c>
      <c r="G35" s="20">
        <f>SUM(G32:G34)</f>
        <v>0</v>
      </c>
      <c r="I35" s="20">
        <f>SUM(I32:I34)</f>
        <v>52327.22</v>
      </c>
      <c r="J35" s="16"/>
      <c r="K35" s="20">
        <f>SUM(K32:K34)</f>
        <v>-26400995.579999998</v>
      </c>
      <c r="M35" s="20">
        <f>SUM(M32:M34)</f>
        <v>-13916328.229999997</v>
      </c>
      <c r="O35" s="20">
        <f>SUM(O32:O34)</f>
        <v>36875174.780000001</v>
      </c>
      <c r="Q35" s="20">
        <f>SUM(Q32:Q34)</f>
        <v>-642277.51</v>
      </c>
      <c r="S35" s="20">
        <f>SUM(S32:S34)</f>
        <v>-1235021.08</v>
      </c>
      <c r="U35" s="20">
        <f>SUM(U32:U34)</f>
        <v>52778424.840000011</v>
      </c>
    </row>
    <row r="37" spans="2:23" x14ac:dyDescent="0.2">
      <c r="G37" s="3" t="s">
        <v>133</v>
      </c>
      <c r="I37" s="37">
        <f>I14-I35</f>
        <v>0</v>
      </c>
      <c r="K37" s="37">
        <f>K14-K35</f>
        <v>0</v>
      </c>
      <c r="M37" s="37">
        <f>M14-M35</f>
        <v>0</v>
      </c>
      <c r="O37" s="37">
        <f>O14-O35</f>
        <v>0</v>
      </c>
      <c r="Q37" s="37">
        <f>Q14-Q35</f>
        <v>0</v>
      </c>
      <c r="S37" s="37">
        <f>S14-S35</f>
        <v>0</v>
      </c>
      <c r="U37" s="37">
        <f>U14-U35</f>
        <v>0</v>
      </c>
    </row>
  </sheetData>
  <mergeCells count="3">
    <mergeCell ref="A1:U1"/>
    <mergeCell ref="A2:U2"/>
    <mergeCell ref="A3:U3"/>
  </mergeCells>
  <conditionalFormatting sqref="I37 K37 M37 O37 Q3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S37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140"/>
  <sheetViews>
    <sheetView zoomScale="90" zoomScaleNormal="90"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0" customFormat="1" ht="15.75" x14ac:dyDescent="0.25">
      <c r="A2" s="210" t="s">
        <v>3134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4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4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8" spans="1:14" x14ac:dyDescent="0.2">
      <c r="B8" s="17"/>
      <c r="D8" s="17"/>
      <c r="F8" s="17"/>
      <c r="H8" s="17"/>
      <c r="J8" s="17"/>
      <c r="L8" s="17"/>
    </row>
    <row r="9" spans="1:14" x14ac:dyDescent="0.2">
      <c r="A9" s="9" t="s">
        <v>3135</v>
      </c>
    </row>
    <row r="10" spans="1:14" x14ac:dyDescent="0.2">
      <c r="A10" s="9" t="s">
        <v>263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4" x14ac:dyDescent="0.2">
      <c r="A11" s="3" t="s">
        <v>3136</v>
      </c>
      <c r="B11" s="14">
        <v>2384582.58</v>
      </c>
      <c r="C11" s="14"/>
      <c r="D11" s="14">
        <v>0</v>
      </c>
      <c r="E11" s="14"/>
      <c r="F11" s="14">
        <v>0</v>
      </c>
      <c r="G11" s="14"/>
      <c r="H11" s="14">
        <v>0</v>
      </c>
      <c r="I11" s="14"/>
      <c r="J11" s="14">
        <f>D11+F11+H11</f>
        <v>0</v>
      </c>
      <c r="K11" s="14">
        <v>0</v>
      </c>
      <c r="L11" s="14">
        <f>J11+B11</f>
        <v>2384582.58</v>
      </c>
      <c r="M11" s="147"/>
      <c r="N11" s="147"/>
    </row>
    <row r="12" spans="1:14" x14ac:dyDescent="0.2">
      <c r="A12" s="3" t="s">
        <v>3137</v>
      </c>
      <c r="B12" s="15">
        <v>11748.710000000001</v>
      </c>
      <c r="C12" s="16"/>
      <c r="D12" s="15">
        <v>0</v>
      </c>
      <c r="E12" s="16"/>
      <c r="F12" s="15">
        <v>0</v>
      </c>
      <c r="G12" s="16"/>
      <c r="H12" s="15">
        <v>0</v>
      </c>
      <c r="I12" s="16"/>
      <c r="J12" s="15">
        <f>D12+F12+H12</f>
        <v>0</v>
      </c>
      <c r="K12" s="16">
        <v>0</v>
      </c>
      <c r="L12" s="15">
        <f>J12+B12</f>
        <v>11748.710000000001</v>
      </c>
      <c r="M12" s="148"/>
      <c r="N12" s="147"/>
    </row>
    <row r="13" spans="1:14" x14ac:dyDescent="0.2">
      <c r="B13" s="133">
        <f>SUM(B11:B12)</f>
        <v>2396331.29</v>
      </c>
      <c r="C13" s="133"/>
      <c r="D13" s="133">
        <f>SUM(D11:D12)</f>
        <v>0</v>
      </c>
      <c r="E13" s="133"/>
      <c r="F13" s="133">
        <f>SUM(F11:F12)</f>
        <v>0</v>
      </c>
      <c r="G13" s="133"/>
      <c r="H13" s="133">
        <f>SUM(H11:H12)</f>
        <v>0</v>
      </c>
      <c r="I13" s="133"/>
      <c r="J13" s="133">
        <f>SUM(J11:J12)</f>
        <v>0</v>
      </c>
      <c r="K13" s="133"/>
      <c r="L13" s="133">
        <f>SUM(L11:L12)</f>
        <v>2396331.29</v>
      </c>
      <c r="M13" s="148"/>
      <c r="N13" s="147"/>
    </row>
    <row r="14" spans="1:14" x14ac:dyDescent="0.2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48"/>
      <c r="N14" s="147"/>
    </row>
    <row r="15" spans="1:14" x14ac:dyDescent="0.2">
      <c r="A15" s="9" t="s">
        <v>22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48"/>
      <c r="N15" s="147"/>
    </row>
    <row r="16" spans="1:14" x14ac:dyDescent="0.2">
      <c r="A16" s="21" t="s">
        <v>3138</v>
      </c>
      <c r="B16" s="133">
        <v>211409.5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4">
        <f>J16+B16</f>
        <v>211409.5</v>
      </c>
      <c r="M16" s="148"/>
      <c r="N16" s="147"/>
    </row>
    <row r="17" spans="1:14" x14ac:dyDescent="0.2">
      <c r="B17" s="150">
        <f>SUM(B16)</f>
        <v>211409.5</v>
      </c>
      <c r="C17" s="133"/>
      <c r="D17" s="150">
        <f>SUM(D16)</f>
        <v>0</v>
      </c>
      <c r="E17" s="133"/>
      <c r="F17" s="150">
        <f>SUM(F16)</f>
        <v>0</v>
      </c>
      <c r="G17" s="133"/>
      <c r="H17" s="150">
        <f>SUM(H16)</f>
        <v>0</v>
      </c>
      <c r="I17" s="133"/>
      <c r="J17" s="150">
        <f>SUM(J16)</f>
        <v>0</v>
      </c>
      <c r="K17" s="133"/>
      <c r="L17" s="150">
        <f>SUM(L16)</f>
        <v>211409.5</v>
      </c>
      <c r="M17" s="148"/>
      <c r="N17" s="147"/>
    </row>
    <row r="18" spans="1:14" x14ac:dyDescent="0.2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48"/>
      <c r="N18" s="147"/>
    </row>
    <row r="19" spans="1:14" x14ac:dyDescent="0.2">
      <c r="A19" s="9" t="s">
        <v>325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48"/>
      <c r="N19" s="147"/>
    </row>
    <row r="20" spans="1:14" x14ac:dyDescent="0.2">
      <c r="A20" s="3" t="s">
        <v>3139</v>
      </c>
      <c r="B20" s="16">
        <v>0</v>
      </c>
      <c r="C20" s="133"/>
      <c r="D20" s="133">
        <v>0</v>
      </c>
      <c r="E20" s="133"/>
      <c r="F20" s="133">
        <v>0</v>
      </c>
      <c r="G20" s="133"/>
      <c r="H20" s="133">
        <v>0</v>
      </c>
      <c r="I20" s="133"/>
      <c r="J20" s="16">
        <f t="shared" ref="J20:J25" si="0">D20+F20+H20</f>
        <v>0</v>
      </c>
      <c r="K20" s="133"/>
      <c r="L20" s="16">
        <f t="shared" ref="L20:L25" si="1">J20+B20</f>
        <v>0</v>
      </c>
      <c r="M20" s="148"/>
      <c r="N20" s="147"/>
    </row>
    <row r="21" spans="1:14" x14ac:dyDescent="0.2">
      <c r="A21" s="3" t="s">
        <v>330</v>
      </c>
      <c r="B21" s="16">
        <v>0</v>
      </c>
      <c r="C21" s="133"/>
      <c r="D21" s="133">
        <v>0</v>
      </c>
      <c r="E21" s="133"/>
      <c r="F21" s="133">
        <v>0</v>
      </c>
      <c r="G21" s="133"/>
      <c r="H21" s="133">
        <v>0</v>
      </c>
      <c r="I21" s="133"/>
      <c r="J21" s="16">
        <f t="shared" si="0"/>
        <v>0</v>
      </c>
      <c r="K21" s="133"/>
      <c r="L21" s="16">
        <f t="shared" si="1"/>
        <v>0</v>
      </c>
      <c r="M21" s="148"/>
      <c r="N21" s="147"/>
    </row>
    <row r="22" spans="1:14" x14ac:dyDescent="0.2">
      <c r="A22" s="3" t="s">
        <v>3140</v>
      </c>
      <c r="B22" s="16">
        <v>0</v>
      </c>
      <c r="C22" s="133"/>
      <c r="D22" s="133">
        <v>0</v>
      </c>
      <c r="E22" s="133"/>
      <c r="F22" s="133">
        <v>0</v>
      </c>
      <c r="G22" s="133"/>
      <c r="H22" s="133">
        <v>0</v>
      </c>
      <c r="I22" s="133"/>
      <c r="J22" s="16">
        <f t="shared" si="0"/>
        <v>0</v>
      </c>
      <c r="K22" s="133"/>
      <c r="L22" s="16">
        <f t="shared" si="1"/>
        <v>0</v>
      </c>
      <c r="M22" s="148"/>
      <c r="N22" s="147"/>
    </row>
    <row r="23" spans="1:14" x14ac:dyDescent="0.2">
      <c r="A23" s="3" t="s">
        <v>333</v>
      </c>
      <c r="B23" s="16">
        <v>0</v>
      </c>
      <c r="C23" s="133"/>
      <c r="D23" s="133">
        <v>0</v>
      </c>
      <c r="E23" s="133"/>
      <c r="F23" s="133">
        <v>0</v>
      </c>
      <c r="G23" s="133"/>
      <c r="H23" s="133">
        <v>0</v>
      </c>
      <c r="I23" s="133"/>
      <c r="J23" s="16">
        <f t="shared" si="0"/>
        <v>0</v>
      </c>
      <c r="K23" s="133"/>
      <c r="L23" s="16">
        <f t="shared" si="1"/>
        <v>0</v>
      </c>
      <c r="M23" s="148"/>
      <c r="N23" s="147"/>
    </row>
    <row r="24" spans="1:14" x14ac:dyDescent="0.2">
      <c r="A24" s="3" t="s">
        <v>336</v>
      </c>
      <c r="B24" s="16">
        <v>0</v>
      </c>
      <c r="C24" s="133"/>
      <c r="D24" s="133">
        <v>0</v>
      </c>
      <c r="E24" s="133"/>
      <c r="F24" s="133">
        <v>0</v>
      </c>
      <c r="G24" s="133"/>
      <c r="H24" s="133">
        <v>0</v>
      </c>
      <c r="I24" s="133"/>
      <c r="J24" s="16">
        <f t="shared" si="0"/>
        <v>0</v>
      </c>
      <c r="K24" s="133"/>
      <c r="L24" s="16">
        <f t="shared" si="1"/>
        <v>0</v>
      </c>
      <c r="M24" s="148"/>
      <c r="N24" s="147"/>
    </row>
    <row r="25" spans="1:14" x14ac:dyDescent="0.2">
      <c r="A25" s="3" t="s">
        <v>3141</v>
      </c>
      <c r="B25" s="15">
        <v>0</v>
      </c>
      <c r="C25" s="133"/>
      <c r="D25" s="151">
        <v>0</v>
      </c>
      <c r="E25" s="133"/>
      <c r="F25" s="151">
        <v>0</v>
      </c>
      <c r="G25" s="133"/>
      <c r="H25" s="151">
        <v>0</v>
      </c>
      <c r="I25" s="133"/>
      <c r="J25" s="15">
        <f t="shared" si="0"/>
        <v>0</v>
      </c>
      <c r="K25" s="133"/>
      <c r="L25" s="15">
        <f t="shared" si="1"/>
        <v>0</v>
      </c>
      <c r="M25" s="148"/>
      <c r="N25" s="147"/>
    </row>
    <row r="26" spans="1:14" x14ac:dyDescent="0.2">
      <c r="B26" s="133">
        <f>SUM(B20:B25)</f>
        <v>0</v>
      </c>
      <c r="C26" s="133"/>
      <c r="D26" s="133">
        <f>SUM(D20:D25)</f>
        <v>0</v>
      </c>
      <c r="E26" s="133"/>
      <c r="F26" s="133">
        <f>SUM(F20:F25)</f>
        <v>0</v>
      </c>
      <c r="G26" s="133"/>
      <c r="H26" s="133">
        <f>SUM(H20:H25)</f>
        <v>0</v>
      </c>
      <c r="I26" s="133"/>
      <c r="J26" s="133">
        <f>SUM(J20:J25)</f>
        <v>0</v>
      </c>
      <c r="K26" s="133"/>
      <c r="L26" s="133">
        <f>SUM(L20:L25)</f>
        <v>0</v>
      </c>
      <c r="M26" s="148"/>
      <c r="N26" s="147"/>
    </row>
    <row r="27" spans="1:14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47"/>
      <c r="N27" s="147"/>
    </row>
    <row r="28" spans="1:14" x14ac:dyDescent="0.2">
      <c r="A28" s="9" t="s">
        <v>3142</v>
      </c>
    </row>
    <row r="29" spans="1:14" x14ac:dyDescent="0.2">
      <c r="A29" s="9" t="s">
        <v>263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4" x14ac:dyDescent="0.2">
      <c r="A30" s="3" t="s">
        <v>264</v>
      </c>
      <c r="B30" s="14">
        <v>519009.11</v>
      </c>
      <c r="C30" s="14"/>
      <c r="D30" s="14">
        <v>0</v>
      </c>
      <c r="E30" s="14"/>
      <c r="F30" s="14">
        <v>0</v>
      </c>
      <c r="G30" s="14"/>
      <c r="H30" s="14">
        <v>0</v>
      </c>
      <c r="I30" s="14"/>
      <c r="J30" s="14">
        <f>D30+F30+H30</f>
        <v>0</v>
      </c>
      <c r="K30" s="14">
        <v>0</v>
      </c>
      <c r="L30" s="14">
        <f>J30+B30</f>
        <v>519009.11</v>
      </c>
      <c r="M30" s="147"/>
      <c r="N30" s="147"/>
    </row>
    <row r="31" spans="1:14" x14ac:dyDescent="0.2">
      <c r="B31" s="150">
        <f>SUM(B30:B30)</f>
        <v>519009.11</v>
      </c>
      <c r="C31" s="133"/>
      <c r="D31" s="150">
        <f>SUM(D30:D30)</f>
        <v>0</v>
      </c>
      <c r="E31" s="133"/>
      <c r="F31" s="150">
        <f>SUM(F30:F30)</f>
        <v>0</v>
      </c>
      <c r="G31" s="133"/>
      <c r="H31" s="150">
        <f>SUM(H30:H30)</f>
        <v>0</v>
      </c>
      <c r="I31" s="133"/>
      <c r="J31" s="150">
        <f>SUM(J30:J30)</f>
        <v>0</v>
      </c>
      <c r="K31" s="133"/>
      <c r="L31" s="150">
        <f>SUM(L30:L30)</f>
        <v>519009.11</v>
      </c>
      <c r="M31" s="148"/>
      <c r="N31" s="147"/>
    </row>
    <row r="32" spans="1:14" x14ac:dyDescent="0.2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47"/>
      <c r="N32" s="147"/>
    </row>
    <row r="33" spans="1:14" ht="13.5" thickBot="1" x14ac:dyDescent="0.25">
      <c r="A33" s="9" t="s">
        <v>3143</v>
      </c>
      <c r="B33" s="141">
        <f>B26+B13+B31+B17</f>
        <v>3126749.9</v>
      </c>
      <c r="C33" s="136"/>
      <c r="D33" s="141">
        <f>D26+D13+D31+D17</f>
        <v>0</v>
      </c>
      <c r="E33" s="136"/>
      <c r="F33" s="141">
        <f>F26+F13+F31+F17</f>
        <v>0</v>
      </c>
      <c r="G33" s="136"/>
      <c r="H33" s="141">
        <f>H26+H13+H31+H17</f>
        <v>0</v>
      </c>
      <c r="I33" s="136"/>
      <c r="J33" s="141">
        <f>J26+J13+J31+J17</f>
        <v>0</v>
      </c>
      <c r="K33" s="136"/>
      <c r="L33" s="141">
        <f>L26+L13+L31+L17</f>
        <v>3126749.9</v>
      </c>
      <c r="M33" s="147"/>
      <c r="N33" s="147"/>
    </row>
    <row r="34" spans="1:14" ht="13.5" thickTop="1" x14ac:dyDescent="0.2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47"/>
      <c r="N34" s="147"/>
    </row>
    <row r="35" spans="1:14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4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4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1:14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4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2:14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2:14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2:14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2:14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2:14" x14ac:dyDescent="0.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2:14" x14ac:dyDescent="0.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2:14" x14ac:dyDescent="0.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2:14" x14ac:dyDescent="0.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2:14" x14ac:dyDescent="0.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2:14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2:14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2:14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2:14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2:14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2:14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2:14" x14ac:dyDescent="0.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2:14" x14ac:dyDescent="0.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2:14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2:14" x14ac:dyDescent="0.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2:14" x14ac:dyDescent="0.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2:14" x14ac:dyDescent="0.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2:14" x14ac:dyDescent="0.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2:14" x14ac:dyDescent="0.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2:14" x14ac:dyDescent="0.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2:14" x14ac:dyDescent="0.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2:14" x14ac:dyDescent="0.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2:14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2:14" x14ac:dyDescent="0.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2:14" x14ac:dyDescent="0.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2:14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2:14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2:14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</row>
    <row r="83" spans="2:14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2:14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2:14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</row>
    <row r="86" spans="2:14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2:14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2:14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2:14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</row>
    <row r="90" spans="2:14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</row>
    <row r="91" spans="2:14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2:14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</row>
    <row r="93" spans="2:14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  <row r="94" spans="2:14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</row>
    <row r="95" spans="2:14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2:14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2:14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</row>
    <row r="98" spans="2:14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2:14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</row>
    <row r="100" spans="2:14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</row>
    <row r="101" spans="2:14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2:14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2:14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</row>
    <row r="104" spans="2:14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2:14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2:14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</row>
    <row r="107" spans="2:14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2:14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2:14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2:14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2:14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2:14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2:14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2:14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2:14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2:14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2:14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2:14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2:14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2:14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2:14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2:14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2:14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2:14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2:14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2:14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2:14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2:14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2:14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</row>
    <row r="130" spans="2:14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  <row r="131" spans="2:14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2:14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2:14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2:14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</row>
    <row r="135" spans="2:14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</row>
    <row r="136" spans="2:14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</row>
    <row r="137" spans="2:14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2:14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</row>
    <row r="139" spans="2:14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</row>
    <row r="140" spans="2:14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130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0" customFormat="1" ht="15.75" x14ac:dyDescent="0.25">
      <c r="A2" s="210" t="s">
        <v>3144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4" x14ac:dyDescent="0.2">
      <c r="B6" s="7" t="s">
        <v>3</v>
      </c>
      <c r="D6" s="14"/>
      <c r="F6" s="14"/>
      <c r="H6" s="7" t="s">
        <v>4</v>
      </c>
      <c r="J6" s="14"/>
      <c r="L6" s="7" t="s">
        <v>5</v>
      </c>
    </row>
    <row r="7" spans="1:14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9" spans="1:14" x14ac:dyDescent="0.2">
      <c r="A9" s="9" t="s">
        <v>3145</v>
      </c>
    </row>
    <row r="10" spans="1:14" x14ac:dyDescent="0.2">
      <c r="A10" s="3" t="s">
        <v>3146</v>
      </c>
      <c r="B10" s="136">
        <v>690.05</v>
      </c>
      <c r="C10" s="136"/>
      <c r="D10" s="136">
        <v>0</v>
      </c>
      <c r="E10" s="136"/>
      <c r="F10" s="136">
        <v>0</v>
      </c>
      <c r="G10" s="136"/>
      <c r="H10" s="136">
        <v>0</v>
      </c>
      <c r="I10" s="136"/>
      <c r="J10" s="136">
        <f>D10+F10+H10</f>
        <v>0</v>
      </c>
      <c r="K10" s="136"/>
      <c r="L10" s="136">
        <f>B10+J10</f>
        <v>690.05</v>
      </c>
      <c r="M10" s="147"/>
      <c r="N10" s="147"/>
    </row>
    <row r="11" spans="1:14" x14ac:dyDescent="0.2">
      <c r="A11" s="3" t="s">
        <v>3147</v>
      </c>
      <c r="B11" s="136">
        <v>63110.43</v>
      </c>
      <c r="C11" s="136"/>
      <c r="D11" s="136">
        <v>0</v>
      </c>
      <c r="E11" s="136"/>
      <c r="F11" s="136">
        <v>0</v>
      </c>
      <c r="G11" s="136"/>
      <c r="H11" s="136">
        <v>0</v>
      </c>
      <c r="I11" s="136"/>
      <c r="J11" s="136">
        <f>D11+F11+H11</f>
        <v>0</v>
      </c>
      <c r="K11" s="136"/>
      <c r="L11" s="136">
        <f>B11+J11</f>
        <v>63110.43</v>
      </c>
      <c r="M11" s="147"/>
      <c r="N11" s="147"/>
    </row>
    <row r="12" spans="1:14" x14ac:dyDescent="0.2">
      <c r="A12" s="3" t="s">
        <v>3148</v>
      </c>
      <c r="B12" s="136">
        <v>249.93</v>
      </c>
      <c r="C12" s="136"/>
      <c r="D12" s="136">
        <v>0</v>
      </c>
      <c r="E12" s="136"/>
      <c r="F12" s="136">
        <v>0</v>
      </c>
      <c r="G12" s="136"/>
      <c r="H12" s="136">
        <v>0</v>
      </c>
      <c r="I12" s="136"/>
      <c r="J12" s="136">
        <f>D12+F12+H12</f>
        <v>0</v>
      </c>
      <c r="K12" s="136"/>
      <c r="L12" s="136">
        <f>B12+J12</f>
        <v>249.93</v>
      </c>
      <c r="M12" s="147"/>
      <c r="N12" s="147"/>
    </row>
    <row r="13" spans="1:14" x14ac:dyDescent="0.2">
      <c r="A13" s="3" t="s">
        <v>3149</v>
      </c>
      <c r="B13" s="136">
        <v>566846.57000000007</v>
      </c>
      <c r="C13" s="136"/>
      <c r="D13" s="136">
        <v>0</v>
      </c>
      <c r="E13" s="136"/>
      <c r="F13" s="136">
        <v>0</v>
      </c>
      <c r="G13" s="136"/>
      <c r="H13" s="136">
        <v>0</v>
      </c>
      <c r="I13" s="136"/>
      <c r="J13" s="136">
        <f>D13+F13+H13</f>
        <v>0</v>
      </c>
      <c r="K13" s="136"/>
      <c r="L13" s="136">
        <f>B13+J13</f>
        <v>566846.57000000007</v>
      </c>
      <c r="M13" s="147"/>
      <c r="N13" s="147"/>
    </row>
    <row r="14" spans="1:14" x14ac:dyDescent="0.2">
      <c r="A14" s="21" t="s">
        <v>3150</v>
      </c>
      <c r="B14" s="136">
        <v>0</v>
      </c>
      <c r="C14" s="136"/>
      <c r="D14" s="136">
        <v>0</v>
      </c>
      <c r="E14" s="136"/>
      <c r="F14" s="136">
        <v>0</v>
      </c>
      <c r="G14" s="136"/>
      <c r="H14" s="136">
        <v>0</v>
      </c>
      <c r="I14" s="136"/>
      <c r="J14" s="136">
        <f>D14+F14+H14</f>
        <v>0</v>
      </c>
      <c r="K14" s="136"/>
      <c r="L14" s="136">
        <f>B14+J14</f>
        <v>0</v>
      </c>
      <c r="M14" s="147"/>
      <c r="N14" s="147"/>
    </row>
    <row r="15" spans="1:14" ht="13.5" thickBot="1" x14ac:dyDescent="0.25">
      <c r="B15" s="141">
        <f>SUM(B10:B14)</f>
        <v>630896.9800000001</v>
      </c>
      <c r="C15" s="136"/>
      <c r="D15" s="141">
        <f>SUM(D10:D14)</f>
        <v>0</v>
      </c>
      <c r="E15" s="136"/>
      <c r="F15" s="141">
        <f>SUM(F10:F14)</f>
        <v>0</v>
      </c>
      <c r="G15" s="136"/>
      <c r="H15" s="141">
        <f>SUM(H10:H14)</f>
        <v>0</v>
      </c>
      <c r="I15" s="136"/>
      <c r="J15" s="141">
        <f>SUM(J10:J14)</f>
        <v>0</v>
      </c>
      <c r="K15" s="136"/>
      <c r="L15" s="141">
        <f>SUM(L10:L14)</f>
        <v>630896.9800000001</v>
      </c>
      <c r="M15" s="147"/>
      <c r="N15" s="147"/>
    </row>
    <row r="16" spans="1:14" ht="13.5" thickTop="1" x14ac:dyDescent="0.2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47"/>
      <c r="N16" s="147"/>
    </row>
    <row r="17" spans="2:14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2:14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2:14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2:14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2:14" x14ac:dyDescent="0.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2:14" x14ac:dyDescent="0.2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2:14" x14ac:dyDescent="0.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2:14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2:14" x14ac:dyDescent="0.2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2:14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2:14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2:14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2:14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2:14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2:14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2:14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2:14" x14ac:dyDescent="0.2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2:14" x14ac:dyDescent="0.2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2:14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2:14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2:14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2:14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2:14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2:14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2:14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2:14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2:14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2:14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2:14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2:14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2:14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2:14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2:14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2:14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2:14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2:14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2:14" x14ac:dyDescent="0.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2:14" x14ac:dyDescent="0.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2:14" x14ac:dyDescent="0.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2:14" x14ac:dyDescent="0.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2:14" x14ac:dyDescent="0.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2:14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2:14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2:14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2:14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2:14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2:14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2:14" x14ac:dyDescent="0.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2:14" x14ac:dyDescent="0.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2:14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2:14" x14ac:dyDescent="0.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2:14" x14ac:dyDescent="0.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2:14" x14ac:dyDescent="0.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2:14" x14ac:dyDescent="0.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2:14" x14ac:dyDescent="0.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2:14" x14ac:dyDescent="0.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2:14" x14ac:dyDescent="0.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2:14" x14ac:dyDescent="0.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2:14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2:14" x14ac:dyDescent="0.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2:14" x14ac:dyDescent="0.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2:14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2:14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2:14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</row>
    <row r="83" spans="2:14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2:14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2:14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</row>
    <row r="86" spans="2:14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2:14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2:14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2:14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</row>
    <row r="90" spans="2:14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</row>
    <row r="91" spans="2:14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2:14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</row>
    <row r="93" spans="2:14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  <row r="94" spans="2:14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</row>
    <row r="95" spans="2:14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2:14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2:14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</row>
    <row r="98" spans="2:14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2:14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</row>
    <row r="100" spans="2:14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</row>
    <row r="101" spans="2:14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2:14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2:14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</row>
    <row r="104" spans="2:14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2:14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2:14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</row>
    <row r="107" spans="2:14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2:14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2:14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2:14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2:14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2:14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2:14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2:14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2:14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2:14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2:14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2:14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2:14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2:14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2:14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2:14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2:14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2:14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2:14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2:14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2:14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2:14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2:14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</row>
    <row r="130" spans="2:14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27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0" customFormat="1" ht="15.75" x14ac:dyDescent="0.25">
      <c r="A2" s="210" t="s">
        <v>3151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4" x14ac:dyDescent="0.2">
      <c r="B6" s="7" t="s">
        <v>3</v>
      </c>
      <c r="D6" s="136"/>
      <c r="F6" s="136"/>
      <c r="H6" s="7" t="s">
        <v>4</v>
      </c>
      <c r="J6" s="136"/>
      <c r="L6" s="7" t="s">
        <v>5</v>
      </c>
    </row>
    <row r="7" spans="1:14" x14ac:dyDescent="0.2"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</row>
    <row r="9" spans="1:14" x14ac:dyDescent="0.2">
      <c r="A9" s="9" t="s">
        <v>3152</v>
      </c>
    </row>
    <row r="10" spans="1:14" x14ac:dyDescent="0.2">
      <c r="A10" s="9"/>
    </row>
    <row r="11" spans="1:14" x14ac:dyDescent="0.2">
      <c r="A11" s="120"/>
      <c r="B11" s="136">
        <v>0</v>
      </c>
      <c r="C11" s="136"/>
      <c r="D11" s="136">
        <f>-74076.28+74076.28</f>
        <v>0</v>
      </c>
      <c r="E11" s="136"/>
      <c r="F11" s="136">
        <v>0</v>
      </c>
      <c r="G11" s="136"/>
      <c r="H11" s="136">
        <f>200871.91-200871.91</f>
        <v>0</v>
      </c>
      <c r="I11" s="136"/>
      <c r="J11" s="136">
        <f>H11+F11+D11</f>
        <v>0</v>
      </c>
      <c r="K11" s="136"/>
      <c r="L11" s="136">
        <f>J11+B11</f>
        <v>0</v>
      </c>
      <c r="M11" s="147"/>
      <c r="N11" s="147"/>
    </row>
    <row r="12" spans="1:14" ht="13.5" thickBot="1" x14ac:dyDescent="0.25">
      <c r="B12" s="141">
        <f>SUM(B11:B11)</f>
        <v>0</v>
      </c>
      <c r="C12" s="136"/>
      <c r="D12" s="141">
        <f>SUM(D11:D11)</f>
        <v>0</v>
      </c>
      <c r="E12" s="136"/>
      <c r="F12" s="141">
        <f>SUM(F11:F11)</f>
        <v>0</v>
      </c>
      <c r="G12" s="136"/>
      <c r="H12" s="141">
        <f>SUM(H11:H11)</f>
        <v>0</v>
      </c>
      <c r="I12" s="136"/>
      <c r="J12" s="141">
        <f>SUM(J11:J11)</f>
        <v>0</v>
      </c>
      <c r="K12" s="136"/>
      <c r="L12" s="141">
        <f>SUM(L11:L11)</f>
        <v>0</v>
      </c>
      <c r="M12" s="147"/>
      <c r="N12" s="147"/>
    </row>
    <row r="13" spans="1:14" ht="13.5" thickTop="1" x14ac:dyDescent="0.2"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47"/>
      <c r="N13" s="147"/>
    </row>
    <row r="14" spans="1:14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2:14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2:14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2:14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2:14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2:14" x14ac:dyDescent="0.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2:14" x14ac:dyDescent="0.2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2:14" x14ac:dyDescent="0.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2:14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2:14" x14ac:dyDescent="0.2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2:14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2:14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2:14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2:14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2:14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2:14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2:14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2:14" x14ac:dyDescent="0.2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2:14" x14ac:dyDescent="0.2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2:14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2:14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2:14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2:14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2:14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2:14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2:14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2:14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2:14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2:14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2:14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2:14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2:14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2:14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2:14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2:14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2:14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2:14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2:14" x14ac:dyDescent="0.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2:14" x14ac:dyDescent="0.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2:14" x14ac:dyDescent="0.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2:14" x14ac:dyDescent="0.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2:14" x14ac:dyDescent="0.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2:14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2:14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2:14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2:14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2:14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2:14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2:14" x14ac:dyDescent="0.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2:14" x14ac:dyDescent="0.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2:14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2:14" x14ac:dyDescent="0.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2:14" x14ac:dyDescent="0.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2:14" x14ac:dyDescent="0.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2:14" x14ac:dyDescent="0.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2:14" x14ac:dyDescent="0.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2:14" x14ac:dyDescent="0.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2:14" x14ac:dyDescent="0.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2:14" x14ac:dyDescent="0.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2:14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2:14" x14ac:dyDescent="0.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2:14" x14ac:dyDescent="0.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2:14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2:14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2:14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</row>
    <row r="83" spans="2:14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2:14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2:14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</row>
    <row r="86" spans="2:14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2:14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2:14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2:14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</row>
    <row r="90" spans="2:14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</row>
    <row r="91" spans="2:14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2:14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</row>
    <row r="93" spans="2:14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  <row r="94" spans="2:14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</row>
    <row r="95" spans="2:14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2:14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2:14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</row>
    <row r="98" spans="2:14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2:14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</row>
    <row r="100" spans="2:14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</row>
    <row r="101" spans="2:14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2:14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2:14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</row>
    <row r="104" spans="2:14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2:14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2:14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</row>
    <row r="107" spans="2:14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2:14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2:14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2:14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2:14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2:14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2:14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2:14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2:14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2:14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2:14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2:14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2:14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2:14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2:14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2:14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2:14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2:14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2:14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2:14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2:14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</sheetPr>
  <dimension ref="A1:AA534"/>
  <sheetViews>
    <sheetView zoomScale="85" zoomScaleNormal="85" workbookViewId="0">
      <pane xSplit="3" ySplit="8" topLeftCell="D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47.5703125" style="3" bestFit="1" customWidth="1"/>
    <col min="2" max="2" width="19" style="3" bestFit="1" customWidth="1"/>
    <col min="3" max="3" width="1.7109375" style="29" customWidth="1"/>
    <col min="4" max="4" width="17.7109375" style="3" customWidth="1"/>
    <col min="5" max="5" width="1.7109375" style="29" customWidth="1"/>
    <col min="6" max="6" width="17.7109375" style="3" customWidth="1"/>
    <col min="7" max="7" width="1.7109375" style="29" customWidth="1"/>
    <col min="8" max="8" width="17.7109375" style="3" customWidth="1"/>
    <col min="9" max="9" width="1.7109375" style="29" customWidth="1"/>
    <col min="10" max="10" width="17.7109375" style="3" customWidth="1"/>
    <col min="11" max="11" width="1.7109375" style="29" customWidth="1"/>
    <col min="12" max="12" width="17.7109375" style="3" customWidth="1"/>
    <col min="13" max="13" width="1.7109375" style="29" customWidth="1"/>
    <col min="14" max="14" width="17.7109375" style="3" customWidth="1"/>
    <col min="15" max="15" width="1.7109375" style="29" customWidth="1"/>
    <col min="16" max="16" width="17.7109375" style="3" customWidth="1"/>
    <col min="17" max="17" width="1.7109375" style="29" customWidth="1"/>
    <col min="18" max="18" width="19.7109375" style="3" bestFit="1" customWidth="1"/>
    <col min="19" max="19" width="12.85546875" style="3" bestFit="1" customWidth="1"/>
    <col min="20" max="20" width="17.28515625" style="3" bestFit="1" customWidth="1"/>
    <col min="21" max="21" width="9.140625" style="3"/>
    <col min="22" max="22" width="13.5703125" style="3" bestFit="1" customWidth="1"/>
    <col min="23" max="16384" width="9.140625" style="3"/>
  </cols>
  <sheetData>
    <row r="1" spans="1:27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135"/>
    </row>
    <row r="2" spans="1:27" s="130" customFormat="1" ht="15.75" x14ac:dyDescent="0.25">
      <c r="A2" s="210" t="s">
        <v>3153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W2" s="135"/>
    </row>
    <row r="3" spans="1:27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4"/>
      <c r="T3" s="104"/>
      <c r="U3" s="104"/>
      <c r="V3" s="104"/>
      <c r="W3" s="104"/>
      <c r="X3" s="104"/>
      <c r="Y3" s="104"/>
      <c r="Z3" s="104"/>
      <c r="AA3" s="104"/>
    </row>
    <row r="4" spans="1:27" x14ac:dyDescent="0.2">
      <c r="A4" s="145"/>
      <c r="B4" s="145"/>
      <c r="C4" s="112"/>
      <c r="D4" s="7"/>
      <c r="E4" s="112"/>
      <c r="F4" s="145"/>
      <c r="G4" s="112"/>
      <c r="H4" s="145"/>
      <c r="I4" s="112"/>
      <c r="J4" s="145"/>
      <c r="K4" s="112"/>
      <c r="L4" s="145"/>
      <c r="M4" s="112"/>
      <c r="N4" s="145"/>
      <c r="O4" s="112"/>
      <c r="P4" s="145"/>
      <c r="Q4" s="112"/>
      <c r="R4" s="145"/>
      <c r="S4" s="104"/>
      <c r="T4" s="104"/>
      <c r="U4" s="104"/>
      <c r="V4" s="104"/>
      <c r="W4" s="104"/>
      <c r="X4" s="104"/>
      <c r="Y4" s="104"/>
      <c r="Z4" s="104"/>
      <c r="AA4" s="104"/>
    </row>
    <row r="6" spans="1:27" x14ac:dyDescent="0.2">
      <c r="B6" s="7" t="s">
        <v>3</v>
      </c>
      <c r="D6" s="14"/>
      <c r="F6" s="14"/>
      <c r="H6" s="7" t="s">
        <v>4</v>
      </c>
      <c r="I6" s="17"/>
      <c r="J6" s="7" t="s">
        <v>67</v>
      </c>
      <c r="K6" s="17"/>
      <c r="L6" s="17" t="s">
        <v>68</v>
      </c>
      <c r="P6" s="7" t="s">
        <v>69</v>
      </c>
      <c r="Q6" s="17"/>
      <c r="R6" s="7" t="s">
        <v>5</v>
      </c>
      <c r="S6" s="7"/>
      <c r="U6" s="7"/>
    </row>
    <row r="7" spans="1:27" x14ac:dyDescent="0.2">
      <c r="B7" s="11" t="s">
        <v>7</v>
      </c>
      <c r="D7" s="11" t="s">
        <v>70</v>
      </c>
      <c r="F7" s="11" t="s">
        <v>9</v>
      </c>
      <c r="H7" s="11" t="s">
        <v>10</v>
      </c>
      <c r="I7" s="17"/>
      <c r="J7" s="11" t="s">
        <v>72</v>
      </c>
      <c r="K7" s="17"/>
      <c r="L7" s="11" t="s">
        <v>73</v>
      </c>
      <c r="M7" s="17"/>
      <c r="N7" s="11" t="s">
        <v>74</v>
      </c>
      <c r="O7" s="17"/>
      <c r="P7" s="11" t="s">
        <v>75</v>
      </c>
      <c r="Q7" s="17"/>
      <c r="R7" s="11" t="s">
        <v>7</v>
      </c>
    </row>
    <row r="9" spans="1:27" x14ac:dyDescent="0.2">
      <c r="A9" s="9" t="s">
        <v>18</v>
      </c>
      <c r="B9" s="147"/>
      <c r="C9" s="148"/>
      <c r="D9" s="147"/>
      <c r="E9" s="148"/>
      <c r="F9" s="147"/>
      <c r="G9" s="148"/>
      <c r="H9" s="147"/>
      <c r="I9" s="148"/>
      <c r="J9" s="147"/>
      <c r="K9" s="148"/>
      <c r="L9" s="147"/>
      <c r="M9" s="148"/>
      <c r="N9" s="147"/>
      <c r="O9" s="148"/>
      <c r="P9" s="147"/>
      <c r="Q9" s="148"/>
      <c r="R9" s="147"/>
    </row>
    <row r="10" spans="1:27" x14ac:dyDescent="0.2">
      <c r="A10" s="3" t="s">
        <v>3154</v>
      </c>
      <c r="B10" s="136">
        <v>0</v>
      </c>
      <c r="C10" s="133"/>
      <c r="D10" s="136">
        <v>0</v>
      </c>
      <c r="E10" s="133"/>
      <c r="F10" s="136">
        <v>0</v>
      </c>
      <c r="G10" s="133"/>
      <c r="H10" s="136">
        <v>0</v>
      </c>
      <c r="I10" s="133"/>
      <c r="J10" s="136">
        <v>0</v>
      </c>
      <c r="K10" s="133"/>
      <c r="L10" s="136">
        <v>0</v>
      </c>
      <c r="M10" s="133"/>
      <c r="N10" s="136">
        <v>0</v>
      </c>
      <c r="O10" s="133"/>
      <c r="P10" s="136">
        <v>0</v>
      </c>
      <c r="Q10" s="133"/>
      <c r="R10" s="136">
        <f>SUM(B10:P10)</f>
        <v>0</v>
      </c>
      <c r="S10" s="14"/>
      <c r="T10" s="14"/>
      <c r="U10" s="14"/>
    </row>
    <row r="11" spans="1:27" x14ac:dyDescent="0.2">
      <c r="A11" s="3" t="s">
        <v>3155</v>
      </c>
      <c r="B11" s="136">
        <v>-3.5527136788005009E-15</v>
      </c>
      <c r="C11" s="133"/>
      <c r="D11" s="136">
        <v>0</v>
      </c>
      <c r="E11" s="133"/>
      <c r="F11" s="136">
        <v>0</v>
      </c>
      <c r="G11" s="133"/>
      <c r="H11" s="136">
        <v>0</v>
      </c>
      <c r="I11" s="133"/>
      <c r="J11" s="136">
        <v>0</v>
      </c>
      <c r="K11" s="133"/>
      <c r="L11" s="136">
        <v>0</v>
      </c>
      <c r="M11" s="133"/>
      <c r="N11" s="136">
        <v>0</v>
      </c>
      <c r="O11" s="133"/>
      <c r="P11" s="136">
        <v>0</v>
      </c>
      <c r="Q11" s="133"/>
      <c r="R11" s="136">
        <f t="shared" ref="R11:R27" si="0">SUM(B11:P11)</f>
        <v>-3.5527136788005009E-15</v>
      </c>
      <c r="S11" s="14"/>
      <c r="T11" s="14"/>
      <c r="U11" s="14"/>
    </row>
    <row r="12" spans="1:27" x14ac:dyDescent="0.2">
      <c r="A12" s="3" t="s">
        <v>3156</v>
      </c>
      <c r="B12" s="136">
        <v>-2252423.5199999996</v>
      </c>
      <c r="C12" s="133"/>
      <c r="D12" s="136">
        <v>-127666.56</v>
      </c>
      <c r="E12" s="133"/>
      <c r="F12" s="136">
        <v>22759.97</v>
      </c>
      <c r="G12" s="133"/>
      <c r="H12" s="136">
        <v>-7750.55</v>
      </c>
      <c r="I12" s="133"/>
      <c r="J12" s="136">
        <v>0</v>
      </c>
      <c r="K12" s="133"/>
      <c r="L12" s="136">
        <v>17539.36</v>
      </c>
      <c r="M12" s="133"/>
      <c r="N12" s="136">
        <v>0</v>
      </c>
      <c r="O12" s="133"/>
      <c r="P12" s="136">
        <v>0</v>
      </c>
      <c r="Q12" s="133"/>
      <c r="R12" s="136">
        <f>SUM(B12:P12)</f>
        <v>-2347541.2999999993</v>
      </c>
      <c r="S12" s="14"/>
      <c r="T12" s="14"/>
      <c r="U12" s="14"/>
    </row>
    <row r="13" spans="1:27" x14ac:dyDescent="0.2">
      <c r="A13" s="3" t="s">
        <v>3157</v>
      </c>
      <c r="B13" s="136">
        <v>-43679215.260000005</v>
      </c>
      <c r="C13" s="133"/>
      <c r="D13" s="136">
        <v>-2807310.7</v>
      </c>
      <c r="E13" s="133"/>
      <c r="F13" s="136">
        <v>711864.94</v>
      </c>
      <c r="G13" s="133"/>
      <c r="H13" s="136">
        <v>327425.63</v>
      </c>
      <c r="I13" s="133"/>
      <c r="J13" s="136">
        <v>0</v>
      </c>
      <c r="K13" s="133"/>
      <c r="L13" s="136">
        <v>148803.63</v>
      </c>
      <c r="M13" s="133"/>
      <c r="N13" s="136">
        <v>-11698.48</v>
      </c>
      <c r="O13" s="133"/>
      <c r="P13" s="136">
        <v>0</v>
      </c>
      <c r="Q13" s="133"/>
      <c r="R13" s="136">
        <f t="shared" si="0"/>
        <v>-45310130.240000002</v>
      </c>
      <c r="S13" s="14"/>
      <c r="T13" s="14"/>
      <c r="U13" s="14"/>
    </row>
    <row r="14" spans="1:27" x14ac:dyDescent="0.2">
      <c r="A14" s="3" t="s">
        <v>3158</v>
      </c>
      <c r="B14" s="136">
        <v>-9.889999999999997</v>
      </c>
      <c r="C14" s="133"/>
      <c r="D14" s="136">
        <v>0</v>
      </c>
      <c r="E14" s="133"/>
      <c r="F14" s="136">
        <v>0</v>
      </c>
      <c r="G14" s="133"/>
      <c r="H14" s="136">
        <v>0</v>
      </c>
      <c r="I14" s="133"/>
      <c r="J14" s="136">
        <v>0</v>
      </c>
      <c r="K14" s="133"/>
      <c r="L14" s="136">
        <v>0</v>
      </c>
      <c r="M14" s="133"/>
      <c r="N14" s="136">
        <v>0</v>
      </c>
      <c r="O14" s="133"/>
      <c r="P14" s="136">
        <v>0</v>
      </c>
      <c r="Q14" s="133"/>
      <c r="R14" s="136">
        <f t="shared" si="0"/>
        <v>-9.889999999999997</v>
      </c>
      <c r="S14" s="14"/>
      <c r="T14" s="14"/>
      <c r="U14" s="14"/>
    </row>
    <row r="15" spans="1:27" x14ac:dyDescent="0.2">
      <c r="A15" s="3" t="s">
        <v>3159</v>
      </c>
      <c r="B15" s="136">
        <v>-80356191.730000004</v>
      </c>
      <c r="C15" s="133"/>
      <c r="D15" s="136">
        <v>-6486236.6500000004</v>
      </c>
      <c r="E15" s="133"/>
      <c r="F15" s="136">
        <v>2893219.44</v>
      </c>
      <c r="G15" s="133"/>
      <c r="H15" s="136">
        <v>0</v>
      </c>
      <c r="I15" s="133"/>
      <c r="J15" s="136">
        <v>0</v>
      </c>
      <c r="K15" s="133"/>
      <c r="L15" s="136">
        <v>3250677.96</v>
      </c>
      <c r="M15" s="133"/>
      <c r="N15" s="136">
        <v>-997.83</v>
      </c>
      <c r="O15" s="133"/>
      <c r="P15" s="136">
        <v>-311095.40999999997</v>
      </c>
      <c r="Q15" s="133"/>
      <c r="R15" s="136">
        <f t="shared" si="0"/>
        <v>-81010624.220000014</v>
      </c>
      <c r="S15" s="14"/>
      <c r="T15" s="14"/>
      <c r="U15" s="14"/>
    </row>
    <row r="16" spans="1:27" x14ac:dyDescent="0.2">
      <c r="A16" s="3" t="s">
        <v>3160</v>
      </c>
      <c r="B16" s="136">
        <v>-116897627.58999997</v>
      </c>
      <c r="C16" s="133"/>
      <c r="D16" s="136">
        <v>-9905306.0999999996</v>
      </c>
      <c r="E16" s="133"/>
      <c r="F16" s="136">
        <v>2802229.8</v>
      </c>
      <c r="G16" s="133"/>
      <c r="H16" s="136">
        <v>44.13</v>
      </c>
      <c r="I16" s="133"/>
      <c r="J16" s="136">
        <v>0</v>
      </c>
      <c r="K16" s="133"/>
      <c r="L16" s="136">
        <v>1646848.8900000001</v>
      </c>
      <c r="M16" s="133"/>
      <c r="N16" s="136">
        <v>-95894.16</v>
      </c>
      <c r="O16" s="133"/>
      <c r="P16" s="136">
        <v>-162255.87</v>
      </c>
      <c r="Q16" s="133"/>
      <c r="R16" s="136">
        <f t="shared" si="0"/>
        <v>-122611960.89999998</v>
      </c>
      <c r="S16" s="14"/>
      <c r="T16" s="14"/>
      <c r="U16" s="14"/>
    </row>
    <row r="17" spans="1:21" x14ac:dyDescent="0.2">
      <c r="A17" s="3" t="s">
        <v>3161</v>
      </c>
      <c r="B17" s="136">
        <v>-31306859.589999992</v>
      </c>
      <c r="C17" s="133"/>
      <c r="D17" s="136">
        <v>-1280863.5</v>
      </c>
      <c r="E17" s="133"/>
      <c r="F17" s="136">
        <v>408131.74</v>
      </c>
      <c r="G17" s="133"/>
      <c r="H17" s="136">
        <v>0</v>
      </c>
      <c r="I17" s="133"/>
      <c r="J17" s="136">
        <v>0</v>
      </c>
      <c r="K17" s="133"/>
      <c r="L17" s="136">
        <v>266156.25</v>
      </c>
      <c r="M17" s="133"/>
      <c r="N17" s="136">
        <v>-18723.830000000002</v>
      </c>
      <c r="O17" s="133"/>
      <c r="P17" s="136">
        <v>-20288.21</v>
      </c>
      <c r="Q17" s="133"/>
      <c r="R17" s="136">
        <f t="shared" si="0"/>
        <v>-31952447.139999993</v>
      </c>
      <c r="S17" s="14"/>
      <c r="T17" s="14"/>
      <c r="U17" s="14"/>
    </row>
    <row r="18" spans="1:21" x14ac:dyDescent="0.2">
      <c r="A18" s="3" t="s">
        <v>3162</v>
      </c>
      <c r="B18" s="136">
        <v>-59081416.100000024</v>
      </c>
      <c r="C18" s="133"/>
      <c r="D18" s="136">
        <v>-4650399.8099999996</v>
      </c>
      <c r="E18" s="133"/>
      <c r="F18" s="136">
        <v>1580438.9</v>
      </c>
      <c r="G18" s="133"/>
      <c r="H18" s="136">
        <v>0</v>
      </c>
      <c r="I18" s="133"/>
      <c r="J18" s="136">
        <v>0</v>
      </c>
      <c r="K18" s="133"/>
      <c r="L18" s="136">
        <v>1206894.1399999999</v>
      </c>
      <c r="M18" s="133"/>
      <c r="N18" s="136">
        <v>-179668.96</v>
      </c>
      <c r="O18" s="133"/>
      <c r="P18" s="136">
        <v>-76642.25</v>
      </c>
      <c r="Q18" s="133"/>
      <c r="R18" s="136">
        <f t="shared" si="0"/>
        <v>-61200794.080000028</v>
      </c>
      <c r="S18" s="14"/>
      <c r="T18" s="14"/>
      <c r="U18" s="14"/>
    </row>
    <row r="19" spans="1:21" x14ac:dyDescent="0.2">
      <c r="A19" s="3" t="s">
        <v>3163</v>
      </c>
      <c r="B19" s="136">
        <v>-77244820.88000001</v>
      </c>
      <c r="C19" s="133"/>
      <c r="D19" s="136">
        <v>-3847095.13</v>
      </c>
      <c r="E19" s="133"/>
      <c r="F19" s="136">
        <v>2952153.8</v>
      </c>
      <c r="G19" s="133"/>
      <c r="H19" s="136">
        <v>0</v>
      </c>
      <c r="I19" s="133"/>
      <c r="J19" s="136">
        <v>0</v>
      </c>
      <c r="K19" s="133"/>
      <c r="L19" s="136">
        <v>1983595.72</v>
      </c>
      <c r="M19" s="133"/>
      <c r="N19" s="136">
        <v>-255445.56</v>
      </c>
      <c r="O19" s="133"/>
      <c r="P19" s="136">
        <v>-1745409.29</v>
      </c>
      <c r="Q19" s="133"/>
      <c r="R19" s="136">
        <f t="shared" si="0"/>
        <v>-78157021.340000018</v>
      </c>
      <c r="S19" s="14"/>
      <c r="T19" s="14"/>
      <c r="U19" s="14"/>
    </row>
    <row r="20" spans="1:21" x14ac:dyDescent="0.2">
      <c r="A20" s="3" t="s">
        <v>3164</v>
      </c>
      <c r="B20" s="136">
        <v>-1682293.9899999995</v>
      </c>
      <c r="C20" s="133"/>
      <c r="D20" s="136">
        <v>-331078.19</v>
      </c>
      <c r="E20" s="133"/>
      <c r="F20" s="136">
        <v>37302.65</v>
      </c>
      <c r="G20" s="133"/>
      <c r="H20" s="136">
        <v>0</v>
      </c>
      <c r="I20" s="133"/>
      <c r="J20" s="136">
        <v>0</v>
      </c>
      <c r="K20" s="133"/>
      <c r="L20" s="136">
        <v>244529.68</v>
      </c>
      <c r="M20" s="133"/>
      <c r="N20" s="136">
        <v>0</v>
      </c>
      <c r="O20" s="133"/>
      <c r="P20" s="136">
        <v>0</v>
      </c>
      <c r="Q20" s="133"/>
      <c r="R20" s="136">
        <f t="shared" si="0"/>
        <v>-1731539.8499999996</v>
      </c>
      <c r="S20" s="14"/>
      <c r="T20" s="14"/>
      <c r="U20" s="14"/>
    </row>
    <row r="21" spans="1:21" x14ac:dyDescent="0.2">
      <c r="A21" s="3" t="s">
        <v>3165</v>
      </c>
      <c r="B21" s="136">
        <v>-23456102.720000003</v>
      </c>
      <c r="C21" s="133"/>
      <c r="D21" s="136">
        <v>-731457.58</v>
      </c>
      <c r="E21" s="133"/>
      <c r="F21" s="136">
        <v>41292.160000000003</v>
      </c>
      <c r="G21" s="133"/>
      <c r="H21" s="136">
        <v>0</v>
      </c>
      <c r="I21" s="133"/>
      <c r="J21" s="136">
        <v>0</v>
      </c>
      <c r="K21" s="133"/>
      <c r="L21" s="136">
        <v>168626.65</v>
      </c>
      <c r="M21" s="133"/>
      <c r="N21" s="136">
        <v>0</v>
      </c>
      <c r="O21" s="133"/>
      <c r="P21" s="136">
        <v>0</v>
      </c>
      <c r="Q21" s="133"/>
      <c r="R21" s="136">
        <f t="shared" si="0"/>
        <v>-23977641.490000002</v>
      </c>
      <c r="S21" s="14"/>
      <c r="T21" s="14"/>
      <c r="U21" s="14"/>
    </row>
    <row r="22" spans="1:21" x14ac:dyDescent="0.2">
      <c r="A22" s="3" t="s">
        <v>3166</v>
      </c>
      <c r="B22" s="136">
        <v>-25109574</v>
      </c>
      <c r="C22" s="133"/>
      <c r="D22" s="136">
        <v>-1113870.45</v>
      </c>
      <c r="E22" s="133"/>
      <c r="F22" s="136">
        <v>3083601.81</v>
      </c>
      <c r="G22" s="133"/>
      <c r="H22" s="136">
        <v>3659499.43</v>
      </c>
      <c r="I22" s="133"/>
      <c r="J22" s="136">
        <v>0</v>
      </c>
      <c r="K22" s="133"/>
      <c r="L22" s="136">
        <v>0</v>
      </c>
      <c r="M22" s="133"/>
      <c r="N22" s="136">
        <v>0</v>
      </c>
      <c r="O22" s="133"/>
      <c r="P22" s="136">
        <v>0</v>
      </c>
      <c r="Q22" s="133"/>
      <c r="R22" s="136">
        <f t="shared" si="0"/>
        <v>-19480343.210000001</v>
      </c>
      <c r="S22" s="14"/>
      <c r="T22" s="14"/>
      <c r="U22" s="14"/>
    </row>
    <row r="23" spans="1:21" x14ac:dyDescent="0.2">
      <c r="A23" s="3" t="s">
        <v>3167</v>
      </c>
      <c r="B23" s="136">
        <v>-55178.04</v>
      </c>
      <c r="C23" s="133"/>
      <c r="D23" s="136">
        <v>-88034.23</v>
      </c>
      <c r="E23" s="133"/>
      <c r="F23" s="136">
        <v>77652.320000000007</v>
      </c>
      <c r="G23" s="133"/>
      <c r="H23" s="136">
        <v>0</v>
      </c>
      <c r="I23" s="133"/>
      <c r="J23" s="136">
        <v>0</v>
      </c>
      <c r="K23" s="133"/>
      <c r="L23" s="136">
        <v>0</v>
      </c>
      <c r="M23" s="133"/>
      <c r="N23" s="136">
        <v>-72404.100000000006</v>
      </c>
      <c r="O23" s="133"/>
      <c r="P23" s="136">
        <v>0</v>
      </c>
      <c r="Q23" s="133"/>
      <c r="R23" s="136">
        <f t="shared" si="0"/>
        <v>-137964.04999999999</v>
      </c>
      <c r="S23" s="14"/>
      <c r="T23" s="14"/>
      <c r="U23" s="14"/>
    </row>
    <row r="24" spans="1:21" x14ac:dyDescent="0.2">
      <c r="A24" s="3" t="s">
        <v>3168</v>
      </c>
      <c r="B24" s="136">
        <v>0</v>
      </c>
      <c r="C24" s="133"/>
      <c r="D24" s="136">
        <v>-89174.93</v>
      </c>
      <c r="E24" s="133"/>
      <c r="F24" s="136">
        <v>0</v>
      </c>
      <c r="G24" s="133"/>
      <c r="H24" s="136">
        <v>-3659499.43</v>
      </c>
      <c r="I24" s="133"/>
      <c r="J24" s="136">
        <v>0</v>
      </c>
      <c r="K24" s="133"/>
      <c r="L24" s="136">
        <v>0</v>
      </c>
      <c r="M24" s="133"/>
      <c r="N24" s="136">
        <v>0</v>
      </c>
      <c r="O24" s="133"/>
      <c r="P24" s="136">
        <v>0</v>
      </c>
      <c r="Q24" s="133"/>
      <c r="R24" s="136">
        <f>SUM(B24:P24)</f>
        <v>-3748674.3600000003</v>
      </c>
      <c r="S24" s="14"/>
      <c r="T24" s="14"/>
      <c r="U24" s="14"/>
    </row>
    <row r="25" spans="1:21" x14ac:dyDescent="0.2">
      <c r="A25" s="3" t="s">
        <v>3169</v>
      </c>
      <c r="B25" s="136"/>
      <c r="C25" s="133"/>
      <c r="D25" s="136"/>
      <c r="E25" s="133"/>
      <c r="F25" s="136"/>
      <c r="G25" s="133"/>
      <c r="H25" s="136"/>
      <c r="I25" s="133"/>
      <c r="J25" s="136"/>
      <c r="K25" s="133"/>
      <c r="L25" s="136"/>
      <c r="M25" s="133"/>
      <c r="N25" s="136"/>
      <c r="O25" s="133"/>
      <c r="P25" s="136"/>
      <c r="Q25" s="133"/>
      <c r="R25" s="136"/>
      <c r="S25" s="14"/>
      <c r="T25" s="14"/>
      <c r="U25" s="14"/>
    </row>
    <row r="26" spans="1:21" x14ac:dyDescent="0.2">
      <c r="A26" s="3" t="s">
        <v>3170</v>
      </c>
      <c r="B26" s="136">
        <v>-11031481.91</v>
      </c>
      <c r="C26" s="133"/>
      <c r="D26" s="136">
        <v>-2157963.08</v>
      </c>
      <c r="E26" s="133"/>
      <c r="F26" s="136">
        <v>82893.62</v>
      </c>
      <c r="G26" s="133"/>
      <c r="H26" s="136">
        <v>0</v>
      </c>
      <c r="I26" s="133"/>
      <c r="J26" s="136">
        <v>0</v>
      </c>
      <c r="K26" s="133"/>
      <c r="L26" s="136">
        <v>883470.35</v>
      </c>
      <c r="M26" s="133"/>
      <c r="N26" s="136">
        <v>-42.11</v>
      </c>
      <c r="O26" s="133"/>
      <c r="P26" s="136">
        <v>0</v>
      </c>
      <c r="Q26" s="133"/>
      <c r="R26" s="136">
        <f t="shared" si="0"/>
        <v>-12223123.130000001</v>
      </c>
      <c r="S26" s="14"/>
      <c r="T26" s="14"/>
      <c r="U26" s="14"/>
    </row>
    <row r="27" spans="1:21" x14ac:dyDescent="0.2">
      <c r="A27" s="3" t="s">
        <v>3171</v>
      </c>
      <c r="B27" s="136">
        <v>-26213635.110000007</v>
      </c>
      <c r="C27" s="133"/>
      <c r="D27" s="136">
        <v>-2164511.25</v>
      </c>
      <c r="E27" s="133"/>
      <c r="F27" s="136">
        <v>205459.6</v>
      </c>
      <c r="G27" s="133"/>
      <c r="H27" s="136">
        <v>0</v>
      </c>
      <c r="I27" s="133"/>
      <c r="J27" s="136">
        <v>0</v>
      </c>
      <c r="K27" s="133"/>
      <c r="L27" s="136">
        <v>423274.23999999999</v>
      </c>
      <c r="M27" s="133"/>
      <c r="N27" s="136">
        <v>-23424.71</v>
      </c>
      <c r="O27" s="133"/>
      <c r="P27" s="136">
        <v>0</v>
      </c>
      <c r="Q27" s="133"/>
      <c r="R27" s="136">
        <f t="shared" si="0"/>
        <v>-27772837.230000008</v>
      </c>
      <c r="S27" s="14"/>
      <c r="T27" s="14"/>
      <c r="U27" s="14"/>
    </row>
    <row r="28" spans="1:21" x14ac:dyDescent="0.2">
      <c r="A28" s="3" t="s">
        <v>3172</v>
      </c>
      <c r="B28" s="136">
        <v>0</v>
      </c>
      <c r="C28" s="133"/>
      <c r="D28" s="136">
        <v>0</v>
      </c>
      <c r="E28" s="133"/>
      <c r="F28" s="136">
        <v>0</v>
      </c>
      <c r="G28" s="133"/>
      <c r="H28" s="136">
        <v>0</v>
      </c>
      <c r="I28" s="133"/>
      <c r="J28" s="136">
        <v>0</v>
      </c>
      <c r="K28" s="133"/>
      <c r="L28" s="136">
        <v>0</v>
      </c>
      <c r="M28" s="133"/>
      <c r="N28" s="136">
        <v>0</v>
      </c>
      <c r="O28" s="133"/>
      <c r="P28" s="136">
        <v>0</v>
      </c>
      <c r="Q28" s="133"/>
      <c r="R28" s="136">
        <f>SUM(B28:P28)</f>
        <v>0</v>
      </c>
      <c r="S28" s="14"/>
      <c r="T28" s="14"/>
      <c r="U28" s="14"/>
    </row>
    <row r="29" spans="1:21" x14ac:dyDescent="0.2">
      <c r="A29" s="3" t="s">
        <v>3173</v>
      </c>
      <c r="B29" s="136">
        <v>-34491.480000000069</v>
      </c>
      <c r="C29" s="133"/>
      <c r="D29" s="136">
        <v>-20734.16</v>
      </c>
      <c r="E29" s="133"/>
      <c r="F29" s="136">
        <v>16644.41</v>
      </c>
      <c r="G29" s="133"/>
      <c r="H29" s="136">
        <v>0</v>
      </c>
      <c r="I29" s="133"/>
      <c r="J29" s="136">
        <v>0</v>
      </c>
      <c r="K29" s="133"/>
      <c r="L29" s="136">
        <v>0</v>
      </c>
      <c r="M29" s="133"/>
      <c r="N29" s="136">
        <v>0</v>
      </c>
      <c r="O29" s="133"/>
      <c r="P29" s="136">
        <v>0</v>
      </c>
      <c r="Q29" s="133"/>
      <c r="R29" s="136">
        <f>SUM(B29:P29)</f>
        <v>-38581.230000000069</v>
      </c>
      <c r="S29" s="14"/>
      <c r="T29" s="14"/>
      <c r="U29" s="14"/>
    </row>
    <row r="30" spans="1:21" x14ac:dyDescent="0.2">
      <c r="A30" s="120" t="s">
        <v>3174</v>
      </c>
      <c r="B30" s="151">
        <v>-15537.229999999998</v>
      </c>
      <c r="C30" s="133"/>
      <c r="D30" s="136">
        <v>-20796.02</v>
      </c>
      <c r="E30" s="133"/>
      <c r="F30" s="136">
        <v>25506.84</v>
      </c>
      <c r="G30" s="133"/>
      <c r="H30" s="136">
        <v>0</v>
      </c>
      <c r="I30" s="133"/>
      <c r="J30" s="133">
        <v>0</v>
      </c>
      <c r="K30" s="133"/>
      <c r="L30" s="136">
        <v>0</v>
      </c>
      <c r="M30" s="133"/>
      <c r="N30" s="136">
        <v>0</v>
      </c>
      <c r="O30" s="133"/>
      <c r="P30" s="136">
        <v>0</v>
      </c>
      <c r="Q30" s="133"/>
      <c r="R30" s="151">
        <f>SUM(B30:P30)</f>
        <v>-10826.41</v>
      </c>
      <c r="S30" s="14"/>
      <c r="T30" s="14"/>
      <c r="U30" s="14"/>
    </row>
    <row r="31" spans="1:21" x14ac:dyDescent="0.2">
      <c r="B31" s="133">
        <f>SUM(B10:B30)</f>
        <v>-498416859.04000014</v>
      </c>
      <c r="C31" s="133"/>
      <c r="D31" s="150">
        <f>SUM(D10:D30)</f>
        <v>-35822498.339999996</v>
      </c>
      <c r="E31" s="133"/>
      <c r="F31" s="150">
        <f>SUM(F10:F30)</f>
        <v>14941152</v>
      </c>
      <c r="G31" s="133"/>
      <c r="H31" s="150">
        <f>SUM(H10:H30)</f>
        <v>319719.20999999996</v>
      </c>
      <c r="I31" s="133"/>
      <c r="J31" s="150">
        <f>SUM(J10:J30)</f>
        <v>0</v>
      </c>
      <c r="K31" s="133"/>
      <c r="L31" s="150">
        <f>SUM(L10:L30)</f>
        <v>10240416.869999999</v>
      </c>
      <c r="M31" s="133"/>
      <c r="N31" s="150">
        <f>SUM(N10:N30)</f>
        <v>-658299.74</v>
      </c>
      <c r="O31" s="133"/>
      <c r="P31" s="150">
        <f>SUM(P10:P30)</f>
        <v>-2315691.0300000003</v>
      </c>
      <c r="Q31" s="133"/>
      <c r="R31" s="133">
        <f>SUM(R10:R30)</f>
        <v>-511712060.07000017</v>
      </c>
      <c r="S31" s="14"/>
      <c r="T31" s="14"/>
      <c r="U31" s="14"/>
    </row>
    <row r="32" spans="1:21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4"/>
      <c r="T32" s="14"/>
      <c r="U32" s="14"/>
    </row>
    <row r="33" spans="1:21" x14ac:dyDescent="0.2">
      <c r="A33" s="9" t="s">
        <v>19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4"/>
      <c r="T33" s="14"/>
      <c r="U33" s="14"/>
    </row>
    <row r="34" spans="1:21" x14ac:dyDescent="0.2">
      <c r="A34" s="3" t="s">
        <v>3175</v>
      </c>
      <c r="B34" s="133">
        <v>-504353.23000000004</v>
      </c>
      <c r="C34" s="133"/>
      <c r="D34" s="136">
        <v>-77148.789999999994</v>
      </c>
      <c r="E34" s="133"/>
      <c r="F34" s="136">
        <v>0</v>
      </c>
      <c r="G34" s="133"/>
      <c r="H34" s="136">
        <v>0</v>
      </c>
      <c r="I34" s="133"/>
      <c r="J34" s="133">
        <v>0</v>
      </c>
      <c r="K34" s="133"/>
      <c r="L34" s="136">
        <v>0</v>
      </c>
      <c r="M34" s="133"/>
      <c r="N34" s="136">
        <v>0</v>
      </c>
      <c r="O34" s="133"/>
      <c r="P34" s="136">
        <v>0</v>
      </c>
      <c r="Q34" s="133"/>
      <c r="R34" s="133">
        <f>SUM(B34:P34)</f>
        <v>-581502.02</v>
      </c>
      <c r="S34" s="14"/>
      <c r="T34" s="14"/>
      <c r="U34" s="14"/>
    </row>
    <row r="35" spans="1:21" x14ac:dyDescent="0.2">
      <c r="A35" s="3" t="s">
        <v>3176</v>
      </c>
      <c r="B35" s="133">
        <v>-2116500.7400000021</v>
      </c>
      <c r="C35" s="133"/>
      <c r="D35" s="136">
        <v>-247345.07</v>
      </c>
      <c r="E35" s="133"/>
      <c r="F35" s="136">
        <v>43755.68</v>
      </c>
      <c r="G35" s="133"/>
      <c r="H35" s="136">
        <v>-9718.2900000000009</v>
      </c>
      <c r="I35" s="133"/>
      <c r="J35" s="133">
        <v>0</v>
      </c>
      <c r="K35" s="133"/>
      <c r="L35" s="136">
        <v>0</v>
      </c>
      <c r="M35" s="133"/>
      <c r="N35" s="136">
        <v>0</v>
      </c>
      <c r="O35" s="133"/>
      <c r="P35" s="136">
        <v>0</v>
      </c>
      <c r="Q35" s="133"/>
      <c r="R35" s="133">
        <f t="shared" ref="R35:R41" si="1">SUM(B35:P35)</f>
        <v>-2329808.4200000018</v>
      </c>
      <c r="S35" s="14"/>
      <c r="T35" s="14"/>
      <c r="U35" s="14"/>
    </row>
    <row r="36" spans="1:21" x14ac:dyDescent="0.2">
      <c r="A36" s="3" t="s">
        <v>3177</v>
      </c>
      <c r="B36" s="133">
        <v>-148325.09000000003</v>
      </c>
      <c r="C36" s="133"/>
      <c r="D36" s="136">
        <v>-31839.51</v>
      </c>
      <c r="E36" s="133"/>
      <c r="F36" s="136">
        <v>120866.21</v>
      </c>
      <c r="G36" s="133"/>
      <c r="H36" s="136">
        <v>-6845.56</v>
      </c>
      <c r="I36" s="133"/>
      <c r="J36" s="133">
        <v>0</v>
      </c>
      <c r="K36" s="133"/>
      <c r="L36" s="136">
        <v>0</v>
      </c>
      <c r="M36" s="133"/>
      <c r="N36" s="136">
        <v>0</v>
      </c>
      <c r="O36" s="133"/>
      <c r="P36" s="136">
        <v>0</v>
      </c>
      <c r="Q36" s="133"/>
      <c r="R36" s="133">
        <f t="shared" si="1"/>
        <v>-66143.950000000026</v>
      </c>
      <c r="S36" s="14"/>
      <c r="T36" s="14"/>
      <c r="U36" s="14"/>
    </row>
    <row r="37" spans="1:21" x14ac:dyDescent="0.2">
      <c r="A37" s="3" t="s">
        <v>3178</v>
      </c>
      <c r="B37" s="133">
        <v>-2517300.4099999997</v>
      </c>
      <c r="C37" s="133"/>
      <c r="D37" s="136">
        <v>-274999.89</v>
      </c>
      <c r="E37" s="133"/>
      <c r="F37" s="136">
        <v>143955.4</v>
      </c>
      <c r="G37" s="133"/>
      <c r="H37" s="136">
        <v>0</v>
      </c>
      <c r="I37" s="133"/>
      <c r="J37" s="133">
        <v>0</v>
      </c>
      <c r="K37" s="133"/>
      <c r="L37" s="136">
        <v>0</v>
      </c>
      <c r="M37" s="133"/>
      <c r="N37" s="136">
        <v>0</v>
      </c>
      <c r="O37" s="133"/>
      <c r="P37" s="136">
        <v>0</v>
      </c>
      <c r="Q37" s="133"/>
      <c r="R37" s="133">
        <f t="shared" si="1"/>
        <v>-2648344.9</v>
      </c>
      <c r="S37" s="14"/>
      <c r="T37" s="14"/>
      <c r="U37" s="14"/>
    </row>
    <row r="38" spans="1:21" x14ac:dyDescent="0.2">
      <c r="A38" s="3" t="s">
        <v>3179</v>
      </c>
      <c r="B38" s="133">
        <v>1.3096723705530167E-10</v>
      </c>
      <c r="C38" s="133"/>
      <c r="D38" s="136">
        <v>0</v>
      </c>
      <c r="E38" s="133"/>
      <c r="F38" s="136">
        <v>0</v>
      </c>
      <c r="G38" s="133"/>
      <c r="H38" s="136">
        <v>0</v>
      </c>
      <c r="I38" s="133"/>
      <c r="J38" s="133">
        <v>0</v>
      </c>
      <c r="K38" s="133"/>
      <c r="L38" s="136">
        <v>0</v>
      </c>
      <c r="M38" s="133"/>
      <c r="N38" s="136">
        <v>0</v>
      </c>
      <c r="O38" s="133"/>
      <c r="P38" s="136">
        <v>0</v>
      </c>
      <c r="Q38" s="133"/>
      <c r="R38" s="133">
        <f t="shared" si="1"/>
        <v>1.3096723705530167E-10</v>
      </c>
      <c r="S38" s="14"/>
      <c r="T38" s="14"/>
      <c r="U38" s="14"/>
    </row>
    <row r="39" spans="1:21" x14ac:dyDescent="0.2">
      <c r="A39" s="131" t="s">
        <v>3180</v>
      </c>
      <c r="B39" s="133">
        <v>-1817489.5100000005</v>
      </c>
      <c r="C39" s="133"/>
      <c r="D39" s="136">
        <v>-90985.17</v>
      </c>
      <c r="E39" s="133"/>
      <c r="F39" s="136">
        <v>421228.56</v>
      </c>
      <c r="G39" s="133"/>
      <c r="H39" s="136">
        <v>0</v>
      </c>
      <c r="I39" s="133"/>
      <c r="J39" s="133">
        <v>0</v>
      </c>
      <c r="K39" s="133"/>
      <c r="L39" s="136">
        <v>0</v>
      </c>
      <c r="M39" s="133"/>
      <c r="N39" s="136">
        <v>0</v>
      </c>
      <c r="O39" s="133"/>
      <c r="P39" s="136">
        <v>0</v>
      </c>
      <c r="Q39" s="133"/>
      <c r="R39" s="133">
        <f t="shared" si="1"/>
        <v>-1487246.1200000003</v>
      </c>
      <c r="S39" s="14"/>
      <c r="T39" s="14"/>
      <c r="U39" s="14"/>
    </row>
    <row r="40" spans="1:21" x14ac:dyDescent="0.2">
      <c r="A40" s="3" t="s">
        <v>3181</v>
      </c>
      <c r="B40" s="133">
        <v>-94447.87</v>
      </c>
      <c r="C40" s="133"/>
      <c r="D40" s="136">
        <v>-10960.5</v>
      </c>
      <c r="E40" s="133"/>
      <c r="F40" s="136">
        <v>0</v>
      </c>
      <c r="G40" s="133"/>
      <c r="H40" s="136">
        <v>0</v>
      </c>
      <c r="I40" s="133"/>
      <c r="J40" s="133">
        <v>0</v>
      </c>
      <c r="K40" s="133"/>
      <c r="L40" s="136">
        <v>0</v>
      </c>
      <c r="M40" s="133"/>
      <c r="N40" s="136">
        <v>0</v>
      </c>
      <c r="O40" s="133"/>
      <c r="P40" s="136">
        <v>0</v>
      </c>
      <c r="Q40" s="133"/>
      <c r="R40" s="133">
        <f t="shared" si="1"/>
        <v>-105408.37</v>
      </c>
      <c r="S40" s="14"/>
      <c r="T40" s="14"/>
      <c r="U40" s="14"/>
    </row>
    <row r="41" spans="1:21" x14ac:dyDescent="0.2">
      <c r="A41" s="131" t="s">
        <v>3182</v>
      </c>
      <c r="B41" s="133">
        <v>-1687214.64</v>
      </c>
      <c r="C41" s="133"/>
      <c r="D41" s="136">
        <v>-828504.3</v>
      </c>
      <c r="E41" s="133"/>
      <c r="F41" s="136">
        <v>0</v>
      </c>
      <c r="G41" s="133"/>
      <c r="H41" s="136">
        <v>0</v>
      </c>
      <c r="I41" s="133"/>
      <c r="J41" s="133">
        <v>0</v>
      </c>
      <c r="K41" s="133"/>
      <c r="L41" s="136">
        <v>0</v>
      </c>
      <c r="M41" s="133"/>
      <c r="N41" s="136">
        <v>0</v>
      </c>
      <c r="O41" s="133"/>
      <c r="P41" s="136">
        <v>0</v>
      </c>
      <c r="Q41" s="133"/>
      <c r="R41" s="133">
        <f t="shared" si="1"/>
        <v>-2515718.94</v>
      </c>
      <c r="S41" s="14"/>
      <c r="T41" s="14"/>
      <c r="U41" s="14"/>
    </row>
    <row r="42" spans="1:21" x14ac:dyDescent="0.2">
      <c r="B42" s="150">
        <f>SUM(B34:B41)</f>
        <v>-8885631.4900000021</v>
      </c>
      <c r="C42" s="133"/>
      <c r="D42" s="150">
        <f>SUM(D34:D41)</f>
        <v>-1561783.23</v>
      </c>
      <c r="E42" s="133"/>
      <c r="F42" s="150">
        <f>SUM(F34:F41)</f>
        <v>729805.85000000009</v>
      </c>
      <c r="G42" s="133"/>
      <c r="H42" s="150">
        <f>SUM(H34:H41)</f>
        <v>-16563.850000000002</v>
      </c>
      <c r="I42" s="133"/>
      <c r="J42" s="150">
        <f>SUM(J34:J41)</f>
        <v>0</v>
      </c>
      <c r="K42" s="133"/>
      <c r="L42" s="150">
        <f>SUM(L34:L41)</f>
        <v>0</v>
      </c>
      <c r="M42" s="133"/>
      <c r="N42" s="150">
        <f>SUM(N34:N41)</f>
        <v>0</v>
      </c>
      <c r="O42" s="133"/>
      <c r="P42" s="150">
        <f>SUM(P34:P41)</f>
        <v>0</v>
      </c>
      <c r="Q42" s="133"/>
      <c r="R42" s="150">
        <f>SUM(R34:R41)</f>
        <v>-9734172.7200000025</v>
      </c>
      <c r="S42" s="14"/>
      <c r="T42" s="14"/>
      <c r="U42" s="14"/>
    </row>
    <row r="43" spans="1:21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4"/>
      <c r="T43" s="14"/>
      <c r="U43" s="14"/>
    </row>
    <row r="44" spans="1:21" x14ac:dyDescent="0.2">
      <c r="A44" s="9" t="s">
        <v>20</v>
      </c>
      <c r="B44" s="136"/>
      <c r="C44" s="133"/>
      <c r="D44" s="136"/>
      <c r="E44" s="133"/>
      <c r="F44" s="136"/>
      <c r="G44" s="133"/>
      <c r="H44" s="136"/>
      <c r="I44" s="133"/>
      <c r="J44" s="136"/>
      <c r="K44" s="133"/>
      <c r="L44" s="136"/>
      <c r="M44" s="133"/>
      <c r="N44" s="136"/>
      <c r="O44" s="133"/>
      <c r="P44" s="136"/>
      <c r="Q44" s="133"/>
      <c r="R44" s="136"/>
      <c r="S44" s="14"/>
      <c r="T44" s="14"/>
      <c r="U44" s="14"/>
    </row>
    <row r="45" spans="1:21" x14ac:dyDescent="0.2">
      <c r="A45" s="3" t="s">
        <v>3183</v>
      </c>
      <c r="B45" s="136">
        <v>0</v>
      </c>
      <c r="C45" s="133"/>
      <c r="D45" s="136">
        <v>0</v>
      </c>
      <c r="E45" s="133"/>
      <c r="F45" s="136">
        <v>0</v>
      </c>
      <c r="G45" s="133"/>
      <c r="H45" s="136">
        <v>0</v>
      </c>
      <c r="I45" s="133"/>
      <c r="J45" s="136">
        <v>0</v>
      </c>
      <c r="K45" s="133"/>
      <c r="L45" s="136">
        <v>0</v>
      </c>
      <c r="M45" s="133"/>
      <c r="N45" s="136">
        <v>0</v>
      </c>
      <c r="O45" s="133"/>
      <c r="P45" s="136">
        <v>0</v>
      </c>
      <c r="Q45" s="133"/>
      <c r="R45" s="136">
        <f t="shared" ref="R45:R56" si="2">SUM(B45:P45)</f>
        <v>0</v>
      </c>
      <c r="S45" s="14"/>
      <c r="T45" s="14"/>
      <c r="U45" s="14"/>
    </row>
    <row r="46" spans="1:21" x14ac:dyDescent="0.2">
      <c r="A46" s="3" t="s">
        <v>3184</v>
      </c>
      <c r="B46" s="136">
        <v>0</v>
      </c>
      <c r="C46" s="133"/>
      <c r="D46" s="136">
        <v>0</v>
      </c>
      <c r="E46" s="133"/>
      <c r="F46" s="136">
        <v>0</v>
      </c>
      <c r="G46" s="133"/>
      <c r="H46" s="136">
        <v>0</v>
      </c>
      <c r="I46" s="133"/>
      <c r="J46" s="136">
        <v>0</v>
      </c>
      <c r="K46" s="133"/>
      <c r="L46" s="136">
        <v>0</v>
      </c>
      <c r="M46" s="133"/>
      <c r="N46" s="136">
        <v>0</v>
      </c>
      <c r="O46" s="133"/>
      <c r="P46" s="136">
        <v>0</v>
      </c>
      <c r="Q46" s="133"/>
      <c r="R46" s="136">
        <f t="shared" si="2"/>
        <v>0</v>
      </c>
      <c r="S46" s="14"/>
      <c r="T46" s="14"/>
      <c r="U46" s="14"/>
    </row>
    <row r="47" spans="1:21" x14ac:dyDescent="0.2">
      <c r="A47" s="3" t="s">
        <v>3185</v>
      </c>
      <c r="B47" s="136">
        <v>-43058.549999999996</v>
      </c>
      <c r="C47" s="133"/>
      <c r="D47" s="136">
        <v>-950.7</v>
      </c>
      <c r="E47" s="133"/>
      <c r="F47" s="136">
        <v>0</v>
      </c>
      <c r="G47" s="133"/>
      <c r="H47" s="136">
        <v>0</v>
      </c>
      <c r="I47" s="133"/>
      <c r="J47" s="136">
        <v>0</v>
      </c>
      <c r="K47" s="133"/>
      <c r="L47" s="136">
        <v>0</v>
      </c>
      <c r="M47" s="133"/>
      <c r="N47" s="136">
        <v>0</v>
      </c>
      <c r="O47" s="133"/>
      <c r="P47" s="136">
        <v>0</v>
      </c>
      <c r="Q47" s="133"/>
      <c r="R47" s="136">
        <f t="shared" si="2"/>
        <v>-44009.249999999993</v>
      </c>
      <c r="S47" s="14"/>
      <c r="T47" s="14"/>
      <c r="U47" s="14"/>
    </row>
    <row r="48" spans="1:21" x14ac:dyDescent="0.2">
      <c r="A48" s="3" t="s">
        <v>3186</v>
      </c>
      <c r="B48" s="136">
        <v>-4305566.9000000004</v>
      </c>
      <c r="C48" s="133"/>
      <c r="D48" s="136">
        <v>-114885.75</v>
      </c>
      <c r="E48" s="133"/>
      <c r="F48" s="136">
        <v>28266.74</v>
      </c>
      <c r="G48" s="133"/>
      <c r="H48" s="136">
        <v>0</v>
      </c>
      <c r="I48" s="133"/>
      <c r="J48" s="136">
        <v>0</v>
      </c>
      <c r="K48" s="133"/>
      <c r="L48" s="136">
        <v>0</v>
      </c>
      <c r="M48" s="133"/>
      <c r="N48" s="136">
        <v>0</v>
      </c>
      <c r="O48" s="133"/>
      <c r="P48" s="136">
        <v>0</v>
      </c>
      <c r="Q48" s="133"/>
      <c r="R48" s="136">
        <f t="shared" si="2"/>
        <v>-4392185.91</v>
      </c>
      <c r="S48" s="14"/>
      <c r="T48" s="14"/>
      <c r="U48" s="14"/>
    </row>
    <row r="49" spans="1:21" x14ac:dyDescent="0.2">
      <c r="A49" s="3" t="s">
        <v>3187</v>
      </c>
      <c r="B49" s="136">
        <v>-3383556.66</v>
      </c>
      <c r="C49" s="133"/>
      <c r="D49" s="136">
        <v>-384390.66</v>
      </c>
      <c r="E49" s="133"/>
      <c r="F49" s="136">
        <v>7416.11</v>
      </c>
      <c r="G49" s="133"/>
      <c r="H49" s="136">
        <v>0</v>
      </c>
      <c r="I49" s="133"/>
      <c r="J49" s="136">
        <v>0</v>
      </c>
      <c r="K49" s="133"/>
      <c r="L49" s="136">
        <v>0</v>
      </c>
      <c r="M49" s="133"/>
      <c r="N49" s="136">
        <v>0</v>
      </c>
      <c r="O49" s="133"/>
      <c r="P49" s="136">
        <v>0</v>
      </c>
      <c r="Q49" s="133"/>
      <c r="R49" s="136">
        <f t="shared" si="2"/>
        <v>-3760531.2100000004</v>
      </c>
      <c r="S49" s="14"/>
      <c r="T49" s="14"/>
      <c r="U49" s="14"/>
    </row>
    <row r="50" spans="1:21" x14ac:dyDescent="0.2">
      <c r="A50" s="3" t="s">
        <v>3188</v>
      </c>
      <c r="B50" s="136">
        <v>-5838166.2399999984</v>
      </c>
      <c r="C50" s="133"/>
      <c r="D50" s="136">
        <v>-2542442.48</v>
      </c>
      <c r="E50" s="133"/>
      <c r="F50" s="136">
        <v>153828.44</v>
      </c>
      <c r="G50" s="133"/>
      <c r="H50" s="136">
        <v>0</v>
      </c>
      <c r="I50" s="133"/>
      <c r="J50" s="136">
        <v>0</v>
      </c>
      <c r="K50" s="133"/>
      <c r="L50" s="136">
        <v>0</v>
      </c>
      <c r="M50" s="133"/>
      <c r="N50" s="136">
        <v>0</v>
      </c>
      <c r="O50" s="133"/>
      <c r="P50" s="136">
        <v>0</v>
      </c>
      <c r="Q50" s="133"/>
      <c r="R50" s="136">
        <f t="shared" si="2"/>
        <v>-8226780.2799999984</v>
      </c>
      <c r="S50" s="14"/>
      <c r="T50" s="14"/>
      <c r="U50" s="14"/>
    </row>
    <row r="51" spans="1:21" x14ac:dyDescent="0.2">
      <c r="A51" s="3" t="s">
        <v>3189</v>
      </c>
      <c r="B51" s="136">
        <v>-2758631.75</v>
      </c>
      <c r="C51" s="133"/>
      <c r="D51" s="136">
        <v>-252478.39</v>
      </c>
      <c r="E51" s="133"/>
      <c r="F51" s="136">
        <v>21090.5</v>
      </c>
      <c r="G51" s="133"/>
      <c r="H51" s="136">
        <v>0</v>
      </c>
      <c r="I51" s="133"/>
      <c r="J51" s="136">
        <v>0</v>
      </c>
      <c r="K51" s="133"/>
      <c r="L51" s="136">
        <v>0</v>
      </c>
      <c r="M51" s="133"/>
      <c r="N51" s="136">
        <v>0</v>
      </c>
      <c r="O51" s="133"/>
      <c r="P51" s="136">
        <v>0</v>
      </c>
      <c r="Q51" s="133"/>
      <c r="R51" s="136">
        <f t="shared" si="2"/>
        <v>-2990019.64</v>
      </c>
      <c r="S51" s="14"/>
      <c r="T51" s="14"/>
      <c r="U51" s="14"/>
    </row>
    <row r="52" spans="1:21" x14ac:dyDescent="0.2">
      <c r="A52" s="3" t="s">
        <v>3190</v>
      </c>
      <c r="B52" s="136">
        <v>-6988.52</v>
      </c>
      <c r="C52" s="133"/>
      <c r="D52" s="136">
        <v>-710.34</v>
      </c>
      <c r="E52" s="133"/>
      <c r="F52" s="136">
        <v>0</v>
      </c>
      <c r="G52" s="133"/>
      <c r="H52" s="136">
        <v>0</v>
      </c>
      <c r="I52" s="133"/>
      <c r="J52" s="136">
        <v>0</v>
      </c>
      <c r="K52" s="133"/>
      <c r="L52" s="136">
        <v>0</v>
      </c>
      <c r="M52" s="133"/>
      <c r="N52" s="136">
        <v>0</v>
      </c>
      <c r="O52" s="133"/>
      <c r="P52" s="136">
        <v>0</v>
      </c>
      <c r="Q52" s="133"/>
      <c r="R52" s="136">
        <f t="shared" si="2"/>
        <v>-7698.8600000000006</v>
      </c>
      <c r="S52" s="14"/>
      <c r="T52" s="14"/>
      <c r="U52" s="14"/>
    </row>
    <row r="53" spans="1:21" x14ac:dyDescent="0.2">
      <c r="A53" s="3" t="s">
        <v>3191</v>
      </c>
      <c r="B53" s="136">
        <v>-186790.03999999998</v>
      </c>
      <c r="C53" s="133"/>
      <c r="D53" s="136">
        <v>-79129.289999999994</v>
      </c>
      <c r="E53" s="133"/>
      <c r="F53" s="136">
        <v>3309.58</v>
      </c>
      <c r="G53" s="133"/>
      <c r="H53" s="136">
        <v>0</v>
      </c>
      <c r="I53" s="133"/>
      <c r="J53" s="136">
        <v>0</v>
      </c>
      <c r="K53" s="133"/>
      <c r="L53" s="136">
        <v>0</v>
      </c>
      <c r="M53" s="133"/>
      <c r="N53" s="136">
        <v>0</v>
      </c>
      <c r="O53" s="133"/>
      <c r="P53" s="136">
        <v>0</v>
      </c>
      <c r="Q53" s="133"/>
      <c r="R53" s="136">
        <f t="shared" si="2"/>
        <v>-262609.74999999994</v>
      </c>
      <c r="S53" s="14"/>
      <c r="T53" s="14"/>
      <c r="U53" s="14"/>
    </row>
    <row r="54" spans="1:21" x14ac:dyDescent="0.2">
      <c r="A54" s="3" t="s">
        <v>3192</v>
      </c>
      <c r="B54" s="136">
        <v>-872.13</v>
      </c>
      <c r="C54" s="133"/>
      <c r="D54" s="136">
        <v>0</v>
      </c>
      <c r="E54" s="133"/>
      <c r="F54" s="136">
        <v>0</v>
      </c>
      <c r="G54" s="133"/>
      <c r="H54" s="136">
        <v>0</v>
      </c>
      <c r="I54" s="133"/>
      <c r="J54" s="136">
        <v>0</v>
      </c>
      <c r="K54" s="133"/>
      <c r="L54" s="136">
        <v>0</v>
      </c>
      <c r="M54" s="133"/>
      <c r="N54" s="136">
        <v>0</v>
      </c>
      <c r="O54" s="133"/>
      <c r="P54" s="136">
        <v>0</v>
      </c>
      <c r="Q54" s="133"/>
      <c r="R54" s="136">
        <f t="shared" si="2"/>
        <v>-872.13</v>
      </c>
      <c r="S54" s="14"/>
      <c r="T54" s="14"/>
      <c r="U54" s="14"/>
    </row>
    <row r="55" spans="1:21" x14ac:dyDescent="0.2">
      <c r="A55" s="3" t="s">
        <v>3193</v>
      </c>
      <c r="B55" s="136">
        <v>-19537.119999999995</v>
      </c>
      <c r="C55" s="133"/>
      <c r="D55" s="136">
        <v>-659.4</v>
      </c>
      <c r="E55" s="133"/>
      <c r="F55" s="136">
        <v>0</v>
      </c>
      <c r="G55" s="133"/>
      <c r="H55" s="136">
        <v>0</v>
      </c>
      <c r="I55" s="133"/>
      <c r="J55" s="136">
        <v>0</v>
      </c>
      <c r="K55" s="133"/>
      <c r="L55" s="136">
        <v>0</v>
      </c>
      <c r="M55" s="133"/>
      <c r="N55" s="136">
        <v>0</v>
      </c>
      <c r="O55" s="133"/>
      <c r="P55" s="136">
        <v>0</v>
      </c>
      <c r="Q55" s="133"/>
      <c r="R55" s="136">
        <f t="shared" si="2"/>
        <v>-20196.519999999997</v>
      </c>
      <c r="S55" s="14"/>
      <c r="T55" s="14"/>
      <c r="U55" s="14"/>
    </row>
    <row r="56" spans="1:21" x14ac:dyDescent="0.2">
      <c r="A56" s="3" t="s">
        <v>3194</v>
      </c>
      <c r="B56" s="151">
        <v>-10638.64000000001</v>
      </c>
      <c r="C56" s="133"/>
      <c r="D56" s="151">
        <v>-11692.49</v>
      </c>
      <c r="E56" s="133"/>
      <c r="F56" s="151">
        <v>0</v>
      </c>
      <c r="G56" s="133"/>
      <c r="H56" s="151">
        <v>0</v>
      </c>
      <c r="I56" s="133"/>
      <c r="J56" s="151">
        <v>0</v>
      </c>
      <c r="K56" s="133"/>
      <c r="L56" s="136">
        <v>0</v>
      </c>
      <c r="M56" s="133"/>
      <c r="N56" s="151">
        <v>0</v>
      </c>
      <c r="O56" s="133"/>
      <c r="P56" s="136">
        <v>0</v>
      </c>
      <c r="Q56" s="133"/>
      <c r="R56" s="151">
        <f t="shared" si="2"/>
        <v>-22331.130000000012</v>
      </c>
      <c r="S56" s="16"/>
      <c r="T56" s="14"/>
      <c r="U56" s="14"/>
    </row>
    <row r="57" spans="1:21" x14ac:dyDescent="0.2">
      <c r="B57" s="133">
        <f>SUM(B45:B56)</f>
        <v>-16553806.549999997</v>
      </c>
      <c r="C57" s="133"/>
      <c r="D57" s="133">
        <f t="shared" ref="D57:R57" si="3">SUM(D45:D56)</f>
        <v>-3387339.5</v>
      </c>
      <c r="E57" s="133"/>
      <c r="F57" s="133">
        <f t="shared" si="3"/>
        <v>213911.37</v>
      </c>
      <c r="G57" s="133"/>
      <c r="H57" s="133">
        <f t="shared" si="3"/>
        <v>0</v>
      </c>
      <c r="I57" s="133"/>
      <c r="J57" s="133">
        <f t="shared" si="3"/>
        <v>0</v>
      </c>
      <c r="K57" s="133"/>
      <c r="L57" s="150">
        <f t="shared" si="3"/>
        <v>0</v>
      </c>
      <c r="M57" s="133"/>
      <c r="N57" s="133">
        <f t="shared" si="3"/>
        <v>0</v>
      </c>
      <c r="O57" s="133"/>
      <c r="P57" s="150">
        <f t="shared" si="3"/>
        <v>0</v>
      </c>
      <c r="Q57" s="133"/>
      <c r="R57" s="133">
        <f t="shared" si="3"/>
        <v>-19727234.679999996</v>
      </c>
      <c r="S57" s="16"/>
      <c r="T57" s="14"/>
      <c r="U57" s="14"/>
    </row>
    <row r="58" spans="1:21" x14ac:dyDescent="0.2">
      <c r="B58" s="136"/>
      <c r="C58" s="133"/>
      <c r="D58" s="136"/>
      <c r="E58" s="133"/>
      <c r="F58" s="136"/>
      <c r="G58" s="133"/>
      <c r="H58" s="136"/>
      <c r="I58" s="133"/>
      <c r="J58" s="136"/>
      <c r="K58" s="133"/>
      <c r="L58" s="136"/>
      <c r="M58" s="133"/>
      <c r="N58" s="136"/>
      <c r="O58" s="133"/>
      <c r="P58" s="136"/>
      <c r="Q58" s="133"/>
      <c r="R58" s="136"/>
      <c r="S58" s="14"/>
      <c r="T58" s="14"/>
      <c r="U58" s="14"/>
    </row>
    <row r="59" spans="1:21" x14ac:dyDescent="0.2">
      <c r="A59" s="9" t="s">
        <v>22</v>
      </c>
      <c r="B59" s="136"/>
      <c r="C59" s="133"/>
      <c r="D59" s="136"/>
      <c r="E59" s="133"/>
      <c r="F59" s="136"/>
      <c r="G59" s="133"/>
      <c r="H59" s="136"/>
      <c r="I59" s="133"/>
      <c r="J59" s="136"/>
      <c r="K59" s="133"/>
      <c r="L59" s="136"/>
      <c r="M59" s="133"/>
      <c r="N59" s="136"/>
      <c r="O59" s="133"/>
      <c r="P59" s="136"/>
      <c r="Q59" s="133"/>
      <c r="R59" s="136"/>
      <c r="S59" s="14"/>
      <c r="T59" s="14"/>
      <c r="U59" s="14"/>
    </row>
    <row r="60" spans="1:21" x14ac:dyDescent="0.2">
      <c r="A60" s="3" t="s">
        <v>3195</v>
      </c>
      <c r="B60" s="136">
        <v>0</v>
      </c>
      <c r="C60" s="133"/>
      <c r="D60" s="136">
        <v>0</v>
      </c>
      <c r="E60" s="133"/>
      <c r="F60" s="136">
        <v>0</v>
      </c>
      <c r="G60" s="133"/>
      <c r="H60" s="136">
        <v>0</v>
      </c>
      <c r="I60" s="133"/>
      <c r="J60" s="136">
        <v>0</v>
      </c>
      <c r="K60" s="133"/>
      <c r="L60" s="136">
        <v>0</v>
      </c>
      <c r="M60" s="133"/>
      <c r="N60" s="136">
        <v>0</v>
      </c>
      <c r="O60" s="133"/>
      <c r="P60" s="136">
        <v>0</v>
      </c>
      <c r="Q60" s="133"/>
      <c r="R60" s="136">
        <f t="shared" ref="R60:R138" si="4">SUM(B60:P60)</f>
        <v>0</v>
      </c>
      <c r="S60" s="14"/>
      <c r="T60" s="14"/>
      <c r="U60" s="14"/>
    </row>
    <row r="61" spans="1:21" x14ac:dyDescent="0.2">
      <c r="A61" s="3" t="s">
        <v>3196</v>
      </c>
      <c r="B61" s="136">
        <v>0</v>
      </c>
      <c r="C61" s="133"/>
      <c r="D61" s="136">
        <v>0</v>
      </c>
      <c r="E61" s="133"/>
      <c r="F61" s="136">
        <v>0</v>
      </c>
      <c r="G61" s="133"/>
      <c r="H61" s="136">
        <v>0</v>
      </c>
      <c r="I61" s="133"/>
      <c r="J61" s="136">
        <v>0</v>
      </c>
      <c r="K61" s="133"/>
      <c r="L61" s="136">
        <v>0</v>
      </c>
      <c r="M61" s="133"/>
      <c r="N61" s="136">
        <v>0</v>
      </c>
      <c r="O61" s="133"/>
      <c r="P61" s="136">
        <v>0</v>
      </c>
      <c r="Q61" s="133"/>
      <c r="R61" s="136">
        <f t="shared" si="4"/>
        <v>0</v>
      </c>
      <c r="S61" s="14"/>
      <c r="T61" s="14"/>
      <c r="U61" s="14"/>
    </row>
    <row r="62" spans="1:21" x14ac:dyDescent="0.2">
      <c r="A62" s="13" t="s">
        <v>3197</v>
      </c>
      <c r="B62" s="136">
        <v>0</v>
      </c>
      <c r="C62" s="133"/>
      <c r="D62" s="136">
        <v>0</v>
      </c>
      <c r="E62" s="133"/>
      <c r="F62" s="136">
        <v>0</v>
      </c>
      <c r="G62" s="133"/>
      <c r="H62" s="136">
        <v>0</v>
      </c>
      <c r="I62" s="133"/>
      <c r="J62" s="136">
        <v>0</v>
      </c>
      <c r="K62" s="133"/>
      <c r="L62" s="136">
        <v>0</v>
      </c>
      <c r="M62" s="133"/>
      <c r="N62" s="136">
        <v>0</v>
      </c>
      <c r="O62" s="133"/>
      <c r="P62" s="136">
        <v>0</v>
      </c>
      <c r="Q62" s="133"/>
      <c r="R62" s="136">
        <f t="shared" si="4"/>
        <v>0</v>
      </c>
      <c r="S62" s="14"/>
      <c r="T62" s="14"/>
      <c r="U62" s="14"/>
    </row>
    <row r="63" spans="1:21" ht="12.75" customHeight="1" outlineLevel="1" x14ac:dyDescent="0.2">
      <c r="A63" s="3" t="s">
        <v>3198</v>
      </c>
      <c r="B63" s="136">
        <v>-145507.78</v>
      </c>
      <c r="C63" s="133"/>
      <c r="D63" s="136">
        <v>-55045.83</v>
      </c>
      <c r="E63" s="133"/>
      <c r="F63" s="136">
        <v>0</v>
      </c>
      <c r="G63" s="133"/>
      <c r="H63" s="136">
        <v>0</v>
      </c>
      <c r="I63" s="133"/>
      <c r="J63" s="136">
        <v>0</v>
      </c>
      <c r="K63" s="133"/>
      <c r="L63" s="136">
        <v>0</v>
      </c>
      <c r="M63" s="133"/>
      <c r="N63" s="136">
        <v>0</v>
      </c>
      <c r="O63" s="133"/>
      <c r="P63" s="136">
        <v>0</v>
      </c>
      <c r="Q63" s="133"/>
      <c r="R63" s="136">
        <f t="shared" si="4"/>
        <v>-200553.61</v>
      </c>
      <c r="S63" s="14"/>
      <c r="T63" s="14"/>
      <c r="U63" s="14"/>
    </row>
    <row r="64" spans="1:21" ht="12.75" customHeight="1" outlineLevel="1" x14ac:dyDescent="0.2">
      <c r="A64" s="3" t="s">
        <v>3199</v>
      </c>
      <c r="B64" s="136">
        <v>-4377090.0199999996</v>
      </c>
      <c r="C64" s="133"/>
      <c r="D64" s="136">
        <v>-403109.56</v>
      </c>
      <c r="E64" s="133"/>
      <c r="F64" s="136">
        <v>0</v>
      </c>
      <c r="G64" s="133"/>
      <c r="H64" s="136">
        <v>0</v>
      </c>
      <c r="I64" s="133"/>
      <c r="J64" s="136">
        <v>0</v>
      </c>
      <c r="K64" s="133"/>
      <c r="L64" s="136">
        <v>0</v>
      </c>
      <c r="M64" s="133"/>
      <c r="N64" s="136">
        <v>0</v>
      </c>
      <c r="O64" s="133"/>
      <c r="P64" s="136">
        <v>0</v>
      </c>
      <c r="Q64" s="133"/>
      <c r="R64" s="136">
        <f t="shared" si="4"/>
        <v>-4780199.5799999991</v>
      </c>
      <c r="S64" s="14"/>
      <c r="T64" s="14"/>
      <c r="U64" s="14"/>
    </row>
    <row r="65" spans="1:21" ht="12.75" customHeight="1" outlineLevel="1" x14ac:dyDescent="0.2">
      <c r="A65" s="3" t="s">
        <v>3200</v>
      </c>
      <c r="B65" s="136">
        <v>-359465.6</v>
      </c>
      <c r="C65" s="133"/>
      <c r="D65" s="136">
        <v>-44183.28</v>
      </c>
      <c r="E65" s="133"/>
      <c r="F65" s="136">
        <v>0</v>
      </c>
      <c r="G65" s="133"/>
      <c r="H65" s="136">
        <v>0</v>
      </c>
      <c r="I65" s="133"/>
      <c r="J65" s="136">
        <v>0</v>
      </c>
      <c r="K65" s="133"/>
      <c r="L65" s="136">
        <v>0</v>
      </c>
      <c r="M65" s="133"/>
      <c r="N65" s="136">
        <v>0</v>
      </c>
      <c r="O65" s="133"/>
      <c r="P65" s="136">
        <v>0</v>
      </c>
      <c r="Q65" s="133"/>
      <c r="R65" s="136">
        <f t="shared" si="4"/>
        <v>-403648.88</v>
      </c>
      <c r="S65" s="14"/>
      <c r="T65" s="14"/>
      <c r="U65" s="14"/>
    </row>
    <row r="66" spans="1:21" ht="12.75" customHeight="1" outlineLevel="1" x14ac:dyDescent="0.2">
      <c r="A66" s="3" t="s">
        <v>3201</v>
      </c>
      <c r="B66" s="136">
        <v>-55291.369999999995</v>
      </c>
      <c r="C66" s="133"/>
      <c r="D66" s="136">
        <v>-4572.96</v>
      </c>
      <c r="E66" s="133"/>
      <c r="F66" s="136">
        <v>0</v>
      </c>
      <c r="G66" s="133"/>
      <c r="H66" s="136">
        <v>0</v>
      </c>
      <c r="I66" s="133"/>
      <c r="J66" s="136">
        <v>0</v>
      </c>
      <c r="K66" s="133"/>
      <c r="L66" s="136">
        <v>0</v>
      </c>
      <c r="M66" s="133"/>
      <c r="N66" s="136">
        <v>0</v>
      </c>
      <c r="O66" s="133"/>
      <c r="P66" s="136">
        <v>0</v>
      </c>
      <c r="Q66" s="133"/>
      <c r="R66" s="136">
        <f t="shared" si="4"/>
        <v>-59864.329999999994</v>
      </c>
      <c r="S66" s="14"/>
      <c r="T66" s="14"/>
      <c r="U66" s="14"/>
    </row>
    <row r="67" spans="1:21" ht="12.75" customHeight="1" outlineLevel="1" x14ac:dyDescent="0.2">
      <c r="A67" s="3" t="s">
        <v>3202</v>
      </c>
      <c r="B67" s="136">
        <v>-75539.079999999987</v>
      </c>
      <c r="C67" s="133"/>
      <c r="D67" s="136">
        <v>-6214.62</v>
      </c>
      <c r="E67" s="133"/>
      <c r="F67" s="136">
        <v>0</v>
      </c>
      <c r="G67" s="133"/>
      <c r="H67" s="136">
        <v>0</v>
      </c>
      <c r="I67" s="133"/>
      <c r="J67" s="136">
        <v>0</v>
      </c>
      <c r="K67" s="133"/>
      <c r="L67" s="136">
        <v>0</v>
      </c>
      <c r="M67" s="133"/>
      <c r="N67" s="136">
        <v>0</v>
      </c>
      <c r="O67" s="133"/>
      <c r="P67" s="136">
        <v>0</v>
      </c>
      <c r="Q67" s="133"/>
      <c r="R67" s="136">
        <f t="shared" si="4"/>
        <v>-81753.699999999983</v>
      </c>
      <c r="S67" s="14"/>
      <c r="T67" s="14"/>
      <c r="U67" s="14"/>
    </row>
    <row r="68" spans="1:21" ht="12.75" customHeight="1" outlineLevel="1" x14ac:dyDescent="0.2">
      <c r="A68" s="3" t="s">
        <v>3203</v>
      </c>
      <c r="B68" s="136">
        <v>-12845.670000000002</v>
      </c>
      <c r="C68" s="133"/>
      <c r="D68" s="136">
        <v>-25021.57</v>
      </c>
      <c r="E68" s="133"/>
      <c r="F68" s="136">
        <v>0</v>
      </c>
      <c r="G68" s="133"/>
      <c r="H68" s="136">
        <v>0</v>
      </c>
      <c r="I68" s="133"/>
      <c r="J68" s="136">
        <v>0</v>
      </c>
      <c r="K68" s="133"/>
      <c r="L68" s="136">
        <v>0</v>
      </c>
      <c r="M68" s="133"/>
      <c r="N68" s="136">
        <v>0</v>
      </c>
      <c r="O68" s="133"/>
      <c r="P68" s="136">
        <v>0</v>
      </c>
      <c r="Q68" s="133"/>
      <c r="R68" s="136">
        <f>SUM(B68:P68)</f>
        <v>-37867.240000000005</v>
      </c>
      <c r="S68" s="14"/>
      <c r="T68" s="14"/>
      <c r="U68" s="14"/>
    </row>
    <row r="69" spans="1:21" ht="12.75" customHeight="1" outlineLevel="1" x14ac:dyDescent="0.2">
      <c r="A69" s="3" t="s">
        <v>3204</v>
      </c>
      <c r="B69" s="136">
        <v>-61253.599999999991</v>
      </c>
      <c r="C69" s="133"/>
      <c r="D69" s="136">
        <v>-3199.26</v>
      </c>
      <c r="E69" s="133"/>
      <c r="F69" s="136">
        <v>0</v>
      </c>
      <c r="G69" s="133"/>
      <c r="H69" s="136">
        <v>0</v>
      </c>
      <c r="I69" s="133"/>
      <c r="J69" s="136">
        <v>0</v>
      </c>
      <c r="K69" s="133"/>
      <c r="L69" s="136">
        <v>0</v>
      </c>
      <c r="M69" s="133"/>
      <c r="N69" s="136">
        <v>0</v>
      </c>
      <c r="O69" s="133"/>
      <c r="P69" s="136">
        <v>0</v>
      </c>
      <c r="Q69" s="133"/>
      <c r="R69" s="136">
        <f t="shared" si="4"/>
        <v>-64452.859999999993</v>
      </c>
      <c r="S69" s="14"/>
      <c r="T69" s="14"/>
      <c r="U69" s="14"/>
    </row>
    <row r="70" spans="1:21" ht="12.75" customHeight="1" outlineLevel="1" x14ac:dyDescent="0.2">
      <c r="A70" s="3" t="s">
        <v>3205</v>
      </c>
      <c r="B70" s="136">
        <v>-1133459.1500000001</v>
      </c>
      <c r="C70" s="133"/>
      <c r="D70" s="136">
        <v>-94781.77</v>
      </c>
      <c r="E70" s="133"/>
      <c r="F70" s="136">
        <v>0</v>
      </c>
      <c r="G70" s="133"/>
      <c r="H70" s="136">
        <v>0</v>
      </c>
      <c r="I70" s="133"/>
      <c r="J70" s="136">
        <v>0</v>
      </c>
      <c r="K70" s="133"/>
      <c r="L70" s="136">
        <v>0</v>
      </c>
      <c r="M70" s="133"/>
      <c r="N70" s="136">
        <v>0</v>
      </c>
      <c r="O70" s="133"/>
      <c r="P70" s="136">
        <v>0</v>
      </c>
      <c r="Q70" s="133"/>
      <c r="R70" s="136">
        <f t="shared" si="4"/>
        <v>-1228240.9200000002</v>
      </c>
      <c r="S70" s="14"/>
      <c r="T70" s="14"/>
      <c r="U70" s="14"/>
    </row>
    <row r="71" spans="1:21" ht="12.75" customHeight="1" outlineLevel="1" x14ac:dyDescent="0.2">
      <c r="A71" s="3" t="s">
        <v>3206</v>
      </c>
      <c r="B71" s="136">
        <v>-912398.28000000014</v>
      </c>
      <c r="C71" s="133"/>
      <c r="D71" s="136">
        <v>-76460.460000000006</v>
      </c>
      <c r="E71" s="133"/>
      <c r="F71" s="136">
        <v>0</v>
      </c>
      <c r="G71" s="133"/>
      <c r="H71" s="136">
        <v>0</v>
      </c>
      <c r="I71" s="133"/>
      <c r="J71" s="136">
        <v>0</v>
      </c>
      <c r="K71" s="133"/>
      <c r="L71" s="136">
        <v>0</v>
      </c>
      <c r="M71" s="133"/>
      <c r="N71" s="136">
        <v>0</v>
      </c>
      <c r="O71" s="133"/>
      <c r="P71" s="136">
        <v>0</v>
      </c>
      <c r="Q71" s="133"/>
      <c r="R71" s="136">
        <f t="shared" si="4"/>
        <v>-988858.74000000011</v>
      </c>
      <c r="S71" s="14"/>
      <c r="T71" s="14"/>
      <c r="U71" s="14"/>
    </row>
    <row r="72" spans="1:21" ht="12.75" customHeight="1" outlineLevel="1" x14ac:dyDescent="0.2">
      <c r="A72" s="3" t="s">
        <v>3207</v>
      </c>
      <c r="B72" s="136">
        <v>-758311.23999999987</v>
      </c>
      <c r="C72" s="133"/>
      <c r="D72" s="136">
        <v>-56781.42</v>
      </c>
      <c r="E72" s="133"/>
      <c r="F72" s="136">
        <v>0</v>
      </c>
      <c r="G72" s="133"/>
      <c r="H72" s="136">
        <v>0</v>
      </c>
      <c r="I72" s="133"/>
      <c r="J72" s="136">
        <v>0</v>
      </c>
      <c r="K72" s="133"/>
      <c r="L72" s="136">
        <v>0</v>
      </c>
      <c r="M72" s="133"/>
      <c r="N72" s="136">
        <v>0</v>
      </c>
      <c r="O72" s="133"/>
      <c r="P72" s="136">
        <v>0</v>
      </c>
      <c r="Q72" s="133"/>
      <c r="R72" s="136">
        <f t="shared" si="4"/>
        <v>-815092.65999999992</v>
      </c>
      <c r="S72" s="14"/>
      <c r="T72" s="14"/>
      <c r="U72" s="14"/>
    </row>
    <row r="73" spans="1:21" ht="12.75" customHeight="1" outlineLevel="1" x14ac:dyDescent="0.2">
      <c r="A73" s="3" t="s">
        <v>3208</v>
      </c>
      <c r="B73" s="136">
        <v>-718930.90999999992</v>
      </c>
      <c r="C73" s="133"/>
      <c r="D73" s="136">
        <v>-53359.08</v>
      </c>
      <c r="E73" s="133"/>
      <c r="F73" s="136">
        <v>0</v>
      </c>
      <c r="G73" s="133"/>
      <c r="H73" s="136">
        <v>0</v>
      </c>
      <c r="I73" s="133"/>
      <c r="J73" s="136">
        <v>0</v>
      </c>
      <c r="K73" s="133"/>
      <c r="L73" s="136">
        <v>0</v>
      </c>
      <c r="M73" s="133"/>
      <c r="N73" s="136">
        <v>0</v>
      </c>
      <c r="O73" s="133"/>
      <c r="P73" s="136">
        <v>0</v>
      </c>
      <c r="Q73" s="133"/>
      <c r="R73" s="136">
        <f t="shared" si="4"/>
        <v>-772289.98999999987</v>
      </c>
      <c r="S73" s="14"/>
      <c r="T73" s="14"/>
      <c r="U73" s="14"/>
    </row>
    <row r="74" spans="1:21" ht="12.75" customHeight="1" outlineLevel="1" x14ac:dyDescent="0.2">
      <c r="A74" s="3" t="s">
        <v>3209</v>
      </c>
      <c r="B74" s="136">
        <v>-896519.70000000007</v>
      </c>
      <c r="C74" s="133"/>
      <c r="D74" s="136">
        <v>-74388.06</v>
      </c>
      <c r="E74" s="133"/>
      <c r="F74" s="136">
        <v>0</v>
      </c>
      <c r="G74" s="133"/>
      <c r="H74" s="136">
        <v>0</v>
      </c>
      <c r="I74" s="133"/>
      <c r="J74" s="136">
        <v>0</v>
      </c>
      <c r="K74" s="133"/>
      <c r="L74" s="136">
        <v>0</v>
      </c>
      <c r="M74" s="133"/>
      <c r="N74" s="136">
        <v>0</v>
      </c>
      <c r="O74" s="133"/>
      <c r="P74" s="136">
        <v>0</v>
      </c>
      <c r="Q74" s="133"/>
      <c r="R74" s="136">
        <f t="shared" si="4"/>
        <v>-970907.76</v>
      </c>
      <c r="S74" s="14"/>
      <c r="T74" s="14"/>
      <c r="U74" s="14"/>
    </row>
    <row r="75" spans="1:21" ht="12.75" customHeight="1" outlineLevel="1" x14ac:dyDescent="0.2">
      <c r="A75" s="3" t="s">
        <v>3210</v>
      </c>
      <c r="B75" s="136">
        <v>-893003.96</v>
      </c>
      <c r="C75" s="133"/>
      <c r="D75" s="136">
        <v>-74096.28</v>
      </c>
      <c r="E75" s="133"/>
      <c r="F75" s="136">
        <v>0</v>
      </c>
      <c r="G75" s="133"/>
      <c r="H75" s="136">
        <v>0</v>
      </c>
      <c r="I75" s="133"/>
      <c r="J75" s="136">
        <v>0</v>
      </c>
      <c r="K75" s="133"/>
      <c r="L75" s="136">
        <v>0</v>
      </c>
      <c r="M75" s="133"/>
      <c r="N75" s="136">
        <v>0</v>
      </c>
      <c r="O75" s="133"/>
      <c r="P75" s="136">
        <v>0</v>
      </c>
      <c r="Q75" s="133"/>
      <c r="R75" s="136">
        <f t="shared" si="4"/>
        <v>-967100.24</v>
      </c>
      <c r="S75" s="14"/>
      <c r="T75" s="14"/>
      <c r="U75" s="14"/>
    </row>
    <row r="76" spans="1:21" ht="12.75" customHeight="1" outlineLevel="1" x14ac:dyDescent="0.2">
      <c r="A76" s="3" t="s">
        <v>3211</v>
      </c>
      <c r="B76" s="136">
        <v>-914371.97999999986</v>
      </c>
      <c r="C76" s="133"/>
      <c r="D76" s="136">
        <v>-76625.94</v>
      </c>
      <c r="E76" s="133"/>
      <c r="F76" s="136">
        <v>0</v>
      </c>
      <c r="G76" s="133"/>
      <c r="H76" s="136">
        <v>0</v>
      </c>
      <c r="I76" s="133"/>
      <c r="J76" s="136">
        <v>0</v>
      </c>
      <c r="K76" s="133"/>
      <c r="L76" s="136">
        <v>0</v>
      </c>
      <c r="M76" s="133"/>
      <c r="N76" s="136">
        <v>0</v>
      </c>
      <c r="O76" s="133"/>
      <c r="P76" s="136">
        <v>0</v>
      </c>
      <c r="Q76" s="133"/>
      <c r="R76" s="136">
        <f t="shared" si="4"/>
        <v>-990997.91999999993</v>
      </c>
      <c r="S76" s="14"/>
      <c r="T76" s="14"/>
      <c r="U76" s="14"/>
    </row>
    <row r="77" spans="1:21" ht="12.75" customHeight="1" outlineLevel="1" x14ac:dyDescent="0.2">
      <c r="A77" s="3" t="s">
        <v>3212</v>
      </c>
      <c r="B77" s="136">
        <v>0</v>
      </c>
      <c r="C77" s="133"/>
      <c r="D77" s="136">
        <v>0</v>
      </c>
      <c r="E77" s="133"/>
      <c r="F77" s="136">
        <v>0</v>
      </c>
      <c r="G77" s="133"/>
      <c r="H77" s="136">
        <v>0</v>
      </c>
      <c r="I77" s="133"/>
      <c r="J77" s="136">
        <v>0</v>
      </c>
      <c r="K77" s="133"/>
      <c r="L77" s="136">
        <v>0</v>
      </c>
      <c r="M77" s="133"/>
      <c r="N77" s="136">
        <v>0</v>
      </c>
      <c r="O77" s="133"/>
      <c r="P77" s="136">
        <v>0</v>
      </c>
      <c r="Q77" s="133"/>
      <c r="R77" s="136">
        <f t="shared" si="4"/>
        <v>0</v>
      </c>
      <c r="S77" s="14"/>
      <c r="T77" s="14"/>
      <c r="U77" s="14"/>
    </row>
    <row r="78" spans="1:21" ht="12.75" customHeight="1" outlineLevel="1" x14ac:dyDescent="0.2">
      <c r="A78" s="3" t="s">
        <v>3213</v>
      </c>
      <c r="B78" s="136">
        <v>-10028.300000000001</v>
      </c>
      <c r="C78" s="133"/>
      <c r="D78" s="136">
        <v>0</v>
      </c>
      <c r="E78" s="133"/>
      <c r="F78" s="136">
        <v>0</v>
      </c>
      <c r="G78" s="133"/>
      <c r="H78" s="136">
        <v>0</v>
      </c>
      <c r="I78" s="133"/>
      <c r="J78" s="136">
        <v>0</v>
      </c>
      <c r="K78" s="133"/>
      <c r="L78" s="136">
        <v>0</v>
      </c>
      <c r="M78" s="133"/>
      <c r="N78" s="136">
        <v>0</v>
      </c>
      <c r="O78" s="133"/>
      <c r="P78" s="136">
        <v>0</v>
      </c>
      <c r="Q78" s="133"/>
      <c r="R78" s="136">
        <f t="shared" si="4"/>
        <v>-10028.300000000001</v>
      </c>
      <c r="S78" s="14"/>
      <c r="T78" s="14"/>
      <c r="U78" s="14"/>
    </row>
    <row r="79" spans="1:21" x14ac:dyDescent="0.2">
      <c r="A79" s="3" t="s">
        <v>3214</v>
      </c>
      <c r="B79" s="136">
        <f>SUM(B63:B78)</f>
        <v>-11324016.640000001</v>
      </c>
      <c r="C79" s="133"/>
      <c r="D79" s="136">
        <f>SUM(D63:D78)</f>
        <v>-1047840.0900000001</v>
      </c>
      <c r="E79" s="133"/>
      <c r="F79" s="136">
        <f t="shared" ref="F79:P79" si="5">SUM(F63:F78)</f>
        <v>0</v>
      </c>
      <c r="G79" s="133"/>
      <c r="H79" s="136">
        <f t="shared" si="5"/>
        <v>0</v>
      </c>
      <c r="I79" s="133"/>
      <c r="J79" s="136">
        <f t="shared" si="5"/>
        <v>0</v>
      </c>
      <c r="K79" s="133"/>
      <c r="L79" s="136">
        <f t="shared" si="5"/>
        <v>0</v>
      </c>
      <c r="M79" s="133"/>
      <c r="N79" s="136">
        <f t="shared" si="5"/>
        <v>0</v>
      </c>
      <c r="O79" s="133"/>
      <c r="P79" s="136">
        <f t="shared" si="5"/>
        <v>0</v>
      </c>
      <c r="Q79" s="133"/>
      <c r="R79" s="136">
        <f>SUM(R63:R78)</f>
        <v>-12371856.73</v>
      </c>
      <c r="S79" s="14"/>
      <c r="T79" s="14"/>
      <c r="U79" s="14"/>
    </row>
    <row r="80" spans="1:21" ht="12.75" customHeight="1" outlineLevel="1" x14ac:dyDescent="0.2">
      <c r="A80" s="3" t="s">
        <v>3215</v>
      </c>
      <c r="B80" s="136">
        <v>-219497.40000000002</v>
      </c>
      <c r="C80" s="133"/>
      <c r="D80" s="136">
        <v>-54189.3</v>
      </c>
      <c r="E80" s="133"/>
      <c r="F80" s="136">
        <v>0</v>
      </c>
      <c r="G80" s="133"/>
      <c r="H80" s="136">
        <v>0</v>
      </c>
      <c r="I80" s="133"/>
      <c r="J80" s="136">
        <v>0</v>
      </c>
      <c r="K80" s="133"/>
      <c r="L80" s="136">
        <v>0</v>
      </c>
      <c r="M80" s="133"/>
      <c r="N80" s="136">
        <v>0</v>
      </c>
      <c r="O80" s="133"/>
      <c r="P80" s="136">
        <v>0</v>
      </c>
      <c r="Q80" s="133"/>
      <c r="R80" s="136">
        <f t="shared" si="4"/>
        <v>-273686.7</v>
      </c>
      <c r="S80" s="14"/>
      <c r="T80" s="14"/>
      <c r="U80" s="14"/>
    </row>
    <row r="81" spans="1:21" ht="12.75" customHeight="1" outlineLevel="1" x14ac:dyDescent="0.2">
      <c r="A81" s="21" t="s">
        <v>3216</v>
      </c>
      <c r="B81" s="136">
        <v>-943528.41999999993</v>
      </c>
      <c r="C81" s="133"/>
      <c r="D81" s="136">
        <v>-49145.04</v>
      </c>
      <c r="E81" s="133"/>
      <c r="F81" s="136">
        <v>0</v>
      </c>
      <c r="G81" s="133"/>
      <c r="H81" s="136">
        <v>0</v>
      </c>
      <c r="I81" s="133"/>
      <c r="J81" s="136">
        <v>0</v>
      </c>
      <c r="K81" s="133"/>
      <c r="L81" s="136">
        <v>0</v>
      </c>
      <c r="M81" s="133"/>
      <c r="N81" s="136">
        <v>0</v>
      </c>
      <c r="O81" s="133"/>
      <c r="P81" s="136">
        <v>0</v>
      </c>
      <c r="Q81" s="133"/>
      <c r="R81" s="136">
        <f t="shared" si="4"/>
        <v>-992673.46</v>
      </c>
      <c r="S81" s="14"/>
      <c r="T81" s="14"/>
      <c r="U81" s="14"/>
    </row>
    <row r="82" spans="1:21" ht="12.75" customHeight="1" outlineLevel="1" x14ac:dyDescent="0.2">
      <c r="A82" s="3" t="s">
        <v>3217</v>
      </c>
      <c r="B82" s="136">
        <v>-277535.98</v>
      </c>
      <c r="C82" s="133"/>
      <c r="D82" s="136">
        <v>-184201.92</v>
      </c>
      <c r="E82" s="133"/>
      <c r="F82" s="136">
        <v>0</v>
      </c>
      <c r="G82" s="133"/>
      <c r="H82" s="136">
        <v>0</v>
      </c>
      <c r="I82" s="133"/>
      <c r="J82" s="136">
        <v>0</v>
      </c>
      <c r="K82" s="133"/>
      <c r="L82" s="136">
        <v>0</v>
      </c>
      <c r="M82" s="133"/>
      <c r="N82" s="136">
        <v>0</v>
      </c>
      <c r="O82" s="133"/>
      <c r="P82" s="136">
        <v>0</v>
      </c>
      <c r="Q82" s="133"/>
      <c r="R82" s="136">
        <f t="shared" si="4"/>
        <v>-461737.9</v>
      </c>
      <c r="S82" s="14"/>
      <c r="T82" s="14"/>
      <c r="U82" s="14"/>
    </row>
    <row r="83" spans="1:21" ht="12.75" customHeight="1" outlineLevel="1" x14ac:dyDescent="0.2">
      <c r="A83" s="3" t="s">
        <v>3218</v>
      </c>
      <c r="B83" s="136">
        <v>-393555.34999999992</v>
      </c>
      <c r="C83" s="133"/>
      <c r="D83" s="136">
        <v>-36162.9</v>
      </c>
      <c r="E83" s="133"/>
      <c r="F83" s="136">
        <v>0</v>
      </c>
      <c r="G83" s="133"/>
      <c r="H83" s="136">
        <v>0</v>
      </c>
      <c r="I83" s="133"/>
      <c r="J83" s="136">
        <v>0</v>
      </c>
      <c r="K83" s="133"/>
      <c r="L83" s="136">
        <v>0</v>
      </c>
      <c r="M83" s="133"/>
      <c r="N83" s="136">
        <v>0</v>
      </c>
      <c r="O83" s="133"/>
      <c r="P83" s="136">
        <v>0</v>
      </c>
      <c r="Q83" s="133"/>
      <c r="R83" s="136">
        <f t="shared" si="4"/>
        <v>-429718.24999999994</v>
      </c>
      <c r="S83" s="14"/>
      <c r="T83" s="14"/>
      <c r="U83" s="14"/>
    </row>
    <row r="84" spans="1:21" ht="12.75" customHeight="1" outlineLevel="1" x14ac:dyDescent="0.2">
      <c r="A84" s="3" t="s">
        <v>3219</v>
      </c>
      <c r="B84" s="136">
        <v>-186734.36</v>
      </c>
      <c r="C84" s="133"/>
      <c r="D84" s="136">
        <v>-45198.96</v>
      </c>
      <c r="E84" s="133"/>
      <c r="F84" s="136">
        <v>0</v>
      </c>
      <c r="G84" s="133"/>
      <c r="H84" s="136">
        <v>0</v>
      </c>
      <c r="I84" s="133"/>
      <c r="J84" s="136">
        <v>0</v>
      </c>
      <c r="K84" s="133"/>
      <c r="L84" s="136">
        <v>0</v>
      </c>
      <c r="M84" s="133"/>
      <c r="N84" s="136">
        <v>0</v>
      </c>
      <c r="O84" s="133"/>
      <c r="P84" s="136">
        <v>0</v>
      </c>
      <c r="Q84" s="133"/>
      <c r="R84" s="136">
        <f t="shared" si="4"/>
        <v>-231933.31999999998</v>
      </c>
      <c r="S84" s="14"/>
      <c r="T84" s="14"/>
      <c r="U84" s="14"/>
    </row>
    <row r="85" spans="1:21" ht="12.75" customHeight="1" outlineLevel="1" x14ac:dyDescent="0.2">
      <c r="A85" s="3" t="s">
        <v>3220</v>
      </c>
      <c r="B85" s="136">
        <v>-58047.479999999996</v>
      </c>
      <c r="C85" s="133"/>
      <c r="D85" s="136">
        <v>-38562.720000000001</v>
      </c>
      <c r="E85" s="133"/>
      <c r="F85" s="136">
        <v>0</v>
      </c>
      <c r="G85" s="133"/>
      <c r="H85" s="136">
        <v>0</v>
      </c>
      <c r="I85" s="133"/>
      <c r="J85" s="136">
        <v>0</v>
      </c>
      <c r="K85" s="133"/>
      <c r="L85" s="136">
        <v>0</v>
      </c>
      <c r="M85" s="133"/>
      <c r="N85" s="136">
        <v>0</v>
      </c>
      <c r="O85" s="133"/>
      <c r="P85" s="136">
        <v>0</v>
      </c>
      <c r="Q85" s="133"/>
      <c r="R85" s="136">
        <f t="shared" si="4"/>
        <v>-96610.2</v>
      </c>
      <c r="S85" s="14"/>
      <c r="T85" s="14"/>
      <c r="U85" s="14"/>
    </row>
    <row r="86" spans="1:21" ht="12.75" customHeight="1" outlineLevel="1" x14ac:dyDescent="0.2">
      <c r="A86" s="3" t="s">
        <v>3221</v>
      </c>
      <c r="B86" s="136">
        <v>-11244.2</v>
      </c>
      <c r="C86" s="133"/>
      <c r="D86" s="136">
        <v>0</v>
      </c>
      <c r="E86" s="133"/>
      <c r="F86" s="136">
        <v>0</v>
      </c>
      <c r="G86" s="133"/>
      <c r="H86" s="136">
        <v>0</v>
      </c>
      <c r="I86" s="133"/>
      <c r="J86" s="136">
        <v>0</v>
      </c>
      <c r="K86" s="133"/>
      <c r="L86" s="136">
        <v>0</v>
      </c>
      <c r="M86" s="133"/>
      <c r="N86" s="136">
        <v>0</v>
      </c>
      <c r="O86" s="133"/>
      <c r="P86" s="136">
        <v>0</v>
      </c>
      <c r="Q86" s="133"/>
      <c r="R86" s="136">
        <f t="shared" si="4"/>
        <v>-11244.2</v>
      </c>
      <c r="S86" s="14"/>
      <c r="T86" s="14"/>
      <c r="U86" s="14"/>
    </row>
    <row r="87" spans="1:21" ht="12.75" customHeight="1" outlineLevel="1" x14ac:dyDescent="0.2">
      <c r="A87" s="3" t="s">
        <v>3222</v>
      </c>
      <c r="B87" s="136">
        <v>-18374.670000000002</v>
      </c>
      <c r="C87" s="133"/>
      <c r="D87" s="136">
        <v>-1567.62</v>
      </c>
      <c r="E87" s="133"/>
      <c r="F87" s="136">
        <v>0</v>
      </c>
      <c r="G87" s="133"/>
      <c r="H87" s="136">
        <v>0</v>
      </c>
      <c r="I87" s="133"/>
      <c r="J87" s="136">
        <v>0</v>
      </c>
      <c r="K87" s="133"/>
      <c r="L87" s="136">
        <v>0</v>
      </c>
      <c r="M87" s="133"/>
      <c r="N87" s="136">
        <v>0</v>
      </c>
      <c r="O87" s="133"/>
      <c r="P87" s="136">
        <v>0</v>
      </c>
      <c r="Q87" s="133"/>
      <c r="R87" s="136">
        <f t="shared" si="4"/>
        <v>-19942.29</v>
      </c>
      <c r="S87" s="14"/>
      <c r="T87" s="14"/>
      <c r="U87" s="14"/>
    </row>
    <row r="88" spans="1:21" ht="12.75" customHeight="1" outlineLevel="1" x14ac:dyDescent="0.2">
      <c r="A88" s="3" t="s">
        <v>3223</v>
      </c>
      <c r="B88" s="136">
        <v>0</v>
      </c>
      <c r="C88" s="133"/>
      <c r="D88" s="136">
        <v>-183572.95</v>
      </c>
      <c r="E88" s="133"/>
      <c r="F88" s="136">
        <v>0</v>
      </c>
      <c r="G88" s="133"/>
      <c r="H88" s="136">
        <v>-96490.75</v>
      </c>
      <c r="I88" s="133"/>
      <c r="J88" s="136">
        <v>0</v>
      </c>
      <c r="K88" s="133"/>
      <c r="L88" s="136">
        <v>0</v>
      </c>
      <c r="M88" s="133"/>
      <c r="N88" s="136">
        <v>0</v>
      </c>
      <c r="O88" s="133"/>
      <c r="P88" s="136">
        <v>0</v>
      </c>
      <c r="Q88" s="133"/>
      <c r="R88" s="136">
        <f t="shared" si="4"/>
        <v>-280063.7</v>
      </c>
      <c r="S88" s="14"/>
      <c r="T88" s="14"/>
      <c r="U88" s="14"/>
    </row>
    <row r="89" spans="1:21" ht="12.75" customHeight="1" outlineLevel="1" x14ac:dyDescent="0.2">
      <c r="A89" s="3" t="s">
        <v>3224</v>
      </c>
      <c r="B89" s="136">
        <v>-1223002.5200000003</v>
      </c>
      <c r="C89" s="133"/>
      <c r="D89" s="136">
        <v>-121522.68</v>
      </c>
      <c r="E89" s="133"/>
      <c r="F89" s="136">
        <v>21564.32</v>
      </c>
      <c r="G89" s="133"/>
      <c r="H89" s="136">
        <v>96490.75</v>
      </c>
      <c r="I89" s="133"/>
      <c r="J89" s="136">
        <v>0</v>
      </c>
      <c r="K89" s="133"/>
      <c r="L89" s="136">
        <v>15336.32</v>
      </c>
      <c r="M89" s="133"/>
      <c r="N89" s="136">
        <v>0</v>
      </c>
      <c r="O89" s="133"/>
      <c r="P89" s="136">
        <v>0</v>
      </c>
      <c r="Q89" s="133"/>
      <c r="R89" s="136">
        <f t="shared" si="4"/>
        <v>-1211133.81</v>
      </c>
      <c r="S89" s="14"/>
      <c r="T89" s="14"/>
      <c r="U89" s="14"/>
    </row>
    <row r="90" spans="1:21" ht="12.75" customHeight="1" outlineLevel="1" x14ac:dyDescent="0.2">
      <c r="A90" s="3" t="s">
        <v>3225</v>
      </c>
      <c r="B90" s="136">
        <v>-155906.20000000001</v>
      </c>
      <c r="C90" s="133"/>
      <c r="D90" s="136">
        <v>-13352.64</v>
      </c>
      <c r="E90" s="133"/>
      <c r="F90" s="136">
        <v>0</v>
      </c>
      <c r="G90" s="133"/>
      <c r="H90" s="136">
        <v>0</v>
      </c>
      <c r="I90" s="133"/>
      <c r="J90" s="136">
        <v>0</v>
      </c>
      <c r="K90" s="133"/>
      <c r="L90" s="136">
        <v>0</v>
      </c>
      <c r="M90" s="133"/>
      <c r="N90" s="136">
        <v>0</v>
      </c>
      <c r="O90" s="133"/>
      <c r="P90" s="136">
        <v>0</v>
      </c>
      <c r="Q90" s="133"/>
      <c r="R90" s="136">
        <f t="shared" si="4"/>
        <v>-169258.84000000003</v>
      </c>
      <c r="S90" s="14"/>
      <c r="T90" s="14"/>
      <c r="U90" s="14"/>
    </row>
    <row r="91" spans="1:21" ht="12.75" customHeight="1" outlineLevel="1" x14ac:dyDescent="0.2">
      <c r="A91" s="3" t="s">
        <v>3226</v>
      </c>
      <c r="B91" s="136">
        <v>-48536.669999999991</v>
      </c>
      <c r="C91" s="133"/>
      <c r="D91" s="136">
        <v>-3650.34</v>
      </c>
      <c r="E91" s="133"/>
      <c r="F91" s="136">
        <v>0</v>
      </c>
      <c r="G91" s="133"/>
      <c r="H91" s="136">
        <v>0</v>
      </c>
      <c r="I91" s="133"/>
      <c r="J91" s="136">
        <v>0</v>
      </c>
      <c r="K91" s="133"/>
      <c r="L91" s="136">
        <v>0</v>
      </c>
      <c r="M91" s="133"/>
      <c r="N91" s="136">
        <v>0</v>
      </c>
      <c r="O91" s="133"/>
      <c r="P91" s="136">
        <v>0</v>
      </c>
      <c r="Q91" s="133"/>
      <c r="R91" s="136">
        <f t="shared" si="4"/>
        <v>-52187.009999999995</v>
      </c>
      <c r="S91" s="14"/>
      <c r="T91" s="14"/>
      <c r="U91" s="14"/>
    </row>
    <row r="92" spans="1:21" ht="12.75" customHeight="1" outlineLevel="1" x14ac:dyDescent="0.2">
      <c r="A92" s="3" t="s">
        <v>3227</v>
      </c>
      <c r="B92" s="136">
        <v>-48474.38</v>
      </c>
      <c r="C92" s="133"/>
      <c r="D92" s="136">
        <v>-3645.36</v>
      </c>
      <c r="E92" s="133"/>
      <c r="F92" s="136">
        <v>0</v>
      </c>
      <c r="G92" s="133"/>
      <c r="H92" s="136">
        <v>0</v>
      </c>
      <c r="I92" s="133"/>
      <c r="J92" s="136">
        <v>0</v>
      </c>
      <c r="K92" s="133"/>
      <c r="L92" s="136">
        <v>0</v>
      </c>
      <c r="M92" s="133"/>
      <c r="N92" s="136">
        <v>0</v>
      </c>
      <c r="O92" s="133"/>
      <c r="P92" s="136">
        <v>0</v>
      </c>
      <c r="Q92" s="133"/>
      <c r="R92" s="136">
        <f t="shared" si="4"/>
        <v>-52119.74</v>
      </c>
      <c r="S92" s="14"/>
      <c r="T92" s="14"/>
      <c r="U92" s="14"/>
    </row>
    <row r="93" spans="1:21" ht="12.75" customHeight="1" outlineLevel="1" x14ac:dyDescent="0.2">
      <c r="A93" s="3" t="s">
        <v>3228</v>
      </c>
      <c r="B93" s="136">
        <v>-147362.11000000002</v>
      </c>
      <c r="C93" s="133"/>
      <c r="D93" s="136">
        <v>-12403.2</v>
      </c>
      <c r="E93" s="133"/>
      <c r="F93" s="136">
        <v>0</v>
      </c>
      <c r="G93" s="133"/>
      <c r="H93" s="136">
        <v>0</v>
      </c>
      <c r="I93" s="133"/>
      <c r="J93" s="136">
        <v>0</v>
      </c>
      <c r="K93" s="133"/>
      <c r="L93" s="136">
        <v>0</v>
      </c>
      <c r="M93" s="133"/>
      <c r="N93" s="136">
        <v>0</v>
      </c>
      <c r="O93" s="133"/>
      <c r="P93" s="136">
        <v>0</v>
      </c>
      <c r="Q93" s="133"/>
      <c r="R93" s="136">
        <f t="shared" si="4"/>
        <v>-159765.31000000003</v>
      </c>
      <c r="S93" s="14"/>
      <c r="T93" s="14"/>
      <c r="U93" s="14"/>
    </row>
    <row r="94" spans="1:21" ht="12.75" customHeight="1" outlineLevel="1" x14ac:dyDescent="0.2">
      <c r="A94" s="3" t="s">
        <v>3229</v>
      </c>
      <c r="B94" s="136">
        <v>-146784.37</v>
      </c>
      <c r="C94" s="133"/>
      <c r="D94" s="136">
        <v>-12354.6</v>
      </c>
      <c r="E94" s="133"/>
      <c r="F94" s="136">
        <v>0</v>
      </c>
      <c r="G94" s="133"/>
      <c r="H94" s="136">
        <v>0</v>
      </c>
      <c r="I94" s="133"/>
      <c r="J94" s="136">
        <v>0</v>
      </c>
      <c r="K94" s="133"/>
      <c r="L94" s="136">
        <v>0</v>
      </c>
      <c r="M94" s="133"/>
      <c r="N94" s="136">
        <v>0</v>
      </c>
      <c r="O94" s="133"/>
      <c r="P94" s="136">
        <v>0</v>
      </c>
      <c r="Q94" s="133"/>
      <c r="R94" s="136">
        <f t="shared" si="4"/>
        <v>-159138.97</v>
      </c>
      <c r="S94" s="14"/>
      <c r="T94" s="14"/>
      <c r="U94" s="14"/>
    </row>
    <row r="95" spans="1:21" ht="12.75" customHeight="1" outlineLevel="1" x14ac:dyDescent="0.2">
      <c r="A95" s="3" t="s">
        <v>3230</v>
      </c>
      <c r="B95" s="136">
        <v>-150445.83999999997</v>
      </c>
      <c r="C95" s="133"/>
      <c r="D95" s="136">
        <v>-12774.96</v>
      </c>
      <c r="E95" s="133"/>
      <c r="F95" s="136">
        <v>0</v>
      </c>
      <c r="G95" s="133"/>
      <c r="H95" s="136">
        <v>0</v>
      </c>
      <c r="I95" s="133"/>
      <c r="J95" s="136">
        <v>0</v>
      </c>
      <c r="K95" s="133"/>
      <c r="L95" s="136">
        <v>0</v>
      </c>
      <c r="M95" s="133"/>
      <c r="N95" s="136">
        <v>0</v>
      </c>
      <c r="O95" s="133"/>
      <c r="P95" s="136">
        <v>0</v>
      </c>
      <c r="Q95" s="133"/>
      <c r="R95" s="136">
        <f t="shared" si="4"/>
        <v>-163220.79999999996</v>
      </c>
      <c r="S95" s="14"/>
      <c r="T95" s="14"/>
      <c r="U95" s="14"/>
    </row>
    <row r="96" spans="1:21" ht="12.75" customHeight="1" outlineLevel="1" x14ac:dyDescent="0.2">
      <c r="A96" s="3" t="s">
        <v>3231</v>
      </c>
      <c r="B96" s="136">
        <v>-977537.09</v>
      </c>
      <c r="C96" s="133"/>
      <c r="D96" s="136">
        <v>-73274.37</v>
      </c>
      <c r="E96" s="133"/>
      <c r="F96" s="136">
        <v>0</v>
      </c>
      <c r="G96" s="133"/>
      <c r="H96" s="136">
        <v>0</v>
      </c>
      <c r="I96" s="133"/>
      <c r="J96" s="136">
        <v>0</v>
      </c>
      <c r="K96" s="133"/>
      <c r="L96" s="136">
        <v>0</v>
      </c>
      <c r="M96" s="133"/>
      <c r="N96" s="136">
        <v>0</v>
      </c>
      <c r="O96" s="133"/>
      <c r="P96" s="136">
        <v>0</v>
      </c>
      <c r="Q96" s="133"/>
      <c r="R96" s="136">
        <f t="shared" si="4"/>
        <v>-1050811.46</v>
      </c>
      <c r="S96" s="14"/>
      <c r="T96" s="14"/>
      <c r="U96" s="14"/>
    </row>
    <row r="97" spans="1:21" ht="12.75" customHeight="1" outlineLevel="1" x14ac:dyDescent="0.2">
      <c r="A97" s="3" t="s">
        <v>3232</v>
      </c>
      <c r="B97" s="136">
        <v>0</v>
      </c>
      <c r="C97" s="133"/>
      <c r="D97" s="136">
        <v>0</v>
      </c>
      <c r="E97" s="133"/>
      <c r="F97" s="136">
        <v>0</v>
      </c>
      <c r="G97" s="133"/>
      <c r="H97" s="136">
        <v>0</v>
      </c>
      <c r="I97" s="133"/>
      <c r="J97" s="136">
        <v>0</v>
      </c>
      <c r="K97" s="133"/>
      <c r="L97" s="136">
        <v>0</v>
      </c>
      <c r="M97" s="133"/>
      <c r="N97" s="136">
        <v>0</v>
      </c>
      <c r="O97" s="133"/>
      <c r="P97" s="136">
        <v>0</v>
      </c>
      <c r="Q97" s="133"/>
      <c r="R97" s="136">
        <f t="shared" si="4"/>
        <v>0</v>
      </c>
      <c r="S97" s="14"/>
      <c r="T97" s="14"/>
      <c r="U97" s="14"/>
    </row>
    <row r="98" spans="1:21" ht="12.75" customHeight="1" outlineLevel="1" x14ac:dyDescent="0.2">
      <c r="A98" s="3" t="s">
        <v>3233</v>
      </c>
      <c r="B98" s="136">
        <v>-16557.639999999996</v>
      </c>
      <c r="C98" s="133"/>
      <c r="D98" s="136">
        <v>-1540.74</v>
      </c>
      <c r="E98" s="133"/>
      <c r="F98" s="136">
        <v>0</v>
      </c>
      <c r="G98" s="133"/>
      <c r="H98" s="136">
        <v>0</v>
      </c>
      <c r="I98" s="133"/>
      <c r="J98" s="136">
        <v>0</v>
      </c>
      <c r="K98" s="133"/>
      <c r="L98" s="136">
        <v>0</v>
      </c>
      <c r="M98" s="133"/>
      <c r="N98" s="136">
        <v>0</v>
      </c>
      <c r="O98" s="133"/>
      <c r="P98" s="136">
        <v>0</v>
      </c>
      <c r="Q98" s="133"/>
      <c r="R98" s="136">
        <f t="shared" si="4"/>
        <v>-18098.379999999997</v>
      </c>
      <c r="S98" s="14"/>
      <c r="T98" s="14"/>
      <c r="U98" s="14"/>
    </row>
    <row r="99" spans="1:21" x14ac:dyDescent="0.2">
      <c r="A99" s="3" t="s">
        <v>3234</v>
      </c>
      <c r="B99" s="136">
        <f>SUM(B80:B98)</f>
        <v>-5023124.68</v>
      </c>
      <c r="C99" s="133"/>
      <c r="D99" s="136">
        <f>SUM(D80:D98)</f>
        <v>-847120.29999999993</v>
      </c>
      <c r="E99" s="133"/>
      <c r="F99" s="136">
        <f>SUM(F80:F98)</f>
        <v>21564.32</v>
      </c>
      <c r="G99" s="133"/>
      <c r="H99" s="136">
        <f t="shared" ref="H99:R99" si="6">SUM(H80:H98)</f>
        <v>0</v>
      </c>
      <c r="I99" s="133"/>
      <c r="J99" s="136">
        <f t="shared" si="6"/>
        <v>0</v>
      </c>
      <c r="K99" s="133"/>
      <c r="L99" s="136">
        <f t="shared" si="6"/>
        <v>15336.32</v>
      </c>
      <c r="M99" s="133"/>
      <c r="N99" s="136">
        <f t="shared" si="6"/>
        <v>0</v>
      </c>
      <c r="O99" s="133"/>
      <c r="P99" s="136">
        <f t="shared" si="6"/>
        <v>0</v>
      </c>
      <c r="Q99" s="133"/>
      <c r="R99" s="136">
        <f t="shared" si="6"/>
        <v>-5833344.3399999999</v>
      </c>
      <c r="S99" s="14"/>
      <c r="T99" s="14"/>
      <c r="U99" s="14"/>
    </row>
    <row r="100" spans="1:21" ht="12.75" customHeight="1" outlineLevel="1" x14ac:dyDescent="0.2">
      <c r="A100" s="3" t="s">
        <v>3235</v>
      </c>
      <c r="B100" s="136">
        <v>-1668777.27</v>
      </c>
      <c r="C100" s="133"/>
      <c r="D100" s="136">
        <v>-2189882.9</v>
      </c>
      <c r="E100" s="133"/>
      <c r="F100" s="136">
        <v>54987.73</v>
      </c>
      <c r="G100" s="133"/>
      <c r="H100" s="136">
        <v>0</v>
      </c>
      <c r="I100" s="133"/>
      <c r="J100" s="136">
        <v>0</v>
      </c>
      <c r="K100" s="133"/>
      <c r="L100" s="136">
        <v>8133.29</v>
      </c>
      <c r="M100" s="133"/>
      <c r="N100" s="136">
        <v>0</v>
      </c>
      <c r="O100" s="133"/>
      <c r="P100" s="136">
        <v>0</v>
      </c>
      <c r="Q100" s="133"/>
      <c r="R100" s="136">
        <f t="shared" si="4"/>
        <v>-3795539.15</v>
      </c>
      <c r="S100" s="14"/>
      <c r="T100" s="14"/>
      <c r="U100" s="14"/>
    </row>
    <row r="101" spans="1:21" ht="12.75" customHeight="1" outlineLevel="1" x14ac:dyDescent="0.2">
      <c r="A101" s="3" t="s">
        <v>3236</v>
      </c>
      <c r="B101" s="136">
        <v>-8321059.8800000008</v>
      </c>
      <c r="C101" s="133"/>
      <c r="D101" s="136">
        <v>-702502.57</v>
      </c>
      <c r="E101" s="133"/>
      <c r="F101" s="136">
        <v>0</v>
      </c>
      <c r="G101" s="133"/>
      <c r="H101" s="136">
        <v>0</v>
      </c>
      <c r="I101" s="133"/>
      <c r="J101" s="136">
        <v>0</v>
      </c>
      <c r="K101" s="133"/>
      <c r="L101" s="136">
        <v>0</v>
      </c>
      <c r="M101" s="133"/>
      <c r="N101" s="136">
        <v>0</v>
      </c>
      <c r="O101" s="133"/>
      <c r="P101" s="136">
        <v>0</v>
      </c>
      <c r="Q101" s="133"/>
      <c r="R101" s="136">
        <f t="shared" si="4"/>
        <v>-9023562.4500000011</v>
      </c>
      <c r="S101" s="14"/>
      <c r="T101" s="14"/>
      <c r="U101" s="14"/>
    </row>
    <row r="102" spans="1:21" ht="12.75" customHeight="1" outlineLevel="1" x14ac:dyDescent="0.2">
      <c r="A102" s="21" t="s">
        <v>3237</v>
      </c>
      <c r="B102" s="136">
        <v>-7799210.0499999998</v>
      </c>
      <c r="C102" s="133"/>
      <c r="D102" s="136">
        <v>-1225681.74</v>
      </c>
      <c r="E102" s="133"/>
      <c r="F102" s="136">
        <v>0</v>
      </c>
      <c r="G102" s="133"/>
      <c r="H102" s="136">
        <v>0</v>
      </c>
      <c r="I102" s="133"/>
      <c r="J102" s="136">
        <v>0</v>
      </c>
      <c r="K102" s="133"/>
      <c r="L102" s="136">
        <v>0</v>
      </c>
      <c r="M102" s="133"/>
      <c r="N102" s="136">
        <v>0</v>
      </c>
      <c r="O102" s="133"/>
      <c r="P102" s="136">
        <v>0</v>
      </c>
      <c r="Q102" s="133"/>
      <c r="R102" s="136">
        <f t="shared" si="4"/>
        <v>-9024891.7899999991</v>
      </c>
      <c r="S102" s="14"/>
      <c r="T102" s="14"/>
      <c r="U102" s="14"/>
    </row>
    <row r="103" spans="1:21" ht="12.75" customHeight="1" outlineLevel="1" x14ac:dyDescent="0.2">
      <c r="A103" s="3" t="s">
        <v>3238</v>
      </c>
      <c r="B103" s="136">
        <v>-9182047.7599999998</v>
      </c>
      <c r="C103" s="133"/>
      <c r="D103" s="136">
        <v>-951574.37</v>
      </c>
      <c r="E103" s="133"/>
      <c r="F103" s="136">
        <v>0</v>
      </c>
      <c r="G103" s="133"/>
      <c r="H103" s="136">
        <v>0</v>
      </c>
      <c r="I103" s="133"/>
      <c r="J103" s="136">
        <v>0</v>
      </c>
      <c r="K103" s="133"/>
      <c r="L103" s="136">
        <v>0</v>
      </c>
      <c r="M103" s="133"/>
      <c r="N103" s="136">
        <v>0</v>
      </c>
      <c r="O103" s="133"/>
      <c r="P103" s="136">
        <v>0</v>
      </c>
      <c r="Q103" s="133"/>
      <c r="R103" s="136">
        <f t="shared" si="4"/>
        <v>-10133622.129999999</v>
      </c>
      <c r="S103" s="14"/>
      <c r="T103" s="14"/>
      <c r="U103" s="14"/>
    </row>
    <row r="104" spans="1:21" ht="12.75" customHeight="1" outlineLevel="1" x14ac:dyDescent="0.2">
      <c r="A104" s="3" t="s">
        <v>3239</v>
      </c>
      <c r="B104" s="136">
        <v>-7710566.3600000013</v>
      </c>
      <c r="C104" s="133"/>
      <c r="D104" s="136">
        <v>-1125526.01</v>
      </c>
      <c r="E104" s="133"/>
      <c r="F104" s="136">
        <v>0</v>
      </c>
      <c r="G104" s="133"/>
      <c r="H104" s="136">
        <v>0</v>
      </c>
      <c r="I104" s="133"/>
      <c r="J104" s="136">
        <v>0</v>
      </c>
      <c r="K104" s="133"/>
      <c r="L104" s="136">
        <v>0</v>
      </c>
      <c r="M104" s="133"/>
      <c r="N104" s="136">
        <v>0</v>
      </c>
      <c r="O104" s="133"/>
      <c r="P104" s="136">
        <v>0</v>
      </c>
      <c r="Q104" s="133"/>
      <c r="R104" s="136">
        <f t="shared" si="4"/>
        <v>-8836092.370000001</v>
      </c>
      <c r="S104" s="14"/>
      <c r="T104" s="14"/>
      <c r="U104" s="14"/>
    </row>
    <row r="105" spans="1:21" ht="12.75" customHeight="1" outlineLevel="1" x14ac:dyDescent="0.2">
      <c r="A105" s="3" t="s">
        <v>3240</v>
      </c>
      <c r="B105" s="136">
        <v>-5523388.790000001</v>
      </c>
      <c r="C105" s="133"/>
      <c r="D105" s="136">
        <v>-611017.55000000005</v>
      </c>
      <c r="E105" s="133"/>
      <c r="F105" s="136">
        <v>14840.24</v>
      </c>
      <c r="G105" s="133"/>
      <c r="H105" s="136">
        <v>0</v>
      </c>
      <c r="I105" s="133"/>
      <c r="J105" s="136">
        <v>0</v>
      </c>
      <c r="K105" s="133"/>
      <c r="L105" s="136">
        <v>0</v>
      </c>
      <c r="M105" s="133"/>
      <c r="N105" s="136">
        <v>0</v>
      </c>
      <c r="O105" s="133"/>
      <c r="P105" s="136">
        <v>0</v>
      </c>
      <c r="Q105" s="133"/>
      <c r="R105" s="136">
        <f t="shared" si="4"/>
        <v>-6119566.1000000006</v>
      </c>
      <c r="S105" s="14"/>
      <c r="T105" s="14"/>
      <c r="U105" s="14"/>
    </row>
    <row r="106" spans="1:21" ht="12.75" customHeight="1" outlineLevel="1" x14ac:dyDescent="0.2">
      <c r="A106" s="3" t="s">
        <v>3241</v>
      </c>
      <c r="B106" s="136">
        <v>-6273629.4800000014</v>
      </c>
      <c r="C106" s="133"/>
      <c r="D106" s="136">
        <v>-624563.76</v>
      </c>
      <c r="E106" s="133"/>
      <c r="F106" s="136">
        <v>331022.51</v>
      </c>
      <c r="G106" s="133"/>
      <c r="H106" s="136">
        <v>0</v>
      </c>
      <c r="I106" s="133"/>
      <c r="J106" s="136">
        <v>0</v>
      </c>
      <c r="K106" s="133"/>
      <c r="L106" s="136">
        <v>0</v>
      </c>
      <c r="M106" s="133"/>
      <c r="N106" s="136">
        <v>0</v>
      </c>
      <c r="O106" s="133"/>
      <c r="P106" s="136">
        <v>0</v>
      </c>
      <c r="Q106" s="133"/>
      <c r="R106" s="136">
        <f t="shared" si="4"/>
        <v>-6567170.7300000014</v>
      </c>
      <c r="S106" s="14"/>
      <c r="T106" s="14"/>
      <c r="U106" s="14"/>
    </row>
    <row r="107" spans="1:21" ht="12.75" customHeight="1" outlineLevel="1" x14ac:dyDescent="0.2">
      <c r="A107" s="3" t="s">
        <v>3242</v>
      </c>
      <c r="B107" s="136">
        <v>-6230167.0900000008</v>
      </c>
      <c r="C107" s="133"/>
      <c r="D107" s="136">
        <v>-609773.55000000005</v>
      </c>
      <c r="E107" s="133"/>
      <c r="F107" s="136">
        <v>489484.19</v>
      </c>
      <c r="G107" s="133"/>
      <c r="H107" s="136">
        <v>-93062.31</v>
      </c>
      <c r="I107" s="133"/>
      <c r="J107" s="136">
        <v>0</v>
      </c>
      <c r="K107" s="133"/>
      <c r="L107" s="136">
        <v>92291.13</v>
      </c>
      <c r="M107" s="133"/>
      <c r="N107" s="136">
        <v>0</v>
      </c>
      <c r="O107" s="133"/>
      <c r="P107" s="136">
        <v>0</v>
      </c>
      <c r="Q107" s="133"/>
      <c r="R107" s="136">
        <f t="shared" si="4"/>
        <v>-6351227.6299999999</v>
      </c>
      <c r="S107" s="14"/>
      <c r="T107" s="14"/>
      <c r="U107" s="14"/>
    </row>
    <row r="108" spans="1:21" ht="12.75" customHeight="1" outlineLevel="1" x14ac:dyDescent="0.2">
      <c r="A108" s="3" t="s">
        <v>3243</v>
      </c>
      <c r="B108" s="136">
        <v>-5784578.9100000001</v>
      </c>
      <c r="C108" s="133"/>
      <c r="D108" s="136">
        <v>-645853.18999999994</v>
      </c>
      <c r="E108" s="133"/>
      <c r="F108" s="136">
        <v>0</v>
      </c>
      <c r="G108" s="133"/>
      <c r="H108" s="136">
        <v>93062.31</v>
      </c>
      <c r="I108" s="133"/>
      <c r="J108" s="136">
        <v>0</v>
      </c>
      <c r="K108" s="133"/>
      <c r="L108" s="136">
        <v>0</v>
      </c>
      <c r="M108" s="133"/>
      <c r="N108" s="136">
        <v>0</v>
      </c>
      <c r="O108" s="133"/>
      <c r="P108" s="136">
        <v>0</v>
      </c>
      <c r="Q108" s="133"/>
      <c r="R108" s="136">
        <f t="shared" si="4"/>
        <v>-6337369.79</v>
      </c>
      <c r="S108" s="14"/>
      <c r="T108" s="14"/>
      <c r="U108" s="14"/>
    </row>
    <row r="109" spans="1:21" ht="12.75" customHeight="1" outlineLevel="1" x14ac:dyDescent="0.2">
      <c r="A109" s="3" t="s">
        <v>3244</v>
      </c>
      <c r="B109" s="136">
        <v>-5432848.0200000014</v>
      </c>
      <c r="C109" s="133"/>
      <c r="D109" s="136">
        <v>-622984.43999999994</v>
      </c>
      <c r="E109" s="133"/>
      <c r="F109" s="136">
        <v>0</v>
      </c>
      <c r="G109" s="133"/>
      <c r="H109" s="136">
        <v>0</v>
      </c>
      <c r="I109" s="133"/>
      <c r="J109" s="136">
        <v>0</v>
      </c>
      <c r="K109" s="133"/>
      <c r="L109" s="136">
        <v>0</v>
      </c>
      <c r="M109" s="133"/>
      <c r="N109" s="136">
        <v>0</v>
      </c>
      <c r="O109" s="133"/>
      <c r="P109" s="136">
        <v>0</v>
      </c>
      <c r="Q109" s="133"/>
      <c r="R109" s="136">
        <f t="shared" si="4"/>
        <v>-6055832.4600000009</v>
      </c>
      <c r="S109" s="14"/>
      <c r="T109" s="14"/>
      <c r="U109" s="14"/>
    </row>
    <row r="110" spans="1:21" ht="12.75" customHeight="1" outlineLevel="1" x14ac:dyDescent="0.2">
      <c r="A110" s="3" t="s">
        <v>3245</v>
      </c>
      <c r="B110" s="136">
        <v>-5562642.5200000005</v>
      </c>
      <c r="C110" s="133"/>
      <c r="D110" s="136">
        <v>-611721</v>
      </c>
      <c r="E110" s="133"/>
      <c r="F110" s="136">
        <v>0</v>
      </c>
      <c r="G110" s="133"/>
      <c r="H110" s="136">
        <v>0</v>
      </c>
      <c r="I110" s="133"/>
      <c r="J110" s="136">
        <v>0</v>
      </c>
      <c r="K110" s="133"/>
      <c r="L110" s="136">
        <v>0</v>
      </c>
      <c r="M110" s="133"/>
      <c r="N110" s="136">
        <v>0</v>
      </c>
      <c r="O110" s="133"/>
      <c r="P110" s="136">
        <v>0</v>
      </c>
      <c r="Q110" s="133"/>
      <c r="R110" s="136">
        <f t="shared" si="4"/>
        <v>-6174363.5200000005</v>
      </c>
      <c r="S110" s="14"/>
      <c r="T110" s="14"/>
      <c r="U110" s="14"/>
    </row>
    <row r="111" spans="1:21" ht="12.75" customHeight="1" outlineLevel="1" x14ac:dyDescent="0.2">
      <c r="A111" s="3" t="s">
        <v>3246</v>
      </c>
      <c r="B111" s="136">
        <v>0</v>
      </c>
      <c r="C111" s="133"/>
      <c r="D111" s="136">
        <v>0</v>
      </c>
      <c r="E111" s="133"/>
      <c r="F111" s="136">
        <v>0</v>
      </c>
      <c r="G111" s="133"/>
      <c r="H111" s="136">
        <v>0</v>
      </c>
      <c r="I111" s="133"/>
      <c r="J111" s="136">
        <v>0</v>
      </c>
      <c r="K111" s="133"/>
      <c r="L111" s="136">
        <v>0</v>
      </c>
      <c r="M111" s="133"/>
      <c r="N111" s="136">
        <v>0</v>
      </c>
      <c r="O111" s="133"/>
      <c r="P111" s="136">
        <v>0</v>
      </c>
      <c r="Q111" s="133"/>
      <c r="R111" s="136">
        <f t="shared" si="4"/>
        <v>0</v>
      </c>
      <c r="S111" s="14"/>
      <c r="T111" s="14"/>
      <c r="U111" s="14"/>
    </row>
    <row r="112" spans="1:21" x14ac:dyDescent="0.2">
      <c r="A112" s="3" t="s">
        <v>3247</v>
      </c>
      <c r="B112" s="136">
        <f>SUM(B100:B111)</f>
        <v>-69488916.13000001</v>
      </c>
      <c r="C112" s="133"/>
      <c r="D112" s="136">
        <f>SUM(D100:D111)</f>
        <v>-9921081.0799999982</v>
      </c>
      <c r="E112" s="133"/>
      <c r="F112" s="136">
        <f>SUM(F100:F111)</f>
        <v>890334.66999999993</v>
      </c>
      <c r="G112" s="133"/>
      <c r="H112" s="136">
        <f>SUM(H100:H111)</f>
        <v>0</v>
      </c>
      <c r="I112" s="133"/>
      <c r="J112" s="136">
        <f>SUM(J100:J111)</f>
        <v>0</v>
      </c>
      <c r="K112" s="133"/>
      <c r="L112" s="136">
        <f>SUM(L100:L111)</f>
        <v>100424.42</v>
      </c>
      <c r="M112" s="133"/>
      <c r="N112" s="136">
        <f>SUM(N100:N111)</f>
        <v>0</v>
      </c>
      <c r="O112" s="133"/>
      <c r="P112" s="136">
        <f>SUM(P100:P111)</f>
        <v>0</v>
      </c>
      <c r="Q112" s="133"/>
      <c r="R112" s="136">
        <f>SUM(R100:R111)</f>
        <v>-78419238.120000005</v>
      </c>
      <c r="S112" s="14"/>
      <c r="T112" s="14"/>
      <c r="U112" s="14"/>
    </row>
    <row r="113" spans="1:21" ht="12.75" customHeight="1" outlineLevel="1" x14ac:dyDescent="0.2">
      <c r="A113" s="3" t="s">
        <v>3248</v>
      </c>
      <c r="B113" s="136">
        <v>-2754531.7799999993</v>
      </c>
      <c r="C113" s="133"/>
      <c r="D113" s="136">
        <v>-151908.35999999999</v>
      </c>
      <c r="E113" s="133"/>
      <c r="F113" s="136">
        <v>0</v>
      </c>
      <c r="G113" s="133"/>
      <c r="H113" s="136">
        <v>0</v>
      </c>
      <c r="I113" s="133"/>
      <c r="J113" s="136">
        <v>0</v>
      </c>
      <c r="K113" s="133"/>
      <c r="L113" s="136">
        <v>0</v>
      </c>
      <c r="M113" s="133"/>
      <c r="N113" s="136">
        <v>0</v>
      </c>
      <c r="O113" s="133"/>
      <c r="P113" s="136">
        <v>0</v>
      </c>
      <c r="Q113" s="133"/>
      <c r="R113" s="136">
        <f t="shared" si="4"/>
        <v>-2906440.1399999992</v>
      </c>
      <c r="S113" s="14"/>
      <c r="T113" s="14"/>
      <c r="U113" s="14"/>
    </row>
    <row r="114" spans="1:21" ht="12.75" customHeight="1" outlineLevel="1" x14ac:dyDescent="0.2">
      <c r="A114" s="3" t="s">
        <v>3249</v>
      </c>
      <c r="B114" s="136">
        <v>-1297094.6200000001</v>
      </c>
      <c r="C114" s="133"/>
      <c r="D114" s="136">
        <v>-469702.64</v>
      </c>
      <c r="E114" s="133"/>
      <c r="F114" s="136">
        <v>0</v>
      </c>
      <c r="G114" s="133"/>
      <c r="H114" s="136">
        <v>0</v>
      </c>
      <c r="I114" s="133"/>
      <c r="J114" s="136">
        <v>0</v>
      </c>
      <c r="K114" s="133"/>
      <c r="L114" s="136">
        <v>0</v>
      </c>
      <c r="M114" s="133"/>
      <c r="N114" s="136">
        <v>0</v>
      </c>
      <c r="O114" s="133"/>
      <c r="P114" s="136">
        <v>0</v>
      </c>
      <c r="Q114" s="133"/>
      <c r="R114" s="136">
        <f t="shared" si="4"/>
        <v>-1766797.2600000002</v>
      </c>
      <c r="S114" s="14"/>
      <c r="T114" s="14"/>
      <c r="U114" s="14"/>
    </row>
    <row r="115" spans="1:21" ht="12.75" customHeight="1" outlineLevel="1" x14ac:dyDescent="0.2">
      <c r="A115" s="3" t="s">
        <v>3250</v>
      </c>
      <c r="B115" s="136">
        <v>-1640519.14</v>
      </c>
      <c r="C115" s="133"/>
      <c r="D115" s="136">
        <v>-126068.17</v>
      </c>
      <c r="E115" s="133"/>
      <c r="F115" s="136">
        <v>0</v>
      </c>
      <c r="G115" s="133"/>
      <c r="H115" s="136">
        <v>0</v>
      </c>
      <c r="I115" s="133"/>
      <c r="J115" s="136">
        <v>0</v>
      </c>
      <c r="K115" s="133"/>
      <c r="L115" s="136">
        <v>0</v>
      </c>
      <c r="M115" s="133"/>
      <c r="N115" s="136">
        <v>0</v>
      </c>
      <c r="O115" s="133"/>
      <c r="P115" s="136">
        <v>0</v>
      </c>
      <c r="Q115" s="133"/>
      <c r="R115" s="136">
        <f t="shared" si="4"/>
        <v>-1766587.3099999998</v>
      </c>
      <c r="S115" s="14"/>
      <c r="T115" s="14"/>
      <c r="U115" s="14"/>
    </row>
    <row r="116" spans="1:21" ht="12.75" customHeight="1" outlineLevel="1" x14ac:dyDescent="0.2">
      <c r="A116" s="3" t="s">
        <v>3251</v>
      </c>
      <c r="B116" s="136">
        <v>-1333747.51</v>
      </c>
      <c r="C116" s="133"/>
      <c r="D116" s="136">
        <v>-99541.2</v>
      </c>
      <c r="E116" s="133"/>
      <c r="F116" s="136">
        <v>0</v>
      </c>
      <c r="G116" s="133"/>
      <c r="H116" s="136">
        <v>0</v>
      </c>
      <c r="I116" s="133"/>
      <c r="J116" s="136">
        <v>0</v>
      </c>
      <c r="K116" s="133"/>
      <c r="L116" s="136">
        <v>0</v>
      </c>
      <c r="M116" s="133"/>
      <c r="N116" s="136">
        <v>0</v>
      </c>
      <c r="O116" s="133"/>
      <c r="P116" s="136">
        <v>0</v>
      </c>
      <c r="Q116" s="133"/>
      <c r="R116" s="136">
        <f t="shared" si="4"/>
        <v>-1433288.71</v>
      </c>
      <c r="S116" s="14"/>
      <c r="T116" s="14"/>
      <c r="U116" s="14"/>
    </row>
    <row r="117" spans="1:21" ht="12.75" customHeight="1" outlineLevel="1" x14ac:dyDescent="0.2">
      <c r="A117" s="3" t="s">
        <v>3252</v>
      </c>
      <c r="B117" s="136">
        <v>-1317328.08</v>
      </c>
      <c r="C117" s="133"/>
      <c r="D117" s="136">
        <v>-100989.29</v>
      </c>
      <c r="E117" s="133"/>
      <c r="F117" s="136">
        <v>0</v>
      </c>
      <c r="G117" s="133"/>
      <c r="H117" s="136">
        <v>0</v>
      </c>
      <c r="I117" s="133"/>
      <c r="J117" s="136">
        <v>0</v>
      </c>
      <c r="K117" s="133"/>
      <c r="L117" s="136">
        <v>0</v>
      </c>
      <c r="M117" s="133"/>
      <c r="N117" s="136">
        <v>0</v>
      </c>
      <c r="O117" s="133"/>
      <c r="P117" s="136">
        <v>0</v>
      </c>
      <c r="Q117" s="133"/>
      <c r="R117" s="136">
        <f t="shared" si="4"/>
        <v>-1418317.37</v>
      </c>
      <c r="S117" s="14"/>
      <c r="T117" s="14"/>
      <c r="U117" s="14"/>
    </row>
    <row r="118" spans="1:21" ht="12.75" customHeight="1" outlineLevel="1" x14ac:dyDescent="0.2">
      <c r="A118" s="3" t="s">
        <v>3253</v>
      </c>
      <c r="B118" s="136">
        <v>-209198.93999999997</v>
      </c>
      <c r="C118" s="133"/>
      <c r="D118" s="136">
        <v>-397135.74</v>
      </c>
      <c r="E118" s="133"/>
      <c r="F118" s="136">
        <v>0</v>
      </c>
      <c r="G118" s="133"/>
      <c r="H118" s="136">
        <v>0</v>
      </c>
      <c r="I118" s="133"/>
      <c r="J118" s="136">
        <v>0</v>
      </c>
      <c r="K118" s="133"/>
      <c r="L118" s="136">
        <v>0</v>
      </c>
      <c r="M118" s="133"/>
      <c r="N118" s="136">
        <v>0</v>
      </c>
      <c r="O118" s="133"/>
      <c r="P118" s="136">
        <v>0</v>
      </c>
      <c r="Q118" s="133"/>
      <c r="R118" s="136">
        <f t="shared" si="4"/>
        <v>-606334.67999999993</v>
      </c>
      <c r="S118" s="14"/>
      <c r="T118" s="14"/>
      <c r="U118" s="14"/>
    </row>
    <row r="119" spans="1:21" ht="12.75" customHeight="1" outlineLevel="1" x14ac:dyDescent="0.2">
      <c r="A119" s="3" t="s">
        <v>3254</v>
      </c>
      <c r="B119" s="136">
        <v>-1694423.0200000003</v>
      </c>
      <c r="C119" s="133"/>
      <c r="D119" s="136">
        <v>0</v>
      </c>
      <c r="E119" s="133"/>
      <c r="F119" s="136">
        <v>0</v>
      </c>
      <c r="G119" s="133"/>
      <c r="H119" s="136">
        <v>0</v>
      </c>
      <c r="I119" s="133"/>
      <c r="J119" s="136">
        <v>0</v>
      </c>
      <c r="K119" s="133"/>
      <c r="L119" s="136">
        <v>0</v>
      </c>
      <c r="M119" s="133"/>
      <c r="N119" s="136">
        <v>0</v>
      </c>
      <c r="O119" s="133"/>
      <c r="P119" s="136">
        <v>0</v>
      </c>
      <c r="Q119" s="133"/>
      <c r="R119" s="136">
        <f t="shared" si="4"/>
        <v>-1694423.0200000003</v>
      </c>
      <c r="S119" s="14"/>
      <c r="T119" s="14"/>
      <c r="U119" s="14"/>
    </row>
    <row r="120" spans="1:21" ht="12.75" customHeight="1" outlineLevel="1" x14ac:dyDescent="0.2">
      <c r="A120" s="3" t="s">
        <v>3255</v>
      </c>
      <c r="B120" s="136">
        <v>-3424975.0799999996</v>
      </c>
      <c r="C120" s="133"/>
      <c r="D120" s="136">
        <v>0</v>
      </c>
      <c r="E120" s="133"/>
      <c r="F120" s="136">
        <v>0</v>
      </c>
      <c r="G120" s="133"/>
      <c r="H120" s="136">
        <v>0</v>
      </c>
      <c r="I120" s="133"/>
      <c r="J120" s="136">
        <v>0</v>
      </c>
      <c r="K120" s="133"/>
      <c r="L120" s="136">
        <v>0</v>
      </c>
      <c r="M120" s="133"/>
      <c r="N120" s="136">
        <v>0</v>
      </c>
      <c r="O120" s="133"/>
      <c r="P120" s="136">
        <v>0</v>
      </c>
      <c r="Q120" s="133"/>
      <c r="R120" s="136">
        <f t="shared" si="4"/>
        <v>-3424975.0799999996</v>
      </c>
      <c r="S120" s="14"/>
      <c r="T120" s="14"/>
      <c r="U120" s="14"/>
    </row>
    <row r="121" spans="1:21" ht="12.75" customHeight="1" outlineLevel="1" x14ac:dyDescent="0.2">
      <c r="A121" s="3" t="s">
        <v>3256</v>
      </c>
      <c r="B121" s="136">
        <v>-2757740.0500000003</v>
      </c>
      <c r="C121" s="133"/>
      <c r="D121" s="136">
        <v>-234897.48</v>
      </c>
      <c r="E121" s="133"/>
      <c r="F121" s="136">
        <v>0</v>
      </c>
      <c r="G121" s="133"/>
      <c r="H121" s="136">
        <v>0</v>
      </c>
      <c r="I121" s="133"/>
      <c r="J121" s="136">
        <v>0</v>
      </c>
      <c r="K121" s="133"/>
      <c r="L121" s="136">
        <v>0</v>
      </c>
      <c r="M121" s="133"/>
      <c r="N121" s="136">
        <v>0</v>
      </c>
      <c r="O121" s="133"/>
      <c r="P121" s="136">
        <v>0</v>
      </c>
      <c r="Q121" s="133"/>
      <c r="R121" s="136">
        <f t="shared" si="4"/>
        <v>-2992637.5300000003</v>
      </c>
      <c r="S121" s="14"/>
      <c r="T121" s="14"/>
      <c r="U121" s="14"/>
    </row>
    <row r="122" spans="1:21" ht="12.75" customHeight="1" outlineLevel="1" x14ac:dyDescent="0.2">
      <c r="A122" s="3" t="s">
        <v>3257</v>
      </c>
      <c r="B122" s="136">
        <v>-731714.47000000009</v>
      </c>
      <c r="C122" s="133"/>
      <c r="D122" s="136">
        <v>-62546.59</v>
      </c>
      <c r="E122" s="133"/>
      <c r="F122" s="136">
        <v>3649.71</v>
      </c>
      <c r="G122" s="133"/>
      <c r="H122" s="136">
        <v>0</v>
      </c>
      <c r="I122" s="133"/>
      <c r="J122" s="136">
        <v>0</v>
      </c>
      <c r="K122" s="133"/>
      <c r="L122" s="136">
        <v>0</v>
      </c>
      <c r="M122" s="133"/>
      <c r="N122" s="136">
        <v>0</v>
      </c>
      <c r="O122" s="133"/>
      <c r="P122" s="136">
        <v>0</v>
      </c>
      <c r="Q122" s="133"/>
      <c r="R122" s="136">
        <f t="shared" si="4"/>
        <v>-790611.35000000009</v>
      </c>
      <c r="S122" s="14"/>
      <c r="T122" s="14"/>
      <c r="U122" s="14"/>
    </row>
    <row r="123" spans="1:21" ht="12.75" customHeight="1" outlineLevel="1" x14ac:dyDescent="0.2">
      <c r="A123" s="3" t="s">
        <v>3258</v>
      </c>
      <c r="B123" s="136">
        <v>-748810.3899999999</v>
      </c>
      <c r="C123" s="133"/>
      <c r="D123" s="136">
        <v>-59150.51</v>
      </c>
      <c r="E123" s="133"/>
      <c r="F123" s="136">
        <v>3004.96</v>
      </c>
      <c r="G123" s="133"/>
      <c r="H123" s="136">
        <v>0</v>
      </c>
      <c r="I123" s="133"/>
      <c r="J123" s="136">
        <v>0</v>
      </c>
      <c r="K123" s="133"/>
      <c r="L123" s="136">
        <v>0</v>
      </c>
      <c r="M123" s="133"/>
      <c r="N123" s="136">
        <v>0</v>
      </c>
      <c r="O123" s="133"/>
      <c r="P123" s="136">
        <v>0</v>
      </c>
      <c r="Q123" s="133"/>
      <c r="R123" s="136">
        <f t="shared" si="4"/>
        <v>-804955.94</v>
      </c>
      <c r="S123" s="14"/>
      <c r="T123" s="14"/>
      <c r="U123" s="14"/>
    </row>
    <row r="124" spans="1:21" ht="12.75" customHeight="1" outlineLevel="1" x14ac:dyDescent="0.2">
      <c r="A124" s="3" t="s">
        <v>3259</v>
      </c>
      <c r="B124" s="136">
        <v>-747849.91</v>
      </c>
      <c r="C124" s="133"/>
      <c r="D124" s="136">
        <v>-58181.2</v>
      </c>
      <c r="E124" s="133"/>
      <c r="F124" s="136">
        <v>35577.730000000003</v>
      </c>
      <c r="G124" s="133"/>
      <c r="H124" s="136">
        <v>0</v>
      </c>
      <c r="I124" s="133"/>
      <c r="J124" s="136">
        <v>0</v>
      </c>
      <c r="K124" s="133"/>
      <c r="L124" s="136">
        <v>0</v>
      </c>
      <c r="M124" s="133"/>
      <c r="N124" s="136">
        <v>0</v>
      </c>
      <c r="O124" s="133"/>
      <c r="P124" s="136">
        <v>0</v>
      </c>
      <c r="Q124" s="133"/>
      <c r="R124" s="136">
        <f t="shared" si="4"/>
        <v>-770453.38</v>
      </c>
      <c r="S124" s="14"/>
      <c r="T124" s="14"/>
      <c r="U124" s="14"/>
    </row>
    <row r="125" spans="1:21" ht="12.75" customHeight="1" outlineLevel="1" x14ac:dyDescent="0.2">
      <c r="A125" s="3" t="s">
        <v>3260</v>
      </c>
      <c r="B125" s="136">
        <v>-737577.87</v>
      </c>
      <c r="C125" s="133"/>
      <c r="D125" s="136">
        <v>-62427.27</v>
      </c>
      <c r="E125" s="133"/>
      <c r="F125" s="136">
        <v>3226.13</v>
      </c>
      <c r="G125" s="133"/>
      <c r="H125" s="136">
        <v>0</v>
      </c>
      <c r="I125" s="133"/>
      <c r="J125" s="136">
        <v>0</v>
      </c>
      <c r="K125" s="133"/>
      <c r="L125" s="136">
        <v>0</v>
      </c>
      <c r="M125" s="133"/>
      <c r="N125" s="136">
        <v>0</v>
      </c>
      <c r="O125" s="133"/>
      <c r="P125" s="136">
        <v>0</v>
      </c>
      <c r="Q125" s="133"/>
      <c r="R125" s="136">
        <f t="shared" si="4"/>
        <v>-796779.01</v>
      </c>
      <c r="S125" s="14"/>
      <c r="T125" s="14"/>
      <c r="U125" s="14"/>
    </row>
    <row r="126" spans="1:21" ht="12.75" customHeight="1" outlineLevel="1" x14ac:dyDescent="0.2">
      <c r="A126" s="3" t="s">
        <v>3261</v>
      </c>
      <c r="B126" s="136">
        <v>-733515.56</v>
      </c>
      <c r="C126" s="133"/>
      <c r="D126" s="136">
        <v>-62087.97</v>
      </c>
      <c r="E126" s="133"/>
      <c r="F126" s="136">
        <v>3209.69</v>
      </c>
      <c r="G126" s="133"/>
      <c r="H126" s="136">
        <v>0</v>
      </c>
      <c r="I126" s="133"/>
      <c r="J126" s="136">
        <v>0</v>
      </c>
      <c r="K126" s="133"/>
      <c r="L126" s="136">
        <v>0</v>
      </c>
      <c r="M126" s="133"/>
      <c r="N126" s="136">
        <v>0</v>
      </c>
      <c r="O126" s="133"/>
      <c r="P126" s="136">
        <v>0</v>
      </c>
      <c r="Q126" s="133"/>
      <c r="R126" s="136">
        <f t="shared" si="4"/>
        <v>-792393.84000000008</v>
      </c>
      <c r="S126" s="14"/>
      <c r="T126" s="14"/>
      <c r="U126" s="14"/>
    </row>
    <row r="127" spans="1:21" ht="12.75" customHeight="1" outlineLevel="1" x14ac:dyDescent="0.2">
      <c r="A127" s="3" t="s">
        <v>3262</v>
      </c>
      <c r="B127" s="136">
        <v>-705405.65000000014</v>
      </c>
      <c r="C127" s="133"/>
      <c r="D127" s="136">
        <v>-74592.69</v>
      </c>
      <c r="E127" s="133"/>
      <c r="F127" s="136">
        <v>259348.13</v>
      </c>
      <c r="G127" s="133"/>
      <c r="H127" s="136">
        <v>0</v>
      </c>
      <c r="I127" s="133"/>
      <c r="J127" s="136">
        <v>0</v>
      </c>
      <c r="K127" s="133"/>
      <c r="L127" s="136">
        <v>71189.86</v>
      </c>
      <c r="M127" s="133"/>
      <c r="N127" s="136">
        <v>0</v>
      </c>
      <c r="O127" s="133"/>
      <c r="P127" s="136">
        <v>0</v>
      </c>
      <c r="Q127" s="133"/>
      <c r="R127" s="136">
        <f t="shared" si="4"/>
        <v>-449460.35000000009</v>
      </c>
      <c r="S127" s="14"/>
      <c r="T127" s="14"/>
      <c r="U127" s="14"/>
    </row>
    <row r="128" spans="1:21" ht="12.75" customHeight="1" outlineLevel="1" x14ac:dyDescent="0.2">
      <c r="A128" s="3" t="s">
        <v>3263</v>
      </c>
      <c r="B128" s="136">
        <v>0</v>
      </c>
      <c r="C128" s="133"/>
      <c r="D128" s="136">
        <v>0</v>
      </c>
      <c r="E128" s="133"/>
      <c r="F128" s="136">
        <v>0</v>
      </c>
      <c r="G128" s="133"/>
      <c r="H128" s="136">
        <v>0</v>
      </c>
      <c r="I128" s="133"/>
      <c r="J128" s="136">
        <v>0</v>
      </c>
      <c r="K128" s="133"/>
      <c r="L128" s="136">
        <v>0</v>
      </c>
      <c r="M128" s="133"/>
      <c r="N128" s="136">
        <v>0</v>
      </c>
      <c r="O128" s="133"/>
      <c r="P128" s="136">
        <v>0</v>
      </c>
      <c r="Q128" s="133"/>
      <c r="R128" s="136">
        <f t="shared" si="4"/>
        <v>0</v>
      </c>
      <c r="S128" s="14"/>
      <c r="T128" s="14"/>
      <c r="U128" s="14"/>
    </row>
    <row r="129" spans="1:21" ht="12.75" customHeight="1" outlineLevel="1" x14ac:dyDescent="0.2">
      <c r="A129" s="3" t="s">
        <v>3264</v>
      </c>
      <c r="B129" s="136">
        <v>-2007413.5399999998</v>
      </c>
      <c r="C129" s="133"/>
      <c r="D129" s="136">
        <v>0</v>
      </c>
      <c r="E129" s="133"/>
      <c r="F129" s="136">
        <v>0</v>
      </c>
      <c r="G129" s="133"/>
      <c r="H129" s="136">
        <v>0</v>
      </c>
      <c r="I129" s="133"/>
      <c r="J129" s="136">
        <v>0</v>
      </c>
      <c r="K129" s="133"/>
      <c r="L129" s="136">
        <v>0</v>
      </c>
      <c r="M129" s="133"/>
      <c r="N129" s="136">
        <v>0</v>
      </c>
      <c r="O129" s="133"/>
      <c r="P129" s="136">
        <v>0</v>
      </c>
      <c r="Q129" s="133"/>
      <c r="R129" s="136">
        <f t="shared" si="4"/>
        <v>-2007413.5399999998</v>
      </c>
      <c r="S129" s="14"/>
      <c r="T129" s="14"/>
      <c r="U129" s="14"/>
    </row>
    <row r="130" spans="1:21" x14ac:dyDescent="0.2">
      <c r="A130" s="3" t="s">
        <v>3265</v>
      </c>
      <c r="B130" s="136">
        <f>SUM(B113:B129)</f>
        <v>-22841845.609999996</v>
      </c>
      <c r="C130" s="133"/>
      <c r="D130" s="136">
        <f>SUM(D113:D129)</f>
        <v>-1959229.1099999999</v>
      </c>
      <c r="E130" s="133"/>
      <c r="F130" s="136">
        <f>SUM(F113:F129)</f>
        <v>308016.34999999998</v>
      </c>
      <c r="G130" s="133"/>
      <c r="H130" s="136">
        <f>SUM(H113:H129)</f>
        <v>0</v>
      </c>
      <c r="I130" s="133"/>
      <c r="J130" s="136">
        <f>SUM(J113:J129)</f>
        <v>0</v>
      </c>
      <c r="K130" s="133"/>
      <c r="L130" s="136">
        <f>SUM(L113:L129)</f>
        <v>71189.86</v>
      </c>
      <c r="M130" s="133"/>
      <c r="N130" s="136">
        <f>SUM(N113:N129)</f>
        <v>0</v>
      </c>
      <c r="O130" s="136"/>
      <c r="P130" s="136">
        <f>SUM(P113:P129)</f>
        <v>0</v>
      </c>
      <c r="Q130" s="133"/>
      <c r="R130" s="136">
        <f>SUM(R113:R129)</f>
        <v>-24421868.510000002</v>
      </c>
      <c r="S130" s="14"/>
      <c r="T130" s="14"/>
      <c r="U130" s="14"/>
    </row>
    <row r="131" spans="1:21" ht="12.75" customHeight="1" outlineLevel="1" x14ac:dyDescent="0.2">
      <c r="A131" s="3" t="s">
        <v>3266</v>
      </c>
      <c r="B131" s="136">
        <v>-130386.07</v>
      </c>
      <c r="C131" s="133"/>
      <c r="D131" s="136">
        <v>-3858.78</v>
      </c>
      <c r="E131" s="133"/>
      <c r="F131" s="136">
        <v>0</v>
      </c>
      <c r="G131" s="133"/>
      <c r="H131" s="136">
        <v>0</v>
      </c>
      <c r="I131" s="133"/>
      <c r="J131" s="136">
        <v>0</v>
      </c>
      <c r="K131" s="133"/>
      <c r="L131" s="136">
        <v>0</v>
      </c>
      <c r="M131" s="133"/>
      <c r="N131" s="136">
        <v>0</v>
      </c>
      <c r="O131" s="133"/>
      <c r="P131" s="136">
        <v>0</v>
      </c>
      <c r="Q131" s="133"/>
      <c r="R131" s="136">
        <f t="shared" si="4"/>
        <v>-134244.85</v>
      </c>
      <c r="S131" s="14"/>
      <c r="T131" s="14"/>
      <c r="U131" s="14"/>
    </row>
    <row r="132" spans="1:21" ht="12.75" customHeight="1" outlineLevel="1" x14ac:dyDescent="0.2">
      <c r="A132" s="3" t="s">
        <v>3267</v>
      </c>
      <c r="B132" s="136">
        <v>-305086.33999999997</v>
      </c>
      <c r="C132" s="133"/>
      <c r="D132" s="136">
        <v>-151112.23000000001</v>
      </c>
      <c r="E132" s="133"/>
      <c r="F132" s="136">
        <v>0</v>
      </c>
      <c r="G132" s="133"/>
      <c r="H132" s="136">
        <v>0</v>
      </c>
      <c r="I132" s="133"/>
      <c r="J132" s="136">
        <v>0</v>
      </c>
      <c r="K132" s="133"/>
      <c r="L132" s="136">
        <v>0</v>
      </c>
      <c r="M132" s="133"/>
      <c r="N132" s="136">
        <v>0</v>
      </c>
      <c r="O132" s="133"/>
      <c r="P132" s="136">
        <v>0</v>
      </c>
      <c r="Q132" s="133"/>
      <c r="R132" s="136">
        <f t="shared" si="4"/>
        <v>-456198.56999999995</v>
      </c>
      <c r="S132" s="14"/>
      <c r="T132" s="14"/>
      <c r="U132" s="14"/>
    </row>
    <row r="133" spans="1:21" ht="12.75" customHeight="1" outlineLevel="1" x14ac:dyDescent="0.2">
      <c r="A133" s="3" t="s">
        <v>3268</v>
      </c>
      <c r="B133" s="136">
        <v>-1370932.2399999998</v>
      </c>
      <c r="C133" s="133"/>
      <c r="D133" s="136">
        <v>-99150.42</v>
      </c>
      <c r="E133" s="136"/>
      <c r="F133" s="136">
        <v>0</v>
      </c>
      <c r="G133" s="136"/>
      <c r="H133" s="136">
        <v>0</v>
      </c>
      <c r="I133" s="133"/>
      <c r="J133" s="136">
        <v>0</v>
      </c>
      <c r="K133" s="133"/>
      <c r="L133" s="136">
        <v>0</v>
      </c>
      <c r="M133" s="133"/>
      <c r="N133" s="136">
        <v>0</v>
      </c>
      <c r="O133" s="133"/>
      <c r="P133" s="136">
        <v>0</v>
      </c>
      <c r="Q133" s="133"/>
      <c r="R133" s="136">
        <f t="shared" si="4"/>
        <v>-1470082.6599999997</v>
      </c>
      <c r="S133" s="14"/>
      <c r="T133" s="14"/>
      <c r="U133" s="14"/>
    </row>
    <row r="134" spans="1:21" ht="12.75" customHeight="1" outlineLevel="1" x14ac:dyDescent="0.2">
      <c r="A134" s="3" t="s">
        <v>3269</v>
      </c>
      <c r="B134" s="136">
        <v>-532385.38</v>
      </c>
      <c r="C134" s="133"/>
      <c r="D134" s="136">
        <v>-41095.68</v>
      </c>
      <c r="E134" s="136"/>
      <c r="F134" s="136">
        <v>0</v>
      </c>
      <c r="G134" s="136"/>
      <c r="H134" s="136">
        <v>0</v>
      </c>
      <c r="I134" s="133"/>
      <c r="J134" s="136">
        <v>0</v>
      </c>
      <c r="K134" s="133"/>
      <c r="L134" s="136">
        <v>0</v>
      </c>
      <c r="M134" s="133"/>
      <c r="N134" s="136">
        <v>0</v>
      </c>
      <c r="O134" s="133"/>
      <c r="P134" s="136">
        <v>0</v>
      </c>
      <c r="Q134" s="133"/>
      <c r="R134" s="136">
        <f t="shared" si="4"/>
        <v>-573481.06000000006</v>
      </c>
      <c r="S134" s="14"/>
      <c r="T134" s="14"/>
      <c r="U134" s="14"/>
    </row>
    <row r="135" spans="1:21" ht="12.75" customHeight="1" outlineLevel="1" x14ac:dyDescent="0.2">
      <c r="A135" s="3" t="s">
        <v>3270</v>
      </c>
      <c r="B135" s="136">
        <v>-520873.88</v>
      </c>
      <c r="C135" s="133"/>
      <c r="D135" s="136">
        <v>-40671.839999999997</v>
      </c>
      <c r="E135" s="136"/>
      <c r="F135" s="136">
        <v>0</v>
      </c>
      <c r="G135" s="136"/>
      <c r="H135" s="136">
        <v>0</v>
      </c>
      <c r="I135" s="133"/>
      <c r="J135" s="136">
        <v>0</v>
      </c>
      <c r="K135" s="133"/>
      <c r="L135" s="136">
        <v>0</v>
      </c>
      <c r="M135" s="133"/>
      <c r="N135" s="136">
        <v>0</v>
      </c>
      <c r="O135" s="133"/>
      <c r="P135" s="136">
        <v>0</v>
      </c>
      <c r="Q135" s="133"/>
      <c r="R135" s="136">
        <f t="shared" si="4"/>
        <v>-561545.72</v>
      </c>
      <c r="S135" s="14"/>
      <c r="T135" s="14"/>
      <c r="U135" s="14"/>
    </row>
    <row r="136" spans="1:21" ht="12.75" customHeight="1" outlineLevel="1" x14ac:dyDescent="0.2">
      <c r="A136" s="3" t="s">
        <v>3271</v>
      </c>
      <c r="B136" s="136">
        <v>-10218.790000000001</v>
      </c>
      <c r="C136" s="133"/>
      <c r="D136" s="136">
        <v>-19124.150000000001</v>
      </c>
      <c r="E136" s="136"/>
      <c r="F136" s="136">
        <v>0</v>
      </c>
      <c r="G136" s="136"/>
      <c r="H136" s="136">
        <v>0</v>
      </c>
      <c r="I136" s="133"/>
      <c r="J136" s="136">
        <v>0</v>
      </c>
      <c r="K136" s="133"/>
      <c r="L136" s="136">
        <v>0</v>
      </c>
      <c r="M136" s="133"/>
      <c r="N136" s="136">
        <v>0</v>
      </c>
      <c r="O136" s="133"/>
      <c r="P136" s="136">
        <v>0</v>
      </c>
      <c r="Q136" s="133"/>
      <c r="R136" s="136">
        <f t="shared" si="4"/>
        <v>-29342.940000000002</v>
      </c>
      <c r="S136" s="14"/>
      <c r="T136" s="14"/>
      <c r="U136" s="14"/>
    </row>
    <row r="137" spans="1:21" ht="12.75" customHeight="1" outlineLevel="1" x14ac:dyDescent="0.2">
      <c r="A137" s="3" t="s">
        <v>3272</v>
      </c>
      <c r="B137" s="136">
        <v>-47921.320000000014</v>
      </c>
      <c r="C137" s="133"/>
      <c r="D137" s="136">
        <v>-113378.1</v>
      </c>
      <c r="E137" s="136"/>
      <c r="F137" s="136">
        <v>0</v>
      </c>
      <c r="G137" s="136"/>
      <c r="H137" s="136">
        <v>0</v>
      </c>
      <c r="I137" s="133"/>
      <c r="J137" s="136">
        <v>0</v>
      </c>
      <c r="K137" s="133"/>
      <c r="L137" s="136">
        <v>0</v>
      </c>
      <c r="M137" s="133"/>
      <c r="N137" s="136">
        <v>0</v>
      </c>
      <c r="O137" s="133"/>
      <c r="P137" s="136">
        <v>0</v>
      </c>
      <c r="Q137" s="133"/>
      <c r="R137" s="136">
        <f t="shared" si="4"/>
        <v>-161299.42000000001</v>
      </c>
      <c r="S137" s="14"/>
      <c r="T137" s="14"/>
      <c r="U137" s="14"/>
    </row>
    <row r="138" spans="1:21" ht="12.75" customHeight="1" outlineLevel="1" x14ac:dyDescent="0.2">
      <c r="A138" s="3" t="s">
        <v>3273</v>
      </c>
      <c r="B138" s="136">
        <v>-609479.88</v>
      </c>
      <c r="C138" s="133"/>
      <c r="D138" s="136">
        <v>-143855.46</v>
      </c>
      <c r="E138" s="136"/>
      <c r="F138" s="136">
        <v>0</v>
      </c>
      <c r="G138" s="136"/>
      <c r="H138" s="136">
        <v>0</v>
      </c>
      <c r="I138" s="133"/>
      <c r="J138" s="136">
        <v>0</v>
      </c>
      <c r="K138" s="133"/>
      <c r="L138" s="136">
        <v>0</v>
      </c>
      <c r="M138" s="133"/>
      <c r="N138" s="136">
        <v>0</v>
      </c>
      <c r="O138" s="133"/>
      <c r="P138" s="136">
        <v>0</v>
      </c>
      <c r="Q138" s="133"/>
      <c r="R138" s="136">
        <f t="shared" si="4"/>
        <v>-753335.34</v>
      </c>
      <c r="S138" s="14"/>
      <c r="T138" s="14"/>
      <c r="U138" s="14"/>
    </row>
    <row r="139" spans="1:21" ht="12.75" customHeight="1" outlineLevel="1" x14ac:dyDescent="0.2">
      <c r="A139" s="3" t="s">
        <v>3274</v>
      </c>
      <c r="B139" s="136">
        <v>-1461655.9599999997</v>
      </c>
      <c r="C139" s="133"/>
      <c r="D139" s="136">
        <v>-109449.60000000001</v>
      </c>
      <c r="E139" s="136"/>
      <c r="F139" s="136">
        <v>0</v>
      </c>
      <c r="G139" s="136"/>
      <c r="H139" s="136">
        <v>0</v>
      </c>
      <c r="I139" s="133"/>
      <c r="J139" s="136">
        <v>0</v>
      </c>
      <c r="K139" s="133"/>
      <c r="L139" s="136">
        <v>0</v>
      </c>
      <c r="M139" s="133"/>
      <c r="N139" s="136">
        <v>0</v>
      </c>
      <c r="O139" s="133"/>
      <c r="P139" s="136">
        <v>0</v>
      </c>
      <c r="Q139" s="133"/>
      <c r="R139" s="136">
        <f t="shared" ref="R139:R166" si="7">SUM(B139:P139)</f>
        <v>-1571105.5599999998</v>
      </c>
      <c r="S139" s="14"/>
      <c r="T139" s="14"/>
      <c r="U139" s="14"/>
    </row>
    <row r="140" spans="1:21" ht="12.75" customHeight="1" outlineLevel="1" x14ac:dyDescent="0.2">
      <c r="A140" s="3" t="s">
        <v>3275</v>
      </c>
      <c r="B140" s="136">
        <v>-1794879.67</v>
      </c>
      <c r="C140" s="133"/>
      <c r="D140" s="136">
        <v>-177395.01</v>
      </c>
      <c r="E140" s="136"/>
      <c r="F140" s="136">
        <v>0</v>
      </c>
      <c r="G140" s="136"/>
      <c r="H140" s="136">
        <v>0</v>
      </c>
      <c r="I140" s="133"/>
      <c r="J140" s="136">
        <v>0</v>
      </c>
      <c r="K140" s="133"/>
      <c r="L140" s="136">
        <v>0</v>
      </c>
      <c r="M140" s="133"/>
      <c r="N140" s="136">
        <v>0</v>
      </c>
      <c r="O140" s="133"/>
      <c r="P140" s="136">
        <v>0</v>
      </c>
      <c r="Q140" s="133"/>
      <c r="R140" s="136">
        <f t="shared" si="7"/>
        <v>-1972274.68</v>
      </c>
      <c r="S140" s="14"/>
      <c r="T140" s="14"/>
      <c r="U140" s="14"/>
    </row>
    <row r="141" spans="1:21" ht="12.75" customHeight="1" outlineLevel="1" x14ac:dyDescent="0.2">
      <c r="A141" s="3" t="s">
        <v>3276</v>
      </c>
      <c r="B141" s="136">
        <v>-320604.27999999997</v>
      </c>
      <c r="C141" s="133"/>
      <c r="D141" s="136">
        <v>-29466</v>
      </c>
      <c r="E141" s="136"/>
      <c r="F141" s="136">
        <v>0</v>
      </c>
      <c r="G141" s="136"/>
      <c r="H141" s="136">
        <v>0</v>
      </c>
      <c r="I141" s="133"/>
      <c r="J141" s="136">
        <v>0</v>
      </c>
      <c r="K141" s="133"/>
      <c r="L141" s="136">
        <v>0</v>
      </c>
      <c r="M141" s="133"/>
      <c r="N141" s="136">
        <v>0</v>
      </c>
      <c r="O141" s="133"/>
      <c r="P141" s="136">
        <v>0</v>
      </c>
      <c r="Q141" s="133"/>
      <c r="R141" s="136">
        <f t="shared" si="7"/>
        <v>-350070.27999999997</v>
      </c>
      <c r="S141" s="14"/>
      <c r="T141" s="14"/>
      <c r="U141" s="14"/>
    </row>
    <row r="142" spans="1:21" ht="12.75" customHeight="1" outlineLevel="1" x14ac:dyDescent="0.2">
      <c r="A142" s="3" t="s">
        <v>3277</v>
      </c>
      <c r="B142" s="136">
        <v>-721016.1</v>
      </c>
      <c r="C142" s="133"/>
      <c r="D142" s="136">
        <v>-66580.2</v>
      </c>
      <c r="E142" s="133"/>
      <c r="F142" s="136">
        <v>0</v>
      </c>
      <c r="G142" s="133"/>
      <c r="H142" s="136">
        <v>0</v>
      </c>
      <c r="I142" s="133"/>
      <c r="J142" s="136">
        <v>0</v>
      </c>
      <c r="K142" s="133"/>
      <c r="L142" s="136">
        <v>0</v>
      </c>
      <c r="M142" s="133"/>
      <c r="N142" s="136">
        <v>0</v>
      </c>
      <c r="O142" s="133"/>
      <c r="P142" s="136">
        <v>0</v>
      </c>
      <c r="Q142" s="133"/>
      <c r="R142" s="136">
        <f t="shared" si="7"/>
        <v>-787596.29999999993</v>
      </c>
      <c r="S142" s="14"/>
      <c r="T142" s="14"/>
      <c r="U142" s="14"/>
    </row>
    <row r="143" spans="1:21" ht="12.75" customHeight="1" outlineLevel="1" x14ac:dyDescent="0.2">
      <c r="A143" s="3" t="s">
        <v>3278</v>
      </c>
      <c r="B143" s="136">
        <v>-801261.5900000002</v>
      </c>
      <c r="C143" s="133"/>
      <c r="D143" s="136">
        <v>-82630.080000000002</v>
      </c>
      <c r="E143" s="133"/>
      <c r="F143" s="136">
        <v>0</v>
      </c>
      <c r="G143" s="133"/>
      <c r="H143" s="136">
        <v>0</v>
      </c>
      <c r="I143" s="133"/>
      <c r="J143" s="136">
        <v>0</v>
      </c>
      <c r="K143" s="133"/>
      <c r="L143" s="136">
        <v>0</v>
      </c>
      <c r="M143" s="133"/>
      <c r="N143" s="136">
        <v>0</v>
      </c>
      <c r="O143" s="133"/>
      <c r="P143" s="136">
        <v>0</v>
      </c>
      <c r="Q143" s="133"/>
      <c r="R143" s="136">
        <f t="shared" si="7"/>
        <v>-883891.67000000016</v>
      </c>
      <c r="S143" s="14"/>
      <c r="T143" s="14"/>
      <c r="U143" s="14"/>
    </row>
    <row r="144" spans="1:21" ht="12.75" customHeight="1" outlineLevel="1" x14ac:dyDescent="0.2">
      <c r="A144" s="3" t="s">
        <v>3279</v>
      </c>
      <c r="B144" s="136">
        <v>-808319.99999999988</v>
      </c>
      <c r="C144" s="133"/>
      <c r="D144" s="136">
        <v>-70363.679999999993</v>
      </c>
      <c r="E144" s="133"/>
      <c r="F144" s="136">
        <v>0</v>
      </c>
      <c r="G144" s="133"/>
      <c r="H144" s="136">
        <v>0</v>
      </c>
      <c r="I144" s="133"/>
      <c r="J144" s="136">
        <v>0</v>
      </c>
      <c r="K144" s="133"/>
      <c r="L144" s="136">
        <v>0</v>
      </c>
      <c r="M144" s="133"/>
      <c r="N144" s="136">
        <v>0</v>
      </c>
      <c r="O144" s="133"/>
      <c r="P144" s="136">
        <v>0</v>
      </c>
      <c r="Q144" s="133"/>
      <c r="R144" s="136">
        <f t="shared" si="7"/>
        <v>-878683.67999999993</v>
      </c>
      <c r="S144" s="14"/>
      <c r="T144" s="14"/>
      <c r="U144" s="14"/>
    </row>
    <row r="145" spans="1:21" ht="12.75" customHeight="1" outlineLevel="1" x14ac:dyDescent="0.2">
      <c r="A145" s="3" t="s">
        <v>3280</v>
      </c>
      <c r="B145" s="136">
        <v>-829288.86</v>
      </c>
      <c r="C145" s="133"/>
      <c r="D145" s="136">
        <v>-70615.62</v>
      </c>
      <c r="E145" s="133"/>
      <c r="F145" s="136">
        <v>0</v>
      </c>
      <c r="G145" s="133"/>
      <c r="H145" s="136">
        <v>0</v>
      </c>
      <c r="I145" s="133"/>
      <c r="J145" s="136">
        <v>0</v>
      </c>
      <c r="K145" s="133"/>
      <c r="L145" s="136">
        <v>0</v>
      </c>
      <c r="M145" s="133"/>
      <c r="N145" s="136">
        <v>0</v>
      </c>
      <c r="O145" s="133"/>
      <c r="P145" s="136">
        <v>0</v>
      </c>
      <c r="Q145" s="133"/>
      <c r="R145" s="136">
        <f t="shared" si="7"/>
        <v>-899904.48</v>
      </c>
      <c r="S145" s="14"/>
      <c r="T145" s="14"/>
      <c r="U145" s="14"/>
    </row>
    <row r="146" spans="1:21" ht="12.75" customHeight="1" outlineLevel="1" x14ac:dyDescent="0.2">
      <c r="A146" s="3" t="s">
        <v>3281</v>
      </c>
      <c r="B146" s="136">
        <v>0</v>
      </c>
      <c r="C146" s="133"/>
      <c r="D146" s="136">
        <v>0</v>
      </c>
      <c r="E146" s="133"/>
      <c r="F146" s="136">
        <v>0</v>
      </c>
      <c r="G146" s="133"/>
      <c r="H146" s="136">
        <v>0</v>
      </c>
      <c r="I146" s="133"/>
      <c r="J146" s="136">
        <v>0</v>
      </c>
      <c r="K146" s="133"/>
      <c r="L146" s="136">
        <v>0</v>
      </c>
      <c r="M146" s="133"/>
      <c r="N146" s="136">
        <v>0</v>
      </c>
      <c r="O146" s="133"/>
      <c r="P146" s="136">
        <v>0</v>
      </c>
      <c r="Q146" s="133"/>
      <c r="R146" s="136">
        <f t="shared" si="7"/>
        <v>0</v>
      </c>
      <c r="S146" s="14"/>
      <c r="T146" s="14"/>
      <c r="U146" s="14"/>
    </row>
    <row r="147" spans="1:21" ht="12.75" customHeight="1" outlineLevel="1" x14ac:dyDescent="0.2">
      <c r="A147" s="3" t="s">
        <v>3282</v>
      </c>
      <c r="B147" s="136">
        <v>-51945.78</v>
      </c>
      <c r="C147" s="133"/>
      <c r="D147" s="136">
        <v>-6909.96</v>
      </c>
      <c r="E147" s="133"/>
      <c r="F147" s="136">
        <v>0</v>
      </c>
      <c r="G147" s="133"/>
      <c r="H147" s="136">
        <v>0</v>
      </c>
      <c r="I147" s="133"/>
      <c r="J147" s="136">
        <v>0</v>
      </c>
      <c r="K147" s="133"/>
      <c r="L147" s="136">
        <v>0</v>
      </c>
      <c r="M147" s="133"/>
      <c r="N147" s="136">
        <v>0</v>
      </c>
      <c r="O147" s="133"/>
      <c r="P147" s="136">
        <v>0</v>
      </c>
      <c r="Q147" s="133"/>
      <c r="R147" s="136">
        <f t="shared" si="7"/>
        <v>-58855.74</v>
      </c>
      <c r="S147" s="14"/>
      <c r="T147" s="14"/>
      <c r="U147" s="14"/>
    </row>
    <row r="148" spans="1:21" x14ac:dyDescent="0.2">
      <c r="A148" s="3" t="s">
        <v>3283</v>
      </c>
      <c r="B148" s="136">
        <f>SUM(B131:B147)</f>
        <v>-10316256.139999999</v>
      </c>
      <c r="C148" s="133"/>
      <c r="D148" s="136">
        <f>SUM(D131:D147)</f>
        <v>-1225656.8099999996</v>
      </c>
      <c r="E148" s="133"/>
      <c r="F148" s="136">
        <f>SUM(F131:F147)</f>
        <v>0</v>
      </c>
      <c r="G148" s="133"/>
      <c r="H148" s="136">
        <f>SUM(H131:H147)</f>
        <v>0</v>
      </c>
      <c r="I148" s="133"/>
      <c r="J148" s="136">
        <f>SUM(J131:J147)</f>
        <v>0</v>
      </c>
      <c r="K148" s="136"/>
      <c r="L148" s="136">
        <f>SUM(L131:L147)</f>
        <v>0</v>
      </c>
      <c r="M148" s="133"/>
      <c r="N148" s="136">
        <f>SUM(N131:N147)</f>
        <v>0</v>
      </c>
      <c r="O148" s="133"/>
      <c r="P148" s="136">
        <f>SUM(P131:P147)</f>
        <v>0</v>
      </c>
      <c r="Q148" s="133"/>
      <c r="R148" s="136">
        <f>SUM(R131:R147)</f>
        <v>-11541912.949999999</v>
      </c>
      <c r="S148" s="14"/>
      <c r="T148" s="14"/>
      <c r="U148" s="14"/>
    </row>
    <row r="149" spans="1:21" ht="12.75" customHeight="1" outlineLevel="1" x14ac:dyDescent="0.2">
      <c r="A149" s="3" t="s">
        <v>3284</v>
      </c>
      <c r="B149" s="136">
        <v>-11448.2</v>
      </c>
      <c r="C149" s="133"/>
      <c r="D149" s="136">
        <v>-25157.96</v>
      </c>
      <c r="E149" s="133"/>
      <c r="F149" s="136">
        <v>0</v>
      </c>
      <c r="G149" s="133"/>
      <c r="H149" s="136">
        <v>0</v>
      </c>
      <c r="I149" s="133"/>
      <c r="J149" s="136">
        <v>0</v>
      </c>
      <c r="K149" s="133"/>
      <c r="L149" s="136">
        <v>0</v>
      </c>
      <c r="M149" s="133"/>
      <c r="N149" s="136">
        <v>0</v>
      </c>
      <c r="O149" s="133"/>
      <c r="P149" s="136">
        <v>0</v>
      </c>
      <c r="Q149" s="133"/>
      <c r="R149" s="136">
        <f t="shared" si="7"/>
        <v>-36606.160000000003</v>
      </c>
      <c r="S149" s="14"/>
      <c r="T149" s="14"/>
      <c r="U149" s="14"/>
    </row>
    <row r="150" spans="1:21" ht="12.75" customHeight="1" outlineLevel="1" x14ac:dyDescent="0.2">
      <c r="A150" s="3" t="s">
        <v>3285</v>
      </c>
      <c r="B150" s="136">
        <v>-1226178.3400000001</v>
      </c>
      <c r="C150" s="133"/>
      <c r="D150" s="136">
        <v>-91661.87</v>
      </c>
      <c r="E150" s="133"/>
      <c r="F150" s="136">
        <v>15317.22</v>
      </c>
      <c r="G150" s="133"/>
      <c r="H150" s="136">
        <v>0</v>
      </c>
      <c r="I150" s="133"/>
      <c r="J150" s="136">
        <v>0</v>
      </c>
      <c r="K150" s="133"/>
      <c r="L150" s="136">
        <v>0</v>
      </c>
      <c r="M150" s="133"/>
      <c r="N150" s="136">
        <v>0</v>
      </c>
      <c r="O150" s="133"/>
      <c r="P150" s="136">
        <v>0</v>
      </c>
      <c r="Q150" s="133"/>
      <c r="R150" s="136">
        <f t="shared" si="7"/>
        <v>-1302522.99</v>
      </c>
      <c r="S150" s="14"/>
      <c r="T150" s="14"/>
      <c r="U150" s="14"/>
    </row>
    <row r="151" spans="1:21" ht="12.75" customHeight="1" outlineLevel="1" x14ac:dyDescent="0.2">
      <c r="A151" s="3" t="s">
        <v>3286</v>
      </c>
      <c r="B151" s="136">
        <v>-12240.779999999999</v>
      </c>
      <c r="C151" s="133"/>
      <c r="D151" s="136">
        <v>-920.7</v>
      </c>
      <c r="E151" s="133"/>
      <c r="F151" s="136">
        <v>0</v>
      </c>
      <c r="G151" s="133"/>
      <c r="H151" s="136">
        <v>0</v>
      </c>
      <c r="I151" s="133"/>
      <c r="J151" s="136">
        <v>0</v>
      </c>
      <c r="K151" s="133"/>
      <c r="L151" s="136">
        <v>0</v>
      </c>
      <c r="M151" s="133"/>
      <c r="N151" s="136">
        <v>0</v>
      </c>
      <c r="O151" s="133"/>
      <c r="P151" s="136">
        <v>0</v>
      </c>
      <c r="Q151" s="133"/>
      <c r="R151" s="136">
        <f t="shared" si="7"/>
        <v>-13161.48</v>
      </c>
      <c r="S151" s="14"/>
      <c r="T151" s="14"/>
      <c r="U151" s="14"/>
    </row>
    <row r="152" spans="1:21" ht="12.75" customHeight="1" outlineLevel="1" x14ac:dyDescent="0.2">
      <c r="A152" s="3" t="s">
        <v>3287</v>
      </c>
      <c r="B152" s="136">
        <v>-12396.399999999998</v>
      </c>
      <c r="C152" s="133"/>
      <c r="D152" s="136">
        <v>-958.74</v>
      </c>
      <c r="E152" s="133"/>
      <c r="F152" s="136">
        <v>0</v>
      </c>
      <c r="G152" s="133"/>
      <c r="H152" s="136">
        <v>0</v>
      </c>
      <c r="I152" s="133"/>
      <c r="J152" s="136">
        <v>0</v>
      </c>
      <c r="K152" s="133"/>
      <c r="L152" s="136">
        <v>0</v>
      </c>
      <c r="M152" s="133"/>
      <c r="N152" s="136">
        <v>0</v>
      </c>
      <c r="O152" s="133"/>
      <c r="P152" s="136">
        <v>0</v>
      </c>
      <c r="Q152" s="133"/>
      <c r="R152" s="136">
        <f t="shared" si="7"/>
        <v>-13355.139999999998</v>
      </c>
      <c r="S152" s="14"/>
      <c r="T152" s="14"/>
      <c r="U152" s="14"/>
    </row>
    <row r="153" spans="1:21" ht="12.75" customHeight="1" outlineLevel="1" x14ac:dyDescent="0.2">
      <c r="A153" s="3" t="s">
        <v>3288</v>
      </c>
      <c r="B153" s="136">
        <v>-4072.86</v>
      </c>
      <c r="C153" s="133"/>
      <c r="D153" s="136">
        <v>-8489.91</v>
      </c>
      <c r="E153" s="133"/>
      <c r="F153" s="136">
        <v>0</v>
      </c>
      <c r="G153" s="133"/>
      <c r="H153" s="136">
        <v>0</v>
      </c>
      <c r="I153" s="133"/>
      <c r="J153" s="136">
        <v>0</v>
      </c>
      <c r="K153" s="133"/>
      <c r="L153" s="136">
        <v>0</v>
      </c>
      <c r="M153" s="133"/>
      <c r="N153" s="136">
        <v>0</v>
      </c>
      <c r="O153" s="133"/>
      <c r="P153" s="136">
        <v>0</v>
      </c>
      <c r="Q153" s="133"/>
      <c r="R153" s="136">
        <f t="shared" si="7"/>
        <v>-12562.77</v>
      </c>
      <c r="S153" s="14"/>
      <c r="T153" s="14"/>
      <c r="U153" s="14"/>
    </row>
    <row r="154" spans="1:21" ht="12.75" customHeight="1" outlineLevel="1" x14ac:dyDescent="0.2">
      <c r="A154" s="3" t="s">
        <v>3289</v>
      </c>
      <c r="B154" s="136">
        <v>-6161.71</v>
      </c>
      <c r="C154" s="133"/>
      <c r="D154" s="136">
        <v>-1850.46</v>
      </c>
      <c r="E154" s="133"/>
      <c r="F154" s="136">
        <v>0</v>
      </c>
      <c r="G154" s="133"/>
      <c r="H154" s="136">
        <v>0</v>
      </c>
      <c r="I154" s="133"/>
      <c r="J154" s="136">
        <v>0</v>
      </c>
      <c r="K154" s="133"/>
      <c r="L154" s="136">
        <v>0</v>
      </c>
      <c r="M154" s="133"/>
      <c r="N154" s="136">
        <v>0</v>
      </c>
      <c r="O154" s="133"/>
      <c r="P154" s="136">
        <v>0</v>
      </c>
      <c r="Q154" s="133"/>
      <c r="R154" s="136">
        <f t="shared" si="7"/>
        <v>-8012.17</v>
      </c>
      <c r="S154" s="14"/>
      <c r="T154" s="14"/>
      <c r="U154" s="14"/>
    </row>
    <row r="155" spans="1:21" ht="12.75" customHeight="1" outlineLevel="1" x14ac:dyDescent="0.2">
      <c r="A155" s="3" t="s">
        <v>3290</v>
      </c>
      <c r="B155" s="136">
        <v>0</v>
      </c>
      <c r="C155" s="133"/>
      <c r="D155" s="136">
        <v>0</v>
      </c>
      <c r="E155" s="133"/>
      <c r="F155" s="136">
        <v>0</v>
      </c>
      <c r="G155" s="133"/>
      <c r="H155" s="136">
        <v>0</v>
      </c>
      <c r="I155" s="133"/>
      <c r="J155" s="136">
        <v>0</v>
      </c>
      <c r="K155" s="133"/>
      <c r="L155" s="136">
        <v>0</v>
      </c>
      <c r="M155" s="133"/>
      <c r="N155" s="136">
        <v>0</v>
      </c>
      <c r="O155" s="133"/>
      <c r="P155" s="136">
        <v>0</v>
      </c>
      <c r="Q155" s="133"/>
      <c r="R155" s="136">
        <f t="shared" si="7"/>
        <v>0</v>
      </c>
      <c r="S155" s="14"/>
      <c r="T155" s="14"/>
      <c r="U155" s="14"/>
    </row>
    <row r="156" spans="1:21" ht="12.75" customHeight="1" outlineLevel="1" x14ac:dyDescent="0.2">
      <c r="A156" s="3" t="s">
        <v>3291</v>
      </c>
      <c r="B156" s="136">
        <v>-661402.08000000007</v>
      </c>
      <c r="C156" s="133"/>
      <c r="D156" s="136">
        <v>-49902.39</v>
      </c>
      <c r="E156" s="133"/>
      <c r="F156" s="136">
        <v>7567.58</v>
      </c>
      <c r="G156" s="133"/>
      <c r="H156" s="136">
        <v>0</v>
      </c>
      <c r="I156" s="133"/>
      <c r="J156" s="136">
        <v>0</v>
      </c>
      <c r="K156" s="133"/>
      <c r="L156" s="136">
        <v>0</v>
      </c>
      <c r="M156" s="133"/>
      <c r="N156" s="136">
        <v>0</v>
      </c>
      <c r="O156" s="133"/>
      <c r="P156" s="136">
        <v>0</v>
      </c>
      <c r="Q156" s="133"/>
      <c r="R156" s="136">
        <f t="shared" si="7"/>
        <v>-703736.89000000013</v>
      </c>
      <c r="S156" s="14"/>
      <c r="T156" s="14"/>
      <c r="U156" s="14"/>
    </row>
    <row r="157" spans="1:21" ht="12.75" customHeight="1" outlineLevel="1" x14ac:dyDescent="0.2">
      <c r="A157" s="3" t="s">
        <v>3292</v>
      </c>
      <c r="B157" s="136">
        <v>-7420.5199999999995</v>
      </c>
      <c r="C157" s="133"/>
      <c r="D157" s="136">
        <v>-1085.52</v>
      </c>
      <c r="E157" s="133"/>
      <c r="F157" s="136">
        <v>0</v>
      </c>
      <c r="G157" s="133"/>
      <c r="H157" s="136">
        <v>0</v>
      </c>
      <c r="I157" s="133"/>
      <c r="J157" s="136">
        <v>0</v>
      </c>
      <c r="K157" s="133"/>
      <c r="L157" s="136">
        <v>0</v>
      </c>
      <c r="M157" s="133"/>
      <c r="N157" s="136">
        <v>0</v>
      </c>
      <c r="O157" s="133"/>
      <c r="P157" s="136">
        <v>0</v>
      </c>
      <c r="Q157" s="133"/>
      <c r="R157" s="136">
        <f t="shared" si="7"/>
        <v>-8506.0399999999991</v>
      </c>
      <c r="S157" s="14"/>
      <c r="T157" s="14"/>
      <c r="U157" s="14"/>
    </row>
    <row r="158" spans="1:21" ht="12.75" customHeight="1" outlineLevel="1" x14ac:dyDescent="0.2">
      <c r="A158" s="3" t="s">
        <v>3293</v>
      </c>
      <c r="B158" s="136">
        <v>-6564.6100000000006</v>
      </c>
      <c r="C158" s="133"/>
      <c r="D158" s="136">
        <v>-556.44000000000005</v>
      </c>
      <c r="E158" s="133"/>
      <c r="F158" s="136">
        <v>0</v>
      </c>
      <c r="G158" s="133"/>
      <c r="H158" s="136">
        <v>0</v>
      </c>
      <c r="I158" s="133"/>
      <c r="J158" s="136">
        <v>0</v>
      </c>
      <c r="K158" s="133"/>
      <c r="L158" s="136">
        <v>0</v>
      </c>
      <c r="M158" s="133"/>
      <c r="N158" s="136">
        <v>0</v>
      </c>
      <c r="O158" s="133"/>
      <c r="P158" s="136">
        <v>0</v>
      </c>
      <c r="Q158" s="133"/>
      <c r="R158" s="136">
        <f t="shared" si="7"/>
        <v>-7121.0500000000011</v>
      </c>
      <c r="S158" s="14"/>
      <c r="T158" s="14"/>
      <c r="U158" s="14"/>
    </row>
    <row r="159" spans="1:21" ht="12.75" customHeight="1" outlineLevel="1" x14ac:dyDescent="0.2">
      <c r="A159" s="3" t="s">
        <v>3294</v>
      </c>
      <c r="B159" s="136">
        <v>-2188.5100000000007</v>
      </c>
      <c r="C159" s="133"/>
      <c r="D159" s="136">
        <v>-187.08</v>
      </c>
      <c r="E159" s="133"/>
      <c r="F159" s="136">
        <v>0</v>
      </c>
      <c r="G159" s="133"/>
      <c r="H159" s="136">
        <v>0</v>
      </c>
      <c r="I159" s="133"/>
      <c r="J159" s="136">
        <v>0</v>
      </c>
      <c r="K159" s="133"/>
      <c r="L159" s="136">
        <v>0</v>
      </c>
      <c r="M159" s="133"/>
      <c r="N159" s="136">
        <v>0</v>
      </c>
      <c r="O159" s="133"/>
      <c r="P159" s="136">
        <v>0</v>
      </c>
      <c r="Q159" s="133"/>
      <c r="R159" s="136">
        <f t="shared" si="7"/>
        <v>-2375.5900000000006</v>
      </c>
      <c r="S159" s="14"/>
      <c r="T159" s="14"/>
      <c r="U159" s="14"/>
    </row>
    <row r="160" spans="1:21" ht="12.75" customHeight="1" outlineLevel="1" x14ac:dyDescent="0.2">
      <c r="A160" s="3" t="s">
        <v>3295</v>
      </c>
      <c r="B160" s="136">
        <v>-2180.8500000000004</v>
      </c>
      <c r="C160" s="133"/>
      <c r="D160" s="136">
        <v>-186.6</v>
      </c>
      <c r="E160" s="133"/>
      <c r="F160" s="136">
        <v>0</v>
      </c>
      <c r="G160" s="133"/>
      <c r="H160" s="136">
        <v>0</v>
      </c>
      <c r="I160" s="133"/>
      <c r="J160" s="136">
        <v>0</v>
      </c>
      <c r="K160" s="133"/>
      <c r="L160" s="136">
        <v>0</v>
      </c>
      <c r="M160" s="133"/>
      <c r="N160" s="136">
        <v>0</v>
      </c>
      <c r="O160" s="133"/>
      <c r="P160" s="136">
        <v>0</v>
      </c>
      <c r="Q160" s="133"/>
      <c r="R160" s="136">
        <f t="shared" si="7"/>
        <v>-2367.4500000000003</v>
      </c>
      <c r="S160" s="14"/>
      <c r="T160" s="14"/>
      <c r="U160" s="14"/>
    </row>
    <row r="161" spans="1:21" ht="12.75" customHeight="1" outlineLevel="1" x14ac:dyDescent="0.2">
      <c r="A161" s="3" t="s">
        <v>3296</v>
      </c>
      <c r="B161" s="136">
        <v>-2228.83</v>
      </c>
      <c r="C161" s="133"/>
      <c r="D161" s="136">
        <v>-192.06</v>
      </c>
      <c r="E161" s="133"/>
      <c r="F161" s="136">
        <v>0</v>
      </c>
      <c r="G161" s="133"/>
      <c r="H161" s="136">
        <v>0</v>
      </c>
      <c r="I161" s="133"/>
      <c r="J161" s="136">
        <v>0</v>
      </c>
      <c r="K161" s="133"/>
      <c r="L161" s="136">
        <v>0</v>
      </c>
      <c r="M161" s="133"/>
      <c r="N161" s="136">
        <v>0</v>
      </c>
      <c r="O161" s="133"/>
      <c r="P161" s="136">
        <v>0</v>
      </c>
      <c r="Q161" s="133"/>
      <c r="R161" s="136">
        <f t="shared" si="7"/>
        <v>-2420.89</v>
      </c>
      <c r="S161" s="14"/>
      <c r="T161" s="14"/>
      <c r="U161" s="14"/>
    </row>
    <row r="162" spans="1:21" ht="12.75" customHeight="1" outlineLevel="1" x14ac:dyDescent="0.2">
      <c r="A162" s="3" t="s">
        <v>3297</v>
      </c>
      <c r="B162" s="136">
        <v>0</v>
      </c>
      <c r="C162" s="133"/>
      <c r="D162" s="136">
        <v>0</v>
      </c>
      <c r="E162" s="133"/>
      <c r="F162" s="136">
        <v>0</v>
      </c>
      <c r="G162" s="133"/>
      <c r="H162" s="136">
        <v>0</v>
      </c>
      <c r="I162" s="133"/>
      <c r="J162" s="136">
        <v>0</v>
      </c>
      <c r="K162" s="133"/>
      <c r="L162" s="136">
        <v>0</v>
      </c>
      <c r="M162" s="133"/>
      <c r="N162" s="136">
        <v>0</v>
      </c>
      <c r="O162" s="133"/>
      <c r="P162" s="136">
        <v>0</v>
      </c>
      <c r="Q162" s="133"/>
      <c r="R162" s="136">
        <f t="shared" si="7"/>
        <v>0</v>
      </c>
      <c r="S162" s="14"/>
      <c r="T162" s="14"/>
      <c r="U162" s="14"/>
    </row>
    <row r="163" spans="1:21" ht="12.75" customHeight="1" outlineLevel="1" x14ac:dyDescent="0.2">
      <c r="A163" s="3" t="s">
        <v>3298</v>
      </c>
      <c r="B163" s="136">
        <v>-5384.94</v>
      </c>
      <c r="C163" s="133"/>
      <c r="D163" s="136">
        <v>-1460.22</v>
      </c>
      <c r="E163" s="133"/>
      <c r="F163" s="136">
        <v>0</v>
      </c>
      <c r="G163" s="133"/>
      <c r="H163" s="136">
        <v>0</v>
      </c>
      <c r="I163" s="133"/>
      <c r="J163" s="136">
        <v>0</v>
      </c>
      <c r="K163" s="133"/>
      <c r="L163" s="136">
        <v>0</v>
      </c>
      <c r="M163" s="133"/>
      <c r="N163" s="136">
        <v>0</v>
      </c>
      <c r="O163" s="133"/>
      <c r="P163" s="136">
        <v>0</v>
      </c>
      <c r="Q163" s="133"/>
      <c r="R163" s="136">
        <f t="shared" si="7"/>
        <v>-6845.16</v>
      </c>
      <c r="S163" s="14"/>
      <c r="T163" s="14"/>
      <c r="U163" s="14"/>
    </row>
    <row r="164" spans="1:21" x14ac:dyDescent="0.2">
      <c r="A164" s="3" t="s">
        <v>3299</v>
      </c>
      <c r="B164" s="136">
        <f>SUM(B149:B163)</f>
        <v>-1959868.6300000004</v>
      </c>
      <c r="C164" s="133"/>
      <c r="D164" s="136">
        <f>SUM(D149:D163)</f>
        <v>-182609.94999999998</v>
      </c>
      <c r="E164" s="133"/>
      <c r="F164" s="136">
        <f>SUM(F149:F163)</f>
        <v>22884.799999999999</v>
      </c>
      <c r="G164" s="133"/>
      <c r="H164" s="136">
        <f>SUM(H149:H163)</f>
        <v>0</v>
      </c>
      <c r="I164" s="133"/>
      <c r="J164" s="136">
        <f>SUM(J149:J163)</f>
        <v>0</v>
      </c>
      <c r="K164" s="133"/>
      <c r="L164" s="136">
        <f>SUM(L149:L163)</f>
        <v>0</v>
      </c>
      <c r="M164" s="133"/>
      <c r="N164" s="136">
        <f>SUM(N149:N163)</f>
        <v>0</v>
      </c>
      <c r="O164" s="133"/>
      <c r="P164" s="136">
        <f>SUM(P149:P163)</f>
        <v>0</v>
      </c>
      <c r="Q164" s="133"/>
      <c r="R164" s="136">
        <f>SUM(R149:R163)</f>
        <v>-2119593.7799999998</v>
      </c>
      <c r="S164" s="14"/>
      <c r="T164" s="14"/>
      <c r="U164" s="14"/>
    </row>
    <row r="165" spans="1:21" x14ac:dyDescent="0.2">
      <c r="A165" s="3" t="s">
        <v>3300</v>
      </c>
      <c r="B165" s="136">
        <v>-4781.9999999999973</v>
      </c>
      <c r="C165" s="133"/>
      <c r="D165" s="136">
        <v>-828.72</v>
      </c>
      <c r="E165" s="133"/>
      <c r="F165" s="136">
        <v>0</v>
      </c>
      <c r="G165" s="133"/>
      <c r="H165" s="136">
        <v>0</v>
      </c>
      <c r="I165" s="133"/>
      <c r="J165" s="136">
        <v>0</v>
      </c>
      <c r="K165" s="133"/>
      <c r="L165" s="136">
        <v>0</v>
      </c>
      <c r="M165" s="133"/>
      <c r="N165" s="136">
        <v>0</v>
      </c>
      <c r="O165" s="133"/>
      <c r="P165" s="136">
        <v>0</v>
      </c>
      <c r="Q165" s="133"/>
      <c r="R165" s="136">
        <f t="shared" si="7"/>
        <v>-5610.7199999999975</v>
      </c>
      <c r="S165" s="14"/>
      <c r="T165" s="14"/>
      <c r="U165" s="14"/>
    </row>
    <row r="166" spans="1:21" x14ac:dyDescent="0.2">
      <c r="A166" s="3" t="s">
        <v>3301</v>
      </c>
      <c r="B166" s="151">
        <v>-4195.01</v>
      </c>
      <c r="C166" s="133"/>
      <c r="D166" s="151">
        <v>-3813.08</v>
      </c>
      <c r="E166" s="133"/>
      <c r="F166" s="151">
        <v>0</v>
      </c>
      <c r="G166" s="133"/>
      <c r="H166" s="151">
        <v>0</v>
      </c>
      <c r="I166" s="133"/>
      <c r="J166" s="151">
        <v>0</v>
      </c>
      <c r="K166" s="133"/>
      <c r="L166" s="136">
        <v>0</v>
      </c>
      <c r="M166" s="133"/>
      <c r="N166" s="151">
        <v>0</v>
      </c>
      <c r="O166" s="133"/>
      <c r="P166" s="136">
        <v>0</v>
      </c>
      <c r="Q166" s="133"/>
      <c r="R166" s="151">
        <f t="shared" si="7"/>
        <v>-8008.09</v>
      </c>
      <c r="S166" s="16"/>
      <c r="T166" s="14"/>
      <c r="U166" s="14"/>
    </row>
    <row r="167" spans="1:21" x14ac:dyDescent="0.2">
      <c r="B167" s="133">
        <f>B166+B165+B164+B148+B130+B112+B99+B79+B62+B60</f>
        <v>-120963004.84000002</v>
      </c>
      <c r="C167" s="133"/>
      <c r="D167" s="133">
        <f>D166+D165+D164+D148+D130+D112+D99+D79+D62+D60</f>
        <v>-15188179.139999999</v>
      </c>
      <c r="E167" s="133"/>
      <c r="F167" s="133">
        <f>F166+F165+F164+F148+F130+F112+F99+F79+F62+F60</f>
        <v>1242800.1399999999</v>
      </c>
      <c r="G167" s="133"/>
      <c r="H167" s="133">
        <f>H166+H165+H164+H148+H130+H112+H99+H79+H62+H60</f>
        <v>0</v>
      </c>
      <c r="I167" s="133"/>
      <c r="J167" s="133">
        <f>J166+J165+J164+J148+J130+J112+J99+J79+J62+J60</f>
        <v>0</v>
      </c>
      <c r="K167" s="133"/>
      <c r="L167" s="150">
        <f>L166+L165+L164+L148+L130+L112+L99+L79+L62+L60</f>
        <v>186950.6</v>
      </c>
      <c r="M167" s="133"/>
      <c r="N167" s="133">
        <f>N166+N165+N164+N148+N130+N112+N99+N79+N62+N60</f>
        <v>0</v>
      </c>
      <c r="O167" s="133"/>
      <c r="P167" s="150">
        <f>P166+P165+P164+P148+P130+P112+P99+P79+P62+P60</f>
        <v>0</v>
      </c>
      <c r="Q167" s="133"/>
      <c r="R167" s="133">
        <f>R166+R165+R164+R148+R130+R112+R99+R79+R62+R60</f>
        <v>-134721433.24000001</v>
      </c>
      <c r="S167" s="16"/>
      <c r="T167" s="14"/>
      <c r="U167" s="14"/>
    </row>
    <row r="168" spans="1:21" ht="6" customHeight="1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6"/>
      <c r="T168" s="14"/>
      <c r="U168" s="14"/>
    </row>
    <row r="169" spans="1:21" x14ac:dyDescent="0.2">
      <c r="A169" s="9" t="s">
        <v>23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6"/>
      <c r="T169" s="14"/>
      <c r="U169" s="14"/>
    </row>
    <row r="170" spans="1:21" ht="12.75" customHeight="1" outlineLevel="1" x14ac:dyDescent="0.2">
      <c r="A170" s="3" t="s">
        <v>3302</v>
      </c>
      <c r="B170" s="133">
        <v>0</v>
      </c>
      <c r="C170" s="133"/>
      <c r="D170" s="136">
        <v>0</v>
      </c>
      <c r="E170" s="133"/>
      <c r="F170" s="136">
        <v>0</v>
      </c>
      <c r="G170" s="133"/>
      <c r="H170" s="136">
        <v>0</v>
      </c>
      <c r="I170" s="133"/>
      <c r="J170" s="133">
        <v>0</v>
      </c>
      <c r="K170" s="133"/>
      <c r="L170" s="136">
        <v>0</v>
      </c>
      <c r="M170" s="133"/>
      <c r="N170" s="136">
        <v>0</v>
      </c>
      <c r="O170" s="133"/>
      <c r="P170" s="136">
        <v>0</v>
      </c>
      <c r="Q170" s="133"/>
      <c r="R170" s="133">
        <f>SUM(B170:P170)</f>
        <v>0</v>
      </c>
      <c r="S170" s="16"/>
      <c r="T170" s="14"/>
      <c r="U170" s="14"/>
    </row>
    <row r="171" spans="1:21" ht="12.75" customHeight="1" outlineLevel="1" x14ac:dyDescent="0.2">
      <c r="A171" s="3" t="s">
        <v>3303</v>
      </c>
      <c r="B171" s="133">
        <v>0</v>
      </c>
      <c r="C171" s="133"/>
      <c r="D171" s="136">
        <v>0</v>
      </c>
      <c r="E171" s="133"/>
      <c r="F171" s="136">
        <v>0</v>
      </c>
      <c r="G171" s="133"/>
      <c r="H171" s="136">
        <v>0</v>
      </c>
      <c r="I171" s="133"/>
      <c r="J171" s="133">
        <v>0</v>
      </c>
      <c r="K171" s="133"/>
      <c r="L171" s="136">
        <v>0</v>
      </c>
      <c r="M171" s="133"/>
      <c r="N171" s="136">
        <v>0</v>
      </c>
      <c r="O171" s="133"/>
      <c r="P171" s="136">
        <v>0</v>
      </c>
      <c r="Q171" s="133"/>
      <c r="R171" s="133">
        <f t="shared" ref="R171" si="8">SUM(B171:P171)</f>
        <v>0</v>
      </c>
      <c r="S171" s="16"/>
      <c r="T171" s="14"/>
      <c r="U171" s="14"/>
    </row>
    <row r="172" spans="1:21" ht="12.75" customHeight="1" outlineLevel="1" x14ac:dyDescent="0.2">
      <c r="A172" s="3" t="s">
        <v>3304</v>
      </c>
      <c r="B172" s="133">
        <v>0</v>
      </c>
      <c r="C172" s="133"/>
      <c r="D172" s="136">
        <v>0</v>
      </c>
      <c r="E172" s="133"/>
      <c r="F172" s="136">
        <v>0</v>
      </c>
      <c r="G172" s="133"/>
      <c r="H172" s="136">
        <v>0</v>
      </c>
      <c r="I172" s="133"/>
      <c r="J172" s="133">
        <v>0</v>
      </c>
      <c r="K172" s="133"/>
      <c r="L172" s="136">
        <v>0</v>
      </c>
      <c r="M172" s="133"/>
      <c r="N172" s="136">
        <v>0</v>
      </c>
      <c r="O172" s="133"/>
      <c r="P172" s="136">
        <v>0</v>
      </c>
      <c r="Q172" s="133"/>
      <c r="R172" s="133">
        <f>SUM(B172:P172)</f>
        <v>0</v>
      </c>
      <c r="S172" s="16"/>
      <c r="T172" s="14"/>
      <c r="U172" s="14"/>
    </row>
    <row r="173" spans="1:21" x14ac:dyDescent="0.2">
      <c r="A173" s="3" t="s">
        <v>3305</v>
      </c>
      <c r="B173" s="133">
        <f>SUM(B170:B172)</f>
        <v>0</v>
      </c>
      <c r="C173" s="133"/>
      <c r="D173" s="133">
        <f>SUM(D170:D172)</f>
        <v>0</v>
      </c>
      <c r="E173" s="133"/>
      <c r="F173" s="133">
        <f>SUM(F170:F172)</f>
        <v>0</v>
      </c>
      <c r="G173" s="133"/>
      <c r="H173" s="133">
        <f>SUM(H170:H172)</f>
        <v>0</v>
      </c>
      <c r="I173" s="133"/>
      <c r="J173" s="133">
        <f>SUM(J170:J172)</f>
        <v>0</v>
      </c>
      <c r="K173" s="133"/>
      <c r="L173" s="133">
        <f>SUM(L170:L172)</f>
        <v>0</v>
      </c>
      <c r="M173" s="133"/>
      <c r="N173" s="133">
        <f>SUM(N170:N172)</f>
        <v>0</v>
      </c>
      <c r="O173" s="133"/>
      <c r="P173" s="133">
        <f>SUM(P170:P172)</f>
        <v>0</v>
      </c>
      <c r="Q173" s="133"/>
      <c r="R173" s="133">
        <f>SUM(R170:R172)</f>
        <v>0</v>
      </c>
      <c r="S173" s="16"/>
      <c r="T173" s="14"/>
      <c r="U173" s="14"/>
    </row>
    <row r="174" spans="1:21" ht="12.75" customHeight="1" outlineLevel="1" x14ac:dyDescent="0.2">
      <c r="A174" s="3" t="s">
        <v>3306</v>
      </c>
      <c r="B174" s="133">
        <v>-2326955.8200000003</v>
      </c>
      <c r="C174" s="133"/>
      <c r="D174" s="136">
        <v>0</v>
      </c>
      <c r="E174" s="133"/>
      <c r="F174" s="136">
        <v>0</v>
      </c>
      <c r="G174" s="133"/>
      <c r="H174" s="136">
        <v>0</v>
      </c>
      <c r="I174" s="133"/>
      <c r="J174" s="133">
        <v>0</v>
      </c>
      <c r="K174" s="133"/>
      <c r="L174" s="136">
        <v>0</v>
      </c>
      <c r="M174" s="133"/>
      <c r="N174" s="136">
        <v>0</v>
      </c>
      <c r="O174" s="133"/>
      <c r="P174" s="136">
        <v>0</v>
      </c>
      <c r="Q174" s="133"/>
      <c r="R174" s="133">
        <f t="shared" ref="R174:R209" si="9">SUM(B174:P174)</f>
        <v>-2326955.8200000003</v>
      </c>
      <c r="S174" s="16"/>
      <c r="T174" s="14"/>
      <c r="U174" s="14"/>
    </row>
    <row r="175" spans="1:21" ht="12.75" customHeight="1" outlineLevel="1" x14ac:dyDescent="0.2">
      <c r="A175" s="3" t="s">
        <v>3307</v>
      </c>
      <c r="B175" s="133">
        <v>-1331745.3999999999</v>
      </c>
      <c r="C175" s="133"/>
      <c r="D175" s="136">
        <v>0</v>
      </c>
      <c r="E175" s="133"/>
      <c r="F175" s="136">
        <v>0</v>
      </c>
      <c r="G175" s="133"/>
      <c r="H175" s="136">
        <v>0</v>
      </c>
      <c r="I175" s="133"/>
      <c r="J175" s="133">
        <v>0</v>
      </c>
      <c r="K175" s="133"/>
      <c r="L175" s="136">
        <v>0</v>
      </c>
      <c r="M175" s="133"/>
      <c r="N175" s="136">
        <v>0</v>
      </c>
      <c r="O175" s="133"/>
      <c r="P175" s="136">
        <v>0</v>
      </c>
      <c r="Q175" s="133"/>
      <c r="R175" s="133">
        <f t="shared" si="9"/>
        <v>-1331745.3999999999</v>
      </c>
      <c r="S175" s="16"/>
      <c r="T175" s="14"/>
      <c r="U175" s="14"/>
    </row>
    <row r="176" spans="1:21" ht="12.75" customHeight="1" outlineLevel="1" x14ac:dyDescent="0.2">
      <c r="A176" s="3" t="s">
        <v>3308</v>
      </c>
      <c r="B176" s="133">
        <v>-2300122.89</v>
      </c>
      <c r="C176" s="133"/>
      <c r="D176" s="136">
        <v>0</v>
      </c>
      <c r="E176" s="133"/>
      <c r="F176" s="136">
        <v>0</v>
      </c>
      <c r="G176" s="133"/>
      <c r="H176" s="136">
        <v>0</v>
      </c>
      <c r="I176" s="133"/>
      <c r="J176" s="133">
        <v>0</v>
      </c>
      <c r="K176" s="133"/>
      <c r="L176" s="136">
        <v>0</v>
      </c>
      <c r="M176" s="133"/>
      <c r="N176" s="136">
        <v>0</v>
      </c>
      <c r="O176" s="133"/>
      <c r="P176" s="136">
        <v>0</v>
      </c>
      <c r="Q176" s="133"/>
      <c r="R176" s="133">
        <f t="shared" si="9"/>
        <v>-2300122.89</v>
      </c>
      <c r="S176" s="16"/>
      <c r="T176" s="14"/>
      <c r="U176" s="14"/>
    </row>
    <row r="177" spans="1:21" ht="12.75" customHeight="1" outlineLevel="1" x14ac:dyDescent="0.2">
      <c r="A177" s="3" t="s">
        <v>3309</v>
      </c>
      <c r="B177" s="133">
        <v>-62890.009999999886</v>
      </c>
      <c r="C177" s="133"/>
      <c r="D177" s="136">
        <v>0</v>
      </c>
      <c r="E177" s="133"/>
      <c r="F177" s="136">
        <v>0</v>
      </c>
      <c r="G177" s="133"/>
      <c r="H177" s="136">
        <v>0</v>
      </c>
      <c r="I177" s="133"/>
      <c r="J177" s="133">
        <v>0</v>
      </c>
      <c r="K177" s="133"/>
      <c r="L177" s="136">
        <v>0</v>
      </c>
      <c r="M177" s="133"/>
      <c r="N177" s="136">
        <v>0</v>
      </c>
      <c r="O177" s="133"/>
      <c r="P177" s="136">
        <v>0</v>
      </c>
      <c r="Q177" s="133"/>
      <c r="R177" s="133">
        <f t="shared" si="9"/>
        <v>-62890.009999999886</v>
      </c>
      <c r="S177" s="16"/>
      <c r="T177" s="14"/>
      <c r="U177" s="14"/>
    </row>
    <row r="178" spans="1:21" ht="12.75" customHeight="1" outlineLevel="1" x14ac:dyDescent="0.2">
      <c r="A178" s="3" t="s">
        <v>3310</v>
      </c>
      <c r="B178" s="133">
        <v>-2128830.3500000015</v>
      </c>
      <c r="C178" s="133"/>
      <c r="D178" s="136">
        <v>0</v>
      </c>
      <c r="E178" s="133"/>
      <c r="F178" s="136">
        <v>0</v>
      </c>
      <c r="G178" s="137"/>
      <c r="H178" s="136">
        <v>0</v>
      </c>
      <c r="I178" s="137"/>
      <c r="J178" s="133">
        <v>0</v>
      </c>
      <c r="K178" s="137"/>
      <c r="L178" s="136">
        <v>0</v>
      </c>
      <c r="M178" s="133"/>
      <c r="N178" s="136">
        <v>0</v>
      </c>
      <c r="O178" s="133"/>
      <c r="P178" s="136">
        <v>0</v>
      </c>
      <c r="Q178" s="133"/>
      <c r="R178" s="133">
        <f t="shared" si="9"/>
        <v>-2128830.3500000015</v>
      </c>
      <c r="S178" s="16"/>
      <c r="T178" s="14"/>
      <c r="U178" s="14"/>
    </row>
    <row r="179" spans="1:21" ht="12.75" customHeight="1" outlineLevel="1" x14ac:dyDescent="0.2">
      <c r="A179" s="3" t="s">
        <v>3311</v>
      </c>
      <c r="B179" s="133">
        <v>-174556.22999999975</v>
      </c>
      <c r="C179" s="133"/>
      <c r="D179" s="136">
        <v>0</v>
      </c>
      <c r="E179" s="133"/>
      <c r="F179" s="136">
        <v>0</v>
      </c>
      <c r="G179" s="137"/>
      <c r="H179" s="136">
        <v>0</v>
      </c>
      <c r="I179" s="137"/>
      <c r="J179" s="133">
        <v>0</v>
      </c>
      <c r="K179" s="137"/>
      <c r="L179" s="136">
        <v>0</v>
      </c>
      <c r="M179" s="133"/>
      <c r="N179" s="136">
        <v>0</v>
      </c>
      <c r="O179" s="133"/>
      <c r="P179" s="136">
        <v>0</v>
      </c>
      <c r="Q179" s="133"/>
      <c r="R179" s="133">
        <f t="shared" si="9"/>
        <v>-174556.22999999975</v>
      </c>
      <c r="S179" s="16"/>
      <c r="T179" s="14"/>
      <c r="U179" s="14"/>
    </row>
    <row r="180" spans="1:21" ht="12.75" customHeight="1" outlineLevel="1" x14ac:dyDescent="0.2">
      <c r="A180" s="3" t="s">
        <v>3312</v>
      </c>
      <c r="B180" s="133">
        <v>-3540604.9900000012</v>
      </c>
      <c r="C180" s="133"/>
      <c r="D180" s="136">
        <v>-6662.52</v>
      </c>
      <c r="E180" s="133"/>
      <c r="F180" s="136">
        <v>0</v>
      </c>
      <c r="G180" s="137"/>
      <c r="H180" s="136">
        <v>0</v>
      </c>
      <c r="I180" s="137"/>
      <c r="J180" s="133">
        <v>0</v>
      </c>
      <c r="K180" s="137"/>
      <c r="L180" s="136">
        <v>0</v>
      </c>
      <c r="M180" s="133"/>
      <c r="N180" s="136">
        <v>0</v>
      </c>
      <c r="O180" s="133"/>
      <c r="P180" s="136">
        <v>0</v>
      </c>
      <c r="Q180" s="133"/>
      <c r="R180" s="133">
        <f t="shared" si="9"/>
        <v>-3547267.5100000012</v>
      </c>
      <c r="S180" s="16"/>
      <c r="T180" s="14"/>
      <c r="U180" s="14"/>
    </row>
    <row r="181" spans="1:21" ht="12.75" customHeight="1" outlineLevel="1" x14ac:dyDescent="0.2">
      <c r="A181" s="3" t="s">
        <v>3313</v>
      </c>
      <c r="B181" s="133">
        <v>-134572.90999999968</v>
      </c>
      <c r="C181" s="133"/>
      <c r="D181" s="136">
        <v>0</v>
      </c>
      <c r="E181" s="133"/>
      <c r="F181" s="136">
        <v>0</v>
      </c>
      <c r="G181" s="137"/>
      <c r="H181" s="136">
        <v>0</v>
      </c>
      <c r="I181" s="137"/>
      <c r="J181" s="133">
        <v>0</v>
      </c>
      <c r="K181" s="137"/>
      <c r="L181" s="136">
        <v>0</v>
      </c>
      <c r="M181" s="133"/>
      <c r="N181" s="136">
        <v>0</v>
      </c>
      <c r="O181" s="133"/>
      <c r="P181" s="136">
        <v>0</v>
      </c>
      <c r="Q181" s="133"/>
      <c r="R181" s="133">
        <f t="shared" si="9"/>
        <v>-134572.90999999968</v>
      </c>
      <c r="S181" s="16"/>
      <c r="T181" s="14"/>
      <c r="U181" s="14"/>
    </row>
    <row r="182" spans="1:21" ht="12.75" customHeight="1" outlineLevel="1" x14ac:dyDescent="0.2">
      <c r="A182" s="3" t="s">
        <v>3314</v>
      </c>
      <c r="B182" s="133">
        <v>-8465740.3800000008</v>
      </c>
      <c r="C182" s="133"/>
      <c r="D182" s="136">
        <v>-246601.08</v>
      </c>
      <c r="E182" s="133"/>
      <c r="F182" s="136">
        <v>0</v>
      </c>
      <c r="G182" s="137"/>
      <c r="H182" s="136">
        <v>0</v>
      </c>
      <c r="I182" s="137"/>
      <c r="J182" s="133">
        <v>0</v>
      </c>
      <c r="K182" s="137"/>
      <c r="L182" s="136">
        <v>0</v>
      </c>
      <c r="M182" s="133"/>
      <c r="N182" s="136">
        <v>0</v>
      </c>
      <c r="O182" s="133"/>
      <c r="P182" s="136">
        <v>0</v>
      </c>
      <c r="Q182" s="133"/>
      <c r="R182" s="133">
        <f t="shared" si="9"/>
        <v>-8712341.4600000009</v>
      </c>
      <c r="S182" s="16"/>
      <c r="T182" s="14"/>
      <c r="U182" s="14"/>
    </row>
    <row r="183" spans="1:21" ht="12.75" customHeight="1" outlineLevel="1" x14ac:dyDescent="0.2">
      <c r="A183" s="3" t="s">
        <v>3315</v>
      </c>
      <c r="B183" s="133">
        <v>-1.4551915228366852E-11</v>
      </c>
      <c r="C183" s="133"/>
      <c r="D183" s="136">
        <v>0</v>
      </c>
      <c r="E183" s="133"/>
      <c r="F183" s="136">
        <v>0</v>
      </c>
      <c r="G183" s="137"/>
      <c r="H183" s="136">
        <v>0</v>
      </c>
      <c r="I183" s="137"/>
      <c r="J183" s="133">
        <v>0</v>
      </c>
      <c r="K183" s="137"/>
      <c r="L183" s="136">
        <v>0</v>
      </c>
      <c r="M183" s="133"/>
      <c r="N183" s="136">
        <v>0</v>
      </c>
      <c r="O183" s="133"/>
      <c r="P183" s="136">
        <v>0</v>
      </c>
      <c r="Q183" s="133"/>
      <c r="R183" s="133">
        <f t="shared" si="9"/>
        <v>-1.4551915228366852E-11</v>
      </c>
      <c r="S183" s="16"/>
      <c r="T183" s="14"/>
      <c r="U183" s="14"/>
    </row>
    <row r="184" spans="1:21" ht="12.75" customHeight="1" outlineLevel="1" x14ac:dyDescent="0.2">
      <c r="A184" s="3" t="s">
        <v>3316</v>
      </c>
      <c r="B184" s="133">
        <v>-143890.54999999999</v>
      </c>
      <c r="C184" s="133"/>
      <c r="D184" s="136">
        <v>-41016.18</v>
      </c>
      <c r="E184" s="133"/>
      <c r="F184" s="136">
        <v>0</v>
      </c>
      <c r="G184" s="137"/>
      <c r="H184" s="136">
        <v>0</v>
      </c>
      <c r="I184" s="137"/>
      <c r="J184" s="133">
        <v>0</v>
      </c>
      <c r="K184" s="137"/>
      <c r="L184" s="136">
        <v>0</v>
      </c>
      <c r="M184" s="133"/>
      <c r="N184" s="136">
        <v>0</v>
      </c>
      <c r="O184" s="133"/>
      <c r="P184" s="136">
        <v>0</v>
      </c>
      <c r="Q184" s="133"/>
      <c r="R184" s="133">
        <f t="shared" si="9"/>
        <v>-184906.72999999998</v>
      </c>
      <c r="S184" s="16"/>
      <c r="T184" s="14"/>
      <c r="U184" s="14"/>
    </row>
    <row r="185" spans="1:21" ht="12.75" customHeight="1" outlineLevel="1" x14ac:dyDescent="0.2">
      <c r="A185" s="3" t="s">
        <v>3317</v>
      </c>
      <c r="B185" s="133">
        <v>-170635.62999999998</v>
      </c>
      <c r="C185" s="133"/>
      <c r="D185" s="136">
        <v>-51025.59</v>
      </c>
      <c r="E185" s="133"/>
      <c r="F185" s="136">
        <v>0</v>
      </c>
      <c r="G185" s="137"/>
      <c r="H185" s="136">
        <v>0</v>
      </c>
      <c r="I185" s="137"/>
      <c r="J185" s="133">
        <v>0</v>
      </c>
      <c r="K185" s="137"/>
      <c r="L185" s="136">
        <v>0</v>
      </c>
      <c r="M185" s="133"/>
      <c r="N185" s="136">
        <v>0</v>
      </c>
      <c r="O185" s="133"/>
      <c r="P185" s="136">
        <v>0</v>
      </c>
      <c r="Q185" s="133"/>
      <c r="R185" s="133">
        <f t="shared" si="9"/>
        <v>-221661.21999999997</v>
      </c>
      <c r="S185" s="16"/>
      <c r="T185" s="14"/>
      <c r="U185" s="14"/>
    </row>
    <row r="186" spans="1:21" ht="12.75" customHeight="1" outlineLevel="1" x14ac:dyDescent="0.2">
      <c r="A186" s="3" t="s">
        <v>3318</v>
      </c>
      <c r="B186" s="133">
        <v>-33182.699999999997</v>
      </c>
      <c r="C186" s="133"/>
      <c r="D186" s="136">
        <v>-22018.44</v>
      </c>
      <c r="E186" s="133"/>
      <c r="F186" s="136">
        <v>0</v>
      </c>
      <c r="G186" s="137"/>
      <c r="H186" s="136">
        <v>0</v>
      </c>
      <c r="I186" s="137"/>
      <c r="J186" s="133">
        <v>0</v>
      </c>
      <c r="K186" s="137"/>
      <c r="L186" s="136">
        <v>0</v>
      </c>
      <c r="M186" s="133"/>
      <c r="N186" s="136">
        <v>0</v>
      </c>
      <c r="O186" s="133"/>
      <c r="P186" s="136">
        <v>0</v>
      </c>
      <c r="Q186" s="133"/>
      <c r="R186" s="133">
        <f>SUM(B186:P186)</f>
        <v>-55201.14</v>
      </c>
      <c r="S186" s="16"/>
      <c r="T186" s="14"/>
      <c r="U186" s="14"/>
    </row>
    <row r="187" spans="1:21" ht="12.75" customHeight="1" outlineLevel="1" x14ac:dyDescent="0.2">
      <c r="A187" s="3" t="s">
        <v>3319</v>
      </c>
      <c r="B187" s="133">
        <v>0</v>
      </c>
      <c r="C187" s="133"/>
      <c r="D187" s="136">
        <v>0</v>
      </c>
      <c r="E187" s="133"/>
      <c r="F187" s="136">
        <v>0</v>
      </c>
      <c r="G187" s="137"/>
      <c r="H187" s="136">
        <v>0</v>
      </c>
      <c r="I187" s="137"/>
      <c r="J187" s="133">
        <v>0</v>
      </c>
      <c r="K187" s="137"/>
      <c r="L187" s="136">
        <v>0</v>
      </c>
      <c r="M187" s="133"/>
      <c r="N187" s="136">
        <v>0</v>
      </c>
      <c r="O187" s="133"/>
      <c r="P187" s="136">
        <v>0</v>
      </c>
      <c r="Q187" s="133"/>
      <c r="R187" s="133">
        <f>SUM(B187:P187)</f>
        <v>0</v>
      </c>
      <c r="S187" s="16"/>
      <c r="T187" s="14"/>
      <c r="U187" s="14"/>
    </row>
    <row r="188" spans="1:21" ht="12.75" customHeight="1" outlineLevel="1" x14ac:dyDescent="0.2">
      <c r="A188" s="3" t="s">
        <v>3320</v>
      </c>
      <c r="B188" s="133">
        <v>-37440.39</v>
      </c>
      <c r="C188" s="133"/>
      <c r="D188" s="136">
        <v>-24816.66</v>
      </c>
      <c r="E188" s="133"/>
      <c r="F188" s="136">
        <v>0</v>
      </c>
      <c r="G188" s="137"/>
      <c r="H188" s="136">
        <v>0</v>
      </c>
      <c r="I188" s="137"/>
      <c r="J188" s="133">
        <v>0</v>
      </c>
      <c r="K188" s="137"/>
      <c r="L188" s="136">
        <v>0</v>
      </c>
      <c r="M188" s="133"/>
      <c r="N188" s="136">
        <v>0</v>
      </c>
      <c r="O188" s="133"/>
      <c r="P188" s="136">
        <v>0</v>
      </c>
      <c r="Q188" s="133"/>
      <c r="R188" s="133">
        <f>SUM(B188:P188)</f>
        <v>-62257.05</v>
      </c>
      <c r="S188" s="16"/>
      <c r="T188" s="14"/>
      <c r="U188" s="14"/>
    </row>
    <row r="189" spans="1:21" ht="12.75" customHeight="1" outlineLevel="1" x14ac:dyDescent="0.2">
      <c r="A189" s="21" t="s">
        <v>3321</v>
      </c>
      <c r="B189" s="133">
        <v>-40615081.829999983</v>
      </c>
      <c r="C189" s="133"/>
      <c r="D189" s="136">
        <v>-1166130.6299999999</v>
      </c>
      <c r="E189" s="133"/>
      <c r="F189" s="136">
        <v>51641.45</v>
      </c>
      <c r="G189" s="137"/>
      <c r="H189" s="136">
        <v>0</v>
      </c>
      <c r="I189" s="137"/>
      <c r="J189" s="133">
        <v>0</v>
      </c>
      <c r="K189" s="137"/>
      <c r="L189" s="136">
        <v>36377.699999999997</v>
      </c>
      <c r="M189" s="133"/>
      <c r="N189" s="136">
        <v>0</v>
      </c>
      <c r="O189" s="133"/>
      <c r="P189" s="136">
        <v>0</v>
      </c>
      <c r="Q189" s="133"/>
      <c r="R189" s="133">
        <f t="shared" si="9"/>
        <v>-41693193.30999998</v>
      </c>
      <c r="S189" s="16"/>
      <c r="T189" s="14"/>
      <c r="U189" s="14"/>
    </row>
    <row r="190" spans="1:21" ht="12.75" customHeight="1" outlineLevel="1" x14ac:dyDescent="0.2">
      <c r="A190" s="21" t="s">
        <v>3322</v>
      </c>
      <c r="B190" s="133">
        <v>0</v>
      </c>
      <c r="C190" s="133"/>
      <c r="D190" s="136">
        <v>0</v>
      </c>
      <c r="E190" s="133"/>
      <c r="F190" s="136">
        <v>0</v>
      </c>
      <c r="G190" s="137"/>
      <c r="H190" s="136">
        <v>0</v>
      </c>
      <c r="I190" s="137"/>
      <c r="J190" s="133">
        <v>0</v>
      </c>
      <c r="K190" s="137"/>
      <c r="L190" s="136">
        <v>0</v>
      </c>
      <c r="M190" s="133"/>
      <c r="N190" s="136">
        <v>0</v>
      </c>
      <c r="O190" s="133"/>
      <c r="P190" s="136">
        <v>0</v>
      </c>
      <c r="Q190" s="133"/>
      <c r="R190" s="133">
        <f t="shared" si="9"/>
        <v>0</v>
      </c>
      <c r="S190" s="16"/>
      <c r="T190" s="14"/>
      <c r="U190" s="14"/>
    </row>
    <row r="191" spans="1:21" ht="12.75" customHeight="1" outlineLevel="1" x14ac:dyDescent="0.2">
      <c r="A191" s="120" t="s">
        <v>3323</v>
      </c>
      <c r="B191" s="133">
        <v>-174497.19</v>
      </c>
      <c r="C191" s="133"/>
      <c r="D191" s="136">
        <v>-90041.04</v>
      </c>
      <c r="E191" s="133"/>
      <c r="F191" s="136">
        <v>0</v>
      </c>
      <c r="G191" s="137"/>
      <c r="H191" s="136">
        <v>0</v>
      </c>
      <c r="I191" s="137"/>
      <c r="J191" s="133">
        <v>0</v>
      </c>
      <c r="K191" s="137"/>
      <c r="L191" s="136">
        <v>0</v>
      </c>
      <c r="M191" s="133"/>
      <c r="N191" s="136">
        <v>0</v>
      </c>
      <c r="O191" s="133"/>
      <c r="P191" s="136">
        <v>0</v>
      </c>
      <c r="Q191" s="133"/>
      <c r="R191" s="133">
        <f t="shared" si="9"/>
        <v>-264538.23</v>
      </c>
      <c r="S191" s="16"/>
      <c r="T191" s="14"/>
      <c r="U191" s="14"/>
    </row>
    <row r="192" spans="1:21" ht="12.75" customHeight="1" outlineLevel="1" x14ac:dyDescent="0.2">
      <c r="A192" s="120" t="s">
        <v>3324</v>
      </c>
      <c r="B192" s="133">
        <v>-32583.78</v>
      </c>
      <c r="C192" s="133"/>
      <c r="D192" s="136">
        <v>-59524.02</v>
      </c>
      <c r="E192" s="133"/>
      <c r="F192" s="136">
        <v>0</v>
      </c>
      <c r="G192" s="137"/>
      <c r="H192" s="136">
        <v>0</v>
      </c>
      <c r="I192" s="137"/>
      <c r="J192" s="133">
        <v>0</v>
      </c>
      <c r="K192" s="137"/>
      <c r="L192" s="136">
        <v>0</v>
      </c>
      <c r="M192" s="133"/>
      <c r="N192" s="136">
        <v>0</v>
      </c>
      <c r="O192" s="133"/>
      <c r="P192" s="136">
        <v>0</v>
      </c>
      <c r="Q192" s="133"/>
      <c r="R192" s="133">
        <f>SUM(B192:P192)</f>
        <v>-92107.799999999988</v>
      </c>
      <c r="S192" s="16"/>
      <c r="T192" s="14"/>
      <c r="U192" s="14"/>
    </row>
    <row r="193" spans="1:21" ht="12.75" customHeight="1" outlineLevel="1" x14ac:dyDescent="0.2">
      <c r="A193" s="3" t="s">
        <v>3325</v>
      </c>
      <c r="B193" s="133">
        <v>-122980.1799999997</v>
      </c>
      <c r="C193" s="133"/>
      <c r="D193" s="136">
        <v>0</v>
      </c>
      <c r="E193" s="133"/>
      <c r="F193" s="136">
        <v>0</v>
      </c>
      <c r="G193" s="137"/>
      <c r="H193" s="136">
        <v>0</v>
      </c>
      <c r="I193" s="137"/>
      <c r="J193" s="133">
        <v>0</v>
      </c>
      <c r="K193" s="137"/>
      <c r="L193" s="136">
        <v>0</v>
      </c>
      <c r="M193" s="133"/>
      <c r="N193" s="136">
        <v>0</v>
      </c>
      <c r="O193" s="133"/>
      <c r="P193" s="136">
        <v>0</v>
      </c>
      <c r="Q193" s="133"/>
      <c r="R193" s="133">
        <f t="shared" si="9"/>
        <v>-122980.1799999997</v>
      </c>
      <c r="S193" s="16"/>
      <c r="T193" s="14"/>
      <c r="U193" s="14"/>
    </row>
    <row r="194" spans="1:21" ht="12.75" customHeight="1" outlineLevel="1" x14ac:dyDescent="0.2">
      <c r="A194" s="3" t="s">
        <v>3326</v>
      </c>
      <c r="B194" s="133">
        <v>-17703755.189999998</v>
      </c>
      <c r="C194" s="133"/>
      <c r="D194" s="136">
        <v>-195722.5</v>
      </c>
      <c r="E194" s="133"/>
      <c r="F194" s="136">
        <v>34661.339999999997</v>
      </c>
      <c r="G194" s="137"/>
      <c r="H194" s="136">
        <v>0</v>
      </c>
      <c r="I194" s="137"/>
      <c r="J194" s="133">
        <v>0</v>
      </c>
      <c r="K194" s="137"/>
      <c r="L194" s="136">
        <v>12539.6</v>
      </c>
      <c r="M194" s="133"/>
      <c r="N194" s="136">
        <v>0</v>
      </c>
      <c r="O194" s="133"/>
      <c r="P194" s="136">
        <v>0</v>
      </c>
      <c r="Q194" s="133"/>
      <c r="R194" s="133">
        <f t="shared" si="9"/>
        <v>-17852276.749999996</v>
      </c>
      <c r="S194" s="16"/>
      <c r="T194" s="14"/>
      <c r="U194" s="14"/>
    </row>
    <row r="195" spans="1:21" ht="12.75" customHeight="1" outlineLevel="1" x14ac:dyDescent="0.2">
      <c r="A195" s="3" t="s">
        <v>3327</v>
      </c>
      <c r="B195" s="133">
        <v>-908753.60999999987</v>
      </c>
      <c r="C195" s="133"/>
      <c r="D195" s="136">
        <v>0</v>
      </c>
      <c r="E195" s="133"/>
      <c r="F195" s="136">
        <v>0</v>
      </c>
      <c r="G195" s="137"/>
      <c r="H195" s="136">
        <v>0</v>
      </c>
      <c r="I195" s="137"/>
      <c r="J195" s="133">
        <v>0</v>
      </c>
      <c r="K195" s="137"/>
      <c r="L195" s="136">
        <v>0</v>
      </c>
      <c r="M195" s="133"/>
      <c r="N195" s="136">
        <v>0</v>
      </c>
      <c r="O195" s="133"/>
      <c r="P195" s="136">
        <v>0</v>
      </c>
      <c r="Q195" s="133"/>
      <c r="R195" s="133">
        <f t="shared" si="9"/>
        <v>-908753.60999999987</v>
      </c>
      <c r="S195" s="16"/>
      <c r="T195" s="14"/>
      <c r="U195" s="14"/>
    </row>
    <row r="196" spans="1:21" ht="12.75" customHeight="1" outlineLevel="1" x14ac:dyDescent="0.2">
      <c r="A196" s="3" t="s">
        <v>3328</v>
      </c>
      <c r="B196" s="133">
        <v>-10137381.540000001</v>
      </c>
      <c r="C196" s="133"/>
      <c r="D196" s="136">
        <v>-121328.18</v>
      </c>
      <c r="E196" s="133"/>
      <c r="F196" s="136">
        <v>47438.17</v>
      </c>
      <c r="G196" s="137"/>
      <c r="H196" s="136">
        <v>0</v>
      </c>
      <c r="I196" s="137"/>
      <c r="J196" s="133">
        <v>0</v>
      </c>
      <c r="K196" s="137"/>
      <c r="L196" s="136">
        <v>15574.35</v>
      </c>
      <c r="M196" s="133"/>
      <c r="N196" s="136">
        <v>0</v>
      </c>
      <c r="O196" s="133"/>
      <c r="P196" s="136">
        <v>0</v>
      </c>
      <c r="Q196" s="133"/>
      <c r="R196" s="133">
        <f t="shared" si="9"/>
        <v>-10195697.200000001</v>
      </c>
      <c r="S196" s="16"/>
      <c r="T196" s="14"/>
      <c r="U196" s="14"/>
    </row>
    <row r="197" spans="1:21" ht="12.75" customHeight="1" outlineLevel="1" x14ac:dyDescent="0.2">
      <c r="A197" s="3" t="s">
        <v>3329</v>
      </c>
      <c r="B197" s="133">
        <v>-143001.41</v>
      </c>
      <c r="C197" s="133"/>
      <c r="D197" s="136">
        <v>0</v>
      </c>
      <c r="E197" s="133"/>
      <c r="F197" s="136">
        <v>0</v>
      </c>
      <c r="G197" s="137"/>
      <c r="H197" s="136">
        <v>0</v>
      </c>
      <c r="I197" s="137"/>
      <c r="J197" s="133">
        <v>0</v>
      </c>
      <c r="K197" s="137"/>
      <c r="L197" s="136">
        <v>0</v>
      </c>
      <c r="M197" s="133"/>
      <c r="N197" s="136">
        <v>0</v>
      </c>
      <c r="O197" s="133"/>
      <c r="P197" s="136">
        <v>0</v>
      </c>
      <c r="Q197" s="133"/>
      <c r="R197" s="133">
        <f t="shared" si="9"/>
        <v>-143001.41</v>
      </c>
      <c r="S197" s="16"/>
      <c r="T197" s="14"/>
      <c r="U197" s="14"/>
    </row>
    <row r="198" spans="1:21" ht="12.75" customHeight="1" outlineLevel="1" x14ac:dyDescent="0.2">
      <c r="A198" s="3" t="s">
        <v>3330</v>
      </c>
      <c r="B198" s="133">
        <v>-20988188.429999996</v>
      </c>
      <c r="C198" s="133"/>
      <c r="D198" s="136">
        <v>-233165.04</v>
      </c>
      <c r="E198" s="133"/>
      <c r="F198" s="136">
        <v>0</v>
      </c>
      <c r="G198" s="137"/>
      <c r="H198" s="136">
        <v>0</v>
      </c>
      <c r="I198" s="137"/>
      <c r="J198" s="133">
        <v>0</v>
      </c>
      <c r="K198" s="137"/>
      <c r="L198" s="136">
        <v>0</v>
      </c>
      <c r="M198" s="133"/>
      <c r="N198" s="136">
        <v>0</v>
      </c>
      <c r="O198" s="133"/>
      <c r="P198" s="136">
        <v>0</v>
      </c>
      <c r="Q198" s="133"/>
      <c r="R198" s="133">
        <f t="shared" si="9"/>
        <v>-21221353.469999995</v>
      </c>
      <c r="S198" s="16"/>
      <c r="T198" s="14"/>
      <c r="U198" s="14"/>
    </row>
    <row r="199" spans="1:21" ht="12.75" customHeight="1" outlineLevel="1" x14ac:dyDescent="0.2">
      <c r="A199" s="3" t="s">
        <v>3331</v>
      </c>
      <c r="B199" s="133">
        <v>-2397798.59</v>
      </c>
      <c r="C199" s="133"/>
      <c r="D199" s="136">
        <v>-13185.42</v>
      </c>
      <c r="E199" s="133"/>
      <c r="F199" s="136">
        <v>0</v>
      </c>
      <c r="G199" s="137"/>
      <c r="H199" s="136">
        <v>0</v>
      </c>
      <c r="I199" s="137"/>
      <c r="J199" s="133">
        <v>0</v>
      </c>
      <c r="K199" s="137"/>
      <c r="L199" s="136">
        <v>0</v>
      </c>
      <c r="M199" s="133"/>
      <c r="N199" s="136">
        <v>0</v>
      </c>
      <c r="O199" s="133"/>
      <c r="P199" s="136">
        <v>0</v>
      </c>
      <c r="Q199" s="133"/>
      <c r="R199" s="133">
        <f t="shared" si="9"/>
        <v>-2410984.0099999998</v>
      </c>
      <c r="S199" s="16"/>
      <c r="T199" s="14"/>
      <c r="U199" s="14"/>
    </row>
    <row r="200" spans="1:21" ht="12.75" customHeight="1" outlineLevel="1" x14ac:dyDescent="0.2">
      <c r="A200" s="3" t="s">
        <v>3332</v>
      </c>
      <c r="B200" s="133">
        <v>-2067.42</v>
      </c>
      <c r="C200" s="133"/>
      <c r="D200" s="136">
        <v>-28454.9</v>
      </c>
      <c r="E200" s="133"/>
      <c r="F200" s="136">
        <v>0</v>
      </c>
      <c r="G200" s="137"/>
      <c r="H200" s="136">
        <v>0</v>
      </c>
      <c r="I200" s="137"/>
      <c r="J200" s="133">
        <v>0</v>
      </c>
      <c r="K200" s="137"/>
      <c r="L200" s="136">
        <v>0</v>
      </c>
      <c r="M200" s="133"/>
      <c r="N200" s="136">
        <v>0</v>
      </c>
      <c r="O200" s="133"/>
      <c r="P200" s="136">
        <v>0</v>
      </c>
      <c r="Q200" s="133"/>
      <c r="R200" s="133">
        <f t="shared" si="9"/>
        <v>-30522.32</v>
      </c>
      <c r="S200" s="16"/>
      <c r="T200" s="14"/>
      <c r="U200" s="14"/>
    </row>
    <row r="201" spans="1:21" ht="12.75" customHeight="1" outlineLevel="1" x14ac:dyDescent="0.2">
      <c r="A201" s="3" t="s">
        <v>3333</v>
      </c>
      <c r="B201" s="133">
        <v>-33185.240000000005</v>
      </c>
      <c r="C201" s="133"/>
      <c r="D201" s="136">
        <v>-17463.990000000002</v>
      </c>
      <c r="E201" s="133"/>
      <c r="F201" s="136">
        <v>0</v>
      </c>
      <c r="G201" s="137"/>
      <c r="H201" s="136">
        <v>0</v>
      </c>
      <c r="I201" s="137"/>
      <c r="J201" s="133">
        <v>0</v>
      </c>
      <c r="K201" s="137"/>
      <c r="L201" s="136">
        <v>0</v>
      </c>
      <c r="M201" s="133"/>
      <c r="N201" s="136">
        <v>0</v>
      </c>
      <c r="O201" s="133"/>
      <c r="P201" s="136">
        <v>0</v>
      </c>
      <c r="Q201" s="133"/>
      <c r="R201" s="133">
        <f t="shared" si="9"/>
        <v>-50649.23000000001</v>
      </c>
      <c r="S201" s="16"/>
      <c r="T201" s="14"/>
      <c r="U201" s="14"/>
    </row>
    <row r="202" spans="1:21" ht="12.75" customHeight="1" outlineLevel="1" x14ac:dyDescent="0.2">
      <c r="A202" s="3" t="s">
        <v>3334</v>
      </c>
      <c r="B202" s="133">
        <v>0</v>
      </c>
      <c r="C202" s="133"/>
      <c r="D202" s="136">
        <v>0</v>
      </c>
      <c r="E202" s="133"/>
      <c r="F202" s="136">
        <v>0</v>
      </c>
      <c r="G202" s="137"/>
      <c r="H202" s="136">
        <v>0</v>
      </c>
      <c r="I202" s="137"/>
      <c r="J202" s="133">
        <v>0</v>
      </c>
      <c r="K202" s="137"/>
      <c r="L202" s="136">
        <v>0</v>
      </c>
      <c r="M202" s="133"/>
      <c r="N202" s="136">
        <v>0</v>
      </c>
      <c r="O202" s="133"/>
      <c r="P202" s="136">
        <v>0</v>
      </c>
      <c r="Q202" s="133"/>
      <c r="R202" s="133">
        <f t="shared" si="9"/>
        <v>0</v>
      </c>
      <c r="S202" s="16"/>
      <c r="T202" s="14"/>
      <c r="U202" s="14"/>
    </row>
    <row r="203" spans="1:21" ht="12.75" customHeight="1" outlineLevel="1" x14ac:dyDescent="0.2">
      <c r="A203" s="3" t="s">
        <v>3335</v>
      </c>
      <c r="B203" s="133">
        <v>-64602025.000000015</v>
      </c>
      <c r="C203" s="133"/>
      <c r="D203" s="136">
        <v>-1804326.3</v>
      </c>
      <c r="E203" s="133"/>
      <c r="F203" s="136">
        <v>66982.14</v>
      </c>
      <c r="G203" s="137"/>
      <c r="H203" s="136">
        <v>0</v>
      </c>
      <c r="I203" s="137"/>
      <c r="J203" s="133">
        <v>0</v>
      </c>
      <c r="K203" s="137"/>
      <c r="L203" s="136">
        <v>5630.53</v>
      </c>
      <c r="M203" s="133"/>
      <c r="N203" s="136">
        <v>0</v>
      </c>
      <c r="O203" s="133"/>
      <c r="P203" s="136">
        <v>-1391.62</v>
      </c>
      <c r="Q203" s="133"/>
      <c r="R203" s="133">
        <f t="shared" si="9"/>
        <v>-66335130.250000007</v>
      </c>
      <c r="S203" s="16"/>
      <c r="T203" s="14"/>
      <c r="U203" s="14"/>
    </row>
    <row r="204" spans="1:21" ht="12.75" customHeight="1" outlineLevel="1" x14ac:dyDescent="0.2">
      <c r="A204" s="3" t="s">
        <v>3336</v>
      </c>
      <c r="B204" s="133">
        <v>-3.637978807091713E-12</v>
      </c>
      <c r="C204" s="133"/>
      <c r="D204" s="136">
        <v>0</v>
      </c>
      <c r="E204" s="133"/>
      <c r="F204" s="136">
        <v>0</v>
      </c>
      <c r="G204" s="137"/>
      <c r="H204" s="136">
        <v>0</v>
      </c>
      <c r="I204" s="137"/>
      <c r="J204" s="133">
        <v>0</v>
      </c>
      <c r="K204" s="137"/>
      <c r="L204" s="136">
        <v>0</v>
      </c>
      <c r="M204" s="133"/>
      <c r="N204" s="136">
        <v>0</v>
      </c>
      <c r="O204" s="133"/>
      <c r="P204" s="136">
        <v>0</v>
      </c>
      <c r="Q204" s="133"/>
      <c r="R204" s="133">
        <f t="shared" si="9"/>
        <v>-3.637978807091713E-12</v>
      </c>
      <c r="S204" s="16"/>
      <c r="T204" s="14"/>
      <c r="U204" s="14"/>
    </row>
    <row r="205" spans="1:21" ht="12.75" customHeight="1" outlineLevel="1" x14ac:dyDescent="0.2">
      <c r="A205" s="3" t="s">
        <v>3337</v>
      </c>
      <c r="B205" s="133">
        <v>-1925391.47</v>
      </c>
      <c r="C205" s="133"/>
      <c r="D205" s="136">
        <v>-352512.96</v>
      </c>
      <c r="E205" s="133"/>
      <c r="F205" s="136">
        <v>8599.35</v>
      </c>
      <c r="G205" s="137"/>
      <c r="H205" s="136">
        <v>0</v>
      </c>
      <c r="I205" s="137"/>
      <c r="J205" s="133">
        <v>0</v>
      </c>
      <c r="K205" s="137"/>
      <c r="L205" s="136">
        <v>0</v>
      </c>
      <c r="M205" s="133"/>
      <c r="N205" s="136">
        <v>0</v>
      </c>
      <c r="O205" s="133"/>
      <c r="P205" s="136">
        <v>0</v>
      </c>
      <c r="Q205" s="133"/>
      <c r="R205" s="133">
        <f t="shared" si="9"/>
        <v>-2269305.08</v>
      </c>
      <c r="S205" s="16"/>
      <c r="T205" s="14"/>
      <c r="U205" s="14"/>
    </row>
    <row r="206" spans="1:21" ht="12.75" customHeight="1" outlineLevel="1" x14ac:dyDescent="0.2">
      <c r="A206" s="3" t="s">
        <v>3338</v>
      </c>
      <c r="B206" s="133">
        <v>0</v>
      </c>
      <c r="C206" s="133"/>
      <c r="D206" s="136">
        <v>0</v>
      </c>
      <c r="E206" s="133"/>
      <c r="F206" s="136">
        <v>0</v>
      </c>
      <c r="G206" s="137"/>
      <c r="H206" s="136">
        <v>0</v>
      </c>
      <c r="I206" s="137"/>
      <c r="J206" s="133">
        <v>0</v>
      </c>
      <c r="K206" s="137"/>
      <c r="L206" s="136">
        <v>0</v>
      </c>
      <c r="M206" s="133"/>
      <c r="N206" s="136">
        <v>0</v>
      </c>
      <c r="O206" s="133"/>
      <c r="P206" s="136">
        <v>0</v>
      </c>
      <c r="Q206" s="133"/>
      <c r="R206" s="133">
        <f t="shared" si="9"/>
        <v>0</v>
      </c>
      <c r="S206" s="16"/>
      <c r="T206" s="14"/>
      <c r="U206" s="14"/>
    </row>
    <row r="207" spans="1:21" ht="12.75" customHeight="1" outlineLevel="1" x14ac:dyDescent="0.2">
      <c r="A207" s="139" t="s">
        <v>3339</v>
      </c>
      <c r="B207" s="133">
        <v>-38783.17</v>
      </c>
      <c r="C207" s="133"/>
      <c r="D207" s="136">
        <v>-11340.18</v>
      </c>
      <c r="E207" s="133"/>
      <c r="F207" s="136">
        <v>0</v>
      </c>
      <c r="G207" s="137"/>
      <c r="H207" s="136">
        <v>0</v>
      </c>
      <c r="I207" s="137"/>
      <c r="J207" s="133">
        <v>0</v>
      </c>
      <c r="K207" s="137"/>
      <c r="L207" s="136">
        <v>0</v>
      </c>
      <c r="M207" s="133"/>
      <c r="N207" s="136">
        <v>0</v>
      </c>
      <c r="O207" s="133"/>
      <c r="P207" s="136">
        <v>0</v>
      </c>
      <c r="Q207" s="133"/>
      <c r="R207" s="133">
        <f t="shared" si="9"/>
        <v>-50123.35</v>
      </c>
      <c r="S207" s="16"/>
      <c r="T207" s="14"/>
      <c r="U207" s="14"/>
    </row>
    <row r="208" spans="1:21" ht="12.75" customHeight="1" outlineLevel="1" x14ac:dyDescent="0.2">
      <c r="A208" s="3" t="s">
        <v>3340</v>
      </c>
      <c r="B208" s="133">
        <v>2841.8700000000463</v>
      </c>
      <c r="C208" s="133"/>
      <c r="D208" s="136">
        <v>-9512.4599999999991</v>
      </c>
      <c r="E208" s="133"/>
      <c r="F208" s="136">
        <v>0</v>
      </c>
      <c r="G208" s="137"/>
      <c r="H208" s="136">
        <v>0</v>
      </c>
      <c r="I208" s="137"/>
      <c r="J208" s="133">
        <v>0</v>
      </c>
      <c r="K208" s="137"/>
      <c r="L208" s="136">
        <v>0</v>
      </c>
      <c r="M208" s="133"/>
      <c r="N208" s="136">
        <v>0</v>
      </c>
      <c r="O208" s="133"/>
      <c r="P208" s="136">
        <v>0</v>
      </c>
      <c r="Q208" s="133"/>
      <c r="R208" s="133">
        <f t="shared" si="9"/>
        <v>-6670.5899999999529</v>
      </c>
      <c r="S208" s="16"/>
      <c r="T208" s="14"/>
      <c r="U208" s="14"/>
    </row>
    <row r="209" spans="1:21" ht="12.75" customHeight="1" outlineLevel="1" x14ac:dyDescent="0.2">
      <c r="A209" s="3" t="s">
        <v>3341</v>
      </c>
      <c r="B209" s="133">
        <v>-6043.170000000001</v>
      </c>
      <c r="C209" s="133"/>
      <c r="D209" s="136">
        <v>-1566.86</v>
      </c>
      <c r="E209" s="133"/>
      <c r="F209" s="136">
        <v>0</v>
      </c>
      <c r="G209" s="137"/>
      <c r="H209" s="136">
        <v>0</v>
      </c>
      <c r="I209" s="137"/>
      <c r="J209" s="133">
        <v>0</v>
      </c>
      <c r="K209" s="137"/>
      <c r="L209" s="136">
        <v>0</v>
      </c>
      <c r="M209" s="133"/>
      <c r="N209" s="136">
        <v>0</v>
      </c>
      <c r="O209" s="133"/>
      <c r="P209" s="136">
        <v>0</v>
      </c>
      <c r="Q209" s="133"/>
      <c r="R209" s="133">
        <f t="shared" si="9"/>
        <v>-7610.0300000000007</v>
      </c>
      <c r="S209" s="16"/>
      <c r="T209" s="14"/>
      <c r="U209" s="14"/>
    </row>
    <row r="210" spans="1:21" x14ac:dyDescent="0.2">
      <c r="A210" s="3" t="s">
        <v>3342</v>
      </c>
      <c r="B210" s="133">
        <f>SUM(B174:B209)</f>
        <v>-180679843.59999996</v>
      </c>
      <c r="C210" s="133"/>
      <c r="D210" s="133">
        <f>SUM(D174:D209)</f>
        <v>-4496414.95</v>
      </c>
      <c r="E210" s="133"/>
      <c r="F210" s="133">
        <f>SUM(F174:F209)</f>
        <v>209322.44999999998</v>
      </c>
      <c r="G210" s="137"/>
      <c r="H210" s="133">
        <f>SUM(H174:H209)</f>
        <v>0</v>
      </c>
      <c r="I210" s="137"/>
      <c r="J210" s="133">
        <f>SUM(J174:J209)</f>
        <v>0</v>
      </c>
      <c r="K210" s="137"/>
      <c r="L210" s="133">
        <f>SUM(L174:L209)</f>
        <v>70122.179999999993</v>
      </c>
      <c r="M210" s="133"/>
      <c r="N210" s="133">
        <f>SUM(N174:N209)</f>
        <v>0</v>
      </c>
      <c r="O210" s="133"/>
      <c r="P210" s="133">
        <f>SUM(P174:P209)</f>
        <v>-1391.62</v>
      </c>
      <c r="Q210" s="133"/>
      <c r="R210" s="133">
        <f>SUM(R174:R209)</f>
        <v>-184898205.53999999</v>
      </c>
      <c r="S210" s="16"/>
      <c r="T210" s="14"/>
      <c r="U210" s="14"/>
    </row>
    <row r="211" spans="1:21" ht="12.75" customHeight="1" outlineLevel="1" x14ac:dyDescent="0.2">
      <c r="A211" s="3" t="s">
        <v>3343</v>
      </c>
      <c r="B211" s="133">
        <v>0</v>
      </c>
      <c r="C211" s="133"/>
      <c r="D211" s="136">
        <v>0</v>
      </c>
      <c r="E211" s="133"/>
      <c r="F211" s="136">
        <v>0</v>
      </c>
      <c r="G211" s="137"/>
      <c r="H211" s="136">
        <v>0</v>
      </c>
      <c r="I211" s="137"/>
      <c r="J211" s="133">
        <v>0</v>
      </c>
      <c r="K211" s="137"/>
      <c r="L211" s="136">
        <v>0</v>
      </c>
      <c r="M211" s="133"/>
      <c r="N211" s="136">
        <v>0</v>
      </c>
      <c r="O211" s="133"/>
      <c r="P211" s="136">
        <v>0</v>
      </c>
      <c r="Q211" s="133"/>
      <c r="R211" s="133">
        <f t="shared" ref="R211:R218" si="10">SUM(B211:P211)</f>
        <v>0</v>
      </c>
      <c r="S211" s="16"/>
      <c r="T211" s="14"/>
      <c r="U211" s="14"/>
    </row>
    <row r="212" spans="1:21" ht="12.75" customHeight="1" outlineLevel="1" x14ac:dyDescent="0.2">
      <c r="A212" s="21" t="s">
        <v>3344</v>
      </c>
      <c r="B212" s="133">
        <v>-5.8207660913467407E-11</v>
      </c>
      <c r="C212" s="133"/>
      <c r="D212" s="136">
        <v>0</v>
      </c>
      <c r="E212" s="133"/>
      <c r="F212" s="136">
        <v>0</v>
      </c>
      <c r="G212" s="137"/>
      <c r="H212" s="136">
        <v>0</v>
      </c>
      <c r="I212" s="137"/>
      <c r="J212" s="133">
        <v>0</v>
      </c>
      <c r="K212" s="137"/>
      <c r="L212" s="136">
        <v>0</v>
      </c>
      <c r="M212" s="133"/>
      <c r="N212" s="136">
        <v>0</v>
      </c>
      <c r="O212" s="133"/>
      <c r="P212" s="136">
        <v>0</v>
      </c>
      <c r="Q212" s="133"/>
      <c r="R212" s="133">
        <f t="shared" si="10"/>
        <v>-5.8207660913467407E-11</v>
      </c>
      <c r="S212" s="16"/>
      <c r="T212" s="14"/>
      <c r="U212" s="14"/>
    </row>
    <row r="213" spans="1:21" ht="12.75" customHeight="1" outlineLevel="1" x14ac:dyDescent="0.2">
      <c r="A213" s="3" t="s">
        <v>3345</v>
      </c>
      <c r="B213" s="133">
        <v>4.6566128730773926E-10</v>
      </c>
      <c r="C213" s="133"/>
      <c r="D213" s="136">
        <v>0</v>
      </c>
      <c r="E213" s="133"/>
      <c r="F213" s="136">
        <v>0</v>
      </c>
      <c r="G213" s="137"/>
      <c r="H213" s="136">
        <v>0</v>
      </c>
      <c r="I213" s="137"/>
      <c r="J213" s="133">
        <v>0</v>
      </c>
      <c r="K213" s="137"/>
      <c r="L213" s="136">
        <v>0</v>
      </c>
      <c r="M213" s="133"/>
      <c r="N213" s="136">
        <v>0</v>
      </c>
      <c r="O213" s="133"/>
      <c r="P213" s="136">
        <v>0</v>
      </c>
      <c r="Q213" s="133"/>
      <c r="R213" s="133">
        <f t="shared" si="10"/>
        <v>4.6566128730773926E-10</v>
      </c>
      <c r="S213" s="16"/>
      <c r="T213" s="14"/>
      <c r="U213" s="14"/>
    </row>
    <row r="214" spans="1:21" ht="12.75" customHeight="1" outlineLevel="1" x14ac:dyDescent="0.2">
      <c r="A214" s="3" t="s">
        <v>3346</v>
      </c>
      <c r="B214" s="133">
        <v>2.9103830456733704E-11</v>
      </c>
      <c r="C214" s="133"/>
      <c r="D214" s="136">
        <v>0</v>
      </c>
      <c r="E214" s="133"/>
      <c r="F214" s="136">
        <v>0</v>
      </c>
      <c r="G214" s="137"/>
      <c r="H214" s="136">
        <v>0</v>
      </c>
      <c r="I214" s="137"/>
      <c r="J214" s="133">
        <v>0</v>
      </c>
      <c r="K214" s="137"/>
      <c r="L214" s="136">
        <v>0</v>
      </c>
      <c r="M214" s="133"/>
      <c r="N214" s="136">
        <v>0</v>
      </c>
      <c r="O214" s="133"/>
      <c r="P214" s="136">
        <v>0</v>
      </c>
      <c r="Q214" s="133"/>
      <c r="R214" s="133">
        <f t="shared" si="10"/>
        <v>2.9103830456733704E-11</v>
      </c>
      <c r="S214" s="16"/>
      <c r="T214" s="14"/>
      <c r="U214" s="14"/>
    </row>
    <row r="215" spans="1:21" ht="12.75" customHeight="1" outlineLevel="1" x14ac:dyDescent="0.2">
      <c r="A215" s="3" t="s">
        <v>3347</v>
      </c>
      <c r="B215" s="133">
        <v>0</v>
      </c>
      <c r="C215" s="133"/>
      <c r="D215" s="136">
        <v>0</v>
      </c>
      <c r="E215" s="133"/>
      <c r="F215" s="136">
        <v>0</v>
      </c>
      <c r="G215" s="133"/>
      <c r="H215" s="136">
        <v>0</v>
      </c>
      <c r="I215" s="133"/>
      <c r="J215" s="133">
        <v>0</v>
      </c>
      <c r="K215" s="133"/>
      <c r="L215" s="136">
        <v>0</v>
      </c>
      <c r="M215" s="133"/>
      <c r="N215" s="136">
        <v>0</v>
      </c>
      <c r="O215" s="133"/>
      <c r="P215" s="136">
        <v>0</v>
      </c>
      <c r="Q215" s="133"/>
      <c r="R215" s="133">
        <f t="shared" si="10"/>
        <v>0</v>
      </c>
      <c r="S215" s="16"/>
      <c r="T215" s="14"/>
      <c r="U215" s="14"/>
    </row>
    <row r="216" spans="1:21" ht="12.75" customHeight="1" outlineLevel="1" x14ac:dyDescent="0.2">
      <c r="A216" s="3" t="s">
        <v>3348</v>
      </c>
      <c r="B216" s="133">
        <v>4.6566128730773926E-10</v>
      </c>
      <c r="C216" s="133"/>
      <c r="D216" s="136">
        <v>0</v>
      </c>
      <c r="E216" s="133"/>
      <c r="F216" s="136">
        <v>0</v>
      </c>
      <c r="G216" s="133"/>
      <c r="H216" s="136">
        <v>0</v>
      </c>
      <c r="I216" s="133"/>
      <c r="J216" s="133">
        <v>0</v>
      </c>
      <c r="K216" s="133"/>
      <c r="L216" s="136">
        <v>0</v>
      </c>
      <c r="M216" s="133"/>
      <c r="N216" s="136">
        <v>0</v>
      </c>
      <c r="O216" s="133"/>
      <c r="P216" s="136">
        <v>0</v>
      </c>
      <c r="Q216" s="133"/>
      <c r="R216" s="133">
        <f t="shared" si="10"/>
        <v>4.6566128730773926E-10</v>
      </c>
      <c r="S216" s="16"/>
      <c r="T216" s="14"/>
      <c r="U216" s="14"/>
    </row>
    <row r="217" spans="1:21" ht="12.75" customHeight="1" outlineLevel="1" x14ac:dyDescent="0.2">
      <c r="A217" s="3" t="s">
        <v>3349</v>
      </c>
      <c r="B217" s="133">
        <v>0</v>
      </c>
      <c r="C217" s="133"/>
      <c r="D217" s="136">
        <v>0</v>
      </c>
      <c r="E217" s="133"/>
      <c r="F217" s="136">
        <v>0</v>
      </c>
      <c r="G217" s="133"/>
      <c r="H217" s="136">
        <v>0</v>
      </c>
      <c r="I217" s="133"/>
      <c r="J217" s="133">
        <v>0</v>
      </c>
      <c r="K217" s="133"/>
      <c r="L217" s="136">
        <v>0</v>
      </c>
      <c r="M217" s="133"/>
      <c r="N217" s="136">
        <v>0</v>
      </c>
      <c r="O217" s="133"/>
      <c r="P217" s="136">
        <v>0</v>
      </c>
      <c r="Q217" s="133"/>
      <c r="R217" s="133">
        <f t="shared" si="10"/>
        <v>0</v>
      </c>
      <c r="S217" s="16"/>
      <c r="T217" s="14"/>
      <c r="U217" s="14"/>
    </row>
    <row r="218" spans="1:21" ht="12.75" customHeight="1" outlineLevel="1" x14ac:dyDescent="0.2">
      <c r="A218" s="139" t="s">
        <v>3350</v>
      </c>
      <c r="B218" s="133">
        <v>-1.1641532182693481E-10</v>
      </c>
      <c r="C218" s="133"/>
      <c r="D218" s="136">
        <v>0</v>
      </c>
      <c r="E218" s="133"/>
      <c r="F218" s="136">
        <v>0</v>
      </c>
      <c r="G218" s="133"/>
      <c r="H218" s="136">
        <v>0</v>
      </c>
      <c r="I218" s="133"/>
      <c r="J218" s="133">
        <v>0</v>
      </c>
      <c r="K218" s="133"/>
      <c r="L218" s="136">
        <v>0</v>
      </c>
      <c r="M218" s="133"/>
      <c r="N218" s="136">
        <v>0</v>
      </c>
      <c r="O218" s="133"/>
      <c r="P218" s="136">
        <v>0</v>
      </c>
      <c r="Q218" s="133"/>
      <c r="R218" s="133">
        <f t="shared" si="10"/>
        <v>-1.1641532182693481E-10</v>
      </c>
      <c r="S218" s="16"/>
      <c r="T218" s="14"/>
      <c r="U218" s="14"/>
    </row>
    <row r="219" spans="1:21" x14ac:dyDescent="0.2">
      <c r="A219" s="3" t="s">
        <v>3351</v>
      </c>
      <c r="B219" s="133">
        <f>SUM(B211:B218)</f>
        <v>7.8580342233181E-10</v>
      </c>
      <c r="C219" s="133"/>
      <c r="D219" s="133">
        <f>SUM(D211:D218)</f>
        <v>0</v>
      </c>
      <c r="E219" s="133"/>
      <c r="F219" s="133">
        <f>SUM(F211:F218)</f>
        <v>0</v>
      </c>
      <c r="G219" s="133"/>
      <c r="H219" s="133">
        <f>SUM(H211:H218)</f>
        <v>0</v>
      </c>
      <c r="I219" s="133"/>
      <c r="J219" s="133">
        <f>SUM(J211:J218)</f>
        <v>0</v>
      </c>
      <c r="K219" s="133"/>
      <c r="L219" s="133">
        <f>SUM(L211:L218)</f>
        <v>0</v>
      </c>
      <c r="M219" s="133"/>
      <c r="N219" s="133">
        <f>SUM(N211:N218)</f>
        <v>0</v>
      </c>
      <c r="O219" s="133"/>
      <c r="P219" s="133">
        <f>SUM(P211:P218)</f>
        <v>0</v>
      </c>
      <c r="Q219" s="133"/>
      <c r="R219" s="133">
        <f>SUM(R211:R218)</f>
        <v>7.8580342233181E-10</v>
      </c>
      <c r="S219" s="16"/>
      <c r="T219" s="14"/>
      <c r="U219" s="14"/>
    </row>
    <row r="220" spans="1:21" x14ac:dyDescent="0.2">
      <c r="A220" s="3" t="s">
        <v>3352</v>
      </c>
      <c r="B220" s="133">
        <v>0</v>
      </c>
      <c r="C220" s="133"/>
      <c r="D220" s="136">
        <v>0</v>
      </c>
      <c r="E220" s="133"/>
      <c r="F220" s="136">
        <v>0</v>
      </c>
      <c r="G220" s="133"/>
      <c r="H220" s="136">
        <v>0</v>
      </c>
      <c r="I220" s="133"/>
      <c r="J220" s="133">
        <v>0</v>
      </c>
      <c r="K220" s="133"/>
      <c r="L220" s="136">
        <v>0</v>
      </c>
      <c r="M220" s="133"/>
      <c r="N220" s="136">
        <v>0</v>
      </c>
      <c r="O220" s="133"/>
      <c r="P220" s="136">
        <v>0</v>
      </c>
      <c r="Q220" s="133"/>
      <c r="R220" s="133">
        <f>SUM(B220:P220)</f>
        <v>0</v>
      </c>
      <c r="S220" s="16"/>
      <c r="T220" s="14"/>
      <c r="U220" s="14"/>
    </row>
    <row r="221" spans="1:21" ht="12.75" customHeight="1" outlineLevel="1" x14ac:dyDescent="0.2">
      <c r="A221" s="3" t="s">
        <v>3353</v>
      </c>
      <c r="B221" s="133">
        <v>0</v>
      </c>
      <c r="C221" s="133"/>
      <c r="D221" s="136">
        <v>0</v>
      </c>
      <c r="E221" s="133"/>
      <c r="F221" s="136">
        <v>0</v>
      </c>
      <c r="G221" s="133"/>
      <c r="H221" s="136">
        <v>0</v>
      </c>
      <c r="I221" s="133"/>
      <c r="J221" s="133">
        <v>0</v>
      </c>
      <c r="K221" s="133"/>
      <c r="L221" s="136">
        <v>0</v>
      </c>
      <c r="M221" s="133"/>
      <c r="N221" s="136">
        <v>0</v>
      </c>
      <c r="O221" s="133"/>
      <c r="P221" s="136">
        <v>0</v>
      </c>
      <c r="Q221" s="133"/>
      <c r="R221" s="133">
        <f>SUM(B221:P221)</f>
        <v>0</v>
      </c>
      <c r="S221" s="16"/>
      <c r="T221" s="14"/>
      <c r="U221" s="14"/>
    </row>
    <row r="222" spans="1:21" ht="12.75" customHeight="1" outlineLevel="1" x14ac:dyDescent="0.2">
      <c r="A222" s="3" t="s">
        <v>3354</v>
      </c>
      <c r="B222" s="133">
        <v>0</v>
      </c>
      <c r="C222" s="133"/>
      <c r="D222" s="136">
        <v>0</v>
      </c>
      <c r="E222" s="133"/>
      <c r="F222" s="136">
        <v>0</v>
      </c>
      <c r="G222" s="133"/>
      <c r="H222" s="136">
        <v>0</v>
      </c>
      <c r="I222" s="133"/>
      <c r="J222" s="133">
        <v>0</v>
      </c>
      <c r="K222" s="133"/>
      <c r="L222" s="136">
        <v>0</v>
      </c>
      <c r="M222" s="133"/>
      <c r="N222" s="136">
        <v>0</v>
      </c>
      <c r="O222" s="133"/>
      <c r="P222" s="136">
        <v>0</v>
      </c>
      <c r="Q222" s="133"/>
      <c r="R222" s="133">
        <f>SUM(B222:P222)</f>
        <v>0</v>
      </c>
      <c r="S222" s="16"/>
      <c r="T222" s="14"/>
      <c r="U222" s="14"/>
    </row>
    <row r="223" spans="1:21" x14ac:dyDescent="0.2">
      <c r="A223" s="3" t="s">
        <v>3355</v>
      </c>
      <c r="B223" s="133">
        <f>SUM(B221:B222)</f>
        <v>0</v>
      </c>
      <c r="C223" s="133"/>
      <c r="D223" s="133">
        <f>SUM(D221:D222)</f>
        <v>0</v>
      </c>
      <c r="E223" s="133"/>
      <c r="F223" s="133">
        <f>SUM(F221:F222)</f>
        <v>0</v>
      </c>
      <c r="G223" s="133"/>
      <c r="H223" s="133">
        <f>SUM(H221:H222)</f>
        <v>0</v>
      </c>
      <c r="I223" s="133"/>
      <c r="J223" s="133">
        <f>SUM(J221:J222)</f>
        <v>0</v>
      </c>
      <c r="K223" s="133"/>
      <c r="L223" s="133">
        <f>SUM(L221:L222)</f>
        <v>0</v>
      </c>
      <c r="M223" s="133"/>
      <c r="N223" s="133">
        <f>SUM(N221:N222)</f>
        <v>0</v>
      </c>
      <c r="O223" s="133"/>
      <c r="P223" s="133">
        <f>SUM(P221:P222)</f>
        <v>0</v>
      </c>
      <c r="Q223" s="133"/>
      <c r="R223" s="133">
        <f>SUM(R221:R222)</f>
        <v>0</v>
      </c>
      <c r="S223" s="16"/>
      <c r="T223" s="14"/>
      <c r="U223" s="14"/>
    </row>
    <row r="224" spans="1:21" ht="12.75" customHeight="1" outlineLevel="1" x14ac:dyDescent="0.2">
      <c r="A224" s="3" t="s">
        <v>3356</v>
      </c>
      <c r="B224" s="133">
        <v>-7.2759576141834259E-12</v>
      </c>
      <c r="C224" s="133"/>
      <c r="D224" s="136">
        <v>0</v>
      </c>
      <c r="E224" s="133"/>
      <c r="F224" s="136">
        <v>0</v>
      </c>
      <c r="G224" s="133"/>
      <c r="H224" s="136">
        <v>0</v>
      </c>
      <c r="I224" s="133"/>
      <c r="J224" s="133">
        <v>0</v>
      </c>
      <c r="K224" s="133"/>
      <c r="L224" s="136">
        <v>0</v>
      </c>
      <c r="M224" s="133"/>
      <c r="N224" s="136">
        <v>0</v>
      </c>
      <c r="O224" s="133"/>
      <c r="P224" s="136">
        <v>0</v>
      </c>
      <c r="Q224" s="133"/>
      <c r="R224" s="133">
        <f t="shared" ref="R224:R284" si="11">SUM(B224:P224)</f>
        <v>-7.2759576141834259E-12</v>
      </c>
      <c r="S224" s="16"/>
      <c r="T224" s="14"/>
      <c r="U224" s="14"/>
    </row>
    <row r="225" spans="1:21" ht="12.75" customHeight="1" outlineLevel="1" x14ac:dyDescent="0.2">
      <c r="A225" s="3" t="s">
        <v>3357</v>
      </c>
      <c r="B225" s="133">
        <v>-2.9999999271240085E-2</v>
      </c>
      <c r="C225" s="133"/>
      <c r="D225" s="136">
        <v>0</v>
      </c>
      <c r="E225" s="133"/>
      <c r="F225" s="136">
        <v>0</v>
      </c>
      <c r="G225" s="133"/>
      <c r="H225" s="136">
        <v>0</v>
      </c>
      <c r="I225" s="133"/>
      <c r="J225" s="133">
        <v>0</v>
      </c>
      <c r="K225" s="133"/>
      <c r="L225" s="136">
        <v>0</v>
      </c>
      <c r="M225" s="133"/>
      <c r="N225" s="136">
        <v>0</v>
      </c>
      <c r="O225" s="133"/>
      <c r="P225" s="136">
        <v>0</v>
      </c>
      <c r="Q225" s="133"/>
      <c r="R225" s="133">
        <f t="shared" si="11"/>
        <v>-2.9999999271240085E-2</v>
      </c>
      <c r="S225" s="16"/>
      <c r="T225" s="14"/>
      <c r="U225" s="14"/>
    </row>
    <row r="226" spans="1:21" ht="12.75" customHeight="1" outlineLevel="1" x14ac:dyDescent="0.2">
      <c r="A226" s="3" t="s">
        <v>3358</v>
      </c>
      <c r="B226" s="133">
        <v>-87688.839999999851</v>
      </c>
      <c r="C226" s="133"/>
      <c r="D226" s="136">
        <v>0</v>
      </c>
      <c r="E226" s="133"/>
      <c r="F226" s="136">
        <v>0</v>
      </c>
      <c r="G226" s="133"/>
      <c r="H226" s="136">
        <v>0</v>
      </c>
      <c r="I226" s="133"/>
      <c r="J226" s="133">
        <v>0</v>
      </c>
      <c r="K226" s="133"/>
      <c r="L226" s="136">
        <v>0</v>
      </c>
      <c r="M226" s="133"/>
      <c r="N226" s="136">
        <v>0</v>
      </c>
      <c r="O226" s="133"/>
      <c r="P226" s="136">
        <v>0</v>
      </c>
      <c r="Q226" s="133"/>
      <c r="R226" s="133">
        <f t="shared" si="11"/>
        <v>-87688.839999999851</v>
      </c>
      <c r="S226" s="16"/>
      <c r="T226" s="14"/>
      <c r="U226" s="14"/>
    </row>
    <row r="227" spans="1:21" ht="12.75" customHeight="1" outlineLevel="1" x14ac:dyDescent="0.2">
      <c r="A227" s="3" t="s">
        <v>3359</v>
      </c>
      <c r="B227" s="133">
        <v>-15455.420000000013</v>
      </c>
      <c r="C227" s="133"/>
      <c r="D227" s="136">
        <v>0</v>
      </c>
      <c r="E227" s="133"/>
      <c r="F227" s="136">
        <v>0</v>
      </c>
      <c r="G227" s="137"/>
      <c r="H227" s="136">
        <v>0</v>
      </c>
      <c r="I227" s="137"/>
      <c r="J227" s="133">
        <v>0</v>
      </c>
      <c r="K227" s="137"/>
      <c r="L227" s="136">
        <v>0</v>
      </c>
      <c r="M227" s="133"/>
      <c r="N227" s="136">
        <v>0</v>
      </c>
      <c r="O227" s="133"/>
      <c r="P227" s="136">
        <v>0</v>
      </c>
      <c r="Q227" s="133"/>
      <c r="R227" s="133">
        <f t="shared" si="11"/>
        <v>-15455.420000000013</v>
      </c>
      <c r="S227" s="16"/>
      <c r="T227" s="14"/>
      <c r="U227" s="14"/>
    </row>
    <row r="228" spans="1:21" ht="12.75" customHeight="1" outlineLevel="1" x14ac:dyDescent="0.2">
      <c r="A228" s="3" t="s">
        <v>3360</v>
      </c>
      <c r="B228" s="133">
        <v>-72310.980000000098</v>
      </c>
      <c r="C228" s="133"/>
      <c r="D228" s="136">
        <v>0</v>
      </c>
      <c r="E228" s="133"/>
      <c r="F228" s="136">
        <v>0</v>
      </c>
      <c r="G228" s="137"/>
      <c r="H228" s="136">
        <v>0</v>
      </c>
      <c r="I228" s="137"/>
      <c r="J228" s="133">
        <v>0</v>
      </c>
      <c r="K228" s="137"/>
      <c r="L228" s="136">
        <v>0</v>
      </c>
      <c r="M228" s="133"/>
      <c r="N228" s="136">
        <v>0</v>
      </c>
      <c r="O228" s="133"/>
      <c r="P228" s="136">
        <v>0</v>
      </c>
      <c r="Q228" s="133"/>
      <c r="R228" s="133">
        <f t="shared" si="11"/>
        <v>-72310.980000000098</v>
      </c>
      <c r="S228" s="16"/>
      <c r="T228" s="14"/>
      <c r="U228" s="14"/>
    </row>
    <row r="229" spans="1:21" ht="12.75" customHeight="1" outlineLevel="1" x14ac:dyDescent="0.2">
      <c r="A229" s="3" t="s">
        <v>3361</v>
      </c>
      <c r="B229" s="133">
        <v>-1281485.5100000016</v>
      </c>
      <c r="C229" s="133"/>
      <c r="D229" s="136">
        <v>0</v>
      </c>
      <c r="E229" s="133"/>
      <c r="F229" s="136">
        <v>0</v>
      </c>
      <c r="G229" s="137"/>
      <c r="H229" s="136">
        <v>0</v>
      </c>
      <c r="I229" s="137"/>
      <c r="J229" s="133">
        <v>0</v>
      </c>
      <c r="K229" s="137"/>
      <c r="L229" s="136">
        <v>0</v>
      </c>
      <c r="M229" s="133"/>
      <c r="N229" s="136">
        <v>0</v>
      </c>
      <c r="O229" s="133"/>
      <c r="P229" s="136">
        <v>0</v>
      </c>
      <c r="Q229" s="133"/>
      <c r="R229" s="133">
        <f t="shared" si="11"/>
        <v>-1281485.5100000016</v>
      </c>
      <c r="S229" s="16"/>
      <c r="T229" s="14"/>
      <c r="U229" s="14"/>
    </row>
    <row r="230" spans="1:21" ht="12.75" customHeight="1" outlineLevel="1" x14ac:dyDescent="0.2">
      <c r="A230" s="3" t="s">
        <v>3362</v>
      </c>
      <c r="B230" s="133">
        <v>-2770382.3999999985</v>
      </c>
      <c r="C230" s="133"/>
      <c r="D230" s="136">
        <v>0</v>
      </c>
      <c r="E230" s="133"/>
      <c r="F230" s="136">
        <v>35966.629999999997</v>
      </c>
      <c r="G230" s="137"/>
      <c r="H230" s="136">
        <v>0</v>
      </c>
      <c r="I230" s="137"/>
      <c r="J230" s="133">
        <v>0</v>
      </c>
      <c r="K230" s="137"/>
      <c r="L230" s="136">
        <v>500014.81</v>
      </c>
      <c r="M230" s="133"/>
      <c r="N230" s="136">
        <v>-13288.4</v>
      </c>
      <c r="O230" s="133"/>
      <c r="P230" s="136">
        <v>0</v>
      </c>
      <c r="Q230" s="133"/>
      <c r="R230" s="133">
        <f t="shared" si="11"/>
        <v>-2247689.3599999985</v>
      </c>
      <c r="S230" s="16"/>
      <c r="T230" s="14"/>
      <c r="U230" s="14"/>
    </row>
    <row r="231" spans="1:21" ht="12.75" customHeight="1" outlineLevel="1" x14ac:dyDescent="0.2">
      <c r="A231" s="3" t="s">
        <v>3363</v>
      </c>
      <c r="B231" s="133">
        <v>-2657566.0800000075</v>
      </c>
      <c r="C231" s="133"/>
      <c r="D231" s="136">
        <v>-5948.7</v>
      </c>
      <c r="E231" s="133"/>
      <c r="F231" s="136">
        <v>35966.629999999997</v>
      </c>
      <c r="G231" s="137"/>
      <c r="H231" s="136">
        <v>0</v>
      </c>
      <c r="I231" s="137"/>
      <c r="J231" s="133">
        <v>0</v>
      </c>
      <c r="K231" s="137"/>
      <c r="L231" s="136">
        <v>500014.81</v>
      </c>
      <c r="M231" s="133"/>
      <c r="N231" s="136">
        <v>-13288.4</v>
      </c>
      <c r="O231" s="133"/>
      <c r="P231" s="136">
        <v>0</v>
      </c>
      <c r="Q231" s="133"/>
      <c r="R231" s="133">
        <f t="shared" si="11"/>
        <v>-2140821.7400000077</v>
      </c>
      <c r="S231" s="16"/>
      <c r="T231" s="14"/>
      <c r="U231" s="14"/>
    </row>
    <row r="232" spans="1:21" ht="12.75" customHeight="1" outlineLevel="1" x14ac:dyDescent="0.2">
      <c r="A232" s="3" t="s">
        <v>3364</v>
      </c>
      <c r="B232" s="133">
        <v>0</v>
      </c>
      <c r="C232" s="133"/>
      <c r="D232" s="136">
        <v>0</v>
      </c>
      <c r="E232" s="133"/>
      <c r="F232" s="136">
        <v>0</v>
      </c>
      <c r="G232" s="137"/>
      <c r="H232" s="136">
        <v>0</v>
      </c>
      <c r="I232" s="137"/>
      <c r="J232" s="133">
        <v>0</v>
      </c>
      <c r="K232" s="137"/>
      <c r="L232" s="136">
        <v>0</v>
      </c>
      <c r="M232" s="133"/>
      <c r="N232" s="136">
        <v>0</v>
      </c>
      <c r="O232" s="133"/>
      <c r="P232" s="136">
        <v>0</v>
      </c>
      <c r="Q232" s="133"/>
      <c r="R232" s="133">
        <f t="shared" si="11"/>
        <v>0</v>
      </c>
      <c r="S232" s="16"/>
      <c r="T232" s="14"/>
      <c r="U232" s="14"/>
    </row>
    <row r="233" spans="1:21" ht="12.75" customHeight="1" outlineLevel="1" x14ac:dyDescent="0.2">
      <c r="A233" s="3" t="s">
        <v>3365</v>
      </c>
      <c r="B233" s="133">
        <v>-2435570.0099999872</v>
      </c>
      <c r="C233" s="133"/>
      <c r="D233" s="136">
        <v>-12986.1</v>
      </c>
      <c r="E233" s="133"/>
      <c r="F233" s="136">
        <v>35966.629999999997</v>
      </c>
      <c r="G233" s="137"/>
      <c r="H233" s="136">
        <v>0</v>
      </c>
      <c r="I233" s="137"/>
      <c r="J233" s="133">
        <v>0</v>
      </c>
      <c r="K233" s="137"/>
      <c r="L233" s="136">
        <v>500014.81</v>
      </c>
      <c r="M233" s="133"/>
      <c r="N233" s="136">
        <v>-13288.4</v>
      </c>
      <c r="O233" s="133"/>
      <c r="P233" s="136">
        <v>0</v>
      </c>
      <c r="Q233" s="133"/>
      <c r="R233" s="133">
        <f t="shared" si="11"/>
        <v>-1925863.0699999873</v>
      </c>
      <c r="S233" s="16"/>
      <c r="T233" s="14"/>
      <c r="U233" s="14"/>
    </row>
    <row r="234" spans="1:21" ht="12.75" customHeight="1" outlineLevel="1" x14ac:dyDescent="0.2">
      <c r="A234" s="3" t="s">
        <v>3366</v>
      </c>
      <c r="B234" s="133">
        <v>0</v>
      </c>
      <c r="C234" s="133"/>
      <c r="D234" s="136">
        <v>0</v>
      </c>
      <c r="E234" s="133"/>
      <c r="F234" s="136">
        <v>0</v>
      </c>
      <c r="G234" s="137"/>
      <c r="H234" s="136">
        <v>0</v>
      </c>
      <c r="I234" s="137"/>
      <c r="J234" s="133">
        <v>0</v>
      </c>
      <c r="K234" s="137"/>
      <c r="L234" s="136">
        <v>0</v>
      </c>
      <c r="M234" s="133"/>
      <c r="N234" s="136">
        <v>0</v>
      </c>
      <c r="O234" s="133"/>
      <c r="P234" s="136">
        <v>0</v>
      </c>
      <c r="Q234" s="133"/>
      <c r="R234" s="133">
        <f t="shared" si="11"/>
        <v>0</v>
      </c>
      <c r="S234" s="16"/>
      <c r="T234" s="14"/>
      <c r="U234" s="14"/>
    </row>
    <row r="235" spans="1:21" ht="12.75" customHeight="1" outlineLevel="1" x14ac:dyDescent="0.2">
      <c r="A235" s="3" t="s">
        <v>3367</v>
      </c>
      <c r="B235" s="133">
        <v>-1583534.0999999917</v>
      </c>
      <c r="C235" s="133"/>
      <c r="D235" s="136">
        <v>-715134.18</v>
      </c>
      <c r="E235" s="133"/>
      <c r="F235" s="136">
        <v>4873757.2300000004</v>
      </c>
      <c r="G235" s="137"/>
      <c r="H235" s="136">
        <v>0</v>
      </c>
      <c r="I235" s="137"/>
      <c r="J235" s="133">
        <v>0</v>
      </c>
      <c r="K235" s="137"/>
      <c r="L235" s="136">
        <v>18113073.210000001</v>
      </c>
      <c r="M235" s="133"/>
      <c r="N235" s="136">
        <v>-13288.4</v>
      </c>
      <c r="O235" s="133"/>
      <c r="P235" s="136">
        <v>0</v>
      </c>
      <c r="Q235" s="133"/>
      <c r="R235" s="133">
        <f t="shared" si="11"/>
        <v>20674873.760000013</v>
      </c>
      <c r="S235" s="16"/>
      <c r="T235" s="14"/>
      <c r="U235" s="14"/>
    </row>
    <row r="236" spans="1:21" ht="12.75" customHeight="1" outlineLevel="1" x14ac:dyDescent="0.2">
      <c r="A236" s="3" t="s">
        <v>3368</v>
      </c>
      <c r="B236" s="133">
        <v>0</v>
      </c>
      <c r="C236" s="133"/>
      <c r="D236" s="136">
        <v>0</v>
      </c>
      <c r="E236" s="133"/>
      <c r="F236" s="136">
        <v>0</v>
      </c>
      <c r="G236" s="137"/>
      <c r="H236" s="136">
        <v>0</v>
      </c>
      <c r="I236" s="137"/>
      <c r="J236" s="133">
        <v>0</v>
      </c>
      <c r="K236" s="137"/>
      <c r="L236" s="136">
        <v>0</v>
      </c>
      <c r="M236" s="133"/>
      <c r="N236" s="136">
        <v>0</v>
      </c>
      <c r="O236" s="133"/>
      <c r="P236" s="136">
        <v>0</v>
      </c>
      <c r="Q236" s="133"/>
      <c r="R236" s="133">
        <f t="shared" si="11"/>
        <v>0</v>
      </c>
      <c r="S236" s="16"/>
      <c r="T236" s="14"/>
      <c r="U236" s="14"/>
    </row>
    <row r="237" spans="1:21" ht="12.75" customHeight="1" outlineLevel="1" x14ac:dyDescent="0.2">
      <c r="A237" s="21" t="s">
        <v>3369</v>
      </c>
      <c r="B237" s="133">
        <v>-2454357.3200000036</v>
      </c>
      <c r="C237" s="133"/>
      <c r="D237" s="136">
        <v>-2248.14</v>
      </c>
      <c r="E237" s="133"/>
      <c r="F237" s="136">
        <v>35966.629999999997</v>
      </c>
      <c r="G237" s="137"/>
      <c r="H237" s="136">
        <v>0</v>
      </c>
      <c r="I237" s="137"/>
      <c r="J237" s="133">
        <v>0</v>
      </c>
      <c r="K237" s="137"/>
      <c r="L237" s="136">
        <v>500014.81</v>
      </c>
      <c r="M237" s="133"/>
      <c r="N237" s="136">
        <v>-13288.4</v>
      </c>
      <c r="O237" s="133"/>
      <c r="P237" s="136">
        <v>0</v>
      </c>
      <c r="Q237" s="133"/>
      <c r="R237" s="133">
        <f t="shared" si="11"/>
        <v>-1933912.4200000037</v>
      </c>
      <c r="S237" s="16"/>
      <c r="T237" s="14"/>
      <c r="U237" s="14"/>
    </row>
    <row r="238" spans="1:21" ht="12.75" customHeight="1" outlineLevel="1" x14ac:dyDescent="0.2">
      <c r="A238" s="21" t="s">
        <v>3370</v>
      </c>
      <c r="B238" s="133">
        <v>0</v>
      </c>
      <c r="C238" s="133"/>
      <c r="D238" s="136">
        <v>0</v>
      </c>
      <c r="E238" s="133"/>
      <c r="F238" s="136">
        <v>0</v>
      </c>
      <c r="G238" s="137"/>
      <c r="H238" s="136">
        <v>0</v>
      </c>
      <c r="I238" s="137"/>
      <c r="J238" s="133">
        <v>0</v>
      </c>
      <c r="K238" s="137"/>
      <c r="L238" s="136">
        <v>0</v>
      </c>
      <c r="M238" s="133"/>
      <c r="N238" s="136">
        <v>0</v>
      </c>
      <c r="O238" s="133"/>
      <c r="P238" s="136">
        <v>0</v>
      </c>
      <c r="Q238" s="133"/>
      <c r="R238" s="133">
        <f t="shared" si="11"/>
        <v>0</v>
      </c>
      <c r="S238" s="16"/>
      <c r="T238" s="14"/>
      <c r="U238" s="14"/>
    </row>
    <row r="239" spans="1:21" ht="12.75" customHeight="1" outlineLevel="1" x14ac:dyDescent="0.2">
      <c r="A239" s="3" t="s">
        <v>3371</v>
      </c>
      <c r="B239" s="133">
        <v>0</v>
      </c>
      <c r="C239" s="133"/>
      <c r="D239" s="136">
        <v>0</v>
      </c>
      <c r="E239" s="133"/>
      <c r="F239" s="136">
        <v>0</v>
      </c>
      <c r="G239" s="137"/>
      <c r="H239" s="136">
        <v>0</v>
      </c>
      <c r="I239" s="137"/>
      <c r="J239" s="133">
        <v>0</v>
      </c>
      <c r="K239" s="137"/>
      <c r="L239" s="136">
        <v>0</v>
      </c>
      <c r="M239" s="133"/>
      <c r="N239" s="136">
        <v>0</v>
      </c>
      <c r="O239" s="133"/>
      <c r="P239" s="136">
        <v>0</v>
      </c>
      <c r="Q239" s="133"/>
      <c r="R239" s="133">
        <f t="shared" si="11"/>
        <v>0</v>
      </c>
      <c r="S239" s="16"/>
      <c r="T239" s="14"/>
      <c r="U239" s="14"/>
    </row>
    <row r="240" spans="1:21" ht="12.75" customHeight="1" outlineLevel="1" x14ac:dyDescent="0.2">
      <c r="A240" s="3" t="s">
        <v>3372</v>
      </c>
      <c r="B240" s="133">
        <v>-36311121.929999992</v>
      </c>
      <c r="C240" s="133"/>
      <c r="D240" s="136">
        <v>-1767797.69</v>
      </c>
      <c r="E240" s="133"/>
      <c r="F240" s="136">
        <v>65702.42</v>
      </c>
      <c r="G240" s="137"/>
      <c r="H240" s="136">
        <v>231545.55</v>
      </c>
      <c r="I240" s="137"/>
      <c r="J240" s="133">
        <v>0</v>
      </c>
      <c r="K240" s="137"/>
      <c r="L240" s="136">
        <v>650043.68000000005</v>
      </c>
      <c r="M240" s="133"/>
      <c r="N240" s="136">
        <v>0</v>
      </c>
      <c r="O240" s="133"/>
      <c r="P240" s="136">
        <v>0</v>
      </c>
      <c r="Q240" s="133"/>
      <c r="R240" s="133">
        <f t="shared" si="11"/>
        <v>-37131627.969999991</v>
      </c>
      <c r="S240" s="16"/>
      <c r="T240" s="14"/>
      <c r="U240" s="14"/>
    </row>
    <row r="241" spans="1:21" ht="12.75" customHeight="1" outlineLevel="1" x14ac:dyDescent="0.2">
      <c r="A241" s="3" t="s">
        <v>3373</v>
      </c>
      <c r="B241" s="133">
        <v>0</v>
      </c>
      <c r="C241" s="133"/>
      <c r="D241" s="136">
        <v>0</v>
      </c>
      <c r="E241" s="133"/>
      <c r="F241" s="136">
        <v>0</v>
      </c>
      <c r="G241" s="137"/>
      <c r="H241" s="136">
        <v>0</v>
      </c>
      <c r="I241" s="137"/>
      <c r="J241" s="133">
        <v>0</v>
      </c>
      <c r="K241" s="137"/>
      <c r="L241" s="136">
        <v>0</v>
      </c>
      <c r="M241" s="133"/>
      <c r="N241" s="136">
        <v>0</v>
      </c>
      <c r="O241" s="133"/>
      <c r="P241" s="136">
        <v>0</v>
      </c>
      <c r="Q241" s="133"/>
      <c r="R241" s="133">
        <f t="shared" si="11"/>
        <v>0</v>
      </c>
      <c r="S241" s="16"/>
      <c r="T241" s="14"/>
      <c r="U241" s="14"/>
    </row>
    <row r="242" spans="1:21" ht="12.75" customHeight="1" outlineLevel="1" x14ac:dyDescent="0.2">
      <c r="A242" s="21" t="s">
        <v>3374</v>
      </c>
      <c r="B242" s="133">
        <v>-4670417</v>
      </c>
      <c r="C242" s="133"/>
      <c r="D242" s="136">
        <v>-3102164.88</v>
      </c>
      <c r="E242" s="133"/>
      <c r="F242" s="136">
        <v>0</v>
      </c>
      <c r="G242" s="137"/>
      <c r="H242" s="136">
        <v>0</v>
      </c>
      <c r="I242" s="137"/>
      <c r="J242" s="133">
        <v>0</v>
      </c>
      <c r="K242" s="137"/>
      <c r="L242" s="136">
        <v>0</v>
      </c>
      <c r="M242" s="133"/>
      <c r="N242" s="136">
        <v>0</v>
      </c>
      <c r="O242" s="133"/>
      <c r="P242" s="136">
        <v>0</v>
      </c>
      <c r="Q242" s="133"/>
      <c r="R242" s="133">
        <f>SUM(B242:P242)</f>
        <v>-7772581.8799999999</v>
      </c>
      <c r="S242" s="16"/>
      <c r="T242" s="14"/>
      <c r="U242" s="14"/>
    </row>
    <row r="243" spans="1:21" ht="12.75" customHeight="1" outlineLevel="1" x14ac:dyDescent="0.2">
      <c r="A243" s="21" t="s">
        <v>3375</v>
      </c>
      <c r="B243" s="133">
        <v>0</v>
      </c>
      <c r="C243" s="133"/>
      <c r="D243" s="136">
        <v>0</v>
      </c>
      <c r="E243" s="133"/>
      <c r="F243" s="136">
        <v>0</v>
      </c>
      <c r="G243" s="137"/>
      <c r="H243" s="136">
        <v>-231545.55</v>
      </c>
      <c r="I243" s="137"/>
      <c r="J243" s="133">
        <v>0</v>
      </c>
      <c r="K243" s="137"/>
      <c r="L243" s="136">
        <v>0</v>
      </c>
      <c r="M243" s="133"/>
      <c r="N243" s="136">
        <v>0</v>
      </c>
      <c r="O243" s="133"/>
      <c r="P243" s="136">
        <v>0</v>
      </c>
      <c r="Q243" s="133"/>
      <c r="R243" s="133">
        <f>SUM(B243:P243)</f>
        <v>-231545.55</v>
      </c>
      <c r="S243" s="16"/>
      <c r="T243" s="14"/>
      <c r="U243" s="14"/>
    </row>
    <row r="244" spans="1:21" ht="12.75" customHeight="1" outlineLevel="1" x14ac:dyDescent="0.2">
      <c r="A244" s="3" t="s">
        <v>3376</v>
      </c>
      <c r="B244" s="133">
        <v>-27310595.490000002</v>
      </c>
      <c r="C244" s="133"/>
      <c r="D244" s="136">
        <v>-1860842.95</v>
      </c>
      <c r="E244" s="133"/>
      <c r="F244" s="136">
        <v>2085251.06</v>
      </c>
      <c r="G244" s="137"/>
      <c r="H244" s="136">
        <v>0</v>
      </c>
      <c r="I244" s="137"/>
      <c r="J244" s="133">
        <v>0</v>
      </c>
      <c r="K244" s="137"/>
      <c r="L244" s="136">
        <v>871246.2</v>
      </c>
      <c r="M244" s="133"/>
      <c r="N244" s="136">
        <v>0</v>
      </c>
      <c r="O244" s="133"/>
      <c r="P244" s="136">
        <v>0</v>
      </c>
      <c r="Q244" s="133"/>
      <c r="R244" s="133">
        <f t="shared" si="11"/>
        <v>-26214941.180000003</v>
      </c>
      <c r="S244" s="16"/>
      <c r="T244" s="14"/>
      <c r="U244" s="14"/>
    </row>
    <row r="245" spans="1:21" ht="12.75" customHeight="1" outlineLevel="1" x14ac:dyDescent="0.2">
      <c r="A245" s="3" t="s">
        <v>3377</v>
      </c>
      <c r="B245" s="133">
        <v>0</v>
      </c>
      <c r="C245" s="133"/>
      <c r="D245" s="136">
        <v>0</v>
      </c>
      <c r="E245" s="133"/>
      <c r="F245" s="136">
        <v>0</v>
      </c>
      <c r="G245" s="137"/>
      <c r="H245" s="136">
        <v>0</v>
      </c>
      <c r="I245" s="137"/>
      <c r="J245" s="133">
        <v>0</v>
      </c>
      <c r="K245" s="137"/>
      <c r="L245" s="136">
        <v>0</v>
      </c>
      <c r="M245" s="133"/>
      <c r="N245" s="136">
        <v>0</v>
      </c>
      <c r="O245" s="133"/>
      <c r="P245" s="136">
        <v>0</v>
      </c>
      <c r="Q245" s="133"/>
      <c r="R245" s="133">
        <f t="shared" si="11"/>
        <v>0</v>
      </c>
      <c r="S245" s="16"/>
      <c r="T245" s="14"/>
      <c r="U245" s="14"/>
    </row>
    <row r="246" spans="1:21" ht="12.75" customHeight="1" outlineLevel="1" x14ac:dyDescent="0.2">
      <c r="A246" s="3" t="s">
        <v>3378</v>
      </c>
      <c r="B246" s="133">
        <v>-6169557.0899999999</v>
      </c>
      <c r="C246" s="133"/>
      <c r="D246" s="136">
        <v>-4095611.58</v>
      </c>
      <c r="E246" s="133"/>
      <c r="F246" s="136">
        <v>0</v>
      </c>
      <c r="G246" s="137"/>
      <c r="H246" s="136">
        <v>0</v>
      </c>
      <c r="I246" s="137"/>
      <c r="J246" s="133">
        <v>0</v>
      </c>
      <c r="K246" s="137"/>
      <c r="L246" s="136">
        <v>0</v>
      </c>
      <c r="M246" s="133"/>
      <c r="N246" s="136">
        <v>0</v>
      </c>
      <c r="O246" s="133"/>
      <c r="P246" s="136">
        <v>0</v>
      </c>
      <c r="Q246" s="133"/>
      <c r="R246" s="133">
        <f>SUM(B246:P246)</f>
        <v>-10265168.67</v>
      </c>
      <c r="S246" s="16"/>
      <c r="T246" s="14"/>
      <c r="U246" s="14"/>
    </row>
    <row r="247" spans="1:21" ht="12.75" customHeight="1" outlineLevel="1" x14ac:dyDescent="0.2">
      <c r="A247" s="3" t="s">
        <v>3379</v>
      </c>
      <c r="B247" s="133">
        <v>-2489122.5</v>
      </c>
      <c r="C247" s="133"/>
      <c r="D247" s="136">
        <v>-1657936.9</v>
      </c>
      <c r="E247" s="133"/>
      <c r="F247" s="136">
        <v>0</v>
      </c>
      <c r="G247" s="137"/>
      <c r="H247" s="136">
        <v>0</v>
      </c>
      <c r="I247" s="137"/>
      <c r="J247" s="133">
        <v>0</v>
      </c>
      <c r="K247" s="137"/>
      <c r="L247" s="136">
        <v>0</v>
      </c>
      <c r="M247" s="133"/>
      <c r="N247" s="136">
        <v>0</v>
      </c>
      <c r="O247" s="133"/>
      <c r="P247" s="136">
        <v>0</v>
      </c>
      <c r="Q247" s="133"/>
      <c r="R247" s="133">
        <f>SUM(B247:P247)</f>
        <v>-4147059.4</v>
      </c>
      <c r="S247" s="16"/>
      <c r="T247" s="14"/>
      <c r="U247" s="14"/>
    </row>
    <row r="248" spans="1:21" ht="12.75" customHeight="1" outlineLevel="1" x14ac:dyDescent="0.2">
      <c r="A248" s="3" t="s">
        <v>3380</v>
      </c>
      <c r="B248" s="133">
        <v>0</v>
      </c>
      <c r="C248" s="133"/>
      <c r="D248" s="136">
        <v>-8272.07</v>
      </c>
      <c r="E248" s="133"/>
      <c r="F248" s="136">
        <v>0</v>
      </c>
      <c r="G248" s="137"/>
      <c r="H248" s="136">
        <v>0</v>
      </c>
      <c r="I248" s="137"/>
      <c r="J248" s="133">
        <v>0</v>
      </c>
      <c r="K248" s="137"/>
      <c r="L248" s="136">
        <v>0</v>
      </c>
      <c r="M248" s="133"/>
      <c r="N248" s="136">
        <v>0</v>
      </c>
      <c r="O248" s="133"/>
      <c r="P248" s="136">
        <v>0</v>
      </c>
      <c r="Q248" s="133"/>
      <c r="R248" s="133">
        <f>SUM(B248:P248)</f>
        <v>-8272.07</v>
      </c>
      <c r="S248" s="16"/>
      <c r="T248" s="14"/>
      <c r="U248" s="14"/>
    </row>
    <row r="249" spans="1:21" ht="12.75" customHeight="1" outlineLevel="1" x14ac:dyDescent="0.2">
      <c r="A249" s="3" t="s">
        <v>3381</v>
      </c>
      <c r="B249" s="133">
        <v>-79252358.75</v>
      </c>
      <c r="C249" s="133"/>
      <c r="D249" s="136">
        <v>-4471215.42</v>
      </c>
      <c r="E249" s="133"/>
      <c r="F249" s="136">
        <v>399417.65</v>
      </c>
      <c r="G249" s="137"/>
      <c r="H249" s="136">
        <v>635948.15</v>
      </c>
      <c r="I249" s="137"/>
      <c r="J249" s="133">
        <v>0</v>
      </c>
      <c r="K249" s="137"/>
      <c r="L249" s="136">
        <v>3426645.23</v>
      </c>
      <c r="M249" s="133"/>
      <c r="N249" s="136">
        <v>0</v>
      </c>
      <c r="O249" s="133"/>
      <c r="P249" s="136">
        <v>0</v>
      </c>
      <c r="Q249" s="133"/>
      <c r="R249" s="133">
        <f t="shared" si="11"/>
        <v>-79261563.139999986</v>
      </c>
      <c r="S249" s="16"/>
      <c r="T249" s="14"/>
      <c r="U249" s="14"/>
    </row>
    <row r="250" spans="1:21" ht="12.75" customHeight="1" outlineLevel="1" x14ac:dyDescent="0.2">
      <c r="A250" s="3" t="s">
        <v>3382</v>
      </c>
      <c r="B250" s="133">
        <v>0</v>
      </c>
      <c r="C250" s="133"/>
      <c r="D250" s="136">
        <v>0</v>
      </c>
      <c r="E250" s="133"/>
      <c r="F250" s="136">
        <v>0</v>
      </c>
      <c r="G250" s="137"/>
      <c r="H250" s="136">
        <v>0</v>
      </c>
      <c r="I250" s="137"/>
      <c r="J250" s="133">
        <v>0</v>
      </c>
      <c r="K250" s="137"/>
      <c r="L250" s="136">
        <v>0</v>
      </c>
      <c r="M250" s="133"/>
      <c r="N250" s="136">
        <v>0</v>
      </c>
      <c r="O250" s="133"/>
      <c r="P250" s="136">
        <v>0</v>
      </c>
      <c r="Q250" s="133"/>
      <c r="R250" s="133">
        <f t="shared" si="11"/>
        <v>0</v>
      </c>
      <c r="S250" s="16"/>
      <c r="T250" s="14"/>
      <c r="U250" s="14"/>
    </row>
    <row r="251" spans="1:21" ht="12.75" customHeight="1" outlineLevel="1" x14ac:dyDescent="0.2">
      <c r="A251" s="3" t="s">
        <v>3383</v>
      </c>
      <c r="B251" s="133">
        <v>-1786723.53</v>
      </c>
      <c r="C251" s="133"/>
      <c r="D251" s="136">
        <v>-3262518.25</v>
      </c>
      <c r="E251" s="133"/>
      <c r="F251" s="136">
        <v>0</v>
      </c>
      <c r="G251" s="137"/>
      <c r="H251" s="136">
        <v>0</v>
      </c>
      <c r="I251" s="137"/>
      <c r="J251" s="133">
        <v>0</v>
      </c>
      <c r="K251" s="137"/>
      <c r="L251" s="136">
        <v>0</v>
      </c>
      <c r="M251" s="133"/>
      <c r="N251" s="136">
        <v>0</v>
      </c>
      <c r="O251" s="133"/>
      <c r="P251" s="136">
        <v>0</v>
      </c>
      <c r="Q251" s="133"/>
      <c r="R251" s="133">
        <f t="shared" si="11"/>
        <v>-5049241.78</v>
      </c>
      <c r="S251" s="16"/>
      <c r="T251" s="14"/>
      <c r="U251" s="14"/>
    </row>
    <row r="252" spans="1:21" ht="12.75" customHeight="1" outlineLevel="1" x14ac:dyDescent="0.2">
      <c r="A252" s="21" t="s">
        <v>3384</v>
      </c>
      <c r="B252" s="133">
        <v>0</v>
      </c>
      <c r="C252" s="133"/>
      <c r="D252" s="136">
        <v>0</v>
      </c>
      <c r="E252" s="133"/>
      <c r="F252" s="136">
        <v>0</v>
      </c>
      <c r="G252" s="137"/>
      <c r="H252" s="136">
        <v>-635948.15</v>
      </c>
      <c r="I252" s="137"/>
      <c r="J252" s="133">
        <v>0</v>
      </c>
      <c r="K252" s="137"/>
      <c r="L252" s="136">
        <v>0</v>
      </c>
      <c r="M252" s="133"/>
      <c r="N252" s="136">
        <v>0</v>
      </c>
      <c r="O252" s="133"/>
      <c r="P252" s="136">
        <v>0</v>
      </c>
      <c r="Q252" s="133"/>
      <c r="R252" s="133">
        <f t="shared" si="11"/>
        <v>-635948.15</v>
      </c>
      <c r="S252" s="16"/>
      <c r="T252" s="14"/>
      <c r="U252" s="14"/>
    </row>
    <row r="253" spans="1:21" ht="12.75" customHeight="1" outlineLevel="1" x14ac:dyDescent="0.2">
      <c r="A253" s="3" t="s">
        <v>3385</v>
      </c>
      <c r="B253" s="133">
        <v>-1673674.31</v>
      </c>
      <c r="C253" s="133"/>
      <c r="D253" s="136">
        <v>-3299662.83</v>
      </c>
      <c r="E253" s="133"/>
      <c r="F253" s="136">
        <v>0</v>
      </c>
      <c r="G253" s="137"/>
      <c r="H253" s="136">
        <v>0</v>
      </c>
      <c r="I253" s="137"/>
      <c r="J253" s="133">
        <v>0</v>
      </c>
      <c r="K253" s="137"/>
      <c r="L253" s="136">
        <v>0</v>
      </c>
      <c r="M253" s="133"/>
      <c r="N253" s="136">
        <v>0</v>
      </c>
      <c r="O253" s="133"/>
      <c r="P253" s="136">
        <v>0</v>
      </c>
      <c r="Q253" s="133"/>
      <c r="R253" s="133">
        <f t="shared" si="11"/>
        <v>-4973337.1400000006</v>
      </c>
      <c r="S253" s="16"/>
      <c r="T253" s="14"/>
      <c r="U253" s="14"/>
    </row>
    <row r="254" spans="1:21" ht="12.75" customHeight="1" outlineLevel="1" x14ac:dyDescent="0.2">
      <c r="A254" s="3" t="s">
        <v>3386</v>
      </c>
      <c r="B254" s="133">
        <v>-5302.04</v>
      </c>
      <c r="C254" s="133"/>
      <c r="D254" s="136">
        <v>-27095.47</v>
      </c>
      <c r="E254" s="133"/>
      <c r="F254" s="136">
        <v>0</v>
      </c>
      <c r="G254" s="137"/>
      <c r="H254" s="136">
        <v>0</v>
      </c>
      <c r="I254" s="137"/>
      <c r="J254" s="133">
        <v>0</v>
      </c>
      <c r="K254" s="137"/>
      <c r="L254" s="136">
        <v>0</v>
      </c>
      <c r="M254" s="133"/>
      <c r="N254" s="136">
        <v>0</v>
      </c>
      <c r="O254" s="133"/>
      <c r="P254" s="136">
        <v>0</v>
      </c>
      <c r="Q254" s="133"/>
      <c r="R254" s="133">
        <f t="shared" si="11"/>
        <v>-32397.510000000002</v>
      </c>
      <c r="S254" s="16"/>
      <c r="T254" s="14"/>
      <c r="U254" s="14"/>
    </row>
    <row r="255" spans="1:21" ht="12.75" customHeight="1" outlineLevel="1" x14ac:dyDescent="0.2">
      <c r="A255" s="3" t="s">
        <v>3387</v>
      </c>
      <c r="B255" s="133">
        <v>-120802830.48</v>
      </c>
      <c r="C255" s="133"/>
      <c r="D255" s="136">
        <v>-7313356.5899999999</v>
      </c>
      <c r="E255" s="133"/>
      <c r="F255" s="136">
        <v>3139385.98</v>
      </c>
      <c r="G255" s="137"/>
      <c r="H255" s="136">
        <v>0</v>
      </c>
      <c r="I255" s="137"/>
      <c r="J255" s="133">
        <v>0</v>
      </c>
      <c r="K255" s="137"/>
      <c r="L255" s="136">
        <v>4171498.6799999997</v>
      </c>
      <c r="M255" s="133"/>
      <c r="N255" s="136">
        <v>0</v>
      </c>
      <c r="O255" s="133"/>
      <c r="P255" s="136">
        <v>0</v>
      </c>
      <c r="Q255" s="133"/>
      <c r="R255" s="133">
        <f t="shared" si="11"/>
        <v>-120805302.41</v>
      </c>
      <c r="S255" s="16"/>
      <c r="T255" s="14"/>
      <c r="U255" s="14"/>
    </row>
    <row r="256" spans="1:21" ht="12.75" customHeight="1" outlineLevel="1" x14ac:dyDescent="0.2">
      <c r="A256" s="21" t="s">
        <v>3388</v>
      </c>
      <c r="B256" s="133">
        <v>0</v>
      </c>
      <c r="C256" s="133"/>
      <c r="D256" s="136">
        <v>0</v>
      </c>
      <c r="E256" s="133"/>
      <c r="F256" s="136">
        <v>0</v>
      </c>
      <c r="G256" s="137"/>
      <c r="H256" s="136">
        <v>0</v>
      </c>
      <c r="I256" s="137"/>
      <c r="J256" s="133">
        <v>0</v>
      </c>
      <c r="K256" s="137"/>
      <c r="L256" s="136">
        <v>0</v>
      </c>
      <c r="M256" s="133"/>
      <c r="N256" s="136">
        <v>0</v>
      </c>
      <c r="O256" s="133"/>
      <c r="P256" s="136">
        <v>0</v>
      </c>
      <c r="Q256" s="133"/>
      <c r="R256" s="133">
        <f t="shared" si="11"/>
        <v>0</v>
      </c>
      <c r="S256" s="16"/>
      <c r="T256" s="14"/>
      <c r="U256" s="14"/>
    </row>
    <row r="257" spans="1:21" ht="12.75" customHeight="1" outlineLevel="1" x14ac:dyDescent="0.2">
      <c r="A257" s="21" t="s">
        <v>3389</v>
      </c>
      <c r="B257" s="133">
        <v>0</v>
      </c>
      <c r="C257" s="133"/>
      <c r="D257" s="136">
        <v>0</v>
      </c>
      <c r="E257" s="133"/>
      <c r="F257" s="136">
        <v>0</v>
      </c>
      <c r="G257" s="137"/>
      <c r="H257" s="136">
        <v>0</v>
      </c>
      <c r="I257" s="137"/>
      <c r="J257" s="133">
        <v>0</v>
      </c>
      <c r="K257" s="137"/>
      <c r="L257" s="136">
        <v>0</v>
      </c>
      <c r="M257" s="133"/>
      <c r="N257" s="136">
        <v>0</v>
      </c>
      <c r="O257" s="133"/>
      <c r="P257" s="136">
        <v>0</v>
      </c>
      <c r="Q257" s="133"/>
      <c r="R257" s="133">
        <f t="shared" si="11"/>
        <v>0</v>
      </c>
      <c r="S257" s="16"/>
      <c r="T257" s="14"/>
      <c r="U257" s="14"/>
    </row>
    <row r="258" spans="1:21" ht="12.75" customHeight="1" outlineLevel="1" x14ac:dyDescent="0.2">
      <c r="A258" s="21" t="s">
        <v>3390</v>
      </c>
      <c r="B258" s="133">
        <v>-9834514.4600000009</v>
      </c>
      <c r="C258" s="133"/>
      <c r="D258" s="136">
        <v>-5076559.8499999996</v>
      </c>
      <c r="E258" s="133"/>
      <c r="F258" s="136">
        <v>0</v>
      </c>
      <c r="G258" s="137"/>
      <c r="H258" s="136">
        <v>0</v>
      </c>
      <c r="I258" s="137"/>
      <c r="J258" s="133">
        <v>0</v>
      </c>
      <c r="K258" s="137"/>
      <c r="L258" s="136">
        <v>0</v>
      </c>
      <c r="M258" s="133"/>
      <c r="N258" s="136">
        <v>0</v>
      </c>
      <c r="O258" s="133"/>
      <c r="P258" s="136">
        <v>0</v>
      </c>
      <c r="Q258" s="133"/>
      <c r="R258" s="133">
        <f>SUM(B258:P258)</f>
        <v>-14911074.310000001</v>
      </c>
      <c r="S258" s="16"/>
      <c r="T258" s="14"/>
      <c r="U258" s="14"/>
    </row>
    <row r="259" spans="1:21" ht="12.75" customHeight="1" outlineLevel="1" x14ac:dyDescent="0.2">
      <c r="A259" s="21" t="s">
        <v>3391</v>
      </c>
      <c r="B259" s="133">
        <v>0</v>
      </c>
      <c r="C259" s="133"/>
      <c r="D259" s="136">
        <v>-10532.66</v>
      </c>
      <c r="E259" s="133"/>
      <c r="F259" s="136">
        <v>0</v>
      </c>
      <c r="G259" s="137"/>
      <c r="H259" s="136">
        <v>0</v>
      </c>
      <c r="I259" s="137"/>
      <c r="J259" s="133"/>
      <c r="K259" s="137"/>
      <c r="L259" s="136"/>
      <c r="M259" s="133"/>
      <c r="N259" s="136">
        <v>0</v>
      </c>
      <c r="O259" s="133"/>
      <c r="P259" s="136"/>
      <c r="Q259" s="133"/>
      <c r="R259" s="133">
        <f t="shared" si="11"/>
        <v>-10532.66</v>
      </c>
      <c r="S259" s="16"/>
      <c r="T259" s="14"/>
      <c r="U259" s="14"/>
    </row>
    <row r="260" spans="1:21" ht="12.75" customHeight="1" outlineLevel="1" x14ac:dyDescent="0.2">
      <c r="A260" s="21" t="s">
        <v>3392</v>
      </c>
      <c r="B260" s="133">
        <v>-9792416.1400000174</v>
      </c>
      <c r="C260" s="133"/>
      <c r="D260" s="136">
        <v>-855186.18</v>
      </c>
      <c r="E260" s="133"/>
      <c r="F260" s="136">
        <v>4551.09</v>
      </c>
      <c r="G260" s="137"/>
      <c r="H260" s="136">
        <v>0</v>
      </c>
      <c r="I260" s="137"/>
      <c r="J260" s="133">
        <v>0</v>
      </c>
      <c r="K260" s="137"/>
      <c r="L260" s="136">
        <v>1049.3499999999999</v>
      </c>
      <c r="M260" s="133"/>
      <c r="N260" s="136">
        <v>0</v>
      </c>
      <c r="O260" s="133"/>
      <c r="P260" s="136">
        <v>0</v>
      </c>
      <c r="Q260" s="133"/>
      <c r="R260" s="133">
        <f t="shared" si="11"/>
        <v>-10642001.880000018</v>
      </c>
      <c r="S260" s="16"/>
      <c r="T260" s="14"/>
      <c r="U260" s="14"/>
    </row>
    <row r="261" spans="1:21" ht="12.75" customHeight="1" outlineLevel="1" x14ac:dyDescent="0.2">
      <c r="A261" s="21" t="s">
        <v>3393</v>
      </c>
      <c r="B261" s="133">
        <v>0</v>
      </c>
      <c r="C261" s="133"/>
      <c r="D261" s="136">
        <v>0</v>
      </c>
      <c r="E261" s="133"/>
      <c r="F261" s="136">
        <v>0</v>
      </c>
      <c r="G261" s="137"/>
      <c r="H261" s="136">
        <v>0</v>
      </c>
      <c r="I261" s="137"/>
      <c r="J261" s="133">
        <v>0</v>
      </c>
      <c r="K261" s="137"/>
      <c r="L261" s="136">
        <v>0</v>
      </c>
      <c r="M261" s="133"/>
      <c r="N261" s="136">
        <v>0</v>
      </c>
      <c r="O261" s="133"/>
      <c r="P261" s="136">
        <v>0</v>
      </c>
      <c r="Q261" s="133"/>
      <c r="R261" s="133">
        <f t="shared" si="11"/>
        <v>0</v>
      </c>
      <c r="S261" s="16"/>
      <c r="T261" s="14"/>
      <c r="U261" s="14"/>
    </row>
    <row r="262" spans="1:21" ht="12.75" customHeight="1" outlineLevel="1" x14ac:dyDescent="0.2">
      <c r="A262" s="21" t="s">
        <v>3394</v>
      </c>
      <c r="B262" s="133">
        <v>0</v>
      </c>
      <c r="C262" s="133"/>
      <c r="D262" s="136">
        <v>-26713.21</v>
      </c>
      <c r="E262" s="133"/>
      <c r="F262" s="136">
        <v>0</v>
      </c>
      <c r="G262" s="137"/>
      <c r="H262" s="136">
        <v>0</v>
      </c>
      <c r="I262" s="137"/>
      <c r="J262" s="133">
        <v>0</v>
      </c>
      <c r="K262" s="137"/>
      <c r="L262" s="136">
        <v>0</v>
      </c>
      <c r="M262" s="133"/>
      <c r="N262" s="136">
        <v>0</v>
      </c>
      <c r="O262" s="133"/>
      <c r="P262" s="136">
        <v>0</v>
      </c>
      <c r="Q262" s="133"/>
      <c r="R262" s="133">
        <f t="shared" si="11"/>
        <v>-26713.21</v>
      </c>
      <c r="S262" s="16"/>
      <c r="T262" s="14"/>
      <c r="U262" s="14"/>
    </row>
    <row r="263" spans="1:21" ht="12.75" customHeight="1" outlineLevel="1" x14ac:dyDescent="0.2">
      <c r="A263" s="120" t="s">
        <v>3395</v>
      </c>
      <c r="B263" s="133">
        <v>-4540609.0999999996</v>
      </c>
      <c r="C263" s="133"/>
      <c r="D263" s="136">
        <v>-2338566.6</v>
      </c>
      <c r="E263" s="133"/>
      <c r="F263" s="136">
        <v>0</v>
      </c>
      <c r="G263" s="137"/>
      <c r="H263" s="136">
        <v>0</v>
      </c>
      <c r="I263" s="137"/>
      <c r="J263" s="133">
        <v>0</v>
      </c>
      <c r="K263" s="137"/>
      <c r="L263" s="136">
        <v>0</v>
      </c>
      <c r="M263" s="133"/>
      <c r="N263" s="136">
        <v>0</v>
      </c>
      <c r="O263" s="133"/>
      <c r="P263" s="136">
        <v>0</v>
      </c>
      <c r="Q263" s="133"/>
      <c r="R263" s="133">
        <f>SUM(B263:P263)</f>
        <v>-6879175.6999999993</v>
      </c>
      <c r="S263" s="16"/>
      <c r="T263" s="14"/>
      <c r="U263" s="14"/>
    </row>
    <row r="264" spans="1:21" ht="12.75" customHeight="1" outlineLevel="1" x14ac:dyDescent="0.2">
      <c r="A264" s="120" t="s">
        <v>3396</v>
      </c>
      <c r="B264" s="133">
        <v>0</v>
      </c>
      <c r="C264" s="133"/>
      <c r="D264" s="136">
        <v>-119879.49</v>
      </c>
      <c r="E264" s="133"/>
      <c r="F264" s="136">
        <v>0</v>
      </c>
      <c r="G264" s="137"/>
      <c r="H264" s="136">
        <v>0</v>
      </c>
      <c r="I264" s="137"/>
      <c r="J264" s="133">
        <v>0</v>
      </c>
      <c r="K264" s="137"/>
      <c r="L264" s="136"/>
      <c r="M264" s="133"/>
      <c r="N264" s="136">
        <v>0</v>
      </c>
      <c r="O264" s="133"/>
      <c r="P264" s="136"/>
      <c r="Q264" s="133"/>
      <c r="R264" s="133">
        <f>SUM(B264:P264)</f>
        <v>-119879.49</v>
      </c>
      <c r="S264" s="16"/>
      <c r="T264" s="14"/>
      <c r="U264" s="14"/>
    </row>
    <row r="265" spans="1:21" ht="12.75" customHeight="1" outlineLevel="1" x14ac:dyDescent="0.2">
      <c r="A265" s="3" t="s">
        <v>3397</v>
      </c>
      <c r="B265" s="133">
        <v>0</v>
      </c>
      <c r="C265" s="133"/>
      <c r="D265" s="136">
        <v>0</v>
      </c>
      <c r="E265" s="133"/>
      <c r="F265" s="136">
        <v>0</v>
      </c>
      <c r="G265" s="137"/>
      <c r="H265" s="136">
        <v>0</v>
      </c>
      <c r="I265" s="137"/>
      <c r="J265" s="133">
        <v>0</v>
      </c>
      <c r="K265" s="137"/>
      <c r="L265" s="136">
        <v>0</v>
      </c>
      <c r="M265" s="133"/>
      <c r="N265" s="136">
        <v>0</v>
      </c>
      <c r="O265" s="133"/>
      <c r="P265" s="136">
        <v>0</v>
      </c>
      <c r="Q265" s="133"/>
      <c r="R265" s="133">
        <f t="shared" si="11"/>
        <v>0</v>
      </c>
      <c r="S265" s="16"/>
      <c r="T265" s="14"/>
      <c r="U265" s="14"/>
    </row>
    <row r="266" spans="1:21" ht="12.75" customHeight="1" outlineLevel="1" x14ac:dyDescent="0.2">
      <c r="A266" s="3" t="s">
        <v>3398</v>
      </c>
      <c r="B266" s="133">
        <v>-9.9999997764825821E-3</v>
      </c>
      <c r="C266" s="133"/>
      <c r="D266" s="136">
        <v>0</v>
      </c>
      <c r="E266" s="133"/>
      <c r="F266" s="136">
        <v>0</v>
      </c>
      <c r="G266" s="137"/>
      <c r="H266" s="136">
        <v>0</v>
      </c>
      <c r="I266" s="137"/>
      <c r="J266" s="133">
        <v>0</v>
      </c>
      <c r="K266" s="137"/>
      <c r="L266" s="136">
        <v>0</v>
      </c>
      <c r="M266" s="133"/>
      <c r="N266" s="136">
        <v>0</v>
      </c>
      <c r="O266" s="133"/>
      <c r="P266" s="136">
        <v>0</v>
      </c>
      <c r="Q266" s="133"/>
      <c r="R266" s="133">
        <f t="shared" si="11"/>
        <v>-9.9999997764825821E-3</v>
      </c>
      <c r="S266" s="16"/>
      <c r="T266" s="14"/>
      <c r="U266" s="14"/>
    </row>
    <row r="267" spans="1:21" ht="12.75" customHeight="1" outlineLevel="1" x14ac:dyDescent="0.2">
      <c r="A267" s="3" t="s">
        <v>3399</v>
      </c>
      <c r="B267" s="133">
        <v>-9781281.900000006</v>
      </c>
      <c r="C267" s="133"/>
      <c r="D267" s="136">
        <v>-314887.44</v>
      </c>
      <c r="E267" s="133"/>
      <c r="F267" s="136">
        <v>0</v>
      </c>
      <c r="G267" s="137"/>
      <c r="H267" s="136">
        <v>0</v>
      </c>
      <c r="I267" s="137"/>
      <c r="J267" s="133">
        <v>0</v>
      </c>
      <c r="K267" s="137"/>
      <c r="L267" s="136">
        <v>0</v>
      </c>
      <c r="M267" s="133"/>
      <c r="N267" s="136">
        <v>0</v>
      </c>
      <c r="O267" s="133"/>
      <c r="P267" s="136">
        <v>0</v>
      </c>
      <c r="Q267" s="133"/>
      <c r="R267" s="133">
        <f t="shared" si="11"/>
        <v>-10096169.340000005</v>
      </c>
      <c r="S267" s="16"/>
      <c r="T267" s="14"/>
      <c r="U267" s="14"/>
    </row>
    <row r="268" spans="1:21" ht="12.75" customHeight="1" outlineLevel="1" x14ac:dyDescent="0.2">
      <c r="A268" s="3" t="s">
        <v>3400</v>
      </c>
      <c r="B268" s="133">
        <v>14021004.180000003</v>
      </c>
      <c r="C268" s="133"/>
      <c r="D268" s="136">
        <v>-8543.34</v>
      </c>
      <c r="E268" s="133"/>
      <c r="F268" s="136">
        <v>0</v>
      </c>
      <c r="G268" s="137"/>
      <c r="H268" s="136">
        <v>0</v>
      </c>
      <c r="I268" s="137"/>
      <c r="J268" s="133">
        <v>0</v>
      </c>
      <c r="K268" s="137"/>
      <c r="L268" s="136">
        <v>0</v>
      </c>
      <c r="M268" s="133"/>
      <c r="N268" s="136">
        <v>0</v>
      </c>
      <c r="O268" s="133"/>
      <c r="P268" s="136">
        <v>0</v>
      </c>
      <c r="Q268" s="133"/>
      <c r="R268" s="133">
        <f t="shared" si="11"/>
        <v>14012460.840000004</v>
      </c>
      <c r="S268" s="16"/>
      <c r="T268" s="14"/>
      <c r="U268" s="14"/>
    </row>
    <row r="269" spans="1:21" ht="12.75" customHeight="1" outlineLevel="1" x14ac:dyDescent="0.2">
      <c r="A269" s="3" t="s">
        <v>3401</v>
      </c>
      <c r="B269" s="133">
        <v>17610528.829999991</v>
      </c>
      <c r="C269" s="133"/>
      <c r="D269" s="136">
        <v>-116855.58</v>
      </c>
      <c r="E269" s="133"/>
      <c r="F269" s="136">
        <v>0</v>
      </c>
      <c r="G269" s="137"/>
      <c r="H269" s="136">
        <v>0</v>
      </c>
      <c r="I269" s="137"/>
      <c r="J269" s="133">
        <v>0</v>
      </c>
      <c r="K269" s="137"/>
      <c r="L269" s="136">
        <v>0</v>
      </c>
      <c r="M269" s="133"/>
      <c r="N269" s="136">
        <v>0</v>
      </c>
      <c r="O269" s="133"/>
      <c r="P269" s="136">
        <v>0</v>
      </c>
      <c r="Q269" s="133"/>
      <c r="R269" s="133">
        <f t="shared" si="11"/>
        <v>17493673.249999993</v>
      </c>
      <c r="S269" s="16"/>
      <c r="T269" s="14"/>
      <c r="U269" s="14"/>
    </row>
    <row r="270" spans="1:21" ht="12.75" customHeight="1" outlineLevel="1" x14ac:dyDescent="0.2">
      <c r="A270" s="3" t="s">
        <v>3402</v>
      </c>
      <c r="B270" s="133">
        <v>10.010000000000005</v>
      </c>
      <c r="C270" s="133"/>
      <c r="D270" s="136">
        <v>0</v>
      </c>
      <c r="E270" s="133"/>
      <c r="F270" s="136">
        <v>0</v>
      </c>
      <c r="G270" s="137"/>
      <c r="H270" s="136">
        <v>0</v>
      </c>
      <c r="I270" s="137"/>
      <c r="J270" s="133">
        <v>0</v>
      </c>
      <c r="K270" s="137"/>
      <c r="L270" s="136">
        <v>0</v>
      </c>
      <c r="M270" s="133"/>
      <c r="N270" s="136">
        <v>0</v>
      </c>
      <c r="O270" s="133"/>
      <c r="P270" s="136">
        <v>0</v>
      </c>
      <c r="Q270" s="133"/>
      <c r="R270" s="133">
        <f t="shared" si="11"/>
        <v>10.010000000000005</v>
      </c>
      <c r="S270" s="16"/>
      <c r="T270" s="14"/>
      <c r="U270" s="14"/>
    </row>
    <row r="271" spans="1:21" ht="12.75" customHeight="1" outlineLevel="1" x14ac:dyDescent="0.2">
      <c r="A271" s="3" t="s">
        <v>3403</v>
      </c>
      <c r="B271" s="133">
        <v>-2640654.9299999997</v>
      </c>
      <c r="C271" s="133"/>
      <c r="D271" s="136">
        <v>-395474.1</v>
      </c>
      <c r="E271" s="133"/>
      <c r="F271" s="136">
        <v>0</v>
      </c>
      <c r="G271" s="137"/>
      <c r="H271" s="136">
        <v>0</v>
      </c>
      <c r="I271" s="137"/>
      <c r="J271" s="133">
        <v>0</v>
      </c>
      <c r="K271" s="137"/>
      <c r="L271" s="136">
        <v>0</v>
      </c>
      <c r="M271" s="133"/>
      <c r="N271" s="136">
        <v>0</v>
      </c>
      <c r="O271" s="133"/>
      <c r="P271" s="136">
        <v>0</v>
      </c>
      <c r="Q271" s="133"/>
      <c r="R271" s="133">
        <f t="shared" si="11"/>
        <v>-3036129.03</v>
      </c>
      <c r="S271" s="16"/>
      <c r="T271" s="14"/>
      <c r="U271" s="14"/>
    </row>
    <row r="272" spans="1:21" ht="12.75" customHeight="1" outlineLevel="1" x14ac:dyDescent="0.2">
      <c r="A272" s="3" t="s">
        <v>3404</v>
      </c>
      <c r="B272" s="133">
        <v>0</v>
      </c>
      <c r="C272" s="133"/>
      <c r="D272" s="136">
        <v>0</v>
      </c>
      <c r="E272" s="133"/>
      <c r="F272" s="136">
        <v>0</v>
      </c>
      <c r="G272" s="137"/>
      <c r="H272" s="136">
        <v>0</v>
      </c>
      <c r="I272" s="137"/>
      <c r="J272" s="133">
        <v>0</v>
      </c>
      <c r="K272" s="137"/>
      <c r="L272" s="136">
        <v>0</v>
      </c>
      <c r="M272" s="133"/>
      <c r="N272" s="136">
        <v>0</v>
      </c>
      <c r="O272" s="133"/>
      <c r="P272" s="136">
        <v>0</v>
      </c>
      <c r="Q272" s="133"/>
      <c r="R272" s="133">
        <f t="shared" si="11"/>
        <v>0</v>
      </c>
      <c r="S272" s="16"/>
      <c r="T272" s="14"/>
      <c r="U272" s="14"/>
    </row>
    <row r="273" spans="1:21" ht="12.75" customHeight="1" outlineLevel="1" x14ac:dyDescent="0.2">
      <c r="A273" s="3" t="s">
        <v>3405</v>
      </c>
      <c r="B273" s="133">
        <v>-83800063.919999972</v>
      </c>
      <c r="C273" s="133"/>
      <c r="D273" s="136">
        <v>-5979754.5599999996</v>
      </c>
      <c r="E273" s="133"/>
      <c r="F273" s="136">
        <v>1603270.7</v>
      </c>
      <c r="G273" s="137"/>
      <c r="H273" s="136">
        <v>1858074.13</v>
      </c>
      <c r="I273" s="137"/>
      <c r="J273" s="133">
        <v>0</v>
      </c>
      <c r="K273" s="137"/>
      <c r="L273" s="136">
        <v>1070545.9100000001</v>
      </c>
      <c r="M273" s="133"/>
      <c r="N273" s="136">
        <v>0</v>
      </c>
      <c r="O273" s="133"/>
      <c r="P273" s="136">
        <v>-267612.63</v>
      </c>
      <c r="Q273" s="133"/>
      <c r="R273" s="133">
        <f t="shared" si="11"/>
        <v>-85515540.369999975</v>
      </c>
      <c r="S273" s="16"/>
      <c r="T273" s="14"/>
      <c r="U273" s="14"/>
    </row>
    <row r="274" spans="1:21" ht="12.75" customHeight="1" outlineLevel="1" x14ac:dyDescent="0.2">
      <c r="A274" s="3" t="s">
        <v>3406</v>
      </c>
      <c r="B274" s="133">
        <v>0</v>
      </c>
      <c r="C274" s="133"/>
      <c r="D274" s="136">
        <v>0</v>
      </c>
      <c r="E274" s="133"/>
      <c r="F274" s="136">
        <v>0</v>
      </c>
      <c r="G274" s="137"/>
      <c r="H274" s="136">
        <v>0</v>
      </c>
      <c r="I274" s="137"/>
      <c r="J274" s="133">
        <v>0</v>
      </c>
      <c r="K274" s="137"/>
      <c r="L274" s="136">
        <v>0</v>
      </c>
      <c r="M274" s="133"/>
      <c r="N274" s="136">
        <v>0</v>
      </c>
      <c r="O274" s="133"/>
      <c r="P274" s="136">
        <v>0</v>
      </c>
      <c r="Q274" s="133"/>
      <c r="R274" s="133">
        <f t="shared" si="11"/>
        <v>0</v>
      </c>
      <c r="S274" s="16"/>
      <c r="T274" s="14"/>
      <c r="U274" s="14"/>
    </row>
    <row r="275" spans="1:21" ht="12.75" customHeight="1" outlineLevel="1" x14ac:dyDescent="0.2">
      <c r="A275" s="3" t="s">
        <v>3407</v>
      </c>
      <c r="B275" s="133">
        <v>0</v>
      </c>
      <c r="C275" s="133"/>
      <c r="D275" s="136">
        <v>-9530.7000000000007</v>
      </c>
      <c r="E275" s="133"/>
      <c r="F275" s="136">
        <v>0</v>
      </c>
      <c r="G275" s="137"/>
      <c r="H275" s="136">
        <v>-58750.41</v>
      </c>
      <c r="I275" s="137"/>
      <c r="J275" s="133">
        <v>0</v>
      </c>
      <c r="K275" s="137"/>
      <c r="L275" s="136">
        <v>0</v>
      </c>
      <c r="M275" s="133"/>
      <c r="N275" s="136">
        <v>0</v>
      </c>
      <c r="O275" s="133"/>
      <c r="P275" s="136">
        <v>0</v>
      </c>
      <c r="Q275" s="133"/>
      <c r="R275" s="133">
        <f t="shared" si="11"/>
        <v>-68281.11</v>
      </c>
      <c r="S275" s="16"/>
      <c r="T275" s="14"/>
      <c r="U275" s="14"/>
    </row>
    <row r="276" spans="1:21" ht="12.75" customHeight="1" outlineLevel="1" x14ac:dyDescent="0.2">
      <c r="A276" s="3" t="s">
        <v>3408</v>
      </c>
      <c r="B276" s="133">
        <v>-2596269.09</v>
      </c>
      <c r="C276" s="133"/>
      <c r="D276" s="136">
        <v>-2461239.88</v>
      </c>
      <c r="E276" s="133"/>
      <c r="F276" s="136">
        <v>0</v>
      </c>
      <c r="G276" s="137"/>
      <c r="H276" s="136">
        <v>0</v>
      </c>
      <c r="I276" s="137"/>
      <c r="J276" s="133">
        <v>0</v>
      </c>
      <c r="K276" s="137"/>
      <c r="L276" s="136">
        <v>0</v>
      </c>
      <c r="M276" s="133"/>
      <c r="N276" s="136">
        <v>0</v>
      </c>
      <c r="O276" s="133"/>
      <c r="P276" s="136">
        <v>0</v>
      </c>
      <c r="Q276" s="133"/>
      <c r="R276" s="133">
        <f t="shared" si="11"/>
        <v>-5057508.97</v>
      </c>
      <c r="S276" s="16"/>
      <c r="T276" s="14"/>
      <c r="U276" s="14"/>
    </row>
    <row r="277" spans="1:21" ht="12.75" customHeight="1" outlineLevel="1" x14ac:dyDescent="0.2">
      <c r="A277" s="21" t="s">
        <v>3409</v>
      </c>
      <c r="B277" s="133">
        <v>0</v>
      </c>
      <c r="C277" s="133"/>
      <c r="D277" s="136">
        <v>0</v>
      </c>
      <c r="E277" s="133"/>
      <c r="F277" s="136">
        <v>0</v>
      </c>
      <c r="G277" s="137"/>
      <c r="H277" s="136">
        <v>-1858074.13</v>
      </c>
      <c r="I277" s="137"/>
      <c r="J277" s="133">
        <v>0</v>
      </c>
      <c r="K277" s="137"/>
      <c r="L277" s="136">
        <v>0</v>
      </c>
      <c r="M277" s="133"/>
      <c r="N277" s="136">
        <v>0</v>
      </c>
      <c r="O277" s="133"/>
      <c r="P277" s="136">
        <v>0</v>
      </c>
      <c r="Q277" s="133"/>
      <c r="R277" s="133">
        <f>SUM(B277:P277)</f>
        <v>-1858074.13</v>
      </c>
      <c r="S277" s="16"/>
      <c r="T277" s="14"/>
      <c r="U277" s="14"/>
    </row>
    <row r="278" spans="1:21" ht="12.75" customHeight="1" outlineLevel="1" x14ac:dyDescent="0.2">
      <c r="A278" s="3" t="s">
        <v>3410</v>
      </c>
      <c r="B278" s="133">
        <v>-20782934.880000003</v>
      </c>
      <c r="C278" s="133"/>
      <c r="D278" s="136">
        <v>-3341624.38</v>
      </c>
      <c r="E278" s="133"/>
      <c r="F278" s="136">
        <v>775922.03</v>
      </c>
      <c r="G278" s="137"/>
      <c r="H278" s="136">
        <v>0</v>
      </c>
      <c r="I278" s="137"/>
      <c r="J278" s="133">
        <v>0</v>
      </c>
      <c r="K278" s="137"/>
      <c r="L278" s="136">
        <v>133550.99</v>
      </c>
      <c r="M278" s="133"/>
      <c r="N278" s="136">
        <v>0</v>
      </c>
      <c r="O278" s="133"/>
      <c r="P278" s="136">
        <v>-50156.14</v>
      </c>
      <c r="Q278" s="133"/>
      <c r="R278" s="133">
        <f t="shared" si="11"/>
        <v>-23265242.380000003</v>
      </c>
      <c r="S278" s="16"/>
      <c r="T278" s="14"/>
      <c r="U278" s="14"/>
    </row>
    <row r="279" spans="1:21" ht="12.75" customHeight="1" outlineLevel="1" x14ac:dyDescent="0.2">
      <c r="A279" s="3" t="s">
        <v>3411</v>
      </c>
      <c r="B279" s="133">
        <v>0</v>
      </c>
      <c r="C279" s="133"/>
      <c r="D279" s="136">
        <v>0</v>
      </c>
      <c r="E279" s="133"/>
      <c r="F279" s="136">
        <v>0</v>
      </c>
      <c r="G279" s="137"/>
      <c r="H279" s="136">
        <v>0</v>
      </c>
      <c r="I279" s="137"/>
      <c r="J279" s="133">
        <v>0</v>
      </c>
      <c r="K279" s="137"/>
      <c r="L279" s="136">
        <v>0</v>
      </c>
      <c r="M279" s="133"/>
      <c r="N279" s="136">
        <v>0</v>
      </c>
      <c r="O279" s="133"/>
      <c r="P279" s="136">
        <v>0</v>
      </c>
      <c r="Q279" s="133"/>
      <c r="R279" s="133">
        <f t="shared" si="11"/>
        <v>0</v>
      </c>
      <c r="S279" s="16"/>
      <c r="T279" s="14"/>
      <c r="U279" s="14"/>
    </row>
    <row r="280" spans="1:21" ht="12.75" customHeight="1" outlineLevel="1" x14ac:dyDescent="0.2">
      <c r="A280" s="139" t="s">
        <v>3412</v>
      </c>
      <c r="B280" s="133">
        <v>-2336424.16</v>
      </c>
      <c r="C280" s="133"/>
      <c r="D280" s="136">
        <v>-511430.86</v>
      </c>
      <c r="E280" s="133"/>
      <c r="F280" s="136">
        <v>0</v>
      </c>
      <c r="G280" s="137"/>
      <c r="H280" s="136">
        <v>673012.19</v>
      </c>
      <c r="I280" s="137"/>
      <c r="J280" s="133">
        <v>0</v>
      </c>
      <c r="K280" s="137"/>
      <c r="L280" s="136">
        <v>0</v>
      </c>
      <c r="M280" s="133"/>
      <c r="N280" s="136">
        <v>0</v>
      </c>
      <c r="O280" s="133"/>
      <c r="P280" s="136">
        <v>0</v>
      </c>
      <c r="Q280" s="133"/>
      <c r="R280" s="133">
        <f t="shared" si="11"/>
        <v>-2174842.83</v>
      </c>
      <c r="S280" s="16"/>
      <c r="T280" s="14"/>
      <c r="U280" s="14"/>
    </row>
    <row r="281" spans="1:21" ht="12.75" customHeight="1" outlineLevel="1" x14ac:dyDescent="0.2">
      <c r="A281" s="139" t="s">
        <v>3413</v>
      </c>
      <c r="B281" s="133">
        <v>0</v>
      </c>
      <c r="C281" s="133"/>
      <c r="D281" s="136">
        <v>-9470.81</v>
      </c>
      <c r="E281" s="133"/>
      <c r="F281" s="136">
        <v>0</v>
      </c>
      <c r="G281" s="137"/>
      <c r="H281" s="136">
        <v>0</v>
      </c>
      <c r="I281" s="137"/>
      <c r="J281" s="133">
        <v>0</v>
      </c>
      <c r="K281" s="137"/>
      <c r="L281" s="136">
        <v>0</v>
      </c>
      <c r="M281" s="133"/>
      <c r="N281" s="136">
        <v>0</v>
      </c>
      <c r="O281" s="133"/>
      <c r="P281" s="136">
        <v>0</v>
      </c>
      <c r="Q281" s="133"/>
      <c r="R281" s="133">
        <f t="shared" si="11"/>
        <v>-9470.81</v>
      </c>
      <c r="S281" s="16"/>
      <c r="T281" s="14"/>
      <c r="U281" s="14"/>
    </row>
    <row r="282" spans="1:21" ht="12.75" customHeight="1" outlineLevel="1" x14ac:dyDescent="0.2">
      <c r="A282" s="21" t="s">
        <v>3414</v>
      </c>
      <c r="B282" s="133">
        <v>-50909163.269999988</v>
      </c>
      <c r="C282" s="133"/>
      <c r="D282" s="136">
        <v>-882255.9</v>
      </c>
      <c r="E282" s="133"/>
      <c r="F282" s="136">
        <v>0</v>
      </c>
      <c r="G282" s="137"/>
      <c r="H282" s="136">
        <v>0</v>
      </c>
      <c r="I282" s="137"/>
      <c r="J282" s="133">
        <v>0</v>
      </c>
      <c r="K282" s="137"/>
      <c r="L282" s="136">
        <v>13790.89</v>
      </c>
      <c r="M282" s="133"/>
      <c r="N282" s="136">
        <v>0</v>
      </c>
      <c r="O282" s="133"/>
      <c r="P282" s="136">
        <v>-3447.68</v>
      </c>
      <c r="Q282" s="133"/>
      <c r="R282" s="133">
        <f t="shared" si="11"/>
        <v>-51781075.959999986</v>
      </c>
      <c r="S282" s="16"/>
      <c r="T282" s="14"/>
      <c r="U282" s="14"/>
    </row>
    <row r="283" spans="1:21" ht="12.75" customHeight="1" outlineLevel="1" x14ac:dyDescent="0.2">
      <c r="A283" s="21" t="s">
        <v>3415</v>
      </c>
      <c r="B283" s="133">
        <v>0</v>
      </c>
      <c r="C283" s="133"/>
      <c r="D283" s="136">
        <v>0</v>
      </c>
      <c r="E283" s="133"/>
      <c r="F283" s="136">
        <v>0</v>
      </c>
      <c r="G283" s="137"/>
      <c r="H283" s="136">
        <v>0</v>
      </c>
      <c r="I283" s="137"/>
      <c r="J283" s="133">
        <v>0</v>
      </c>
      <c r="K283" s="137"/>
      <c r="L283" s="136">
        <v>0</v>
      </c>
      <c r="M283" s="133"/>
      <c r="N283" s="136">
        <v>0</v>
      </c>
      <c r="O283" s="133"/>
      <c r="P283" s="136">
        <v>0</v>
      </c>
      <c r="Q283" s="133"/>
      <c r="R283" s="133">
        <f t="shared" si="11"/>
        <v>0</v>
      </c>
      <c r="S283" s="16"/>
      <c r="T283" s="14"/>
      <c r="U283" s="14"/>
    </row>
    <row r="284" spans="1:21" ht="12.75" customHeight="1" outlineLevel="1" x14ac:dyDescent="0.2">
      <c r="A284" s="21" t="s">
        <v>3416</v>
      </c>
      <c r="B284" s="133">
        <v>0</v>
      </c>
      <c r="C284" s="133"/>
      <c r="D284" s="136">
        <v>0</v>
      </c>
      <c r="E284" s="133"/>
      <c r="F284" s="136">
        <v>0</v>
      </c>
      <c r="G284" s="137"/>
      <c r="H284" s="136">
        <v>-614261.78</v>
      </c>
      <c r="I284" s="137"/>
      <c r="J284" s="133">
        <v>0</v>
      </c>
      <c r="K284" s="137"/>
      <c r="L284" s="136">
        <v>0</v>
      </c>
      <c r="M284" s="133"/>
      <c r="N284" s="136">
        <v>0</v>
      </c>
      <c r="O284" s="133"/>
      <c r="P284" s="136">
        <v>0</v>
      </c>
      <c r="Q284" s="133"/>
      <c r="R284" s="133">
        <f t="shared" si="11"/>
        <v>-614261.78</v>
      </c>
      <c r="S284" s="16"/>
      <c r="T284" s="14"/>
      <c r="U284" s="14"/>
    </row>
    <row r="285" spans="1:21" x14ac:dyDescent="0.2">
      <c r="A285" s="3" t="s">
        <v>3417</v>
      </c>
      <c r="B285" s="133">
        <f>SUM(B224:B284)</f>
        <v>-459212842.65000004</v>
      </c>
      <c r="C285" s="133"/>
      <c r="D285" s="133">
        <f>SUM(D224:D284)</f>
        <v>-54061297.290000007</v>
      </c>
      <c r="E285" s="133">
        <f t="shared" ref="E285:Q285" si="12">SUM(E224:E284)</f>
        <v>0</v>
      </c>
      <c r="F285" s="133">
        <f t="shared" si="12"/>
        <v>13091124.68</v>
      </c>
      <c r="G285" s="133">
        <f t="shared" si="12"/>
        <v>0</v>
      </c>
      <c r="H285" s="133">
        <f t="shared" si="12"/>
        <v>0</v>
      </c>
      <c r="I285" s="133">
        <f t="shared" si="12"/>
        <v>0</v>
      </c>
      <c r="J285" s="133">
        <f t="shared" si="12"/>
        <v>0</v>
      </c>
      <c r="K285" s="133">
        <f t="shared" si="12"/>
        <v>0</v>
      </c>
      <c r="L285" s="133">
        <f>SUM(L224:L284)</f>
        <v>30451503.379999999</v>
      </c>
      <c r="M285" s="133">
        <f t="shared" si="12"/>
        <v>0</v>
      </c>
      <c r="N285" s="133">
        <f t="shared" si="12"/>
        <v>-66442</v>
      </c>
      <c r="O285" s="133">
        <f t="shared" si="12"/>
        <v>0</v>
      </c>
      <c r="P285" s="133">
        <f>SUM(P224:P284)</f>
        <v>-321216.45</v>
      </c>
      <c r="Q285" s="133">
        <f t="shared" si="12"/>
        <v>0</v>
      </c>
      <c r="R285" s="133">
        <f>SUM(R224:R284)</f>
        <v>-470119170.32999986</v>
      </c>
      <c r="S285" s="16"/>
      <c r="T285" s="14"/>
      <c r="U285" s="14"/>
    </row>
    <row r="286" spans="1:21" ht="12.75" customHeight="1" outlineLevel="1" x14ac:dyDescent="0.2">
      <c r="A286" s="3" t="s">
        <v>3418</v>
      </c>
      <c r="B286" s="133">
        <v>0</v>
      </c>
      <c r="C286" s="133"/>
      <c r="D286" s="136">
        <v>0</v>
      </c>
      <c r="E286" s="133"/>
      <c r="F286" s="136">
        <v>0</v>
      </c>
      <c r="G286" s="137"/>
      <c r="H286" s="136">
        <v>0</v>
      </c>
      <c r="I286" s="137"/>
      <c r="J286" s="133">
        <v>0</v>
      </c>
      <c r="K286" s="137"/>
      <c r="L286" s="136">
        <v>0</v>
      </c>
      <c r="M286" s="133"/>
      <c r="N286" s="136">
        <v>0</v>
      </c>
      <c r="O286" s="133"/>
      <c r="P286" s="136">
        <v>0</v>
      </c>
      <c r="Q286" s="133"/>
      <c r="R286" s="133">
        <f>SUM(B286:P286)</f>
        <v>0</v>
      </c>
      <c r="S286" s="16"/>
      <c r="T286" s="14"/>
      <c r="U286" s="14"/>
    </row>
    <row r="287" spans="1:21" ht="12.75" customHeight="1" outlineLevel="1" x14ac:dyDescent="0.2">
      <c r="A287" s="3" t="s">
        <v>3419</v>
      </c>
      <c r="B287" s="133">
        <v>0</v>
      </c>
      <c r="C287" s="133"/>
      <c r="D287" s="136">
        <v>0</v>
      </c>
      <c r="E287" s="133"/>
      <c r="F287" s="136">
        <v>0</v>
      </c>
      <c r="G287" s="137"/>
      <c r="H287" s="136">
        <v>0</v>
      </c>
      <c r="I287" s="137"/>
      <c r="J287" s="133">
        <v>0</v>
      </c>
      <c r="K287" s="137"/>
      <c r="L287" s="136">
        <v>0</v>
      </c>
      <c r="M287" s="133"/>
      <c r="N287" s="136">
        <v>0</v>
      </c>
      <c r="O287" s="133"/>
      <c r="P287" s="136">
        <v>0</v>
      </c>
      <c r="Q287" s="133"/>
      <c r="R287" s="133">
        <f>SUM(B287:P287)</f>
        <v>0</v>
      </c>
      <c r="S287" s="16"/>
      <c r="T287" s="14"/>
      <c r="U287" s="14"/>
    </row>
    <row r="288" spans="1:21" x14ac:dyDescent="0.2">
      <c r="A288" s="3" t="s">
        <v>3420</v>
      </c>
      <c r="B288" s="133">
        <f>SUM(B286:B287)</f>
        <v>0</v>
      </c>
      <c r="C288" s="133"/>
      <c r="D288" s="133">
        <f>SUM(D286:D287)</f>
        <v>0</v>
      </c>
      <c r="E288" s="133"/>
      <c r="F288" s="137">
        <f>SUM(F286:F287)</f>
        <v>0</v>
      </c>
      <c r="G288" s="137"/>
      <c r="H288" s="137">
        <f>SUM(H286:H287)</f>
        <v>0</v>
      </c>
      <c r="I288" s="137"/>
      <c r="J288" s="137">
        <f>SUM(J286:J287)</f>
        <v>0</v>
      </c>
      <c r="K288" s="137"/>
      <c r="L288" s="137">
        <f>SUM(L286:L287)</f>
        <v>0</v>
      </c>
      <c r="M288" s="133"/>
      <c r="N288" s="133">
        <f>SUM(N286:N287)</f>
        <v>0</v>
      </c>
      <c r="O288" s="133"/>
      <c r="P288" s="133">
        <f>SUM(P286:P287)</f>
        <v>0</v>
      </c>
      <c r="Q288" s="133"/>
      <c r="R288" s="133">
        <f>SUM(R286:R287)</f>
        <v>0</v>
      </c>
      <c r="S288" s="16"/>
      <c r="T288" s="14"/>
      <c r="U288" s="14"/>
    </row>
    <row r="289" spans="1:21" ht="12.75" customHeight="1" outlineLevel="1" x14ac:dyDescent="0.2">
      <c r="A289" s="3" t="s">
        <v>3421</v>
      </c>
      <c r="B289" s="133">
        <v>-7068.3199999999924</v>
      </c>
      <c r="C289" s="133"/>
      <c r="D289" s="136">
        <v>0</v>
      </c>
      <c r="E289" s="133"/>
      <c r="F289" s="136">
        <v>0</v>
      </c>
      <c r="G289" s="137"/>
      <c r="H289" s="136">
        <v>0</v>
      </c>
      <c r="I289" s="137"/>
      <c r="J289" s="133">
        <v>0</v>
      </c>
      <c r="K289" s="137"/>
      <c r="L289" s="136">
        <v>0</v>
      </c>
      <c r="M289" s="133"/>
      <c r="N289" s="136">
        <v>0</v>
      </c>
      <c r="O289" s="133"/>
      <c r="P289" s="136">
        <v>0</v>
      </c>
      <c r="Q289" s="133"/>
      <c r="R289" s="133">
        <f t="shared" ref="R289:R301" si="13">SUM(B289:P289)</f>
        <v>-7068.3199999999924</v>
      </c>
      <c r="S289" s="16"/>
      <c r="T289" s="14"/>
      <c r="U289" s="14"/>
    </row>
    <row r="290" spans="1:21" ht="12.75" customHeight="1" outlineLevel="1" x14ac:dyDescent="0.2">
      <c r="A290" s="3" t="s">
        <v>3422</v>
      </c>
      <c r="B290" s="133">
        <v>-547.34000000000015</v>
      </c>
      <c r="C290" s="133"/>
      <c r="D290" s="136">
        <v>0</v>
      </c>
      <c r="E290" s="133"/>
      <c r="F290" s="136">
        <v>0</v>
      </c>
      <c r="G290" s="137"/>
      <c r="H290" s="136">
        <v>0</v>
      </c>
      <c r="I290" s="137"/>
      <c r="J290" s="133">
        <v>0</v>
      </c>
      <c r="K290" s="137"/>
      <c r="L290" s="136">
        <v>0</v>
      </c>
      <c r="M290" s="133"/>
      <c r="N290" s="136">
        <v>0</v>
      </c>
      <c r="O290" s="133"/>
      <c r="P290" s="136">
        <v>0</v>
      </c>
      <c r="Q290" s="133"/>
      <c r="R290" s="133">
        <f t="shared" si="13"/>
        <v>-547.34000000000015</v>
      </c>
      <c r="S290" s="16"/>
      <c r="T290" s="14"/>
      <c r="U290" s="14"/>
    </row>
    <row r="291" spans="1:21" ht="12.75" customHeight="1" outlineLevel="1" x14ac:dyDescent="0.2">
      <c r="A291" s="3" t="s">
        <v>3423</v>
      </c>
      <c r="B291" s="133">
        <v>-32811.970000000059</v>
      </c>
      <c r="C291" s="133"/>
      <c r="D291" s="136">
        <v>0</v>
      </c>
      <c r="E291" s="133"/>
      <c r="F291" s="136">
        <v>0</v>
      </c>
      <c r="G291" s="137"/>
      <c r="H291" s="136">
        <v>0</v>
      </c>
      <c r="I291" s="137"/>
      <c r="J291" s="133">
        <v>0</v>
      </c>
      <c r="K291" s="137"/>
      <c r="L291" s="136">
        <v>0</v>
      </c>
      <c r="M291" s="133"/>
      <c r="N291" s="136">
        <v>0</v>
      </c>
      <c r="O291" s="133"/>
      <c r="P291" s="136">
        <v>0</v>
      </c>
      <c r="Q291" s="133"/>
      <c r="R291" s="133">
        <f t="shared" si="13"/>
        <v>-32811.970000000059</v>
      </c>
      <c r="S291" s="16"/>
      <c r="T291" s="14"/>
      <c r="U291" s="14"/>
    </row>
    <row r="292" spans="1:21" ht="12.75" customHeight="1" outlineLevel="1" x14ac:dyDescent="0.2">
      <c r="A292" s="3" t="s">
        <v>3424</v>
      </c>
      <c r="B292" s="133">
        <v>-353878.95999999886</v>
      </c>
      <c r="C292" s="133"/>
      <c r="D292" s="136">
        <v>-8080.08</v>
      </c>
      <c r="E292" s="133"/>
      <c r="F292" s="136">
        <v>0</v>
      </c>
      <c r="G292" s="137"/>
      <c r="H292" s="136">
        <v>0</v>
      </c>
      <c r="I292" s="137"/>
      <c r="J292" s="133">
        <v>0</v>
      </c>
      <c r="K292" s="137"/>
      <c r="L292" s="136">
        <v>0</v>
      </c>
      <c r="M292" s="133"/>
      <c r="N292" s="136">
        <v>0</v>
      </c>
      <c r="O292" s="133"/>
      <c r="P292" s="136">
        <v>0</v>
      </c>
      <c r="Q292" s="133"/>
      <c r="R292" s="133">
        <f t="shared" si="13"/>
        <v>-361959.03999999887</v>
      </c>
      <c r="S292" s="16"/>
      <c r="T292" s="14"/>
      <c r="U292" s="14"/>
    </row>
    <row r="293" spans="1:21" ht="12.75" customHeight="1" outlineLevel="1" x14ac:dyDescent="0.2">
      <c r="A293" s="3" t="s">
        <v>3425</v>
      </c>
      <c r="B293" s="133">
        <v>-625157.14999999991</v>
      </c>
      <c r="C293" s="133"/>
      <c r="D293" s="136">
        <v>-334.62</v>
      </c>
      <c r="E293" s="133"/>
      <c r="F293" s="136">
        <v>0</v>
      </c>
      <c r="G293" s="137"/>
      <c r="H293" s="136">
        <v>0</v>
      </c>
      <c r="I293" s="137"/>
      <c r="J293" s="133">
        <v>0</v>
      </c>
      <c r="K293" s="137"/>
      <c r="L293" s="136">
        <v>0</v>
      </c>
      <c r="M293" s="133"/>
      <c r="N293" s="136">
        <v>0</v>
      </c>
      <c r="O293" s="133"/>
      <c r="P293" s="136">
        <v>0</v>
      </c>
      <c r="Q293" s="133"/>
      <c r="R293" s="133">
        <f t="shared" si="13"/>
        <v>-625491.7699999999</v>
      </c>
      <c r="S293" s="16"/>
      <c r="T293" s="14"/>
      <c r="U293" s="14"/>
    </row>
    <row r="294" spans="1:21" ht="12.75" customHeight="1" outlineLevel="1" x14ac:dyDescent="0.2">
      <c r="A294" s="3" t="s">
        <v>3426</v>
      </c>
      <c r="B294" s="133">
        <v>950801.37000000104</v>
      </c>
      <c r="C294" s="133"/>
      <c r="D294" s="136">
        <v>0</v>
      </c>
      <c r="E294" s="133"/>
      <c r="F294" s="136">
        <v>0</v>
      </c>
      <c r="G294" s="137"/>
      <c r="H294" s="136">
        <v>0</v>
      </c>
      <c r="I294" s="137"/>
      <c r="J294" s="133">
        <v>0</v>
      </c>
      <c r="K294" s="137"/>
      <c r="L294" s="136">
        <v>0</v>
      </c>
      <c r="M294" s="133"/>
      <c r="N294" s="136">
        <v>0</v>
      </c>
      <c r="O294" s="133"/>
      <c r="P294" s="136">
        <v>0</v>
      </c>
      <c r="Q294" s="133"/>
      <c r="R294" s="133">
        <f t="shared" si="13"/>
        <v>950801.37000000104</v>
      </c>
      <c r="S294" s="16"/>
      <c r="T294" s="14"/>
      <c r="U294" s="14"/>
    </row>
    <row r="295" spans="1:21" ht="12.75" customHeight="1" outlineLevel="1" x14ac:dyDescent="0.2">
      <c r="A295" s="3" t="s">
        <v>3427</v>
      </c>
      <c r="B295" s="133">
        <v>-11407816.939999999</v>
      </c>
      <c r="C295" s="133"/>
      <c r="D295" s="136">
        <v>-282335.2</v>
      </c>
      <c r="E295" s="133"/>
      <c r="F295" s="136">
        <v>377326.28</v>
      </c>
      <c r="G295" s="137"/>
      <c r="H295" s="136">
        <v>0</v>
      </c>
      <c r="I295" s="137"/>
      <c r="J295" s="133">
        <v>0</v>
      </c>
      <c r="K295" s="137"/>
      <c r="L295" s="136">
        <v>128610.06</v>
      </c>
      <c r="M295" s="133"/>
      <c r="N295" s="136">
        <v>-210207.1</v>
      </c>
      <c r="O295" s="133"/>
      <c r="P295" s="136">
        <v>0</v>
      </c>
      <c r="Q295" s="133"/>
      <c r="R295" s="133">
        <f t="shared" si="13"/>
        <v>-11394422.899999999</v>
      </c>
      <c r="S295" s="16"/>
      <c r="T295" s="14"/>
      <c r="U295" s="14"/>
    </row>
    <row r="296" spans="1:21" ht="12.75" customHeight="1" outlineLevel="1" x14ac:dyDescent="0.2">
      <c r="A296" s="3" t="s">
        <v>3428</v>
      </c>
      <c r="B296" s="133">
        <v>-11959626.590000002</v>
      </c>
      <c r="C296" s="133"/>
      <c r="D296" s="136">
        <v>-444780.9</v>
      </c>
      <c r="E296" s="133"/>
      <c r="F296" s="136">
        <v>80612.990000000005</v>
      </c>
      <c r="G296" s="137"/>
      <c r="H296" s="136">
        <v>0</v>
      </c>
      <c r="I296" s="137"/>
      <c r="J296" s="133">
        <v>0</v>
      </c>
      <c r="K296" s="137"/>
      <c r="L296" s="136">
        <v>58554.52</v>
      </c>
      <c r="M296" s="133"/>
      <c r="N296" s="136">
        <v>0</v>
      </c>
      <c r="O296" s="133"/>
      <c r="P296" s="136">
        <v>0</v>
      </c>
      <c r="Q296" s="133"/>
      <c r="R296" s="133">
        <f t="shared" si="13"/>
        <v>-12265239.980000002</v>
      </c>
      <c r="S296" s="16"/>
      <c r="T296" s="14"/>
      <c r="U296" s="14"/>
    </row>
    <row r="297" spans="1:21" ht="12.75" customHeight="1" outlineLevel="1" x14ac:dyDescent="0.2">
      <c r="A297" s="3" t="s">
        <v>3429</v>
      </c>
      <c r="B297" s="133">
        <v>-19789009.23</v>
      </c>
      <c r="C297" s="133"/>
      <c r="D297" s="136">
        <v>-704183.24</v>
      </c>
      <c r="E297" s="133"/>
      <c r="F297" s="136">
        <v>0</v>
      </c>
      <c r="G297" s="137"/>
      <c r="H297" s="136">
        <v>0</v>
      </c>
      <c r="I297" s="137"/>
      <c r="J297" s="133">
        <v>0</v>
      </c>
      <c r="K297" s="137"/>
      <c r="L297" s="136">
        <v>56388.58</v>
      </c>
      <c r="M297" s="133"/>
      <c r="N297" s="136">
        <v>-406338.26</v>
      </c>
      <c r="O297" s="133"/>
      <c r="P297" s="136">
        <v>0</v>
      </c>
      <c r="Q297" s="133"/>
      <c r="R297" s="133">
        <f t="shared" si="13"/>
        <v>-20843142.150000002</v>
      </c>
      <c r="S297" s="16"/>
      <c r="T297" s="14"/>
      <c r="U297" s="14"/>
    </row>
    <row r="298" spans="1:21" ht="12.75" customHeight="1" outlineLevel="1" x14ac:dyDescent="0.2">
      <c r="A298" s="3" t="s">
        <v>3430</v>
      </c>
      <c r="B298" s="133">
        <v>-23901990.100000005</v>
      </c>
      <c r="C298" s="133"/>
      <c r="D298" s="136">
        <v>-908339.68</v>
      </c>
      <c r="E298" s="133"/>
      <c r="F298" s="136">
        <v>227891.27</v>
      </c>
      <c r="G298" s="137"/>
      <c r="H298" s="136">
        <v>0</v>
      </c>
      <c r="I298" s="137"/>
      <c r="J298" s="133">
        <v>0</v>
      </c>
      <c r="K298" s="137"/>
      <c r="L298" s="136">
        <v>18377.72</v>
      </c>
      <c r="M298" s="133"/>
      <c r="N298" s="136">
        <v>-132430.54999999999</v>
      </c>
      <c r="O298" s="133"/>
      <c r="P298" s="136">
        <v>0</v>
      </c>
      <c r="Q298" s="133"/>
      <c r="R298" s="133">
        <f t="shared" si="13"/>
        <v>-24696491.340000007</v>
      </c>
      <c r="S298" s="16"/>
      <c r="T298" s="14"/>
      <c r="U298" s="14"/>
    </row>
    <row r="299" spans="1:21" ht="12.75" customHeight="1" outlineLevel="1" x14ac:dyDescent="0.2">
      <c r="A299" s="3" t="s">
        <v>3431</v>
      </c>
      <c r="B299" s="133">
        <v>15976.370000000112</v>
      </c>
      <c r="C299" s="133"/>
      <c r="D299" s="136">
        <v>0</v>
      </c>
      <c r="E299" s="133"/>
      <c r="F299" s="136">
        <v>0</v>
      </c>
      <c r="G299" s="137"/>
      <c r="H299" s="136">
        <v>0</v>
      </c>
      <c r="I299" s="137"/>
      <c r="J299" s="133">
        <v>0</v>
      </c>
      <c r="K299" s="137"/>
      <c r="L299" s="136">
        <v>0</v>
      </c>
      <c r="M299" s="133"/>
      <c r="N299" s="136">
        <v>0</v>
      </c>
      <c r="O299" s="133"/>
      <c r="P299" s="136">
        <v>0</v>
      </c>
      <c r="Q299" s="133"/>
      <c r="R299" s="133">
        <f t="shared" si="13"/>
        <v>15976.370000000112</v>
      </c>
      <c r="S299" s="16"/>
      <c r="T299" s="14"/>
      <c r="U299" s="14"/>
    </row>
    <row r="300" spans="1:21" ht="12.75" customHeight="1" outlineLevel="1" x14ac:dyDescent="0.2">
      <c r="A300" s="3" t="s">
        <v>3432</v>
      </c>
      <c r="B300" s="133">
        <v>-29446196.670000002</v>
      </c>
      <c r="C300" s="133"/>
      <c r="D300" s="136">
        <v>-1332278.43</v>
      </c>
      <c r="E300" s="133"/>
      <c r="F300" s="136">
        <v>0</v>
      </c>
      <c r="G300" s="137"/>
      <c r="H300" s="136">
        <v>0</v>
      </c>
      <c r="I300" s="137"/>
      <c r="J300" s="133">
        <v>0</v>
      </c>
      <c r="K300" s="137"/>
      <c r="L300" s="136">
        <v>0</v>
      </c>
      <c r="M300" s="133"/>
      <c r="N300" s="136">
        <v>0</v>
      </c>
      <c r="O300" s="133"/>
      <c r="P300" s="136">
        <v>0</v>
      </c>
      <c r="Q300" s="133"/>
      <c r="R300" s="133">
        <f t="shared" si="13"/>
        <v>-30778475.100000001</v>
      </c>
      <c r="S300" s="16"/>
      <c r="T300" s="14"/>
      <c r="U300" s="14"/>
    </row>
    <row r="301" spans="1:21" ht="12.75" customHeight="1" outlineLevel="1" x14ac:dyDescent="0.2">
      <c r="A301" s="3" t="s">
        <v>3433</v>
      </c>
      <c r="B301" s="133">
        <v>-4853406.8499999996</v>
      </c>
      <c r="C301" s="133"/>
      <c r="D301" s="136">
        <v>-492084.05</v>
      </c>
      <c r="E301" s="133"/>
      <c r="F301" s="136">
        <v>521266.77</v>
      </c>
      <c r="G301" s="137"/>
      <c r="H301" s="136">
        <v>0</v>
      </c>
      <c r="I301" s="137"/>
      <c r="J301" s="133">
        <v>0</v>
      </c>
      <c r="K301" s="137"/>
      <c r="L301" s="136">
        <v>52108.14</v>
      </c>
      <c r="M301" s="133"/>
      <c r="N301" s="136">
        <v>0</v>
      </c>
      <c r="O301" s="133"/>
      <c r="P301" s="136">
        <v>-17100.98</v>
      </c>
      <c r="Q301" s="133"/>
      <c r="R301" s="133">
        <f t="shared" si="13"/>
        <v>-4789216.97</v>
      </c>
      <c r="S301" s="16"/>
      <c r="T301" s="14"/>
      <c r="U301" s="14"/>
    </row>
    <row r="302" spans="1:21" x14ac:dyDescent="0.2">
      <c r="A302" s="3" t="s">
        <v>3434</v>
      </c>
      <c r="B302" s="133">
        <f>SUM(B289:B301)</f>
        <v>-101410732.38</v>
      </c>
      <c r="C302" s="133"/>
      <c r="D302" s="133">
        <f>SUM(D289:D301)</f>
        <v>-4172416.2</v>
      </c>
      <c r="E302" s="133"/>
      <c r="F302" s="137">
        <f>SUM(F289:F301)</f>
        <v>1207097.31</v>
      </c>
      <c r="G302" s="137"/>
      <c r="H302" s="137">
        <f>SUM(H289:H301)</f>
        <v>0</v>
      </c>
      <c r="I302" s="137"/>
      <c r="J302" s="137">
        <f>SUM(J289:J301)</f>
        <v>0</v>
      </c>
      <c r="K302" s="137"/>
      <c r="L302" s="137">
        <f>SUM(L289:L301)</f>
        <v>314039.01999999996</v>
      </c>
      <c r="M302" s="137"/>
      <c r="N302" s="133">
        <f>SUM(N289:N301)</f>
        <v>-748975.90999999992</v>
      </c>
      <c r="O302" s="133"/>
      <c r="P302" s="133">
        <f>SUM(P289:P301)</f>
        <v>-17100.98</v>
      </c>
      <c r="Q302" s="133"/>
      <c r="R302" s="133">
        <f>SUM(R289:R301)</f>
        <v>-104828089.14000002</v>
      </c>
      <c r="S302" s="16"/>
      <c r="T302" s="14"/>
      <c r="U302" s="14"/>
    </row>
    <row r="303" spans="1:21" ht="12" customHeight="1" outlineLevel="1" x14ac:dyDescent="0.2">
      <c r="A303" s="3" t="s">
        <v>3435</v>
      </c>
      <c r="B303" s="133">
        <v>-452526.56000000006</v>
      </c>
      <c r="C303" s="133"/>
      <c r="D303" s="136">
        <v>0</v>
      </c>
      <c r="E303" s="133"/>
      <c r="F303" s="136">
        <v>0</v>
      </c>
      <c r="G303" s="137"/>
      <c r="H303" s="136">
        <v>0</v>
      </c>
      <c r="I303" s="137"/>
      <c r="J303" s="133">
        <v>0</v>
      </c>
      <c r="K303" s="137"/>
      <c r="L303" s="136">
        <v>0</v>
      </c>
      <c r="M303" s="133"/>
      <c r="N303" s="136">
        <v>0</v>
      </c>
      <c r="O303" s="133"/>
      <c r="P303" s="136">
        <v>0</v>
      </c>
      <c r="Q303" s="133"/>
      <c r="R303" s="133">
        <f t="shared" ref="R303:R363" si="14">SUM(B303:P303)</f>
        <v>-452526.56000000006</v>
      </c>
      <c r="S303" s="16"/>
      <c r="T303" s="14"/>
      <c r="U303" s="14"/>
    </row>
    <row r="304" spans="1:21" ht="12" customHeight="1" outlineLevel="1" x14ac:dyDescent="0.2">
      <c r="A304" s="3" t="s">
        <v>3436</v>
      </c>
      <c r="B304" s="133">
        <v>-13527.170000000158</v>
      </c>
      <c r="C304" s="133"/>
      <c r="D304" s="136">
        <v>0</v>
      </c>
      <c r="E304" s="133"/>
      <c r="F304" s="136">
        <v>0</v>
      </c>
      <c r="G304" s="137"/>
      <c r="H304" s="136">
        <v>0</v>
      </c>
      <c r="I304" s="137"/>
      <c r="J304" s="133">
        <v>0</v>
      </c>
      <c r="K304" s="137"/>
      <c r="L304" s="136">
        <v>0</v>
      </c>
      <c r="M304" s="133"/>
      <c r="N304" s="136">
        <v>0</v>
      </c>
      <c r="O304" s="133"/>
      <c r="P304" s="136">
        <v>0</v>
      </c>
      <c r="Q304" s="133"/>
      <c r="R304" s="133">
        <f t="shared" si="14"/>
        <v>-13527.170000000158</v>
      </c>
      <c r="S304" s="16"/>
      <c r="T304" s="14"/>
      <c r="U304" s="14"/>
    </row>
    <row r="305" spans="1:22" ht="12" customHeight="1" outlineLevel="1" x14ac:dyDescent="0.2">
      <c r="A305" s="3" t="s">
        <v>3437</v>
      </c>
      <c r="B305" s="133">
        <v>-56033.130000000121</v>
      </c>
      <c r="C305" s="133"/>
      <c r="D305" s="136">
        <v>0</v>
      </c>
      <c r="E305" s="133"/>
      <c r="F305" s="136">
        <v>0</v>
      </c>
      <c r="G305" s="137"/>
      <c r="H305" s="136">
        <v>0</v>
      </c>
      <c r="I305" s="137"/>
      <c r="J305" s="133">
        <v>0</v>
      </c>
      <c r="K305" s="137"/>
      <c r="L305" s="136">
        <v>0</v>
      </c>
      <c r="M305" s="133"/>
      <c r="N305" s="136">
        <v>0</v>
      </c>
      <c r="O305" s="133"/>
      <c r="P305" s="136">
        <v>0</v>
      </c>
      <c r="Q305" s="133"/>
      <c r="R305" s="133">
        <f t="shared" si="14"/>
        <v>-56033.130000000121</v>
      </c>
      <c r="S305" s="16"/>
      <c r="T305" s="14"/>
      <c r="U305" s="14"/>
    </row>
    <row r="306" spans="1:22" ht="12" customHeight="1" outlineLevel="1" x14ac:dyDescent="0.2">
      <c r="A306" s="3" t="s">
        <v>3438</v>
      </c>
      <c r="B306" s="133">
        <v>-618589.01000000071</v>
      </c>
      <c r="C306" s="133"/>
      <c r="D306" s="136">
        <v>0</v>
      </c>
      <c r="E306" s="133"/>
      <c r="F306" s="136">
        <v>0</v>
      </c>
      <c r="G306" s="137"/>
      <c r="H306" s="136">
        <v>0</v>
      </c>
      <c r="I306" s="137"/>
      <c r="J306" s="133">
        <v>0</v>
      </c>
      <c r="K306" s="137"/>
      <c r="L306" s="136">
        <v>0</v>
      </c>
      <c r="M306" s="133"/>
      <c r="N306" s="136">
        <v>0</v>
      </c>
      <c r="O306" s="133"/>
      <c r="P306" s="136">
        <v>0</v>
      </c>
      <c r="Q306" s="133"/>
      <c r="R306" s="133">
        <f t="shared" si="14"/>
        <v>-618589.01000000071</v>
      </c>
      <c r="S306" s="16"/>
      <c r="T306" s="14"/>
      <c r="U306" s="14"/>
    </row>
    <row r="307" spans="1:22" ht="12" customHeight="1" outlineLevel="1" x14ac:dyDescent="0.2">
      <c r="A307" s="3" t="s">
        <v>3439</v>
      </c>
      <c r="B307" s="133">
        <v>-112734.56000000052</v>
      </c>
      <c r="C307" s="133"/>
      <c r="D307" s="136">
        <v>0</v>
      </c>
      <c r="E307" s="133"/>
      <c r="F307" s="136">
        <v>0</v>
      </c>
      <c r="G307" s="137"/>
      <c r="H307" s="136">
        <v>0</v>
      </c>
      <c r="I307" s="137"/>
      <c r="J307" s="133">
        <v>0</v>
      </c>
      <c r="K307" s="137"/>
      <c r="L307" s="136">
        <v>0</v>
      </c>
      <c r="M307" s="133"/>
      <c r="N307" s="136">
        <v>0</v>
      </c>
      <c r="O307" s="133"/>
      <c r="P307" s="136">
        <v>0</v>
      </c>
      <c r="Q307" s="133"/>
      <c r="R307" s="133">
        <f t="shared" si="14"/>
        <v>-112734.56000000052</v>
      </c>
      <c r="S307" s="16"/>
      <c r="T307" s="14"/>
      <c r="U307" s="14"/>
    </row>
    <row r="308" spans="1:22" ht="12" customHeight="1" outlineLevel="1" x14ac:dyDescent="0.2">
      <c r="A308" s="3" t="s">
        <v>3440</v>
      </c>
      <c r="B308" s="133">
        <v>1576281.3599999994</v>
      </c>
      <c r="C308" s="133"/>
      <c r="D308" s="136">
        <v>0</v>
      </c>
      <c r="E308" s="133"/>
      <c r="F308" s="136">
        <v>0</v>
      </c>
      <c r="G308" s="137"/>
      <c r="H308" s="136">
        <v>0</v>
      </c>
      <c r="I308" s="137"/>
      <c r="J308" s="133">
        <v>0</v>
      </c>
      <c r="K308" s="137"/>
      <c r="L308" s="136">
        <v>0</v>
      </c>
      <c r="M308" s="133"/>
      <c r="N308" s="136">
        <v>0</v>
      </c>
      <c r="O308" s="133"/>
      <c r="P308" s="136">
        <v>0</v>
      </c>
      <c r="Q308" s="133"/>
      <c r="R308" s="133">
        <f t="shared" si="14"/>
        <v>1576281.3599999994</v>
      </c>
      <c r="S308" s="16"/>
      <c r="T308" s="14"/>
      <c r="U308" s="14"/>
    </row>
    <row r="309" spans="1:22" ht="12" customHeight="1" outlineLevel="1" x14ac:dyDescent="0.2">
      <c r="A309" s="3" t="s">
        <v>3441</v>
      </c>
      <c r="B309" s="133">
        <v>-188196.74999999953</v>
      </c>
      <c r="C309" s="133"/>
      <c r="D309" s="136">
        <v>0</v>
      </c>
      <c r="E309" s="133"/>
      <c r="F309" s="136">
        <v>0</v>
      </c>
      <c r="G309" s="137"/>
      <c r="H309" s="136">
        <v>0</v>
      </c>
      <c r="I309" s="137"/>
      <c r="J309" s="133">
        <v>0</v>
      </c>
      <c r="K309" s="137"/>
      <c r="L309" s="136">
        <v>0</v>
      </c>
      <c r="M309" s="133"/>
      <c r="N309" s="136">
        <v>0</v>
      </c>
      <c r="O309" s="133"/>
      <c r="P309" s="136">
        <v>0</v>
      </c>
      <c r="Q309" s="133"/>
      <c r="R309" s="133">
        <f t="shared" si="14"/>
        <v>-188196.74999999953</v>
      </c>
      <c r="S309" s="16"/>
      <c r="T309" s="14"/>
      <c r="U309" s="14"/>
    </row>
    <row r="310" spans="1:22" ht="12" customHeight="1" outlineLevel="1" x14ac:dyDescent="0.2">
      <c r="A310" s="3" t="s">
        <v>3442</v>
      </c>
      <c r="B310" s="133">
        <v>1203143.5100000016</v>
      </c>
      <c r="C310" s="133"/>
      <c r="D310" s="136">
        <v>0</v>
      </c>
      <c r="E310" s="133"/>
      <c r="F310" s="136">
        <v>0</v>
      </c>
      <c r="G310" s="137"/>
      <c r="H310" s="136">
        <v>0</v>
      </c>
      <c r="I310" s="137"/>
      <c r="J310" s="133">
        <v>0</v>
      </c>
      <c r="K310" s="137"/>
      <c r="L310" s="136">
        <v>0</v>
      </c>
      <c r="M310" s="133"/>
      <c r="N310" s="136">
        <v>0</v>
      </c>
      <c r="O310" s="133"/>
      <c r="P310" s="136">
        <v>0</v>
      </c>
      <c r="Q310" s="133"/>
      <c r="R310" s="133">
        <f t="shared" si="14"/>
        <v>1203143.5100000016</v>
      </c>
      <c r="S310" s="16"/>
      <c r="T310" s="14"/>
      <c r="U310" s="14"/>
    </row>
    <row r="311" spans="1:22" ht="12" customHeight="1" outlineLevel="1" x14ac:dyDescent="0.2">
      <c r="A311" s="3" t="s">
        <v>3443</v>
      </c>
      <c r="B311" s="133">
        <v>-163224.86000000034</v>
      </c>
      <c r="C311" s="133"/>
      <c r="D311" s="136">
        <v>0</v>
      </c>
      <c r="E311" s="133"/>
      <c r="F311" s="136">
        <v>0</v>
      </c>
      <c r="G311" s="137"/>
      <c r="H311" s="136">
        <v>0</v>
      </c>
      <c r="I311" s="137"/>
      <c r="J311" s="133">
        <v>0</v>
      </c>
      <c r="K311" s="137"/>
      <c r="L311" s="136">
        <v>0</v>
      </c>
      <c r="M311" s="133"/>
      <c r="N311" s="136">
        <v>0</v>
      </c>
      <c r="O311" s="133"/>
      <c r="P311" s="136">
        <v>0</v>
      </c>
      <c r="Q311" s="133"/>
      <c r="R311" s="133">
        <f t="shared" si="14"/>
        <v>-163224.86000000034</v>
      </c>
      <c r="S311" s="16"/>
      <c r="T311" s="14"/>
      <c r="U311" s="14"/>
    </row>
    <row r="312" spans="1:22" ht="12" customHeight="1" outlineLevel="1" x14ac:dyDescent="0.2">
      <c r="A312" s="3" t="s">
        <v>3444</v>
      </c>
      <c r="B312" s="133">
        <v>-123177.93</v>
      </c>
      <c r="C312" s="133"/>
      <c r="D312" s="136">
        <v>-81708.600000000006</v>
      </c>
      <c r="E312" s="133"/>
      <c r="F312" s="136">
        <v>0</v>
      </c>
      <c r="G312" s="137"/>
      <c r="H312" s="136">
        <v>0</v>
      </c>
      <c r="I312" s="137"/>
      <c r="J312" s="133">
        <v>0</v>
      </c>
      <c r="K312" s="137"/>
      <c r="L312" s="136">
        <v>0</v>
      </c>
      <c r="M312" s="133"/>
      <c r="N312" s="136">
        <v>0</v>
      </c>
      <c r="O312" s="133"/>
      <c r="P312" s="136">
        <v>0</v>
      </c>
      <c r="Q312" s="133"/>
      <c r="R312" s="133">
        <f t="shared" si="14"/>
        <v>-204886.53</v>
      </c>
      <c r="S312" s="16"/>
      <c r="T312" s="14"/>
      <c r="U312" s="14"/>
    </row>
    <row r="313" spans="1:22" ht="12" customHeight="1" outlineLevel="1" x14ac:dyDescent="0.2">
      <c r="A313" s="3" t="s">
        <v>3445</v>
      </c>
      <c r="B313" s="133">
        <v>-10995.39</v>
      </c>
      <c r="C313" s="133"/>
      <c r="D313" s="136">
        <v>-7855.27</v>
      </c>
      <c r="E313" s="133"/>
      <c r="F313" s="136">
        <v>0</v>
      </c>
      <c r="G313" s="137"/>
      <c r="H313" s="136">
        <v>0</v>
      </c>
      <c r="I313" s="137"/>
      <c r="J313" s="133">
        <v>0</v>
      </c>
      <c r="K313" s="137"/>
      <c r="L313" s="136">
        <v>0</v>
      </c>
      <c r="M313" s="133"/>
      <c r="N313" s="136">
        <v>0</v>
      </c>
      <c r="O313" s="133"/>
      <c r="P313" s="136">
        <v>0</v>
      </c>
      <c r="Q313" s="133"/>
      <c r="R313" s="133">
        <f t="shared" si="14"/>
        <v>-18850.66</v>
      </c>
      <c r="S313" s="16"/>
      <c r="T313" s="14"/>
      <c r="U313" s="14"/>
    </row>
    <row r="314" spans="1:22" ht="12" customHeight="1" outlineLevel="1" x14ac:dyDescent="0.2">
      <c r="A314" s="3" t="s">
        <v>3446</v>
      </c>
      <c r="B314" s="133">
        <v>0</v>
      </c>
      <c r="C314" s="133"/>
      <c r="D314" s="136">
        <v>0</v>
      </c>
      <c r="E314" s="133"/>
      <c r="F314" s="136">
        <v>0</v>
      </c>
      <c r="G314" s="137"/>
      <c r="H314" s="136">
        <v>-765600.88</v>
      </c>
      <c r="I314" s="137"/>
      <c r="J314" s="133">
        <v>0</v>
      </c>
      <c r="K314" s="137"/>
      <c r="L314" s="136">
        <v>0</v>
      </c>
      <c r="M314" s="133"/>
      <c r="N314" s="136">
        <v>0</v>
      </c>
      <c r="O314" s="133"/>
      <c r="P314" s="136">
        <v>0</v>
      </c>
      <c r="Q314" s="133"/>
      <c r="R314" s="133">
        <f>SUM(B314:P314)</f>
        <v>-765600.88</v>
      </c>
      <c r="S314" s="16"/>
      <c r="T314" s="14"/>
      <c r="U314" s="14"/>
    </row>
    <row r="315" spans="1:22" ht="12" customHeight="1" outlineLevel="1" x14ac:dyDescent="0.2">
      <c r="A315" s="3" t="s">
        <v>3447</v>
      </c>
      <c r="B315" s="133">
        <v>-55081.94</v>
      </c>
      <c r="C315" s="133"/>
      <c r="D315" s="136">
        <v>-108328.09</v>
      </c>
      <c r="E315" s="133"/>
      <c r="F315" s="136">
        <v>0</v>
      </c>
      <c r="G315" s="137"/>
      <c r="H315" s="136">
        <v>0</v>
      </c>
      <c r="I315" s="137"/>
      <c r="J315" s="133">
        <v>0</v>
      </c>
      <c r="K315" s="137"/>
      <c r="L315" s="136">
        <v>0</v>
      </c>
      <c r="M315" s="133"/>
      <c r="N315" s="136">
        <v>0</v>
      </c>
      <c r="O315" s="133"/>
      <c r="P315" s="136">
        <v>0</v>
      </c>
      <c r="Q315" s="133"/>
      <c r="R315" s="133">
        <f t="shared" si="14"/>
        <v>-163410.03</v>
      </c>
      <c r="S315" s="16"/>
      <c r="T315" s="14"/>
      <c r="U315" s="14"/>
    </row>
    <row r="316" spans="1:22" ht="12" customHeight="1" outlineLevel="1" x14ac:dyDescent="0.2">
      <c r="A316" s="120" t="s">
        <v>3448</v>
      </c>
      <c r="B316" s="133">
        <v>-69659.549999999988</v>
      </c>
      <c r="C316" s="133"/>
      <c r="D316" s="136">
        <v>-37231.89</v>
      </c>
      <c r="E316" s="133"/>
      <c r="F316" s="136">
        <v>0</v>
      </c>
      <c r="G316" s="137"/>
      <c r="H316" s="136">
        <v>0</v>
      </c>
      <c r="I316" s="137"/>
      <c r="J316" s="133">
        <v>0</v>
      </c>
      <c r="K316" s="137"/>
      <c r="L316" s="136">
        <v>0</v>
      </c>
      <c r="M316" s="133"/>
      <c r="N316" s="136">
        <v>0</v>
      </c>
      <c r="O316" s="133"/>
      <c r="P316" s="136">
        <v>0</v>
      </c>
      <c r="Q316" s="133"/>
      <c r="R316" s="133">
        <f t="shared" si="14"/>
        <v>-106891.43999999999</v>
      </c>
      <c r="S316" s="16"/>
      <c r="T316" s="14"/>
      <c r="U316" s="14"/>
    </row>
    <row r="317" spans="1:22" ht="12" customHeight="1" outlineLevel="1" x14ac:dyDescent="0.2">
      <c r="A317" s="3" t="s">
        <v>3449</v>
      </c>
      <c r="B317" s="133">
        <v>-10749254.279999999</v>
      </c>
      <c r="C317" s="133"/>
      <c r="D317" s="136">
        <v>-445145.21</v>
      </c>
      <c r="E317" s="133"/>
      <c r="F317" s="136">
        <v>4699.9799999999996</v>
      </c>
      <c r="G317" s="137"/>
      <c r="H317" s="136">
        <v>0</v>
      </c>
      <c r="I317" s="137"/>
      <c r="J317" s="133">
        <v>0</v>
      </c>
      <c r="K317" s="137"/>
      <c r="L317" s="136">
        <v>0</v>
      </c>
      <c r="M317" s="133"/>
      <c r="N317" s="136">
        <v>0</v>
      </c>
      <c r="O317" s="133"/>
      <c r="P317" s="136">
        <v>0</v>
      </c>
      <c r="Q317" s="133"/>
      <c r="R317" s="133">
        <f t="shared" si="14"/>
        <v>-11189699.51</v>
      </c>
      <c r="S317" s="16"/>
      <c r="T317" s="14"/>
      <c r="U317" s="14"/>
      <c r="V317" s="14"/>
    </row>
    <row r="318" spans="1:22" ht="12" customHeight="1" outlineLevel="1" x14ac:dyDescent="0.2">
      <c r="A318" s="3" t="s">
        <v>3450</v>
      </c>
      <c r="B318" s="133">
        <v>-552798.97000000067</v>
      </c>
      <c r="C318" s="133"/>
      <c r="D318" s="136">
        <v>0</v>
      </c>
      <c r="E318" s="133"/>
      <c r="F318" s="136">
        <v>0</v>
      </c>
      <c r="G318" s="137"/>
      <c r="H318" s="136">
        <v>0</v>
      </c>
      <c r="I318" s="137"/>
      <c r="J318" s="133">
        <v>0</v>
      </c>
      <c r="K318" s="137"/>
      <c r="L318" s="136">
        <v>0</v>
      </c>
      <c r="M318" s="133"/>
      <c r="N318" s="136">
        <v>0</v>
      </c>
      <c r="O318" s="133"/>
      <c r="P318" s="136">
        <v>0</v>
      </c>
      <c r="Q318" s="133"/>
      <c r="R318" s="133">
        <f t="shared" si="14"/>
        <v>-552798.97000000067</v>
      </c>
      <c r="S318" s="16"/>
      <c r="T318" s="14"/>
      <c r="U318" s="14"/>
    </row>
    <row r="319" spans="1:22" ht="12" customHeight="1" outlineLevel="1" x14ac:dyDescent="0.2">
      <c r="A319" s="3" t="s">
        <v>3451</v>
      </c>
      <c r="B319" s="133">
        <v>-6215709.959999999</v>
      </c>
      <c r="C319" s="133"/>
      <c r="D319" s="136">
        <v>-237684.34</v>
      </c>
      <c r="E319" s="133"/>
      <c r="F319" s="136">
        <v>4239.3100000000004</v>
      </c>
      <c r="G319" s="137"/>
      <c r="H319" s="136">
        <v>0</v>
      </c>
      <c r="I319" s="137"/>
      <c r="J319" s="133">
        <v>0</v>
      </c>
      <c r="K319" s="137"/>
      <c r="L319" s="136">
        <v>0</v>
      </c>
      <c r="M319" s="133"/>
      <c r="N319" s="136">
        <v>0</v>
      </c>
      <c r="O319" s="133"/>
      <c r="P319" s="136">
        <v>0</v>
      </c>
      <c r="Q319" s="133"/>
      <c r="R319" s="133">
        <f t="shared" si="14"/>
        <v>-6449154.9899999993</v>
      </c>
      <c r="S319" s="16"/>
      <c r="T319" s="14"/>
      <c r="U319" s="14"/>
    </row>
    <row r="320" spans="1:22" ht="12" customHeight="1" outlineLevel="1" x14ac:dyDescent="0.2">
      <c r="A320" s="3" t="s">
        <v>3452</v>
      </c>
      <c r="B320" s="133">
        <v>-765600.87000000104</v>
      </c>
      <c r="C320" s="133"/>
      <c r="D320" s="136">
        <v>0</v>
      </c>
      <c r="E320" s="133"/>
      <c r="F320" s="136">
        <v>0</v>
      </c>
      <c r="G320" s="137"/>
      <c r="H320" s="136">
        <v>765600.88</v>
      </c>
      <c r="I320" s="137"/>
      <c r="J320" s="133">
        <v>0</v>
      </c>
      <c r="K320" s="137"/>
      <c r="L320" s="136">
        <v>0</v>
      </c>
      <c r="M320" s="133"/>
      <c r="N320" s="136">
        <v>0</v>
      </c>
      <c r="O320" s="133"/>
      <c r="P320" s="136">
        <v>0</v>
      </c>
      <c r="Q320" s="133"/>
      <c r="R320" s="133">
        <f t="shared" si="14"/>
        <v>9.9999989615753293E-3</v>
      </c>
      <c r="S320" s="16"/>
      <c r="T320" s="14"/>
      <c r="U320" s="14"/>
    </row>
    <row r="321" spans="1:21" ht="12" customHeight="1" outlineLevel="1" x14ac:dyDescent="0.2">
      <c r="A321" s="3" t="s">
        <v>3453</v>
      </c>
      <c r="B321" s="133">
        <v>-13702951.910000002</v>
      </c>
      <c r="C321" s="133"/>
      <c r="D321" s="136">
        <v>-151283.24</v>
      </c>
      <c r="E321" s="133"/>
      <c r="F321" s="136">
        <v>13115.06</v>
      </c>
      <c r="G321" s="137"/>
      <c r="H321" s="136">
        <v>0</v>
      </c>
      <c r="I321" s="137"/>
      <c r="J321" s="133">
        <v>0</v>
      </c>
      <c r="K321" s="137"/>
      <c r="L321" s="136">
        <v>19822.47</v>
      </c>
      <c r="M321" s="133"/>
      <c r="N321" s="136">
        <v>0</v>
      </c>
      <c r="O321" s="133"/>
      <c r="P321" s="136">
        <v>0</v>
      </c>
      <c r="Q321" s="133"/>
      <c r="R321" s="133">
        <f t="shared" si="14"/>
        <v>-13821297.620000001</v>
      </c>
      <c r="S321" s="16"/>
      <c r="T321" s="14"/>
      <c r="U321" s="14"/>
    </row>
    <row r="322" spans="1:21" ht="12" customHeight="1" outlineLevel="1" x14ac:dyDescent="0.2">
      <c r="A322" s="3" t="s">
        <v>3454</v>
      </c>
      <c r="B322" s="133">
        <v>-1349963.2300000004</v>
      </c>
      <c r="C322" s="133"/>
      <c r="D322" s="136">
        <v>0</v>
      </c>
      <c r="E322" s="133"/>
      <c r="F322" s="136">
        <v>0</v>
      </c>
      <c r="G322" s="137"/>
      <c r="H322" s="136">
        <v>0</v>
      </c>
      <c r="I322" s="137"/>
      <c r="J322" s="133">
        <v>0</v>
      </c>
      <c r="K322" s="137"/>
      <c r="L322" s="136">
        <v>0</v>
      </c>
      <c r="M322" s="133"/>
      <c r="N322" s="136">
        <v>0</v>
      </c>
      <c r="O322" s="133"/>
      <c r="P322" s="136">
        <v>0</v>
      </c>
      <c r="Q322" s="133"/>
      <c r="R322" s="133">
        <f t="shared" si="14"/>
        <v>-1349963.2300000004</v>
      </c>
      <c r="S322" s="16"/>
      <c r="T322" s="14"/>
      <c r="U322" s="14"/>
    </row>
    <row r="323" spans="1:21" ht="12" customHeight="1" outlineLevel="1" x14ac:dyDescent="0.2">
      <c r="A323" s="3" t="s">
        <v>3455</v>
      </c>
      <c r="B323" s="133">
        <v>-18182707.370000001</v>
      </c>
      <c r="C323" s="133"/>
      <c r="D323" s="136">
        <v>-438856.61</v>
      </c>
      <c r="E323" s="133"/>
      <c r="F323" s="136">
        <v>0</v>
      </c>
      <c r="G323" s="137"/>
      <c r="H323" s="136">
        <v>0</v>
      </c>
      <c r="I323" s="137"/>
      <c r="J323" s="133">
        <v>0</v>
      </c>
      <c r="K323" s="137"/>
      <c r="L323" s="136">
        <v>0</v>
      </c>
      <c r="M323" s="133"/>
      <c r="N323" s="136">
        <v>0</v>
      </c>
      <c r="O323" s="133"/>
      <c r="P323" s="136">
        <v>0</v>
      </c>
      <c r="Q323" s="133"/>
      <c r="R323" s="133">
        <f t="shared" si="14"/>
        <v>-18621563.98</v>
      </c>
      <c r="S323" s="16"/>
      <c r="T323" s="14"/>
      <c r="U323" s="14"/>
    </row>
    <row r="324" spans="1:21" ht="12" customHeight="1" outlineLevel="1" x14ac:dyDescent="0.2">
      <c r="A324" s="3" t="s">
        <v>3456</v>
      </c>
      <c r="B324" s="133">
        <v>-545280.92999999993</v>
      </c>
      <c r="C324" s="133"/>
      <c r="D324" s="136">
        <v>-261.83999999999997</v>
      </c>
      <c r="E324" s="133"/>
      <c r="F324" s="136">
        <v>0</v>
      </c>
      <c r="G324" s="137"/>
      <c r="H324" s="136">
        <v>0</v>
      </c>
      <c r="I324" s="137"/>
      <c r="J324" s="133">
        <v>0</v>
      </c>
      <c r="K324" s="137"/>
      <c r="L324" s="136">
        <v>0</v>
      </c>
      <c r="M324" s="133"/>
      <c r="N324" s="136">
        <v>0</v>
      </c>
      <c r="O324" s="133"/>
      <c r="P324" s="136">
        <v>0</v>
      </c>
      <c r="Q324" s="133"/>
      <c r="R324" s="133">
        <f t="shared" si="14"/>
        <v>-545542.7699999999</v>
      </c>
      <c r="S324" s="16"/>
      <c r="T324" s="14"/>
      <c r="U324" s="14"/>
    </row>
    <row r="325" spans="1:21" ht="12" customHeight="1" outlineLevel="1" x14ac:dyDescent="0.2">
      <c r="A325" s="3" t="s">
        <v>3457</v>
      </c>
      <c r="B325" s="133">
        <v>0</v>
      </c>
      <c r="C325" s="133"/>
      <c r="D325" s="136">
        <v>0</v>
      </c>
      <c r="E325" s="133"/>
      <c r="F325" s="136">
        <v>0</v>
      </c>
      <c r="G325" s="137"/>
      <c r="H325" s="136">
        <v>0</v>
      </c>
      <c r="I325" s="137"/>
      <c r="J325" s="133">
        <v>0</v>
      </c>
      <c r="K325" s="137"/>
      <c r="L325" s="136">
        <v>0</v>
      </c>
      <c r="M325" s="133"/>
      <c r="N325" s="136">
        <v>0</v>
      </c>
      <c r="O325" s="133"/>
      <c r="P325" s="136">
        <v>0</v>
      </c>
      <c r="Q325" s="133"/>
      <c r="R325" s="133">
        <f t="shared" si="14"/>
        <v>0</v>
      </c>
      <c r="S325" s="16"/>
      <c r="T325" s="14"/>
      <c r="U325" s="14"/>
    </row>
    <row r="326" spans="1:21" ht="12" customHeight="1" outlineLevel="1" x14ac:dyDescent="0.2">
      <c r="A326" s="120" t="s">
        <v>3458</v>
      </c>
      <c r="B326" s="133">
        <v>-12265.38</v>
      </c>
      <c r="C326" s="133"/>
      <c r="D326" s="136">
        <v>-6392.58</v>
      </c>
      <c r="E326" s="133"/>
      <c r="F326" s="136">
        <v>0</v>
      </c>
      <c r="G326" s="137"/>
      <c r="H326" s="136">
        <v>0</v>
      </c>
      <c r="I326" s="137"/>
      <c r="J326" s="133">
        <v>0</v>
      </c>
      <c r="K326" s="137"/>
      <c r="L326" s="136">
        <v>0</v>
      </c>
      <c r="M326" s="133"/>
      <c r="N326" s="136">
        <v>0</v>
      </c>
      <c r="O326" s="133"/>
      <c r="P326" s="136">
        <v>0</v>
      </c>
      <c r="Q326" s="133"/>
      <c r="R326" s="133">
        <f t="shared" si="14"/>
        <v>-18657.96</v>
      </c>
      <c r="S326" s="16"/>
      <c r="T326" s="14"/>
      <c r="U326" s="14"/>
    </row>
    <row r="327" spans="1:21" ht="12.75" customHeight="1" outlineLevel="1" x14ac:dyDescent="0.2">
      <c r="A327" s="3" t="s">
        <v>3459</v>
      </c>
      <c r="B327" s="133">
        <v>-9.0949470177292824E-13</v>
      </c>
      <c r="C327" s="133"/>
      <c r="D327" s="136">
        <v>0</v>
      </c>
      <c r="E327" s="133"/>
      <c r="F327" s="136">
        <v>0</v>
      </c>
      <c r="G327" s="137"/>
      <c r="H327" s="136">
        <v>0</v>
      </c>
      <c r="I327" s="137"/>
      <c r="J327" s="133">
        <v>0</v>
      </c>
      <c r="K327" s="137"/>
      <c r="L327" s="136">
        <v>0</v>
      </c>
      <c r="M327" s="133"/>
      <c r="N327" s="136">
        <v>0</v>
      </c>
      <c r="O327" s="133"/>
      <c r="P327" s="136">
        <v>0</v>
      </c>
      <c r="Q327" s="133"/>
      <c r="R327" s="133">
        <f t="shared" si="14"/>
        <v>-9.0949470177292824E-13</v>
      </c>
      <c r="S327" s="16"/>
      <c r="T327" s="14"/>
      <c r="U327" s="14"/>
    </row>
    <row r="328" spans="1:21" ht="12" customHeight="1" outlineLevel="1" x14ac:dyDescent="0.2">
      <c r="A328" s="3" t="s">
        <v>3460</v>
      </c>
      <c r="B328" s="133">
        <v>-1236770.8699999999</v>
      </c>
      <c r="C328" s="133"/>
      <c r="D328" s="136">
        <v>-224822.27</v>
      </c>
      <c r="E328" s="133"/>
      <c r="F328" s="136">
        <v>0</v>
      </c>
      <c r="G328" s="137"/>
      <c r="H328" s="136">
        <v>0</v>
      </c>
      <c r="I328" s="137"/>
      <c r="J328" s="133">
        <v>0</v>
      </c>
      <c r="K328" s="137"/>
      <c r="L328" s="136">
        <v>0</v>
      </c>
      <c r="M328" s="133"/>
      <c r="N328" s="136">
        <v>0</v>
      </c>
      <c r="O328" s="133"/>
      <c r="P328" s="136">
        <v>0</v>
      </c>
      <c r="Q328" s="133"/>
      <c r="R328" s="133">
        <f t="shared" si="14"/>
        <v>-1461593.14</v>
      </c>
      <c r="S328" s="16"/>
      <c r="T328" s="14"/>
      <c r="U328" s="14"/>
    </row>
    <row r="329" spans="1:21" ht="12" customHeight="1" outlineLevel="1" x14ac:dyDescent="0.2">
      <c r="A329" s="3" t="s">
        <v>3461</v>
      </c>
      <c r="B329" s="133">
        <v>0</v>
      </c>
      <c r="C329" s="133"/>
      <c r="D329" s="136">
        <v>0</v>
      </c>
      <c r="E329" s="133"/>
      <c r="F329" s="136">
        <v>0</v>
      </c>
      <c r="G329" s="137"/>
      <c r="H329" s="136">
        <v>0</v>
      </c>
      <c r="I329" s="137"/>
      <c r="J329" s="133">
        <v>0</v>
      </c>
      <c r="K329" s="137"/>
      <c r="L329" s="136">
        <v>0</v>
      </c>
      <c r="M329" s="133"/>
      <c r="N329" s="136">
        <v>0</v>
      </c>
      <c r="O329" s="133"/>
      <c r="P329" s="136">
        <v>0</v>
      </c>
      <c r="Q329" s="133"/>
      <c r="R329" s="133">
        <f t="shared" si="14"/>
        <v>0</v>
      </c>
      <c r="S329" s="16"/>
      <c r="T329" s="14"/>
      <c r="U329" s="14"/>
    </row>
    <row r="330" spans="1:21" ht="12" customHeight="1" outlineLevel="1" x14ac:dyDescent="0.2">
      <c r="A330" s="3" t="s">
        <v>3462</v>
      </c>
      <c r="B330" s="133">
        <v>-57633.4</v>
      </c>
      <c r="C330" s="133"/>
      <c r="D330" s="136">
        <v>-33220.980000000003</v>
      </c>
      <c r="E330" s="133"/>
      <c r="F330" s="136">
        <v>0</v>
      </c>
      <c r="G330" s="137"/>
      <c r="H330" s="136">
        <v>0</v>
      </c>
      <c r="I330" s="137"/>
      <c r="J330" s="133">
        <v>0</v>
      </c>
      <c r="K330" s="137"/>
      <c r="L330" s="136">
        <v>0</v>
      </c>
      <c r="M330" s="133"/>
      <c r="N330" s="136">
        <v>0</v>
      </c>
      <c r="O330" s="133"/>
      <c r="P330" s="136">
        <v>0</v>
      </c>
      <c r="Q330" s="133"/>
      <c r="R330" s="133">
        <f t="shared" si="14"/>
        <v>-90854.38</v>
      </c>
      <c r="S330" s="16"/>
      <c r="T330" s="14"/>
      <c r="U330" s="14"/>
    </row>
    <row r="331" spans="1:21" ht="12" customHeight="1" outlineLevel="1" x14ac:dyDescent="0.2">
      <c r="A331" s="3" t="s">
        <v>3463</v>
      </c>
      <c r="B331" s="133">
        <v>-3358.8199999999997</v>
      </c>
      <c r="C331" s="133"/>
      <c r="D331" s="136">
        <v>-187910.73</v>
      </c>
      <c r="E331" s="133"/>
      <c r="F331" s="136">
        <v>0</v>
      </c>
      <c r="G331" s="137"/>
      <c r="H331" s="136">
        <v>0</v>
      </c>
      <c r="I331" s="137"/>
      <c r="J331" s="133"/>
      <c r="K331" s="137"/>
      <c r="L331" s="136">
        <v>0</v>
      </c>
      <c r="M331" s="133"/>
      <c r="N331" s="136">
        <v>0</v>
      </c>
      <c r="O331" s="133"/>
      <c r="P331" s="136"/>
      <c r="Q331" s="133"/>
      <c r="R331" s="133">
        <f t="shared" si="14"/>
        <v>-191269.55000000002</v>
      </c>
      <c r="S331" s="16"/>
      <c r="T331" s="14"/>
      <c r="U331" s="14"/>
    </row>
    <row r="332" spans="1:21" ht="12" customHeight="1" outlineLevel="1" x14ac:dyDescent="0.2">
      <c r="A332" s="3" t="s">
        <v>3464</v>
      </c>
      <c r="B332" s="133">
        <v>-28933011.399999999</v>
      </c>
      <c r="C332" s="133"/>
      <c r="D332" s="136">
        <v>-1042900.56</v>
      </c>
      <c r="E332" s="133"/>
      <c r="F332" s="136">
        <v>0</v>
      </c>
      <c r="G332" s="137"/>
      <c r="H332" s="136">
        <v>0</v>
      </c>
      <c r="I332" s="137"/>
      <c r="J332" s="133">
        <v>0</v>
      </c>
      <c r="K332" s="137"/>
      <c r="L332" s="136">
        <v>0</v>
      </c>
      <c r="M332" s="133"/>
      <c r="N332" s="136">
        <v>0</v>
      </c>
      <c r="O332" s="133"/>
      <c r="P332" s="136">
        <v>0</v>
      </c>
      <c r="Q332" s="133"/>
      <c r="R332" s="133">
        <f t="shared" si="14"/>
        <v>-29975911.959999997</v>
      </c>
      <c r="S332" s="16"/>
      <c r="T332" s="14"/>
      <c r="U332" s="14"/>
    </row>
    <row r="333" spans="1:21" ht="12" customHeight="1" outlineLevel="1" x14ac:dyDescent="0.2">
      <c r="A333" s="3" t="s">
        <v>3465</v>
      </c>
      <c r="B333" s="133">
        <v>-2370160.7600000002</v>
      </c>
      <c r="C333" s="133"/>
      <c r="D333" s="136">
        <v>-25453.38</v>
      </c>
      <c r="E333" s="133"/>
      <c r="F333" s="136">
        <v>0</v>
      </c>
      <c r="G333" s="137"/>
      <c r="H333" s="136">
        <v>0</v>
      </c>
      <c r="I333" s="137"/>
      <c r="J333" s="133">
        <v>0</v>
      </c>
      <c r="K333" s="137"/>
      <c r="L333" s="136">
        <v>0</v>
      </c>
      <c r="M333" s="133"/>
      <c r="N333" s="136">
        <v>0</v>
      </c>
      <c r="O333" s="133"/>
      <c r="P333" s="136">
        <v>0</v>
      </c>
      <c r="Q333" s="133"/>
      <c r="R333" s="133">
        <f>SUM(B333:P333)</f>
        <v>-2395614.14</v>
      </c>
      <c r="S333" s="16"/>
      <c r="T333" s="14"/>
      <c r="U333" s="14"/>
    </row>
    <row r="334" spans="1:21" ht="12" customHeight="1" x14ac:dyDescent="0.2">
      <c r="A334" s="3" t="s">
        <v>3466</v>
      </c>
      <c r="B334" s="133">
        <f>SUM(B303:B333)</f>
        <v>-83761790.13000001</v>
      </c>
      <c r="C334" s="133"/>
      <c r="D334" s="133">
        <f>SUM(D303:D333)</f>
        <v>-3029055.59</v>
      </c>
      <c r="E334" s="133"/>
      <c r="F334" s="137">
        <f>SUM(F303:F333)</f>
        <v>22054.35</v>
      </c>
      <c r="G334" s="137"/>
      <c r="H334" s="137">
        <f>SUM(H303:H333)</f>
        <v>0</v>
      </c>
      <c r="I334" s="137"/>
      <c r="J334" s="137">
        <f>SUM(J303:J333)</f>
        <v>0</v>
      </c>
      <c r="K334" s="137"/>
      <c r="L334" s="137">
        <f>SUM(L303:L333)</f>
        <v>19822.47</v>
      </c>
      <c r="M334" s="137"/>
      <c r="N334" s="133">
        <f>SUM(N303:N333)</f>
        <v>0</v>
      </c>
      <c r="O334" s="133"/>
      <c r="P334" s="133">
        <f>SUM(P303:P333)</f>
        <v>0</v>
      </c>
      <c r="Q334" s="133"/>
      <c r="R334" s="133">
        <f>SUM(R303:R333)</f>
        <v>-86748968.900000006</v>
      </c>
      <c r="S334" s="16"/>
      <c r="T334" s="14"/>
      <c r="U334" s="14"/>
    </row>
    <row r="335" spans="1:21" ht="12" customHeight="1" outlineLevel="1" x14ac:dyDescent="0.2">
      <c r="A335" s="131" t="s">
        <v>3467</v>
      </c>
      <c r="B335" s="133">
        <v>0</v>
      </c>
      <c r="C335" s="133"/>
      <c r="D335" s="136">
        <v>0</v>
      </c>
      <c r="E335" s="133"/>
      <c r="F335" s="136">
        <v>0</v>
      </c>
      <c r="G335" s="137"/>
      <c r="H335" s="136">
        <v>0</v>
      </c>
      <c r="I335" s="137"/>
      <c r="J335" s="133">
        <v>0</v>
      </c>
      <c r="K335" s="137"/>
      <c r="L335" s="136">
        <v>0</v>
      </c>
      <c r="M335" s="133"/>
      <c r="N335" s="136">
        <v>0</v>
      </c>
      <c r="O335" s="133"/>
      <c r="P335" s="136">
        <v>0</v>
      </c>
      <c r="Q335" s="133"/>
      <c r="R335" s="133">
        <f t="shared" si="14"/>
        <v>0</v>
      </c>
      <c r="S335" s="16"/>
      <c r="T335" s="14"/>
      <c r="U335" s="14"/>
    </row>
    <row r="336" spans="1:21" ht="12" customHeight="1" outlineLevel="1" x14ac:dyDescent="0.2">
      <c r="A336" s="131" t="s">
        <v>3468</v>
      </c>
      <c r="B336" s="133">
        <v>0</v>
      </c>
      <c r="C336" s="133"/>
      <c r="D336" s="136">
        <v>0</v>
      </c>
      <c r="E336" s="133"/>
      <c r="F336" s="136">
        <v>0</v>
      </c>
      <c r="G336" s="137"/>
      <c r="H336" s="136">
        <v>0</v>
      </c>
      <c r="I336" s="137"/>
      <c r="J336" s="133">
        <v>0</v>
      </c>
      <c r="K336" s="137"/>
      <c r="L336" s="136">
        <v>0</v>
      </c>
      <c r="M336" s="133"/>
      <c r="N336" s="136">
        <v>0</v>
      </c>
      <c r="O336" s="133"/>
      <c r="P336" s="136">
        <v>0</v>
      </c>
      <c r="Q336" s="133"/>
      <c r="R336" s="133">
        <f t="shared" si="14"/>
        <v>0</v>
      </c>
      <c r="S336" s="16"/>
      <c r="T336" s="14"/>
      <c r="U336" s="14"/>
    </row>
    <row r="337" spans="1:21" ht="12" customHeight="1" outlineLevel="1" x14ac:dyDescent="0.2">
      <c r="A337" s="131" t="s">
        <v>3469</v>
      </c>
      <c r="B337" s="133">
        <v>0</v>
      </c>
      <c r="C337" s="133"/>
      <c r="D337" s="136">
        <v>0</v>
      </c>
      <c r="E337" s="133"/>
      <c r="F337" s="136">
        <v>0</v>
      </c>
      <c r="G337" s="137"/>
      <c r="H337" s="136">
        <v>0</v>
      </c>
      <c r="I337" s="137"/>
      <c r="J337" s="133">
        <v>0</v>
      </c>
      <c r="K337" s="137"/>
      <c r="L337" s="136">
        <v>0</v>
      </c>
      <c r="M337" s="133"/>
      <c r="N337" s="136">
        <v>0</v>
      </c>
      <c r="O337" s="133"/>
      <c r="P337" s="136">
        <v>0</v>
      </c>
      <c r="Q337" s="133"/>
      <c r="R337" s="133">
        <f t="shared" si="14"/>
        <v>0</v>
      </c>
      <c r="S337" s="16"/>
      <c r="T337" s="14"/>
      <c r="U337" s="14"/>
    </row>
    <row r="338" spans="1:21" ht="12" customHeight="1" outlineLevel="1" x14ac:dyDescent="0.2">
      <c r="A338" s="131" t="s">
        <v>3470</v>
      </c>
      <c r="B338" s="133">
        <v>0</v>
      </c>
      <c r="C338" s="133"/>
      <c r="D338" s="136">
        <v>0</v>
      </c>
      <c r="E338" s="133"/>
      <c r="F338" s="136">
        <v>0</v>
      </c>
      <c r="G338" s="137"/>
      <c r="H338" s="136">
        <v>0</v>
      </c>
      <c r="I338" s="137"/>
      <c r="J338" s="133">
        <v>0</v>
      </c>
      <c r="K338" s="137"/>
      <c r="L338" s="136">
        <v>0</v>
      </c>
      <c r="M338" s="133"/>
      <c r="N338" s="136">
        <v>0</v>
      </c>
      <c r="O338" s="133"/>
      <c r="P338" s="136">
        <v>0</v>
      </c>
      <c r="Q338" s="133"/>
      <c r="R338" s="133">
        <f t="shared" si="14"/>
        <v>0</v>
      </c>
      <c r="S338" s="16"/>
      <c r="T338" s="14"/>
      <c r="U338" s="14"/>
    </row>
    <row r="339" spans="1:21" ht="12" customHeight="1" outlineLevel="1" x14ac:dyDescent="0.2">
      <c r="A339" s="131" t="s">
        <v>3471</v>
      </c>
      <c r="B339" s="133">
        <v>0</v>
      </c>
      <c r="C339" s="133"/>
      <c r="D339" s="136">
        <v>0</v>
      </c>
      <c r="E339" s="133"/>
      <c r="F339" s="136">
        <v>0</v>
      </c>
      <c r="G339" s="137"/>
      <c r="H339" s="136">
        <v>0</v>
      </c>
      <c r="I339" s="137"/>
      <c r="J339" s="133">
        <v>0</v>
      </c>
      <c r="K339" s="137"/>
      <c r="L339" s="136">
        <v>0</v>
      </c>
      <c r="M339" s="133"/>
      <c r="N339" s="136">
        <v>0</v>
      </c>
      <c r="O339" s="133"/>
      <c r="P339" s="136">
        <v>0</v>
      </c>
      <c r="Q339" s="133"/>
      <c r="R339" s="133">
        <f t="shared" si="14"/>
        <v>0</v>
      </c>
      <c r="S339" s="16"/>
      <c r="T339" s="14"/>
      <c r="U339" s="14"/>
    </row>
    <row r="340" spans="1:21" ht="12" customHeight="1" outlineLevel="1" x14ac:dyDescent="0.2">
      <c r="A340" s="131" t="s">
        <v>3472</v>
      </c>
      <c r="B340" s="133">
        <v>0</v>
      </c>
      <c r="C340" s="133"/>
      <c r="D340" s="136">
        <v>0</v>
      </c>
      <c r="E340" s="133"/>
      <c r="F340" s="136">
        <v>0</v>
      </c>
      <c r="G340" s="137"/>
      <c r="H340" s="136">
        <v>0</v>
      </c>
      <c r="I340" s="137"/>
      <c r="J340" s="133">
        <v>0</v>
      </c>
      <c r="K340" s="137"/>
      <c r="L340" s="136">
        <v>0</v>
      </c>
      <c r="M340" s="133"/>
      <c r="N340" s="136">
        <v>0</v>
      </c>
      <c r="O340" s="133"/>
      <c r="P340" s="136">
        <v>0</v>
      </c>
      <c r="Q340" s="133"/>
      <c r="R340" s="133">
        <f t="shared" si="14"/>
        <v>0</v>
      </c>
      <c r="S340" s="16"/>
      <c r="T340" s="14"/>
      <c r="U340" s="14"/>
    </row>
    <row r="341" spans="1:21" ht="12" customHeight="1" outlineLevel="1" x14ac:dyDescent="0.2">
      <c r="A341" s="131" t="s">
        <v>3473</v>
      </c>
      <c r="B341" s="133">
        <v>0</v>
      </c>
      <c r="C341" s="133"/>
      <c r="D341" s="136">
        <v>0</v>
      </c>
      <c r="E341" s="133"/>
      <c r="F341" s="136">
        <v>0</v>
      </c>
      <c r="G341" s="137"/>
      <c r="H341" s="136">
        <v>0</v>
      </c>
      <c r="I341" s="137"/>
      <c r="J341" s="133">
        <v>0</v>
      </c>
      <c r="K341" s="137"/>
      <c r="L341" s="136">
        <v>0</v>
      </c>
      <c r="M341" s="133"/>
      <c r="N341" s="136">
        <v>0</v>
      </c>
      <c r="O341" s="133"/>
      <c r="P341" s="136">
        <v>0</v>
      </c>
      <c r="Q341" s="133"/>
      <c r="R341" s="133">
        <f t="shared" si="14"/>
        <v>0</v>
      </c>
      <c r="S341" s="16"/>
      <c r="T341" s="14"/>
      <c r="U341" s="14"/>
    </row>
    <row r="342" spans="1:21" ht="12" customHeight="1" outlineLevel="1" x14ac:dyDescent="0.2">
      <c r="A342" s="131" t="s">
        <v>3474</v>
      </c>
      <c r="B342" s="133">
        <v>0</v>
      </c>
      <c r="C342" s="133"/>
      <c r="D342" s="136">
        <v>0</v>
      </c>
      <c r="E342" s="133"/>
      <c r="F342" s="136">
        <v>0</v>
      </c>
      <c r="G342" s="137"/>
      <c r="H342" s="136">
        <v>0</v>
      </c>
      <c r="I342" s="137"/>
      <c r="J342" s="133">
        <v>0</v>
      </c>
      <c r="K342" s="137"/>
      <c r="L342" s="136">
        <v>0</v>
      </c>
      <c r="M342" s="133"/>
      <c r="N342" s="136">
        <v>0</v>
      </c>
      <c r="O342" s="133"/>
      <c r="P342" s="136">
        <v>0</v>
      </c>
      <c r="Q342" s="133"/>
      <c r="R342" s="133">
        <f t="shared" si="14"/>
        <v>0</v>
      </c>
      <c r="S342" s="16"/>
      <c r="T342" s="14"/>
      <c r="U342" s="14"/>
    </row>
    <row r="343" spans="1:21" ht="12" customHeight="1" x14ac:dyDescent="0.2">
      <c r="A343" s="3" t="s">
        <v>3475</v>
      </c>
      <c r="B343" s="133">
        <f>SUM(B335:B342)</f>
        <v>0</v>
      </c>
      <c r="C343" s="133"/>
      <c r="D343" s="133">
        <f>SUM(D335:D342)</f>
        <v>0</v>
      </c>
      <c r="E343" s="133"/>
      <c r="F343" s="133">
        <f>SUM(F335:F342)</f>
        <v>0</v>
      </c>
      <c r="G343" s="133"/>
      <c r="H343" s="133">
        <f>SUM(H335:H342)</f>
        <v>0</v>
      </c>
      <c r="I343" s="133"/>
      <c r="J343" s="133">
        <f>SUM(J335:J342)</f>
        <v>0</v>
      </c>
      <c r="K343" s="133"/>
      <c r="L343" s="133">
        <f>SUM(L335:L342)</f>
        <v>0</v>
      </c>
      <c r="M343" s="133"/>
      <c r="N343" s="133">
        <f>SUM(N335:N342)</f>
        <v>0</v>
      </c>
      <c r="O343" s="133"/>
      <c r="P343" s="133">
        <f>SUM(P335:P342)</f>
        <v>0</v>
      </c>
      <c r="Q343" s="133"/>
      <c r="R343" s="133">
        <f>SUM(R335:R342)</f>
        <v>0</v>
      </c>
      <c r="S343" s="16"/>
      <c r="T343" s="14"/>
      <c r="U343" s="14"/>
    </row>
    <row r="344" spans="1:21" ht="12.75" customHeight="1" outlineLevel="1" x14ac:dyDescent="0.2">
      <c r="A344" s="3" t="s">
        <v>3476</v>
      </c>
      <c r="B344" s="133">
        <v>-496.25999999999476</v>
      </c>
      <c r="C344" s="133"/>
      <c r="D344" s="136">
        <v>0</v>
      </c>
      <c r="E344" s="133"/>
      <c r="F344" s="136">
        <v>0</v>
      </c>
      <c r="G344" s="137"/>
      <c r="H344" s="136">
        <v>0</v>
      </c>
      <c r="I344" s="137"/>
      <c r="J344" s="133">
        <v>0</v>
      </c>
      <c r="K344" s="137"/>
      <c r="L344" s="136">
        <v>0</v>
      </c>
      <c r="M344" s="133"/>
      <c r="N344" s="136">
        <v>0</v>
      </c>
      <c r="O344" s="133"/>
      <c r="P344" s="136">
        <v>0</v>
      </c>
      <c r="Q344" s="133"/>
      <c r="R344" s="133">
        <f t="shared" si="14"/>
        <v>-496.25999999999476</v>
      </c>
      <c r="S344" s="16"/>
      <c r="T344" s="14"/>
      <c r="U344" s="14"/>
    </row>
    <row r="345" spans="1:21" ht="12.75" customHeight="1" outlineLevel="1" x14ac:dyDescent="0.2">
      <c r="A345" s="3" t="s">
        <v>3477</v>
      </c>
      <c r="B345" s="133">
        <v>-747.65999999999985</v>
      </c>
      <c r="C345" s="133"/>
      <c r="D345" s="136">
        <v>0</v>
      </c>
      <c r="E345" s="133"/>
      <c r="F345" s="136">
        <v>0</v>
      </c>
      <c r="G345" s="137"/>
      <c r="H345" s="136">
        <v>0</v>
      </c>
      <c r="I345" s="137"/>
      <c r="J345" s="133">
        <v>0</v>
      </c>
      <c r="K345" s="137"/>
      <c r="L345" s="136">
        <v>0</v>
      </c>
      <c r="M345" s="133"/>
      <c r="N345" s="136">
        <v>0</v>
      </c>
      <c r="O345" s="133"/>
      <c r="P345" s="136">
        <v>0</v>
      </c>
      <c r="Q345" s="133"/>
      <c r="R345" s="133">
        <f t="shared" si="14"/>
        <v>-747.65999999999985</v>
      </c>
      <c r="S345" s="16"/>
      <c r="T345" s="14"/>
      <c r="U345" s="14"/>
    </row>
    <row r="346" spans="1:21" ht="12.75" customHeight="1" outlineLevel="1" x14ac:dyDescent="0.2">
      <c r="A346" s="3" t="s">
        <v>3478</v>
      </c>
      <c r="B346" s="133">
        <v>25231.799999999981</v>
      </c>
      <c r="C346" s="133"/>
      <c r="D346" s="136">
        <v>-1.74</v>
      </c>
      <c r="E346" s="133"/>
      <c r="F346" s="136">
        <v>0</v>
      </c>
      <c r="G346" s="137"/>
      <c r="H346" s="136">
        <v>0</v>
      </c>
      <c r="I346" s="137"/>
      <c r="J346" s="133">
        <v>0</v>
      </c>
      <c r="K346" s="137"/>
      <c r="L346" s="136">
        <v>0</v>
      </c>
      <c r="M346" s="133"/>
      <c r="N346" s="136">
        <v>0</v>
      </c>
      <c r="O346" s="133"/>
      <c r="P346" s="136">
        <v>0</v>
      </c>
      <c r="Q346" s="133"/>
      <c r="R346" s="133">
        <f t="shared" si="14"/>
        <v>25230.059999999979</v>
      </c>
      <c r="S346" s="16"/>
      <c r="T346" s="14"/>
      <c r="U346" s="14"/>
    </row>
    <row r="347" spans="1:21" ht="12.75" customHeight="1" outlineLevel="1" x14ac:dyDescent="0.2">
      <c r="A347" s="3" t="s">
        <v>3479</v>
      </c>
      <c r="B347" s="133">
        <v>-595.92999999999938</v>
      </c>
      <c r="C347" s="133"/>
      <c r="D347" s="136">
        <v>0</v>
      </c>
      <c r="E347" s="133"/>
      <c r="F347" s="136">
        <v>0</v>
      </c>
      <c r="G347" s="137"/>
      <c r="H347" s="136">
        <v>0</v>
      </c>
      <c r="I347" s="137"/>
      <c r="J347" s="133">
        <v>0</v>
      </c>
      <c r="K347" s="137"/>
      <c r="L347" s="136">
        <v>0</v>
      </c>
      <c r="M347" s="133"/>
      <c r="N347" s="136">
        <v>0</v>
      </c>
      <c r="O347" s="133"/>
      <c r="P347" s="136">
        <v>0</v>
      </c>
      <c r="Q347" s="133"/>
      <c r="R347" s="133">
        <f t="shared" si="14"/>
        <v>-595.92999999999938</v>
      </c>
      <c r="S347" s="16"/>
      <c r="T347" s="14"/>
      <c r="U347" s="14"/>
    </row>
    <row r="348" spans="1:21" ht="12.75" customHeight="1" outlineLevel="1" x14ac:dyDescent="0.2">
      <c r="A348" s="3" t="s">
        <v>3480</v>
      </c>
      <c r="B348" s="133">
        <v>-78781.790000000008</v>
      </c>
      <c r="C348" s="133"/>
      <c r="D348" s="136">
        <v>-10234.620000000001</v>
      </c>
      <c r="E348" s="133"/>
      <c r="F348" s="136">
        <v>0</v>
      </c>
      <c r="G348" s="137"/>
      <c r="H348" s="136">
        <v>0</v>
      </c>
      <c r="I348" s="137"/>
      <c r="J348" s="133">
        <v>0</v>
      </c>
      <c r="K348" s="137"/>
      <c r="L348" s="136">
        <v>0</v>
      </c>
      <c r="M348" s="133"/>
      <c r="N348" s="136">
        <v>0</v>
      </c>
      <c r="O348" s="133"/>
      <c r="P348" s="136">
        <v>0</v>
      </c>
      <c r="Q348" s="133"/>
      <c r="R348" s="133">
        <f t="shared" si="14"/>
        <v>-89016.41</v>
      </c>
      <c r="S348" s="16"/>
      <c r="T348" s="14"/>
      <c r="U348" s="14"/>
    </row>
    <row r="349" spans="1:21" ht="12.75" customHeight="1" outlineLevel="1" x14ac:dyDescent="0.2">
      <c r="A349" s="3" t="s">
        <v>3481</v>
      </c>
      <c r="B349" s="133">
        <v>-4325.070000000007</v>
      </c>
      <c r="C349" s="133"/>
      <c r="D349" s="136">
        <v>0</v>
      </c>
      <c r="E349" s="133"/>
      <c r="F349" s="136">
        <v>0</v>
      </c>
      <c r="G349" s="137"/>
      <c r="H349" s="136">
        <v>0</v>
      </c>
      <c r="I349" s="137"/>
      <c r="J349" s="133">
        <v>0</v>
      </c>
      <c r="K349" s="137"/>
      <c r="L349" s="136">
        <v>0</v>
      </c>
      <c r="M349" s="133"/>
      <c r="N349" s="136">
        <v>0</v>
      </c>
      <c r="O349" s="133"/>
      <c r="P349" s="136">
        <v>0</v>
      </c>
      <c r="Q349" s="133"/>
      <c r="R349" s="133">
        <f t="shared" si="14"/>
        <v>-4325.070000000007</v>
      </c>
      <c r="S349" s="16"/>
      <c r="T349" s="14"/>
      <c r="U349" s="14"/>
    </row>
    <row r="350" spans="1:21" ht="12.75" customHeight="1" outlineLevel="1" x14ac:dyDescent="0.2">
      <c r="A350" s="3" t="s">
        <v>3482</v>
      </c>
      <c r="B350" s="133">
        <v>-27253.380000000485</v>
      </c>
      <c r="C350" s="133"/>
      <c r="D350" s="136">
        <v>-32530.68</v>
      </c>
      <c r="E350" s="133"/>
      <c r="F350" s="136">
        <v>0</v>
      </c>
      <c r="G350" s="137"/>
      <c r="H350" s="136">
        <v>0</v>
      </c>
      <c r="I350" s="137"/>
      <c r="J350" s="133">
        <v>0</v>
      </c>
      <c r="K350" s="137"/>
      <c r="L350" s="136">
        <v>0</v>
      </c>
      <c r="M350" s="133"/>
      <c r="N350" s="136">
        <v>0</v>
      </c>
      <c r="O350" s="133"/>
      <c r="P350" s="136">
        <v>0</v>
      </c>
      <c r="Q350" s="133"/>
      <c r="R350" s="133">
        <f t="shared" si="14"/>
        <v>-59784.060000000485</v>
      </c>
      <c r="S350" s="16"/>
      <c r="T350" s="14"/>
      <c r="U350" s="14"/>
    </row>
    <row r="351" spans="1:21" ht="12.75" customHeight="1" outlineLevel="1" x14ac:dyDescent="0.2">
      <c r="A351" s="3" t="s">
        <v>3483</v>
      </c>
      <c r="B351" s="133">
        <v>-2445.0099999999911</v>
      </c>
      <c r="C351" s="133"/>
      <c r="D351" s="136">
        <v>0</v>
      </c>
      <c r="E351" s="133"/>
      <c r="F351" s="136">
        <v>0</v>
      </c>
      <c r="G351" s="137"/>
      <c r="H351" s="136">
        <v>0</v>
      </c>
      <c r="I351" s="137"/>
      <c r="J351" s="133">
        <v>0</v>
      </c>
      <c r="K351" s="137"/>
      <c r="L351" s="136">
        <v>0</v>
      </c>
      <c r="M351" s="133"/>
      <c r="N351" s="136">
        <v>0</v>
      </c>
      <c r="O351" s="133"/>
      <c r="P351" s="136">
        <v>0</v>
      </c>
      <c r="Q351" s="133"/>
      <c r="R351" s="133">
        <f t="shared" si="14"/>
        <v>-2445.0099999999911</v>
      </c>
      <c r="S351" s="16"/>
      <c r="T351" s="14"/>
      <c r="U351" s="14"/>
    </row>
    <row r="352" spans="1:21" ht="12.75" customHeight="1" outlineLevel="1" x14ac:dyDescent="0.2">
      <c r="A352" s="3" t="s">
        <v>3484</v>
      </c>
      <c r="B352" s="133">
        <v>-49037.770000000004</v>
      </c>
      <c r="C352" s="133"/>
      <c r="D352" s="136">
        <v>-13979.46</v>
      </c>
      <c r="E352" s="133"/>
      <c r="F352" s="136">
        <v>0</v>
      </c>
      <c r="G352" s="137"/>
      <c r="H352" s="136">
        <v>0</v>
      </c>
      <c r="I352" s="137"/>
      <c r="J352" s="133">
        <v>0</v>
      </c>
      <c r="K352" s="137"/>
      <c r="L352" s="136">
        <v>0</v>
      </c>
      <c r="M352" s="133"/>
      <c r="N352" s="136">
        <v>0</v>
      </c>
      <c r="O352" s="133"/>
      <c r="P352" s="136">
        <v>0</v>
      </c>
      <c r="Q352" s="133"/>
      <c r="R352" s="133">
        <f t="shared" si="14"/>
        <v>-63017.23</v>
      </c>
      <c r="S352" s="16"/>
      <c r="T352" s="14"/>
      <c r="U352" s="14"/>
    </row>
    <row r="353" spans="1:21" ht="12.75" customHeight="1" outlineLevel="1" x14ac:dyDescent="0.2">
      <c r="A353" s="3" t="s">
        <v>3485</v>
      </c>
      <c r="B353" s="133">
        <v>-23.78</v>
      </c>
      <c r="C353" s="133"/>
      <c r="D353" s="136">
        <v>-696.2</v>
      </c>
      <c r="E353" s="133"/>
      <c r="F353" s="136">
        <v>0</v>
      </c>
      <c r="G353" s="137"/>
      <c r="H353" s="136">
        <v>0</v>
      </c>
      <c r="I353" s="137"/>
      <c r="J353" s="133">
        <v>0</v>
      </c>
      <c r="K353" s="137"/>
      <c r="L353" s="136">
        <v>0</v>
      </c>
      <c r="M353" s="133"/>
      <c r="N353" s="136">
        <v>0</v>
      </c>
      <c r="O353" s="133"/>
      <c r="P353" s="136">
        <v>0</v>
      </c>
      <c r="Q353" s="133"/>
      <c r="R353" s="133">
        <f t="shared" si="14"/>
        <v>-719.98</v>
      </c>
      <c r="S353" s="16"/>
      <c r="T353" s="14"/>
      <c r="U353" s="14"/>
    </row>
    <row r="354" spans="1:21" ht="12.75" customHeight="1" outlineLevel="1" x14ac:dyDescent="0.2">
      <c r="A354" s="3" t="s">
        <v>3486</v>
      </c>
      <c r="B354" s="133">
        <v>-619.99</v>
      </c>
      <c r="C354" s="133"/>
      <c r="D354" s="136">
        <v>-411.78</v>
      </c>
      <c r="E354" s="133"/>
      <c r="F354" s="136">
        <v>0</v>
      </c>
      <c r="G354" s="137"/>
      <c r="H354" s="136">
        <v>0</v>
      </c>
      <c r="I354" s="137"/>
      <c r="J354" s="133">
        <v>0</v>
      </c>
      <c r="K354" s="137"/>
      <c r="L354" s="136">
        <v>0</v>
      </c>
      <c r="M354" s="133"/>
      <c r="N354" s="136">
        <v>0</v>
      </c>
      <c r="O354" s="133"/>
      <c r="P354" s="136">
        <v>0</v>
      </c>
      <c r="Q354" s="133"/>
      <c r="R354" s="133">
        <f>SUM(B354:P354)</f>
        <v>-1031.77</v>
      </c>
      <c r="S354" s="16"/>
      <c r="T354" s="14"/>
      <c r="U354" s="14"/>
    </row>
    <row r="355" spans="1:21" ht="12.75" customHeight="1" outlineLevel="1" x14ac:dyDescent="0.2">
      <c r="A355" s="3" t="s">
        <v>3487</v>
      </c>
      <c r="B355" s="133">
        <v>-120.35</v>
      </c>
      <c r="C355" s="133"/>
      <c r="D355" s="136">
        <v>-79.86</v>
      </c>
      <c r="E355" s="133"/>
      <c r="F355" s="136">
        <v>0</v>
      </c>
      <c r="G355" s="137"/>
      <c r="H355" s="136">
        <v>0</v>
      </c>
      <c r="I355" s="137"/>
      <c r="J355" s="133">
        <v>0</v>
      </c>
      <c r="K355" s="137"/>
      <c r="L355" s="136">
        <v>0</v>
      </c>
      <c r="M355" s="133"/>
      <c r="N355" s="136">
        <v>0</v>
      </c>
      <c r="O355" s="133"/>
      <c r="P355" s="136">
        <v>0</v>
      </c>
      <c r="Q355" s="133"/>
      <c r="R355" s="133">
        <f>SUM(B355:P355)</f>
        <v>-200.20999999999998</v>
      </c>
      <c r="S355" s="16"/>
      <c r="T355" s="14"/>
      <c r="U355" s="14"/>
    </row>
    <row r="356" spans="1:21" ht="12.75" customHeight="1" outlineLevel="1" x14ac:dyDescent="0.2">
      <c r="A356" s="3" t="s">
        <v>3488</v>
      </c>
      <c r="B356" s="133">
        <v>-24318.100000000002</v>
      </c>
      <c r="C356" s="133"/>
      <c r="D356" s="136">
        <v>-11527.74</v>
      </c>
      <c r="E356" s="133"/>
      <c r="F356" s="136">
        <v>0</v>
      </c>
      <c r="G356" s="137"/>
      <c r="H356" s="136">
        <v>0</v>
      </c>
      <c r="I356" s="137"/>
      <c r="J356" s="133">
        <v>0</v>
      </c>
      <c r="K356" s="137"/>
      <c r="L356" s="136">
        <v>0</v>
      </c>
      <c r="M356" s="133"/>
      <c r="N356" s="136">
        <v>0</v>
      </c>
      <c r="O356" s="133"/>
      <c r="P356" s="136">
        <v>0</v>
      </c>
      <c r="Q356" s="133"/>
      <c r="R356" s="133">
        <f t="shared" si="14"/>
        <v>-35845.840000000004</v>
      </c>
      <c r="S356" s="16"/>
      <c r="T356" s="14"/>
      <c r="U356" s="14"/>
    </row>
    <row r="357" spans="1:21" ht="12.75" customHeight="1" outlineLevel="1" x14ac:dyDescent="0.2">
      <c r="A357" s="3" t="s">
        <v>3489</v>
      </c>
      <c r="B357" s="133">
        <v>-546949.86</v>
      </c>
      <c r="C357" s="133"/>
      <c r="D357" s="136">
        <v>-24479.69</v>
      </c>
      <c r="E357" s="133"/>
      <c r="F357" s="136">
        <v>11510.14</v>
      </c>
      <c r="G357" s="137"/>
      <c r="H357" s="136">
        <v>0</v>
      </c>
      <c r="I357" s="137"/>
      <c r="J357" s="133">
        <v>0</v>
      </c>
      <c r="K357" s="137"/>
      <c r="L357" s="136">
        <v>0</v>
      </c>
      <c r="M357" s="133"/>
      <c r="N357" s="136">
        <v>0</v>
      </c>
      <c r="O357" s="133"/>
      <c r="P357" s="136">
        <v>0</v>
      </c>
      <c r="Q357" s="133"/>
      <c r="R357" s="133">
        <f t="shared" si="14"/>
        <v>-559919.40999999992</v>
      </c>
      <c r="S357" s="16"/>
      <c r="T357" s="14"/>
      <c r="U357" s="14"/>
    </row>
    <row r="358" spans="1:21" ht="12.75" customHeight="1" outlineLevel="1" x14ac:dyDescent="0.2">
      <c r="A358" s="3" t="s">
        <v>3490</v>
      </c>
      <c r="B358" s="133">
        <v>-109994.74999999997</v>
      </c>
      <c r="C358" s="133"/>
      <c r="D358" s="136">
        <v>-2877.59</v>
      </c>
      <c r="E358" s="133"/>
      <c r="F358" s="136">
        <v>22659.23</v>
      </c>
      <c r="G358" s="137"/>
      <c r="H358" s="136">
        <v>0</v>
      </c>
      <c r="I358" s="137"/>
      <c r="J358" s="133">
        <v>0</v>
      </c>
      <c r="K358" s="137"/>
      <c r="L358" s="136">
        <v>0</v>
      </c>
      <c r="M358" s="133"/>
      <c r="N358" s="136">
        <v>0</v>
      </c>
      <c r="O358" s="133"/>
      <c r="P358" s="136">
        <v>0</v>
      </c>
      <c r="Q358" s="133"/>
      <c r="R358" s="133">
        <f t="shared" si="14"/>
        <v>-90213.109999999971</v>
      </c>
      <c r="S358" s="16"/>
      <c r="T358" s="14"/>
      <c r="U358" s="14"/>
    </row>
    <row r="359" spans="1:21" ht="12.75" customHeight="1" outlineLevel="1" x14ac:dyDescent="0.2">
      <c r="A359" s="3" t="s">
        <v>3491</v>
      </c>
      <c r="B359" s="133">
        <v>-341275.35999999993</v>
      </c>
      <c r="C359" s="133"/>
      <c r="D359" s="136">
        <v>-4597.3100000000004</v>
      </c>
      <c r="E359" s="133"/>
      <c r="F359" s="136">
        <v>11321.83</v>
      </c>
      <c r="G359" s="137"/>
      <c r="H359" s="136">
        <v>0</v>
      </c>
      <c r="I359" s="137"/>
      <c r="J359" s="133">
        <v>0</v>
      </c>
      <c r="K359" s="137"/>
      <c r="L359" s="136">
        <v>0</v>
      </c>
      <c r="M359" s="133"/>
      <c r="N359" s="136">
        <v>0</v>
      </c>
      <c r="O359" s="133"/>
      <c r="P359" s="136">
        <v>0</v>
      </c>
      <c r="Q359" s="133"/>
      <c r="R359" s="133">
        <f t="shared" si="14"/>
        <v>-334550.83999999991</v>
      </c>
      <c r="S359" s="16"/>
      <c r="T359" s="14"/>
      <c r="U359" s="14"/>
    </row>
    <row r="360" spans="1:21" ht="12.75" customHeight="1" outlineLevel="1" x14ac:dyDescent="0.2">
      <c r="A360" s="3" t="s">
        <v>3492</v>
      </c>
      <c r="B360" s="133">
        <v>-3510356.4</v>
      </c>
      <c r="C360" s="133"/>
      <c r="D360" s="136">
        <v>-283955.44</v>
      </c>
      <c r="E360" s="133"/>
      <c r="F360" s="136">
        <v>143251.29999999999</v>
      </c>
      <c r="G360" s="137"/>
      <c r="H360" s="136">
        <v>0</v>
      </c>
      <c r="I360" s="137"/>
      <c r="J360" s="133">
        <v>0</v>
      </c>
      <c r="K360" s="137"/>
      <c r="L360" s="136">
        <v>0</v>
      </c>
      <c r="M360" s="133"/>
      <c r="N360" s="136">
        <v>0</v>
      </c>
      <c r="O360" s="133"/>
      <c r="P360" s="136">
        <v>0</v>
      </c>
      <c r="Q360" s="133"/>
      <c r="R360" s="133">
        <f t="shared" si="14"/>
        <v>-3651060.54</v>
      </c>
      <c r="S360" s="16"/>
      <c r="T360" s="14"/>
      <c r="U360" s="14"/>
    </row>
    <row r="361" spans="1:21" ht="12.75" customHeight="1" outlineLevel="1" x14ac:dyDescent="0.2">
      <c r="A361" s="3" t="s">
        <v>3493</v>
      </c>
      <c r="B361" s="133">
        <v>-13315.729999999996</v>
      </c>
      <c r="C361" s="133"/>
      <c r="D361" s="136">
        <v>-935.52</v>
      </c>
      <c r="E361" s="133"/>
      <c r="F361" s="136">
        <v>0</v>
      </c>
      <c r="G361" s="137"/>
      <c r="H361" s="136">
        <v>0</v>
      </c>
      <c r="I361" s="137"/>
      <c r="J361" s="133">
        <v>0</v>
      </c>
      <c r="K361" s="137"/>
      <c r="L361" s="136">
        <v>0</v>
      </c>
      <c r="M361" s="133"/>
      <c r="N361" s="136">
        <v>0</v>
      </c>
      <c r="O361" s="133"/>
      <c r="P361" s="136">
        <v>0</v>
      </c>
      <c r="Q361" s="133"/>
      <c r="R361" s="133">
        <f t="shared" si="14"/>
        <v>-14251.249999999996</v>
      </c>
      <c r="S361" s="16"/>
      <c r="T361" s="14"/>
      <c r="U361" s="14"/>
    </row>
    <row r="362" spans="1:21" ht="12.75" customHeight="1" outlineLevel="1" x14ac:dyDescent="0.2">
      <c r="A362" s="3" t="s">
        <v>3494</v>
      </c>
      <c r="B362" s="133">
        <v>-1558835.6</v>
      </c>
      <c r="C362" s="133"/>
      <c r="D362" s="136">
        <v>-76373.570000000007</v>
      </c>
      <c r="E362" s="133"/>
      <c r="F362" s="136">
        <v>0</v>
      </c>
      <c r="G362" s="137"/>
      <c r="H362" s="136">
        <v>0</v>
      </c>
      <c r="I362" s="137"/>
      <c r="J362" s="133">
        <v>0</v>
      </c>
      <c r="K362" s="137"/>
      <c r="L362" s="136">
        <v>0</v>
      </c>
      <c r="M362" s="133"/>
      <c r="N362" s="136">
        <v>0</v>
      </c>
      <c r="O362" s="133"/>
      <c r="P362" s="136">
        <v>0</v>
      </c>
      <c r="Q362" s="133"/>
      <c r="R362" s="133">
        <f>SUM(B362:P362)</f>
        <v>-1635209.1700000002</v>
      </c>
      <c r="S362" s="16"/>
      <c r="T362" s="14"/>
      <c r="U362" s="14"/>
    </row>
    <row r="363" spans="1:21" ht="12.75" customHeight="1" outlineLevel="1" x14ac:dyDescent="0.2">
      <c r="A363" s="3" t="s">
        <v>3495</v>
      </c>
      <c r="B363" s="133">
        <v>-323233.85000000003</v>
      </c>
      <c r="C363" s="133"/>
      <c r="D363" s="136">
        <v>-80260</v>
      </c>
      <c r="E363" s="133"/>
      <c r="F363" s="136">
        <v>18624.45</v>
      </c>
      <c r="G363" s="137"/>
      <c r="H363" s="136">
        <v>0</v>
      </c>
      <c r="I363" s="137"/>
      <c r="J363" s="133">
        <v>0</v>
      </c>
      <c r="K363" s="137"/>
      <c r="L363" s="136">
        <v>0</v>
      </c>
      <c r="M363" s="133"/>
      <c r="N363" s="136">
        <v>0</v>
      </c>
      <c r="O363" s="133"/>
      <c r="P363" s="136">
        <v>0</v>
      </c>
      <c r="Q363" s="133"/>
      <c r="R363" s="133">
        <f t="shared" si="14"/>
        <v>-384869.4</v>
      </c>
      <c r="S363" s="16"/>
      <c r="T363" s="14"/>
      <c r="U363" s="14"/>
    </row>
    <row r="364" spans="1:21" x14ac:dyDescent="0.2">
      <c r="A364" s="3" t="s">
        <v>3496</v>
      </c>
      <c r="B364" s="133">
        <f>SUM(B344:B363)</f>
        <v>-6567494.8399999999</v>
      </c>
      <c r="C364" s="133"/>
      <c r="D364" s="133">
        <f>SUM(D344:D363)</f>
        <v>-542941.19999999995</v>
      </c>
      <c r="E364" s="133"/>
      <c r="F364" s="133">
        <f>SUM(F344:F363)</f>
        <v>207366.95</v>
      </c>
      <c r="G364" s="133"/>
      <c r="H364" s="133">
        <f>SUM(H344:H363)</f>
        <v>0</v>
      </c>
      <c r="I364" s="133"/>
      <c r="J364" s="133">
        <f>SUM(J344:J363)</f>
        <v>0</v>
      </c>
      <c r="K364" s="133"/>
      <c r="L364" s="133">
        <f>SUM(L344:L363)</f>
        <v>0</v>
      </c>
      <c r="M364" s="133"/>
      <c r="N364" s="133">
        <f>SUM(N344:N363)</f>
        <v>0</v>
      </c>
      <c r="O364" s="133"/>
      <c r="P364" s="133">
        <f>SUM(P344:P363)</f>
        <v>0</v>
      </c>
      <c r="Q364" s="133"/>
      <c r="R364" s="133">
        <f>SUM(R344:R363)</f>
        <v>-6903069.0900000008</v>
      </c>
      <c r="S364" s="16"/>
      <c r="T364" s="14"/>
      <c r="U364" s="14"/>
    </row>
    <row r="365" spans="1:21" x14ac:dyDescent="0.2">
      <c r="A365" s="3" t="s">
        <v>3497</v>
      </c>
      <c r="B365" s="133">
        <v>-19536682.629999995</v>
      </c>
      <c r="C365" s="133"/>
      <c r="D365" s="133">
        <v>-9213039.25</v>
      </c>
      <c r="E365" s="133"/>
      <c r="F365" s="133">
        <v>20817965.800000001</v>
      </c>
      <c r="G365" s="133"/>
      <c r="H365" s="133">
        <v>0</v>
      </c>
      <c r="I365" s="133"/>
      <c r="J365" s="133">
        <v>0</v>
      </c>
      <c r="K365" s="133"/>
      <c r="L365" s="133">
        <v>0</v>
      </c>
      <c r="M365" s="133"/>
      <c r="N365" s="133">
        <v>0</v>
      </c>
      <c r="O365" s="133"/>
      <c r="P365" s="133">
        <v>0</v>
      </c>
      <c r="Q365" s="133"/>
      <c r="R365" s="133">
        <f>SUM(B365:P365)</f>
        <v>-7931756.0799999945</v>
      </c>
      <c r="S365" s="16"/>
      <c r="T365" s="14"/>
      <c r="U365" s="14"/>
    </row>
    <row r="366" spans="1:21" x14ac:dyDescent="0.2">
      <c r="A366" s="3" t="s">
        <v>3498</v>
      </c>
      <c r="B366" s="133">
        <v>-20285465.07</v>
      </c>
      <c r="C366" s="133"/>
      <c r="D366" s="151">
        <v>-7795396.0300000003</v>
      </c>
      <c r="E366" s="133"/>
      <c r="F366" s="151">
        <v>0</v>
      </c>
      <c r="G366" s="133"/>
      <c r="H366" s="151">
        <v>0</v>
      </c>
      <c r="I366" s="133"/>
      <c r="J366" s="151">
        <v>0</v>
      </c>
      <c r="K366" s="133"/>
      <c r="L366" s="136">
        <v>0</v>
      </c>
      <c r="M366" s="133"/>
      <c r="N366" s="151">
        <v>0</v>
      </c>
      <c r="O366" s="133"/>
      <c r="P366" s="136">
        <v>0</v>
      </c>
      <c r="Q366" s="133"/>
      <c r="R366" s="151">
        <f>SUM(B366:P366)</f>
        <v>-28080861.100000001</v>
      </c>
      <c r="S366" s="16"/>
      <c r="T366" s="14"/>
      <c r="U366" s="14"/>
    </row>
    <row r="367" spans="1:21" x14ac:dyDescent="0.2">
      <c r="B367" s="150">
        <f>B365+B364+B334+B302+B288+B285+B219+B210+B173+B343+B223+B220+B366</f>
        <v>-871454851.30000007</v>
      </c>
      <c r="C367" s="133"/>
      <c r="D367" s="150">
        <f>D365+D364+D334+D302+D288+D285+D219+D210+D173+D343+D223+D220+D366</f>
        <v>-83310560.510000005</v>
      </c>
      <c r="E367" s="133"/>
      <c r="F367" s="150">
        <f>F365+F364+F334+F302+F288+F285+F219+F210+F173+F343+F223+F220+F366</f>
        <v>35554931.540000007</v>
      </c>
      <c r="G367" s="133"/>
      <c r="H367" s="150">
        <f>H365+H364+H334+H302+H288+H285+H219+H210+H173+H343+H223+H220+H366</f>
        <v>0</v>
      </c>
      <c r="I367" s="133"/>
      <c r="J367" s="150">
        <f>J365+J364+J334+J302+J288+J285+J219+J210+J173+J343+J223+J220+J366</f>
        <v>0</v>
      </c>
      <c r="K367" s="133"/>
      <c r="L367" s="150">
        <f>L365+L364+L334+L302+L288+L285+L219+L210+L173+L343+L223+L220+L366</f>
        <v>30855487.049999997</v>
      </c>
      <c r="M367" s="133"/>
      <c r="N367" s="150">
        <f>N365+N364+N334+N302+N288+N285+N219+N210+N173+N343+N223+N220+N366</f>
        <v>-815417.90999999992</v>
      </c>
      <c r="O367" s="133"/>
      <c r="P367" s="150">
        <f>P365+P364+P334+P302+P288+P285+P219+P210+P173+P343+P223+P220+P366</f>
        <v>-339709.05</v>
      </c>
      <c r="Q367" s="133"/>
      <c r="R367" s="150">
        <f>R365+R364+R334+R302+R288+R285+R219+R210+R173+R343+R223+R220+R366</f>
        <v>-889510120.17999983</v>
      </c>
      <c r="S367" s="16"/>
      <c r="T367" s="14"/>
      <c r="U367" s="14"/>
    </row>
    <row r="368" spans="1:21" x14ac:dyDescent="0.2"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6"/>
      <c r="T368" s="14"/>
      <c r="U368" s="14"/>
    </row>
    <row r="369" spans="1:21" x14ac:dyDescent="0.2">
      <c r="A369" s="9" t="s">
        <v>24</v>
      </c>
      <c r="B369" s="136"/>
      <c r="C369" s="133"/>
      <c r="D369" s="136"/>
      <c r="E369" s="133"/>
      <c r="F369" s="136"/>
      <c r="G369" s="133"/>
      <c r="H369" s="136"/>
      <c r="I369" s="133"/>
      <c r="J369" s="136"/>
      <c r="K369" s="133"/>
      <c r="L369" s="136"/>
      <c r="M369" s="133"/>
      <c r="N369" s="136"/>
      <c r="O369" s="133"/>
      <c r="P369" s="136"/>
      <c r="Q369" s="133"/>
      <c r="R369" s="136"/>
      <c r="S369" s="14"/>
      <c r="T369" s="14"/>
      <c r="U369" s="14"/>
    </row>
    <row r="370" spans="1:21" x14ac:dyDescent="0.2">
      <c r="A370" s="131" t="s">
        <v>3499</v>
      </c>
      <c r="B370" s="133">
        <v>-2755044.5700000003</v>
      </c>
      <c r="C370" s="133"/>
      <c r="D370" s="133">
        <v>-104724.9</v>
      </c>
      <c r="E370" s="133"/>
      <c r="F370" s="136">
        <v>0</v>
      </c>
      <c r="G370" s="133"/>
      <c r="H370" s="136">
        <v>0</v>
      </c>
      <c r="I370" s="133"/>
      <c r="J370" s="136">
        <v>0</v>
      </c>
      <c r="K370" s="133"/>
      <c r="L370" s="136">
        <v>0</v>
      </c>
      <c r="M370" s="133"/>
      <c r="N370" s="136">
        <v>0</v>
      </c>
      <c r="O370" s="133"/>
      <c r="P370" s="136">
        <v>0</v>
      </c>
      <c r="Q370" s="133"/>
      <c r="R370" s="133">
        <f>SUM(B370:P370)</f>
        <v>-2859769.47</v>
      </c>
      <c r="S370" s="14"/>
      <c r="T370" s="14"/>
      <c r="U370" s="14"/>
    </row>
    <row r="371" spans="1:21" x14ac:dyDescent="0.2">
      <c r="A371" s="131" t="s">
        <v>3500</v>
      </c>
      <c r="B371" s="133">
        <v>0</v>
      </c>
      <c r="C371" s="133"/>
      <c r="D371" s="133">
        <v>0</v>
      </c>
      <c r="E371" s="133"/>
      <c r="F371" s="136">
        <v>0</v>
      </c>
      <c r="G371" s="133"/>
      <c r="H371" s="136">
        <v>0</v>
      </c>
      <c r="I371" s="133"/>
      <c r="J371" s="136">
        <v>0</v>
      </c>
      <c r="K371" s="133"/>
      <c r="L371" s="136">
        <v>0</v>
      </c>
      <c r="M371" s="133"/>
      <c r="N371" s="136">
        <v>0</v>
      </c>
      <c r="O371" s="133"/>
      <c r="P371" s="136">
        <v>0</v>
      </c>
      <c r="Q371" s="133"/>
      <c r="R371" s="133">
        <f t="shared" ref="R371:R388" si="15">SUM(B371:P371)</f>
        <v>0</v>
      </c>
      <c r="S371" s="14"/>
      <c r="T371" s="14"/>
      <c r="U371" s="14"/>
    </row>
    <row r="372" spans="1:21" x14ac:dyDescent="0.2">
      <c r="A372" s="131" t="s">
        <v>3501</v>
      </c>
      <c r="B372" s="133">
        <v>-1639793.2399999998</v>
      </c>
      <c r="C372" s="133"/>
      <c r="D372" s="133">
        <v>-138459.85999999999</v>
      </c>
      <c r="E372" s="133"/>
      <c r="F372" s="136">
        <v>26705.65</v>
      </c>
      <c r="G372" s="133"/>
      <c r="H372" s="136">
        <v>7750.55</v>
      </c>
      <c r="I372" s="133"/>
      <c r="J372" s="136">
        <v>0</v>
      </c>
      <c r="K372" s="133"/>
      <c r="L372" s="136">
        <v>19272.759999999998</v>
      </c>
      <c r="M372" s="133"/>
      <c r="N372" s="136">
        <v>0</v>
      </c>
      <c r="O372" s="133"/>
      <c r="P372" s="136">
        <v>0</v>
      </c>
      <c r="Q372" s="133"/>
      <c r="R372" s="133">
        <f t="shared" si="15"/>
        <v>-1724524.1399999997</v>
      </c>
      <c r="S372" s="14"/>
      <c r="T372" s="14"/>
      <c r="U372" s="14"/>
    </row>
    <row r="373" spans="1:21" x14ac:dyDescent="0.2">
      <c r="A373" s="3" t="s">
        <v>3502</v>
      </c>
      <c r="B373" s="133">
        <v>-88151.549999999988</v>
      </c>
      <c r="C373" s="133"/>
      <c r="D373" s="133">
        <v>-3890.64</v>
      </c>
      <c r="E373" s="133"/>
      <c r="F373" s="136">
        <v>0</v>
      </c>
      <c r="G373" s="133"/>
      <c r="H373" s="136">
        <v>0</v>
      </c>
      <c r="I373" s="133"/>
      <c r="J373" s="136">
        <v>0</v>
      </c>
      <c r="K373" s="133"/>
      <c r="L373" s="136">
        <v>0</v>
      </c>
      <c r="M373" s="133"/>
      <c r="N373" s="136">
        <v>0</v>
      </c>
      <c r="O373" s="133"/>
      <c r="P373" s="136">
        <v>0</v>
      </c>
      <c r="Q373" s="133"/>
      <c r="R373" s="133">
        <f t="shared" si="15"/>
        <v>-92042.189999999988</v>
      </c>
      <c r="S373" s="14"/>
      <c r="T373" s="14"/>
      <c r="U373" s="14"/>
    </row>
    <row r="374" spans="1:21" x14ac:dyDescent="0.2">
      <c r="A374" s="3" t="s">
        <v>3503</v>
      </c>
      <c r="B374" s="133">
        <v>0</v>
      </c>
      <c r="C374" s="133"/>
      <c r="D374" s="133">
        <v>-33.840000000000003</v>
      </c>
      <c r="E374" s="133"/>
      <c r="F374" s="136">
        <v>0</v>
      </c>
      <c r="G374" s="133"/>
      <c r="H374" s="136">
        <v>0</v>
      </c>
      <c r="I374" s="133"/>
      <c r="J374" s="136">
        <v>0</v>
      </c>
      <c r="K374" s="133"/>
      <c r="L374" s="136">
        <v>0</v>
      </c>
      <c r="M374" s="133"/>
      <c r="N374" s="136">
        <v>0</v>
      </c>
      <c r="O374" s="133"/>
      <c r="P374" s="136">
        <v>0</v>
      </c>
      <c r="Q374" s="133"/>
      <c r="R374" s="133">
        <f>SUM(B374:P374)</f>
        <v>-33.840000000000003</v>
      </c>
      <c r="S374" s="14"/>
      <c r="T374" s="14"/>
      <c r="U374" s="14"/>
    </row>
    <row r="375" spans="1:21" x14ac:dyDescent="0.2">
      <c r="A375" s="131" t="s">
        <v>3504</v>
      </c>
      <c r="B375" s="133">
        <v>6.5369931689929217E-13</v>
      </c>
      <c r="C375" s="133"/>
      <c r="D375" s="133">
        <v>0</v>
      </c>
      <c r="E375" s="133"/>
      <c r="F375" s="136">
        <v>0</v>
      </c>
      <c r="G375" s="133"/>
      <c r="H375" s="136">
        <v>0</v>
      </c>
      <c r="I375" s="133"/>
      <c r="J375" s="136">
        <v>0</v>
      </c>
      <c r="K375" s="133"/>
      <c r="L375" s="136">
        <v>0</v>
      </c>
      <c r="M375" s="133"/>
      <c r="N375" s="136">
        <v>0</v>
      </c>
      <c r="O375" s="133"/>
      <c r="P375" s="136">
        <v>0</v>
      </c>
      <c r="Q375" s="133"/>
      <c r="R375" s="133">
        <f>SUM(B375:P375)</f>
        <v>6.5369931689929217E-13</v>
      </c>
      <c r="S375" s="14"/>
      <c r="T375" s="14"/>
      <c r="U375" s="14"/>
    </row>
    <row r="376" spans="1:21" x14ac:dyDescent="0.2">
      <c r="A376" s="131" t="s">
        <v>3505</v>
      </c>
      <c r="B376" s="133">
        <v>-61229353.390000008</v>
      </c>
      <c r="C376" s="133"/>
      <c r="D376" s="133">
        <v>-2636361.9300000002</v>
      </c>
      <c r="E376" s="133"/>
      <c r="F376" s="136">
        <v>1320418.71</v>
      </c>
      <c r="G376" s="133"/>
      <c r="H376" s="136">
        <v>-327505.84999999998</v>
      </c>
      <c r="I376" s="133"/>
      <c r="J376" s="136">
        <v>0</v>
      </c>
      <c r="K376" s="133"/>
      <c r="L376" s="136">
        <v>1238618.1299999999</v>
      </c>
      <c r="M376" s="133"/>
      <c r="N376" s="136">
        <v>-6270.33</v>
      </c>
      <c r="O376" s="133"/>
      <c r="P376" s="136">
        <v>0</v>
      </c>
      <c r="Q376" s="133"/>
      <c r="R376" s="133">
        <f t="shared" si="15"/>
        <v>-61640454.660000004</v>
      </c>
      <c r="S376" s="14"/>
      <c r="T376" s="14"/>
      <c r="U376" s="14"/>
    </row>
    <row r="377" spans="1:21" x14ac:dyDescent="0.2">
      <c r="A377" s="3" t="s">
        <v>3506</v>
      </c>
      <c r="B377" s="133">
        <v>-33814.400000000118</v>
      </c>
      <c r="C377" s="133"/>
      <c r="D377" s="133">
        <v>-9183.06</v>
      </c>
      <c r="E377" s="133"/>
      <c r="F377" s="136">
        <v>0</v>
      </c>
      <c r="G377" s="133"/>
      <c r="H377" s="136">
        <v>0</v>
      </c>
      <c r="I377" s="133"/>
      <c r="J377" s="136">
        <v>0</v>
      </c>
      <c r="K377" s="133"/>
      <c r="L377" s="136">
        <v>0</v>
      </c>
      <c r="M377" s="133"/>
      <c r="N377" s="136">
        <v>0</v>
      </c>
      <c r="O377" s="133"/>
      <c r="P377" s="136">
        <v>0</v>
      </c>
      <c r="Q377" s="133"/>
      <c r="R377" s="133">
        <f t="shared" si="15"/>
        <v>-42997.460000000116</v>
      </c>
      <c r="S377" s="14"/>
      <c r="T377" s="14"/>
      <c r="U377" s="14"/>
    </row>
    <row r="378" spans="1:21" x14ac:dyDescent="0.2">
      <c r="A378" s="3" t="s">
        <v>3507</v>
      </c>
      <c r="B378" s="133">
        <v>4726.5500000000757</v>
      </c>
      <c r="C378" s="133"/>
      <c r="D378" s="133">
        <v>0</v>
      </c>
      <c r="E378" s="133"/>
      <c r="F378" s="136">
        <v>0</v>
      </c>
      <c r="G378" s="133"/>
      <c r="H378" s="136">
        <v>0</v>
      </c>
      <c r="I378" s="133"/>
      <c r="J378" s="136">
        <v>0</v>
      </c>
      <c r="K378" s="133"/>
      <c r="L378" s="136">
        <v>0</v>
      </c>
      <c r="M378" s="133"/>
      <c r="N378" s="136">
        <v>0</v>
      </c>
      <c r="O378" s="133"/>
      <c r="P378" s="136">
        <v>0</v>
      </c>
      <c r="Q378" s="133"/>
      <c r="R378" s="133">
        <f t="shared" si="15"/>
        <v>4726.5500000000757</v>
      </c>
      <c r="S378" s="14"/>
      <c r="T378" s="14"/>
      <c r="U378" s="14"/>
    </row>
    <row r="379" spans="1:21" x14ac:dyDescent="0.2">
      <c r="A379" s="3" t="s">
        <v>3508</v>
      </c>
      <c r="B379" s="133">
        <v>-2.6057023205794394E-10</v>
      </c>
      <c r="C379" s="133"/>
      <c r="D379" s="133">
        <v>0</v>
      </c>
      <c r="E379" s="133"/>
      <c r="F379" s="136">
        <v>0</v>
      </c>
      <c r="G379" s="133"/>
      <c r="H379" s="136">
        <v>0</v>
      </c>
      <c r="I379" s="133"/>
      <c r="J379" s="136">
        <v>0</v>
      </c>
      <c r="K379" s="133"/>
      <c r="L379" s="136">
        <v>0</v>
      </c>
      <c r="M379" s="133"/>
      <c r="N379" s="136">
        <v>0</v>
      </c>
      <c r="O379" s="133"/>
      <c r="P379" s="136">
        <v>0</v>
      </c>
      <c r="Q379" s="133"/>
      <c r="R379" s="133">
        <f t="shared" si="15"/>
        <v>-2.6057023205794394E-10</v>
      </c>
      <c r="S379" s="14"/>
      <c r="T379" s="14"/>
      <c r="U379" s="14"/>
    </row>
    <row r="380" spans="1:21" x14ac:dyDescent="0.2">
      <c r="A380" s="3" t="s">
        <v>3509</v>
      </c>
      <c r="B380" s="133">
        <v>-9.822542779147625E-11</v>
      </c>
      <c r="C380" s="133"/>
      <c r="D380" s="133">
        <v>0</v>
      </c>
      <c r="E380" s="133"/>
      <c r="F380" s="136">
        <v>0</v>
      </c>
      <c r="G380" s="133"/>
      <c r="H380" s="136">
        <v>0</v>
      </c>
      <c r="I380" s="133"/>
      <c r="J380" s="136">
        <v>0</v>
      </c>
      <c r="K380" s="133"/>
      <c r="L380" s="136">
        <v>0</v>
      </c>
      <c r="M380" s="133"/>
      <c r="N380" s="136">
        <v>0</v>
      </c>
      <c r="O380" s="133"/>
      <c r="P380" s="136">
        <v>0</v>
      </c>
      <c r="Q380" s="133"/>
      <c r="R380" s="133">
        <f t="shared" si="15"/>
        <v>-9.822542779147625E-11</v>
      </c>
      <c r="S380" s="14"/>
      <c r="T380" s="14"/>
      <c r="U380" s="14"/>
    </row>
    <row r="381" spans="1:21" x14ac:dyDescent="0.2">
      <c r="A381" s="131" t="s">
        <v>3510</v>
      </c>
      <c r="B381" s="133">
        <v>0</v>
      </c>
      <c r="C381" s="133"/>
      <c r="D381" s="133">
        <v>-72.180000000000007</v>
      </c>
      <c r="E381" s="133"/>
      <c r="F381" s="136">
        <v>0</v>
      </c>
      <c r="G381" s="133"/>
      <c r="H381" s="136">
        <v>36.090000000000003</v>
      </c>
      <c r="I381" s="133"/>
      <c r="J381" s="136">
        <v>0</v>
      </c>
      <c r="K381" s="133"/>
      <c r="L381" s="136">
        <v>0</v>
      </c>
      <c r="M381" s="133"/>
      <c r="N381" s="136">
        <v>0</v>
      </c>
      <c r="O381" s="133"/>
      <c r="P381" s="136">
        <v>0</v>
      </c>
      <c r="Q381" s="133"/>
      <c r="R381" s="133">
        <f t="shared" si="15"/>
        <v>-36.090000000000003</v>
      </c>
      <c r="S381" s="14"/>
      <c r="T381" s="14"/>
      <c r="U381" s="14"/>
    </row>
    <row r="382" spans="1:21" x14ac:dyDescent="0.2">
      <c r="A382" s="131" t="s">
        <v>3511</v>
      </c>
      <c r="B382" s="133">
        <v>-19781472.75999999</v>
      </c>
      <c r="C382" s="133"/>
      <c r="D382" s="133">
        <v>-534668.04</v>
      </c>
      <c r="E382" s="133"/>
      <c r="F382" s="136">
        <v>-91139.37</v>
      </c>
      <c r="G382" s="133"/>
      <c r="H382" s="136">
        <v>0</v>
      </c>
      <c r="I382" s="133"/>
      <c r="J382" s="136">
        <v>0</v>
      </c>
      <c r="K382" s="133"/>
      <c r="L382" s="136">
        <v>0</v>
      </c>
      <c r="M382" s="133"/>
      <c r="N382" s="136">
        <v>0</v>
      </c>
      <c r="O382" s="133"/>
      <c r="P382" s="136">
        <v>0</v>
      </c>
      <c r="Q382" s="133"/>
      <c r="R382" s="133">
        <f t="shared" si="15"/>
        <v>-20407280.169999991</v>
      </c>
      <c r="S382" s="14"/>
      <c r="T382" s="14"/>
      <c r="U382" s="14"/>
    </row>
    <row r="383" spans="1:21" x14ac:dyDescent="0.2">
      <c r="A383" s="131" t="s">
        <v>3512</v>
      </c>
      <c r="B383" s="133">
        <v>-22336163.120000001</v>
      </c>
      <c r="C383" s="133"/>
      <c r="D383" s="133">
        <v>-2327979.2599999998</v>
      </c>
      <c r="E383" s="133"/>
      <c r="F383" s="136">
        <v>468266.03</v>
      </c>
      <c r="G383" s="133"/>
      <c r="H383" s="136">
        <v>0</v>
      </c>
      <c r="I383" s="133"/>
      <c r="J383" s="136">
        <v>0</v>
      </c>
      <c r="K383" s="133"/>
      <c r="L383" s="136">
        <v>238725.34</v>
      </c>
      <c r="M383" s="133"/>
      <c r="N383" s="136">
        <v>-378.27</v>
      </c>
      <c r="O383" s="133"/>
      <c r="P383" s="136">
        <v>0</v>
      </c>
      <c r="Q383" s="133"/>
      <c r="R383" s="133">
        <f t="shared" si="15"/>
        <v>-23957529.280000001</v>
      </c>
      <c r="S383" s="14"/>
      <c r="T383" s="14"/>
      <c r="U383" s="14"/>
    </row>
    <row r="384" spans="1:21" x14ac:dyDescent="0.2">
      <c r="A384" s="131" t="s">
        <v>3513</v>
      </c>
      <c r="B384" s="133">
        <v>-23672628.479999989</v>
      </c>
      <c r="C384" s="133"/>
      <c r="D384" s="133">
        <v>-1548130.59</v>
      </c>
      <c r="E384" s="133"/>
      <c r="F384" s="136">
        <v>241276.93</v>
      </c>
      <c r="G384" s="133"/>
      <c r="H384" s="136">
        <v>0</v>
      </c>
      <c r="I384" s="133"/>
      <c r="J384" s="136">
        <v>0</v>
      </c>
      <c r="K384" s="133"/>
      <c r="L384" s="136">
        <v>137831.15</v>
      </c>
      <c r="M384" s="133"/>
      <c r="N384" s="136">
        <v>-13.13</v>
      </c>
      <c r="O384" s="133"/>
      <c r="P384" s="136">
        <v>0</v>
      </c>
      <c r="Q384" s="133"/>
      <c r="R384" s="133">
        <f t="shared" si="15"/>
        <v>-24841664.11999999</v>
      </c>
      <c r="S384" s="14"/>
      <c r="T384" s="14"/>
      <c r="U384" s="14"/>
    </row>
    <row r="385" spans="1:21" x14ac:dyDescent="0.2">
      <c r="A385" s="3" t="s">
        <v>3514</v>
      </c>
      <c r="B385" s="133">
        <v>-610222.48999999987</v>
      </c>
      <c r="C385" s="133"/>
      <c r="D385" s="133">
        <v>-29609.65</v>
      </c>
      <c r="E385" s="133"/>
      <c r="F385" s="136">
        <v>0</v>
      </c>
      <c r="G385" s="133"/>
      <c r="H385" s="136">
        <v>0</v>
      </c>
      <c r="I385" s="133"/>
      <c r="J385" s="136">
        <v>0</v>
      </c>
      <c r="K385" s="133"/>
      <c r="L385" s="136">
        <v>0</v>
      </c>
      <c r="M385" s="133"/>
      <c r="N385" s="136">
        <v>0</v>
      </c>
      <c r="O385" s="133"/>
      <c r="P385" s="136">
        <v>0</v>
      </c>
      <c r="Q385" s="133"/>
      <c r="R385" s="133">
        <f t="shared" si="15"/>
        <v>-639832.1399999999</v>
      </c>
      <c r="S385" s="14"/>
      <c r="T385" s="14"/>
      <c r="U385" s="14"/>
    </row>
    <row r="386" spans="1:21" x14ac:dyDescent="0.2">
      <c r="A386" s="3" t="s">
        <v>3515</v>
      </c>
      <c r="B386" s="133">
        <v>-3128608.35</v>
      </c>
      <c r="C386" s="133"/>
      <c r="D386" s="133">
        <v>-199725.7</v>
      </c>
      <c r="E386" s="133"/>
      <c r="F386" s="136">
        <v>0</v>
      </c>
      <c r="G386" s="133"/>
      <c r="H386" s="136">
        <v>0</v>
      </c>
      <c r="I386" s="133"/>
      <c r="J386" s="136">
        <v>0</v>
      </c>
      <c r="K386" s="133"/>
      <c r="L386" s="136">
        <v>0</v>
      </c>
      <c r="M386" s="133"/>
      <c r="N386" s="136">
        <v>0</v>
      </c>
      <c r="O386" s="133"/>
      <c r="P386" s="136">
        <v>0</v>
      </c>
      <c r="Q386" s="133"/>
      <c r="R386" s="133">
        <f t="shared" si="15"/>
        <v>-3328334.0500000003</v>
      </c>
      <c r="S386" s="14"/>
      <c r="T386" s="14"/>
      <c r="U386" s="14"/>
    </row>
    <row r="387" spans="1:21" x14ac:dyDescent="0.2">
      <c r="A387" s="3" t="s">
        <v>3516</v>
      </c>
      <c r="B387" s="133">
        <v>-878.85999999999967</v>
      </c>
      <c r="C387" s="133"/>
      <c r="D387" s="133">
        <v>-320.3</v>
      </c>
      <c r="E387" s="133"/>
      <c r="F387" s="136">
        <v>0</v>
      </c>
      <c r="G387" s="133"/>
      <c r="H387" s="136">
        <v>0</v>
      </c>
      <c r="I387" s="133"/>
      <c r="J387" s="136">
        <v>0</v>
      </c>
      <c r="K387" s="133"/>
      <c r="L387" s="136">
        <v>0</v>
      </c>
      <c r="M387" s="133"/>
      <c r="N387" s="136">
        <v>0</v>
      </c>
      <c r="O387" s="133"/>
      <c r="P387" s="136">
        <v>0</v>
      </c>
      <c r="Q387" s="133"/>
      <c r="R387" s="133">
        <f t="shared" si="15"/>
        <v>-1199.1599999999996</v>
      </c>
      <c r="S387" s="14"/>
      <c r="T387" s="14"/>
      <c r="U387" s="14"/>
    </row>
    <row r="388" spans="1:21" x14ac:dyDescent="0.2">
      <c r="A388" s="3" t="s">
        <v>3517</v>
      </c>
      <c r="B388" s="151">
        <v>-29282.43</v>
      </c>
      <c r="C388" s="133"/>
      <c r="D388" s="151">
        <v>-12538.55</v>
      </c>
      <c r="E388" s="133"/>
      <c r="F388" s="136">
        <v>7370.88</v>
      </c>
      <c r="G388" s="133"/>
      <c r="H388" s="136">
        <v>0</v>
      </c>
      <c r="I388" s="133"/>
      <c r="J388" s="136">
        <v>0</v>
      </c>
      <c r="K388" s="133"/>
      <c r="L388" s="136">
        <v>0</v>
      </c>
      <c r="M388" s="133"/>
      <c r="N388" s="136">
        <v>0</v>
      </c>
      <c r="O388" s="133"/>
      <c r="P388" s="136">
        <v>0</v>
      </c>
      <c r="Q388" s="133"/>
      <c r="R388" s="151">
        <f t="shared" si="15"/>
        <v>-34450.1</v>
      </c>
      <c r="S388" s="16"/>
      <c r="T388" s="14"/>
      <c r="U388" s="14"/>
    </row>
    <row r="389" spans="1:21" x14ac:dyDescent="0.2">
      <c r="B389" s="133">
        <f>SUM(B370:B388)</f>
        <v>-135300687.09</v>
      </c>
      <c r="C389" s="133"/>
      <c r="D389" s="150">
        <f>SUM(D370:D388)</f>
        <v>-7545698.5</v>
      </c>
      <c r="E389" s="133"/>
      <c r="F389" s="161">
        <f>SUM(F370:F388)</f>
        <v>1972898.8299999996</v>
      </c>
      <c r="G389" s="137"/>
      <c r="H389" s="161">
        <f>SUM(H370:H388)</f>
        <v>-319719.20999999996</v>
      </c>
      <c r="I389" s="137"/>
      <c r="J389" s="161">
        <f>SUM(J370:J388)</f>
        <v>0</v>
      </c>
      <c r="K389" s="137"/>
      <c r="L389" s="161">
        <f>SUM(L370:L388)</f>
        <v>1634447.38</v>
      </c>
      <c r="M389" s="137"/>
      <c r="N389" s="150">
        <f>SUM(N370:N388)</f>
        <v>-6661.7300000000005</v>
      </c>
      <c r="O389" s="133"/>
      <c r="P389" s="150">
        <f>SUM(P370:P388)</f>
        <v>0</v>
      </c>
      <c r="Q389" s="133"/>
      <c r="R389" s="133">
        <f>SUM(R370:R388)</f>
        <v>-139565420.31999999</v>
      </c>
      <c r="S389" s="16"/>
      <c r="T389" s="14"/>
      <c r="U389" s="14"/>
    </row>
    <row r="390" spans="1:21" x14ac:dyDescent="0.2">
      <c r="B390" s="133"/>
      <c r="C390" s="133"/>
      <c r="D390" s="133"/>
      <c r="E390" s="133"/>
      <c r="F390" s="137"/>
      <c r="G390" s="137"/>
      <c r="H390" s="137"/>
      <c r="I390" s="137"/>
      <c r="J390" s="137"/>
      <c r="K390" s="137"/>
      <c r="L390" s="137"/>
      <c r="M390" s="137"/>
      <c r="N390" s="133"/>
      <c r="O390" s="133"/>
      <c r="P390" s="133"/>
      <c r="Q390" s="133"/>
      <c r="R390" s="133"/>
      <c r="S390" s="16"/>
      <c r="T390" s="14"/>
      <c r="U390" s="14"/>
    </row>
    <row r="391" spans="1:21" x14ac:dyDescent="0.2">
      <c r="B391" s="136"/>
      <c r="C391" s="133"/>
      <c r="D391" s="136"/>
      <c r="E391" s="133"/>
      <c r="F391" s="153"/>
      <c r="G391" s="137"/>
      <c r="H391" s="153"/>
      <c r="I391" s="137"/>
      <c r="J391" s="153"/>
      <c r="K391" s="137"/>
      <c r="L391" s="153"/>
      <c r="M391" s="137"/>
      <c r="N391" s="136"/>
      <c r="O391" s="133"/>
      <c r="P391" s="136"/>
      <c r="Q391" s="133"/>
      <c r="R391" s="136"/>
      <c r="S391" s="14"/>
      <c r="T391" s="14"/>
      <c r="U391" s="14"/>
    </row>
    <row r="392" spans="1:21" ht="13.5" thickBot="1" x14ac:dyDescent="0.25">
      <c r="A392" s="9" t="s">
        <v>3518</v>
      </c>
      <c r="B392" s="141">
        <f>B389+B367+B167+B57+B42+B31</f>
        <v>-1651574840.3100002</v>
      </c>
      <c r="C392" s="133"/>
      <c r="D392" s="141">
        <f>D389+D367+D167+D57+D42+D31</f>
        <v>-146816059.22</v>
      </c>
      <c r="E392" s="133"/>
      <c r="F392" s="154">
        <f>F389+F367+F167+F57+F42+F31</f>
        <v>54655499.730000004</v>
      </c>
      <c r="G392" s="137"/>
      <c r="H392" s="154">
        <f>H389+H367+H167+H57+H42+H31</f>
        <v>-16563.849999999977</v>
      </c>
      <c r="I392" s="137"/>
      <c r="J392" s="154">
        <f>J389+J367+J167+J57+J42+J31</f>
        <v>0</v>
      </c>
      <c r="K392" s="137"/>
      <c r="L392" s="154">
        <f>L389+L367+L167+L57+L42+L31</f>
        <v>42917301.899999999</v>
      </c>
      <c r="M392" s="137"/>
      <c r="N392" s="154">
        <f>N389+N367+N167+N57+N42+N31</f>
        <v>-1480379.38</v>
      </c>
      <c r="O392" s="133"/>
      <c r="P392" s="141">
        <f>P389+P367+P167+P57+P42+P31</f>
        <v>-2655400.08</v>
      </c>
      <c r="Q392" s="133"/>
      <c r="R392" s="141">
        <f>R389+R367+R167+R57+R42+R31</f>
        <v>-1704970441.21</v>
      </c>
      <c r="S392" s="14"/>
      <c r="T392" s="14"/>
      <c r="U392" s="14"/>
    </row>
    <row r="393" spans="1:21" ht="13.5" thickTop="1" x14ac:dyDescent="0.2">
      <c r="B393" s="147"/>
      <c r="C393" s="148"/>
      <c r="D393" s="147"/>
      <c r="E393" s="148"/>
      <c r="F393" s="155"/>
      <c r="G393" s="156"/>
      <c r="H393" s="155"/>
      <c r="I393" s="156"/>
      <c r="J393" s="155"/>
      <c r="K393" s="156"/>
      <c r="L393" s="155"/>
      <c r="M393" s="156"/>
      <c r="N393" s="147"/>
      <c r="O393" s="148"/>
      <c r="P393" s="147"/>
      <c r="Q393" s="148"/>
      <c r="R393" s="147"/>
    </row>
    <row r="395" spans="1:21" x14ac:dyDescent="0.2">
      <c r="A395" s="9" t="s">
        <v>21</v>
      </c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6"/>
      <c r="T395" s="14"/>
      <c r="U395" s="14"/>
    </row>
    <row r="396" spans="1:21" x14ac:dyDescent="0.2">
      <c r="A396" s="3" t="s">
        <v>3519</v>
      </c>
      <c r="B396" s="133">
        <v>0</v>
      </c>
      <c r="C396" s="133"/>
      <c r="D396" s="133">
        <v>0</v>
      </c>
      <c r="E396" s="133"/>
      <c r="F396" s="136">
        <v>0</v>
      </c>
      <c r="G396" s="133"/>
      <c r="H396" s="136">
        <v>0</v>
      </c>
      <c r="I396" s="133"/>
      <c r="J396" s="133">
        <v>0</v>
      </c>
      <c r="K396" s="133"/>
      <c r="L396" s="136">
        <v>0</v>
      </c>
      <c r="M396" s="133"/>
      <c r="N396" s="136">
        <v>0</v>
      </c>
      <c r="O396" s="133"/>
      <c r="P396" s="136">
        <v>0</v>
      </c>
      <c r="Q396" s="133"/>
      <c r="R396" s="133">
        <v>0</v>
      </c>
      <c r="S396" s="16"/>
      <c r="T396" s="14"/>
      <c r="U396" s="14"/>
    </row>
    <row r="397" spans="1:21" x14ac:dyDescent="0.2">
      <c r="A397" s="3" t="s">
        <v>3520</v>
      </c>
      <c r="B397" s="151">
        <v>0</v>
      </c>
      <c r="C397" s="133"/>
      <c r="D397" s="151">
        <v>0</v>
      </c>
      <c r="E397" s="133"/>
      <c r="F397" s="151">
        <v>0</v>
      </c>
      <c r="G397" s="133"/>
      <c r="H397" s="151">
        <v>0</v>
      </c>
      <c r="I397" s="133"/>
      <c r="J397" s="151">
        <v>0</v>
      </c>
      <c r="K397" s="133"/>
      <c r="L397" s="136">
        <v>0</v>
      </c>
      <c r="M397" s="133"/>
      <c r="N397" s="151">
        <v>0</v>
      </c>
      <c r="O397" s="133"/>
      <c r="P397" s="136">
        <v>0</v>
      </c>
      <c r="Q397" s="133"/>
      <c r="R397" s="151">
        <f>SUM(B397:P397)</f>
        <v>0</v>
      </c>
      <c r="S397" s="16"/>
      <c r="T397" s="14"/>
      <c r="U397" s="14"/>
    </row>
    <row r="398" spans="1:21" x14ac:dyDescent="0.2">
      <c r="B398" s="133">
        <f>SUM(B396:B397)</f>
        <v>0</v>
      </c>
      <c r="C398" s="133"/>
      <c r="D398" s="133">
        <f t="shared" ref="D398:R398" si="16">SUM(D396:D397)</f>
        <v>0</v>
      </c>
      <c r="E398" s="133"/>
      <c r="F398" s="133">
        <f t="shared" si="16"/>
        <v>0</v>
      </c>
      <c r="G398" s="133"/>
      <c r="H398" s="133">
        <f t="shared" si="16"/>
        <v>0</v>
      </c>
      <c r="I398" s="133"/>
      <c r="J398" s="133">
        <f t="shared" si="16"/>
        <v>0</v>
      </c>
      <c r="K398" s="133"/>
      <c r="L398" s="150">
        <f t="shared" si="16"/>
        <v>0</v>
      </c>
      <c r="M398" s="133"/>
      <c r="N398" s="133">
        <f t="shared" si="16"/>
        <v>0</v>
      </c>
      <c r="O398" s="133"/>
      <c r="P398" s="150">
        <f t="shared" si="16"/>
        <v>0</v>
      </c>
      <c r="Q398" s="133"/>
      <c r="R398" s="133">
        <f t="shared" si="16"/>
        <v>0</v>
      </c>
      <c r="S398" s="16"/>
      <c r="T398" s="14"/>
      <c r="U398" s="14"/>
    </row>
    <row r="400" spans="1:21" ht="13.5" thickBot="1" x14ac:dyDescent="0.25">
      <c r="A400" s="9" t="s">
        <v>3521</v>
      </c>
      <c r="B400" s="141">
        <f>B398</f>
        <v>0</v>
      </c>
      <c r="C400" s="133"/>
      <c r="D400" s="141">
        <f>D398</f>
        <v>0</v>
      </c>
      <c r="E400" s="133"/>
      <c r="F400" s="141">
        <f>F398</f>
        <v>0</v>
      </c>
      <c r="G400" s="133"/>
      <c r="H400" s="141">
        <f>H398</f>
        <v>0</v>
      </c>
      <c r="I400" s="133"/>
      <c r="J400" s="141">
        <f>J398</f>
        <v>0</v>
      </c>
      <c r="K400" s="133"/>
      <c r="L400" s="141">
        <f>L398</f>
        <v>0</v>
      </c>
      <c r="M400" s="133"/>
      <c r="N400" s="141">
        <f>N398</f>
        <v>0</v>
      </c>
      <c r="O400" s="133"/>
      <c r="P400" s="141">
        <f>P398</f>
        <v>0</v>
      </c>
      <c r="Q400" s="133"/>
      <c r="R400" s="141">
        <f>R398</f>
        <v>0</v>
      </c>
      <c r="S400" s="14"/>
      <c r="T400" s="14"/>
      <c r="U400" s="14"/>
    </row>
    <row r="401" spans="1:18" ht="13.5" thickTop="1" x14ac:dyDescent="0.2"/>
    <row r="405" spans="1:18" x14ac:dyDescent="0.2">
      <c r="A405" s="9" t="s">
        <v>27</v>
      </c>
      <c r="B405" s="147"/>
      <c r="C405" s="148"/>
      <c r="D405" s="147"/>
      <c r="E405" s="148"/>
      <c r="F405" s="147"/>
      <c r="G405" s="148"/>
      <c r="H405" s="147"/>
      <c r="I405" s="148"/>
      <c r="J405" s="147"/>
      <c r="K405" s="148"/>
      <c r="L405" s="147"/>
      <c r="M405" s="148"/>
      <c r="N405" s="147"/>
      <c r="O405" s="148"/>
      <c r="P405" s="147"/>
      <c r="Q405" s="148"/>
      <c r="R405" s="147"/>
    </row>
    <row r="406" spans="1:18" x14ac:dyDescent="0.2">
      <c r="A406" s="3" t="s">
        <v>3522</v>
      </c>
      <c r="B406" s="136">
        <v>1.6058265828178264E-12</v>
      </c>
      <c r="C406" s="133"/>
      <c r="D406" s="133">
        <v>0</v>
      </c>
      <c r="E406" s="133"/>
      <c r="F406" s="133">
        <v>0</v>
      </c>
      <c r="G406" s="133"/>
      <c r="H406" s="133">
        <v>0</v>
      </c>
      <c r="I406" s="133"/>
      <c r="J406" s="136">
        <v>0</v>
      </c>
      <c r="K406" s="133"/>
      <c r="L406" s="136">
        <v>0</v>
      </c>
      <c r="M406" s="133"/>
      <c r="N406" s="136">
        <v>0</v>
      </c>
      <c r="O406" s="133"/>
      <c r="P406" s="136">
        <v>0</v>
      </c>
      <c r="Q406" s="133"/>
      <c r="R406" s="136">
        <f t="shared" ref="R406:R423" si="17">SUM(B406:P406)</f>
        <v>1.6058265828178264E-12</v>
      </c>
    </row>
    <row r="407" spans="1:18" x14ac:dyDescent="0.2">
      <c r="A407" s="3" t="s">
        <v>3523</v>
      </c>
      <c r="B407" s="136">
        <v>-77439.69</v>
      </c>
      <c r="C407" s="133"/>
      <c r="D407" s="133">
        <v>0</v>
      </c>
      <c r="E407" s="133"/>
      <c r="F407" s="133">
        <v>0</v>
      </c>
      <c r="G407" s="133"/>
      <c r="H407" s="133">
        <v>0</v>
      </c>
      <c r="I407" s="133"/>
      <c r="J407" s="136">
        <v>0</v>
      </c>
      <c r="K407" s="133"/>
      <c r="L407" s="136">
        <v>0</v>
      </c>
      <c r="M407" s="133"/>
      <c r="N407" s="136">
        <v>0</v>
      </c>
      <c r="O407" s="133"/>
      <c r="P407" s="136">
        <v>0</v>
      </c>
      <c r="Q407" s="133"/>
      <c r="R407" s="136">
        <f t="shared" si="17"/>
        <v>-77439.69</v>
      </c>
    </row>
    <row r="408" spans="1:18" x14ac:dyDescent="0.2">
      <c r="A408" s="3" t="s">
        <v>3524</v>
      </c>
      <c r="B408" s="136">
        <v>-90124.99000000002</v>
      </c>
      <c r="C408" s="133"/>
      <c r="D408" s="133">
        <v>-6761.82</v>
      </c>
      <c r="E408" s="133"/>
      <c r="F408" s="133">
        <v>0</v>
      </c>
      <c r="G408" s="133"/>
      <c r="H408" s="133">
        <v>0</v>
      </c>
      <c r="I408" s="133"/>
      <c r="J408" s="136">
        <v>0</v>
      </c>
      <c r="K408" s="133"/>
      <c r="L408" s="136">
        <v>0</v>
      </c>
      <c r="M408" s="133"/>
      <c r="N408" s="136">
        <v>0</v>
      </c>
      <c r="O408" s="133"/>
      <c r="P408" s="136">
        <v>0</v>
      </c>
      <c r="Q408" s="133"/>
      <c r="R408" s="136">
        <f t="shared" si="17"/>
        <v>-96886.810000000027</v>
      </c>
    </row>
    <row r="409" spans="1:18" x14ac:dyDescent="0.2">
      <c r="A409" s="3" t="s">
        <v>3525</v>
      </c>
      <c r="B409" s="136">
        <v>-267755.48000000004</v>
      </c>
      <c r="C409" s="133"/>
      <c r="D409" s="133">
        <v>-33411.910000000003</v>
      </c>
      <c r="E409" s="133"/>
      <c r="F409" s="133">
        <v>0</v>
      </c>
      <c r="G409" s="133"/>
      <c r="H409" s="133">
        <v>0</v>
      </c>
      <c r="I409" s="133"/>
      <c r="J409" s="136">
        <v>0</v>
      </c>
      <c r="K409" s="133"/>
      <c r="L409" s="136">
        <v>0</v>
      </c>
      <c r="M409" s="133"/>
      <c r="N409" s="136">
        <v>0</v>
      </c>
      <c r="O409" s="133"/>
      <c r="P409" s="136">
        <v>0</v>
      </c>
      <c r="Q409" s="133"/>
      <c r="R409" s="136">
        <f t="shared" si="17"/>
        <v>-301167.39</v>
      </c>
    </row>
    <row r="410" spans="1:18" x14ac:dyDescent="0.2">
      <c r="A410" s="3" t="s">
        <v>3526</v>
      </c>
      <c r="B410" s="136">
        <v>-127206169.88999997</v>
      </c>
      <c r="C410" s="133"/>
      <c r="D410" s="133">
        <v>-6191710.1299999999</v>
      </c>
      <c r="E410" s="133"/>
      <c r="F410" s="133">
        <v>1280572.2</v>
      </c>
      <c r="G410" s="133"/>
      <c r="H410" s="133">
        <v>571.84</v>
      </c>
      <c r="I410" s="133"/>
      <c r="J410" s="136">
        <v>0</v>
      </c>
      <c r="K410" s="133"/>
      <c r="L410" s="136">
        <v>99766.2</v>
      </c>
      <c r="M410" s="133"/>
      <c r="N410" s="136">
        <v>0</v>
      </c>
      <c r="O410" s="133"/>
      <c r="P410" s="136">
        <v>-39916.239999999998</v>
      </c>
      <c r="Q410" s="133"/>
      <c r="R410" s="136">
        <f t="shared" si="17"/>
        <v>-132056886.01999995</v>
      </c>
    </row>
    <row r="411" spans="1:18" x14ac:dyDescent="0.2">
      <c r="A411" s="21" t="s">
        <v>3527</v>
      </c>
      <c r="B411" s="136">
        <v>-2673197.6399999997</v>
      </c>
      <c r="C411" s="133"/>
      <c r="D411" s="133">
        <v>-944276.83</v>
      </c>
      <c r="E411" s="133"/>
      <c r="F411" s="133">
        <v>0</v>
      </c>
      <c r="G411" s="133"/>
      <c r="H411" s="133">
        <v>3604.48</v>
      </c>
      <c r="I411" s="133"/>
      <c r="J411" s="136">
        <v>0</v>
      </c>
      <c r="K411" s="133"/>
      <c r="L411" s="136">
        <v>0</v>
      </c>
      <c r="M411" s="133"/>
      <c r="N411" s="136">
        <v>0</v>
      </c>
      <c r="O411" s="133"/>
      <c r="P411" s="136">
        <v>0</v>
      </c>
      <c r="Q411" s="133"/>
      <c r="R411" s="136">
        <f t="shared" si="17"/>
        <v>-3613869.9899999998</v>
      </c>
    </row>
    <row r="412" spans="1:18" x14ac:dyDescent="0.2">
      <c r="A412" s="21" t="s">
        <v>3528</v>
      </c>
      <c r="B412" s="136">
        <v>0</v>
      </c>
      <c r="C412" s="133"/>
      <c r="D412" s="133">
        <v>-21477.69</v>
      </c>
      <c r="E412" s="133"/>
      <c r="F412" s="133">
        <v>0</v>
      </c>
      <c r="G412" s="133"/>
      <c r="H412" s="133">
        <v>-4176.32</v>
      </c>
      <c r="I412" s="133"/>
      <c r="J412" s="136">
        <v>0</v>
      </c>
      <c r="K412" s="133"/>
      <c r="L412" s="136">
        <v>0</v>
      </c>
      <c r="M412" s="133"/>
      <c r="N412" s="136">
        <v>0</v>
      </c>
      <c r="O412" s="133"/>
      <c r="P412" s="136">
        <v>0</v>
      </c>
      <c r="Q412" s="133"/>
      <c r="R412" s="136">
        <f t="shared" si="17"/>
        <v>-25654.01</v>
      </c>
    </row>
    <row r="413" spans="1:18" x14ac:dyDescent="0.2">
      <c r="A413" s="3" t="s">
        <v>3529</v>
      </c>
      <c r="B413" s="136">
        <v>-2438258.5200000005</v>
      </c>
      <c r="C413" s="133"/>
      <c r="D413" s="133">
        <v>-520177.65</v>
      </c>
      <c r="E413" s="133"/>
      <c r="F413" s="133">
        <v>9430.7199999999993</v>
      </c>
      <c r="G413" s="133"/>
      <c r="H413" s="133">
        <v>0</v>
      </c>
      <c r="I413" s="133"/>
      <c r="J413" s="136">
        <v>0</v>
      </c>
      <c r="K413" s="133"/>
      <c r="L413" s="136">
        <v>25403.279999999999</v>
      </c>
      <c r="M413" s="133"/>
      <c r="N413" s="136">
        <v>0</v>
      </c>
      <c r="O413" s="133"/>
      <c r="P413" s="136">
        <v>0</v>
      </c>
      <c r="Q413" s="133"/>
      <c r="R413" s="136">
        <f t="shared" si="17"/>
        <v>-2923602.1700000004</v>
      </c>
    </row>
    <row r="414" spans="1:18" x14ac:dyDescent="0.2">
      <c r="A414" s="3" t="s">
        <v>3530</v>
      </c>
      <c r="B414" s="136">
        <v>-1300766.5799999996</v>
      </c>
      <c r="C414" s="133"/>
      <c r="D414" s="133">
        <v>-223458.37</v>
      </c>
      <c r="E414" s="133"/>
      <c r="F414" s="133">
        <v>324494.27</v>
      </c>
      <c r="G414" s="133"/>
      <c r="H414" s="133">
        <v>0</v>
      </c>
      <c r="I414" s="133"/>
      <c r="J414" s="136">
        <v>0</v>
      </c>
      <c r="K414" s="133"/>
      <c r="L414" s="136">
        <v>89852.37</v>
      </c>
      <c r="M414" s="133"/>
      <c r="N414" s="136">
        <v>0</v>
      </c>
      <c r="O414" s="133"/>
      <c r="P414" s="136">
        <v>0</v>
      </c>
      <c r="Q414" s="133"/>
      <c r="R414" s="136">
        <f t="shared" si="17"/>
        <v>-1109878.3099999996</v>
      </c>
    </row>
    <row r="415" spans="1:18" x14ac:dyDescent="0.2">
      <c r="A415" s="3" t="s">
        <v>3531</v>
      </c>
      <c r="B415" s="136">
        <v>-86044113.090000018</v>
      </c>
      <c r="C415" s="133"/>
      <c r="D415" s="133">
        <v>-7164878.7999999998</v>
      </c>
      <c r="E415" s="133"/>
      <c r="F415" s="133">
        <v>171007.24</v>
      </c>
      <c r="G415" s="133"/>
      <c r="H415" s="133">
        <v>3558.75</v>
      </c>
      <c r="I415" s="133"/>
      <c r="J415" s="136">
        <v>0</v>
      </c>
      <c r="K415" s="133"/>
      <c r="L415" s="136">
        <v>38057.43</v>
      </c>
      <c r="M415" s="133"/>
      <c r="N415" s="136">
        <v>0</v>
      </c>
      <c r="O415" s="133"/>
      <c r="P415" s="136">
        <v>0</v>
      </c>
      <c r="Q415" s="133"/>
      <c r="R415" s="136">
        <f t="shared" si="17"/>
        <v>-92996368.470000014</v>
      </c>
    </row>
    <row r="416" spans="1:18" x14ac:dyDescent="0.2">
      <c r="A416" s="21" t="s">
        <v>3532</v>
      </c>
      <c r="B416" s="136">
        <v>-11678843.310000001</v>
      </c>
      <c r="C416" s="133"/>
      <c r="D416" s="133">
        <v>-6185218.4500000002</v>
      </c>
      <c r="E416" s="133"/>
      <c r="F416" s="133">
        <v>0</v>
      </c>
      <c r="G416" s="133"/>
      <c r="H416" s="133">
        <v>26392.63</v>
      </c>
      <c r="I416" s="133"/>
      <c r="J416" s="136">
        <v>0</v>
      </c>
      <c r="K416" s="133"/>
      <c r="L416" s="136">
        <v>0</v>
      </c>
      <c r="M416" s="133"/>
      <c r="N416" s="136">
        <v>0</v>
      </c>
      <c r="O416" s="133"/>
      <c r="P416" s="136">
        <v>0</v>
      </c>
      <c r="Q416" s="133"/>
      <c r="R416" s="136">
        <f t="shared" si="17"/>
        <v>-17837669.130000003</v>
      </c>
    </row>
    <row r="417" spans="1:21" x14ac:dyDescent="0.2">
      <c r="A417" s="21" t="s">
        <v>3533</v>
      </c>
      <c r="B417" s="136">
        <v>0</v>
      </c>
      <c r="C417" s="133"/>
      <c r="D417" s="133">
        <v>-102779.79</v>
      </c>
      <c r="E417" s="133"/>
      <c r="F417" s="133">
        <v>0</v>
      </c>
      <c r="G417" s="133"/>
      <c r="H417" s="133">
        <v>-29951.38</v>
      </c>
      <c r="I417" s="133"/>
      <c r="J417" s="136">
        <v>0</v>
      </c>
      <c r="K417" s="133"/>
      <c r="L417" s="136">
        <v>0</v>
      </c>
      <c r="M417" s="133"/>
      <c r="N417" s="136">
        <v>0</v>
      </c>
      <c r="O417" s="133"/>
      <c r="P417" s="136">
        <v>0</v>
      </c>
      <c r="Q417" s="133"/>
      <c r="R417" s="136">
        <f t="shared" si="17"/>
        <v>-132731.16999999998</v>
      </c>
    </row>
    <row r="418" spans="1:21" x14ac:dyDescent="0.2">
      <c r="A418" s="3" t="s">
        <v>3534</v>
      </c>
      <c r="B418" s="136">
        <v>-12964290.940000005</v>
      </c>
      <c r="C418" s="133"/>
      <c r="D418" s="133">
        <v>-2004928.02</v>
      </c>
      <c r="E418" s="133"/>
      <c r="F418" s="133">
        <v>730340.16</v>
      </c>
      <c r="G418" s="133"/>
      <c r="H418" s="133">
        <v>0</v>
      </c>
      <c r="I418" s="133"/>
      <c r="J418" s="136">
        <v>0</v>
      </c>
      <c r="K418" s="133"/>
      <c r="L418" s="136">
        <v>363690.64</v>
      </c>
      <c r="M418" s="133"/>
      <c r="N418" s="136">
        <v>-30729.81</v>
      </c>
      <c r="O418" s="133"/>
      <c r="P418" s="136">
        <v>0</v>
      </c>
      <c r="Q418" s="133"/>
      <c r="R418" s="136">
        <f t="shared" si="17"/>
        <v>-13905917.970000004</v>
      </c>
    </row>
    <row r="419" spans="1:21" x14ac:dyDescent="0.2">
      <c r="A419" s="3" t="s">
        <v>3535</v>
      </c>
      <c r="B419" s="136">
        <v>-4459750.7</v>
      </c>
      <c r="C419" s="133"/>
      <c r="D419" s="133">
        <v>-1029432.68</v>
      </c>
      <c r="E419" s="133"/>
      <c r="F419" s="133">
        <v>53.07</v>
      </c>
      <c r="G419" s="133"/>
      <c r="H419" s="133">
        <v>0</v>
      </c>
      <c r="I419" s="133"/>
      <c r="J419" s="136">
        <v>0</v>
      </c>
      <c r="K419" s="133"/>
      <c r="L419" s="136">
        <v>1191.46</v>
      </c>
      <c r="M419" s="133"/>
      <c r="N419" s="136">
        <v>0</v>
      </c>
      <c r="O419" s="133"/>
      <c r="P419" s="136">
        <v>0</v>
      </c>
      <c r="Q419" s="133"/>
      <c r="R419" s="136">
        <f t="shared" si="17"/>
        <v>-5487938.8499999996</v>
      </c>
    </row>
    <row r="420" spans="1:21" x14ac:dyDescent="0.2">
      <c r="A420" s="3" t="s">
        <v>3536</v>
      </c>
      <c r="B420" s="136">
        <v>-216659.34</v>
      </c>
      <c r="C420" s="133"/>
      <c r="D420" s="133">
        <v>-24785.759999999998</v>
      </c>
      <c r="E420" s="133"/>
      <c r="F420" s="133">
        <v>0</v>
      </c>
      <c r="G420" s="133"/>
      <c r="H420" s="133">
        <v>0</v>
      </c>
      <c r="I420" s="133"/>
      <c r="J420" s="136">
        <v>0</v>
      </c>
      <c r="K420" s="133"/>
      <c r="L420" s="136">
        <v>0</v>
      </c>
      <c r="M420" s="133"/>
      <c r="N420" s="136">
        <v>0</v>
      </c>
      <c r="O420" s="133"/>
      <c r="P420" s="136">
        <v>0</v>
      </c>
      <c r="Q420" s="133"/>
      <c r="R420" s="136">
        <f t="shared" si="17"/>
        <v>-241445.1</v>
      </c>
    </row>
    <row r="421" spans="1:21" x14ac:dyDescent="0.2">
      <c r="A421" s="3" t="s">
        <v>3537</v>
      </c>
      <c r="B421" s="136">
        <v>-27451.699999999997</v>
      </c>
      <c r="C421" s="133"/>
      <c r="D421" s="133">
        <v>-1206.24</v>
      </c>
      <c r="E421" s="133"/>
      <c r="F421" s="133">
        <v>0</v>
      </c>
      <c r="G421" s="133"/>
      <c r="H421" s="133">
        <v>0</v>
      </c>
      <c r="I421" s="133"/>
      <c r="J421" s="136">
        <v>0</v>
      </c>
      <c r="K421" s="133"/>
      <c r="L421" s="136">
        <v>0</v>
      </c>
      <c r="M421" s="133"/>
      <c r="N421" s="136">
        <v>0</v>
      </c>
      <c r="O421" s="133"/>
      <c r="P421" s="136">
        <v>0</v>
      </c>
      <c r="Q421" s="133"/>
      <c r="R421" s="136">
        <f t="shared" si="17"/>
        <v>-28657.94</v>
      </c>
    </row>
    <row r="422" spans="1:21" x14ac:dyDescent="0.2">
      <c r="A422" s="3" t="s">
        <v>3538</v>
      </c>
      <c r="B422" s="136">
        <v>-601.71</v>
      </c>
      <c r="C422" s="133"/>
      <c r="D422" s="133">
        <v>-36493.68</v>
      </c>
      <c r="E422" s="133"/>
      <c r="F422" s="133">
        <v>37095.39</v>
      </c>
      <c r="G422" s="133"/>
      <c r="H422" s="133">
        <v>0</v>
      </c>
      <c r="I422" s="133"/>
      <c r="J422" s="136">
        <v>0</v>
      </c>
      <c r="K422" s="133"/>
      <c r="L422" s="136">
        <v>0</v>
      </c>
      <c r="M422" s="133"/>
      <c r="N422" s="136">
        <v>0</v>
      </c>
      <c r="O422" s="133"/>
      <c r="P422" s="136">
        <v>0</v>
      </c>
      <c r="Q422" s="133"/>
      <c r="R422" s="136">
        <f t="shared" si="17"/>
        <v>0</v>
      </c>
      <c r="S422" s="29"/>
      <c r="T422" s="29"/>
      <c r="U422" s="29"/>
    </row>
    <row r="423" spans="1:21" x14ac:dyDescent="0.2">
      <c r="A423" s="3" t="s">
        <v>3539</v>
      </c>
      <c r="B423" s="149">
        <v>-1377782.1000000015</v>
      </c>
      <c r="C423" s="83"/>
      <c r="D423" s="151">
        <v>-247895.89</v>
      </c>
      <c r="E423" s="133"/>
      <c r="F423" s="151">
        <v>23043.13</v>
      </c>
      <c r="G423" s="133"/>
      <c r="H423" s="151">
        <v>0</v>
      </c>
      <c r="I423" s="133"/>
      <c r="J423" s="136">
        <v>0</v>
      </c>
      <c r="K423" s="133"/>
      <c r="L423" s="136">
        <v>0</v>
      </c>
      <c r="M423" s="133"/>
      <c r="N423" s="136">
        <v>0</v>
      </c>
      <c r="O423" s="133"/>
      <c r="P423" s="136">
        <v>0</v>
      </c>
      <c r="Q423" s="83"/>
      <c r="R423" s="149">
        <f t="shared" si="17"/>
        <v>-1602634.8600000017</v>
      </c>
      <c r="S423" s="29"/>
      <c r="T423" s="29"/>
      <c r="U423" s="29"/>
    </row>
    <row r="424" spans="1:21" x14ac:dyDescent="0.2">
      <c r="B424" s="133">
        <f>SUM(B406:B423)</f>
        <v>-250823205.67999998</v>
      </c>
      <c r="C424" s="133"/>
      <c r="D424" s="150">
        <f>SUM(D406:D423)</f>
        <v>-24738893.710000001</v>
      </c>
      <c r="E424" s="133"/>
      <c r="F424" s="161">
        <f>SUM(F406:F423)</f>
        <v>2576036.1799999997</v>
      </c>
      <c r="G424" s="137"/>
      <c r="H424" s="161">
        <f>SUM(H406:H423)</f>
        <v>0</v>
      </c>
      <c r="I424" s="137"/>
      <c r="J424" s="161">
        <f>SUM(J406:J423)</f>
        <v>0</v>
      </c>
      <c r="K424" s="137"/>
      <c r="L424" s="161">
        <f>SUM(L406:L423)</f>
        <v>617961.37999999989</v>
      </c>
      <c r="M424" s="137"/>
      <c r="N424" s="161">
        <f>SUM(N406:N423)</f>
        <v>-30729.81</v>
      </c>
      <c r="O424" s="133"/>
      <c r="P424" s="150">
        <f>SUM(P406:P423)</f>
        <v>-39916.239999999998</v>
      </c>
      <c r="Q424" s="133"/>
      <c r="R424" s="133">
        <f>SUM(R406:R423)</f>
        <v>-272438747.88</v>
      </c>
      <c r="S424" s="29"/>
      <c r="T424" s="29"/>
      <c r="U424" s="29"/>
    </row>
    <row r="425" spans="1:21" x14ac:dyDescent="0.2">
      <c r="B425" s="133"/>
      <c r="C425" s="133"/>
      <c r="D425" s="133"/>
      <c r="E425" s="133"/>
      <c r="F425" s="137"/>
      <c r="G425" s="137"/>
      <c r="H425" s="137"/>
      <c r="I425" s="137"/>
      <c r="J425" s="137"/>
      <c r="K425" s="137"/>
      <c r="L425" s="137"/>
      <c r="M425" s="137"/>
      <c r="N425" s="137"/>
      <c r="O425" s="133"/>
      <c r="P425" s="133"/>
      <c r="Q425" s="133"/>
      <c r="R425" s="133"/>
      <c r="S425" s="29"/>
      <c r="T425" s="29"/>
      <c r="U425" s="29"/>
    </row>
    <row r="426" spans="1:21" x14ac:dyDescent="0.2">
      <c r="A426" s="9" t="s">
        <v>28</v>
      </c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29"/>
      <c r="T426" s="29"/>
      <c r="U426" s="29"/>
    </row>
    <row r="427" spans="1:21" x14ac:dyDescent="0.2">
      <c r="A427" s="3" t="s">
        <v>3540</v>
      </c>
      <c r="B427" s="136">
        <v>-12582.33</v>
      </c>
      <c r="C427" s="133"/>
      <c r="D427" s="133">
        <v>-2659.52</v>
      </c>
      <c r="E427" s="133"/>
      <c r="F427" s="133">
        <v>0</v>
      </c>
      <c r="G427" s="133"/>
      <c r="H427" s="133">
        <v>0</v>
      </c>
      <c r="I427" s="133"/>
      <c r="J427" s="136">
        <v>0</v>
      </c>
      <c r="K427" s="133"/>
      <c r="L427" s="136">
        <v>0</v>
      </c>
      <c r="M427" s="133"/>
      <c r="N427" s="136">
        <v>0</v>
      </c>
      <c r="O427" s="133"/>
      <c r="P427" s="136">
        <v>0</v>
      </c>
      <c r="Q427" s="133"/>
      <c r="R427" s="136">
        <f>SUM(B427:P427)</f>
        <v>-15241.85</v>
      </c>
      <c r="S427" s="29"/>
      <c r="T427" s="36"/>
      <c r="U427" s="29"/>
    </row>
    <row r="428" spans="1:21" x14ac:dyDescent="0.2">
      <c r="A428" s="3" t="s">
        <v>3541</v>
      </c>
      <c r="B428" s="136">
        <v>-701310.01000000036</v>
      </c>
      <c r="C428" s="133"/>
      <c r="D428" s="133">
        <v>-27318.560000000001</v>
      </c>
      <c r="E428" s="133"/>
      <c r="F428" s="133">
        <v>140373.57999999999</v>
      </c>
      <c r="G428" s="133"/>
      <c r="H428" s="133">
        <v>0</v>
      </c>
      <c r="I428" s="133"/>
      <c r="J428" s="136">
        <v>0</v>
      </c>
      <c r="K428" s="133"/>
      <c r="L428" s="136">
        <v>0</v>
      </c>
      <c r="M428" s="133"/>
      <c r="N428" s="136">
        <v>0</v>
      </c>
      <c r="O428" s="133"/>
      <c r="P428" s="136">
        <v>0</v>
      </c>
      <c r="Q428" s="133"/>
      <c r="R428" s="136">
        <f t="shared" ref="R428:R434" si="18">SUM(B428:P428)</f>
        <v>-588254.99000000046</v>
      </c>
      <c r="S428" s="29"/>
      <c r="T428" s="36"/>
      <c r="U428" s="29"/>
    </row>
    <row r="429" spans="1:21" x14ac:dyDescent="0.2">
      <c r="A429" s="3" t="s">
        <v>3542</v>
      </c>
      <c r="B429" s="136">
        <v>-129980.20000000004</v>
      </c>
      <c r="C429" s="133"/>
      <c r="D429" s="133">
        <v>-49482.26</v>
      </c>
      <c r="E429" s="133"/>
      <c r="F429" s="133">
        <v>36801.83</v>
      </c>
      <c r="G429" s="133"/>
      <c r="H429" s="133">
        <v>-8839.0400000000009</v>
      </c>
      <c r="I429" s="133"/>
      <c r="J429" s="136">
        <v>0</v>
      </c>
      <c r="K429" s="133"/>
      <c r="L429" s="136">
        <v>0</v>
      </c>
      <c r="M429" s="133"/>
      <c r="N429" s="136">
        <v>0</v>
      </c>
      <c r="O429" s="133"/>
      <c r="P429" s="136">
        <v>0</v>
      </c>
      <c r="Q429" s="133"/>
      <c r="R429" s="136">
        <f t="shared" si="18"/>
        <v>-151499.67000000007</v>
      </c>
      <c r="S429" s="29"/>
      <c r="T429" s="36"/>
      <c r="U429" s="29"/>
    </row>
    <row r="430" spans="1:21" x14ac:dyDescent="0.2">
      <c r="A430" s="3" t="s">
        <v>3543</v>
      </c>
      <c r="B430" s="136">
        <v>-2607062.5699999994</v>
      </c>
      <c r="C430" s="133"/>
      <c r="D430" s="133">
        <v>-302682.09999999998</v>
      </c>
      <c r="E430" s="133"/>
      <c r="F430" s="133">
        <v>335120.42</v>
      </c>
      <c r="G430" s="133"/>
      <c r="H430" s="133">
        <v>0</v>
      </c>
      <c r="I430" s="133"/>
      <c r="J430" s="136">
        <v>0</v>
      </c>
      <c r="K430" s="133"/>
      <c r="L430" s="136">
        <v>0</v>
      </c>
      <c r="M430" s="133"/>
      <c r="N430" s="136">
        <v>0</v>
      </c>
      <c r="O430" s="133"/>
      <c r="P430" s="136">
        <v>0</v>
      </c>
      <c r="Q430" s="133"/>
      <c r="R430" s="136">
        <f t="shared" si="18"/>
        <v>-2574624.2499999995</v>
      </c>
      <c r="S430" s="29"/>
      <c r="T430" s="36"/>
      <c r="U430" s="29"/>
    </row>
    <row r="431" spans="1:21" x14ac:dyDescent="0.2">
      <c r="A431" s="3" t="s">
        <v>3544</v>
      </c>
      <c r="B431" s="136">
        <v>0</v>
      </c>
      <c r="C431" s="133"/>
      <c r="D431" s="133">
        <v>0</v>
      </c>
      <c r="E431" s="133"/>
      <c r="F431" s="133">
        <v>0</v>
      </c>
      <c r="G431" s="133"/>
      <c r="H431" s="133">
        <v>0</v>
      </c>
      <c r="I431" s="133"/>
      <c r="J431" s="136">
        <v>0</v>
      </c>
      <c r="K431" s="133"/>
      <c r="L431" s="136">
        <v>0</v>
      </c>
      <c r="M431" s="133"/>
      <c r="N431" s="136">
        <v>0</v>
      </c>
      <c r="O431" s="133"/>
      <c r="P431" s="136">
        <v>0</v>
      </c>
      <c r="Q431" s="133"/>
      <c r="R431" s="136">
        <f t="shared" si="18"/>
        <v>0</v>
      </c>
      <c r="S431" s="29"/>
      <c r="T431" s="36"/>
      <c r="U431" s="29"/>
    </row>
    <row r="432" spans="1:21" x14ac:dyDescent="0.2">
      <c r="A432" s="3" t="s">
        <v>3545</v>
      </c>
      <c r="B432" s="136">
        <v>-2214352.5400000005</v>
      </c>
      <c r="C432" s="133"/>
      <c r="D432" s="133">
        <v>-304896.3</v>
      </c>
      <c r="E432" s="133"/>
      <c r="F432" s="133">
        <v>281849.92</v>
      </c>
      <c r="G432" s="133"/>
      <c r="H432" s="133">
        <v>-5110.33</v>
      </c>
      <c r="I432" s="133"/>
      <c r="J432" s="136">
        <v>0</v>
      </c>
      <c r="K432" s="133"/>
      <c r="L432" s="136">
        <v>0</v>
      </c>
      <c r="M432" s="133"/>
      <c r="N432" s="136">
        <v>0</v>
      </c>
      <c r="O432" s="133"/>
      <c r="P432" s="136">
        <v>0</v>
      </c>
      <c r="Q432" s="133"/>
      <c r="R432" s="136">
        <f t="shared" si="18"/>
        <v>-2242509.2500000005</v>
      </c>
      <c r="S432" s="29"/>
      <c r="T432" s="36"/>
      <c r="U432" s="29"/>
    </row>
    <row r="433" spans="1:21" x14ac:dyDescent="0.2">
      <c r="A433" s="3" t="s">
        <v>3546</v>
      </c>
      <c r="B433" s="83">
        <v>-107217.2</v>
      </c>
      <c r="C433" s="83"/>
      <c r="D433" s="133">
        <v>-9901.98</v>
      </c>
      <c r="E433" s="133"/>
      <c r="F433" s="133">
        <v>0</v>
      </c>
      <c r="G433" s="133"/>
      <c r="H433" s="133">
        <v>0</v>
      </c>
      <c r="I433" s="133"/>
      <c r="J433" s="136">
        <v>0</v>
      </c>
      <c r="K433" s="133"/>
      <c r="L433" s="136">
        <v>0</v>
      </c>
      <c r="M433" s="133"/>
      <c r="N433" s="136">
        <v>0</v>
      </c>
      <c r="O433" s="133"/>
      <c r="P433" s="136">
        <v>0</v>
      </c>
      <c r="Q433" s="83"/>
      <c r="R433" s="83">
        <f t="shared" si="18"/>
        <v>-117119.18</v>
      </c>
      <c r="S433" s="138"/>
      <c r="T433" s="36"/>
      <c r="U433" s="29"/>
    </row>
    <row r="434" spans="1:21" x14ac:dyDescent="0.2">
      <c r="A434" s="131" t="s">
        <v>3547</v>
      </c>
      <c r="B434" s="83">
        <v>-9.0949470177292824E-13</v>
      </c>
      <c r="C434" s="83"/>
      <c r="D434" s="133">
        <v>0</v>
      </c>
      <c r="E434" s="133"/>
      <c r="F434" s="133">
        <v>0</v>
      </c>
      <c r="G434" s="133"/>
      <c r="H434" s="133">
        <v>0</v>
      </c>
      <c r="I434" s="133"/>
      <c r="J434" s="136">
        <v>0</v>
      </c>
      <c r="K434" s="133"/>
      <c r="L434" s="136">
        <v>0</v>
      </c>
      <c r="M434" s="133"/>
      <c r="N434" s="136">
        <v>0</v>
      </c>
      <c r="O434" s="133"/>
      <c r="P434" s="136">
        <v>0</v>
      </c>
      <c r="Q434" s="83"/>
      <c r="R434" s="83">
        <f t="shared" si="18"/>
        <v>-9.0949470177292824E-13</v>
      </c>
      <c r="S434" s="138"/>
      <c r="T434" s="36"/>
      <c r="U434" s="29"/>
    </row>
    <row r="435" spans="1:21" x14ac:dyDescent="0.2">
      <c r="B435" s="150">
        <f>SUM(B427:B434)</f>
        <v>-5772504.8500000006</v>
      </c>
      <c r="C435" s="133"/>
      <c r="D435" s="150">
        <f>SUM(D427:D434)</f>
        <v>-696940.72</v>
      </c>
      <c r="E435" s="133"/>
      <c r="F435" s="150">
        <f>SUM(F427:F434)</f>
        <v>794145.75</v>
      </c>
      <c r="G435" s="133"/>
      <c r="H435" s="150">
        <f>SUM(H427:H434)</f>
        <v>-13949.37</v>
      </c>
      <c r="I435" s="133"/>
      <c r="J435" s="150">
        <f>SUM(J427:J434)</f>
        <v>0</v>
      </c>
      <c r="K435" s="133"/>
      <c r="L435" s="150">
        <f>SUM(L427:L434)</f>
        <v>0</v>
      </c>
      <c r="M435" s="133"/>
      <c r="N435" s="150">
        <f>SUM(N427:N434)</f>
        <v>0</v>
      </c>
      <c r="O435" s="133"/>
      <c r="P435" s="150">
        <f>SUM(P427:P434)</f>
        <v>0</v>
      </c>
      <c r="Q435" s="133"/>
      <c r="R435" s="150">
        <f>SUM(R427:R434)</f>
        <v>-5689249.1899999995</v>
      </c>
      <c r="S435" s="29"/>
      <c r="T435" s="29"/>
      <c r="U435" s="29"/>
    </row>
    <row r="436" spans="1:21" x14ac:dyDescent="0.2">
      <c r="D436" s="37"/>
    </row>
    <row r="438" spans="1:21" x14ac:dyDescent="0.2">
      <c r="A438" s="9" t="s">
        <v>30</v>
      </c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29"/>
      <c r="T438" s="29"/>
      <c r="U438" s="29"/>
    </row>
    <row r="439" spans="1:21" x14ac:dyDescent="0.2">
      <c r="A439" s="131" t="s">
        <v>3548</v>
      </c>
      <c r="B439" s="136">
        <v>0</v>
      </c>
      <c r="C439" s="133"/>
      <c r="D439" s="133">
        <v>0</v>
      </c>
      <c r="E439" s="133"/>
      <c r="F439" s="133">
        <v>0</v>
      </c>
      <c r="G439" s="133"/>
      <c r="H439" s="133">
        <v>0</v>
      </c>
      <c r="I439" s="133"/>
      <c r="J439" s="133">
        <v>0</v>
      </c>
      <c r="K439" s="133"/>
      <c r="L439" s="136">
        <v>0</v>
      </c>
      <c r="M439" s="133"/>
      <c r="N439" s="136">
        <v>0</v>
      </c>
      <c r="O439" s="133"/>
      <c r="P439" s="136">
        <v>0</v>
      </c>
      <c r="Q439" s="133"/>
      <c r="R439" s="136">
        <f t="shared" ref="R439:R456" si="19">SUM(B439:P439)</f>
        <v>0</v>
      </c>
      <c r="S439" s="29"/>
      <c r="T439" s="29"/>
      <c r="U439" s="29"/>
    </row>
    <row r="440" spans="1:21" x14ac:dyDescent="0.2">
      <c r="A440" s="3" t="s">
        <v>3549</v>
      </c>
      <c r="B440" s="136">
        <v>-69747.849999999991</v>
      </c>
      <c r="C440" s="133"/>
      <c r="D440" s="133">
        <v>-581.94000000000005</v>
      </c>
      <c r="E440" s="133"/>
      <c r="F440" s="133">
        <v>0</v>
      </c>
      <c r="G440" s="133"/>
      <c r="H440" s="133">
        <v>0</v>
      </c>
      <c r="I440" s="133"/>
      <c r="J440" s="133">
        <v>0</v>
      </c>
      <c r="K440" s="133"/>
      <c r="L440" s="136">
        <v>0</v>
      </c>
      <c r="M440" s="133"/>
      <c r="N440" s="136">
        <v>0</v>
      </c>
      <c r="O440" s="133"/>
      <c r="P440" s="136">
        <v>0</v>
      </c>
      <c r="Q440" s="133"/>
      <c r="R440" s="136">
        <f t="shared" si="19"/>
        <v>-70329.789999999994</v>
      </c>
      <c r="S440" s="29"/>
      <c r="T440" s="29"/>
      <c r="U440" s="29"/>
    </row>
    <row r="441" spans="1:21" x14ac:dyDescent="0.2">
      <c r="A441" s="3" t="s">
        <v>3550</v>
      </c>
      <c r="B441" s="136">
        <v>-1462911.3900000001</v>
      </c>
      <c r="C441" s="133"/>
      <c r="D441" s="133">
        <v>-204602.59</v>
      </c>
      <c r="E441" s="133"/>
      <c r="F441" s="133">
        <v>10299.040000000001</v>
      </c>
      <c r="G441" s="133"/>
      <c r="H441" s="133">
        <v>0</v>
      </c>
      <c r="I441" s="133"/>
      <c r="J441" s="133">
        <v>0</v>
      </c>
      <c r="K441" s="133"/>
      <c r="L441" s="136">
        <v>72521.63</v>
      </c>
      <c r="M441" s="133"/>
      <c r="N441" s="136">
        <v>-696.13</v>
      </c>
      <c r="O441" s="133"/>
      <c r="P441" s="136">
        <v>0</v>
      </c>
      <c r="Q441" s="133"/>
      <c r="R441" s="136">
        <f t="shared" si="19"/>
        <v>-1585389.44</v>
      </c>
      <c r="S441" s="29"/>
      <c r="T441" s="29"/>
      <c r="U441" s="29"/>
    </row>
    <row r="442" spans="1:21" x14ac:dyDescent="0.2">
      <c r="A442" s="3" t="s">
        <v>3551</v>
      </c>
      <c r="B442" s="136">
        <v>-16208.390000000001</v>
      </c>
      <c r="C442" s="133"/>
      <c r="D442" s="133">
        <v>-360.18</v>
      </c>
      <c r="E442" s="133"/>
      <c r="F442" s="133">
        <v>0</v>
      </c>
      <c r="G442" s="133"/>
      <c r="H442" s="133">
        <v>0</v>
      </c>
      <c r="I442" s="133"/>
      <c r="J442" s="133">
        <v>0</v>
      </c>
      <c r="K442" s="133"/>
      <c r="L442" s="136">
        <v>0</v>
      </c>
      <c r="M442" s="133"/>
      <c r="N442" s="136">
        <v>0</v>
      </c>
      <c r="O442" s="133"/>
      <c r="P442" s="136">
        <v>0</v>
      </c>
      <c r="Q442" s="133"/>
      <c r="R442" s="136">
        <f t="shared" si="19"/>
        <v>-16568.57</v>
      </c>
      <c r="S442" s="29"/>
      <c r="T442" s="29"/>
      <c r="U442" s="29"/>
    </row>
    <row r="443" spans="1:21" x14ac:dyDescent="0.2">
      <c r="A443" s="131" t="s">
        <v>3552</v>
      </c>
      <c r="B443" s="136">
        <v>-717719.89999999991</v>
      </c>
      <c r="C443" s="133"/>
      <c r="D443" s="133">
        <v>-81485.89</v>
      </c>
      <c r="E443" s="133"/>
      <c r="F443" s="133">
        <v>4266.4799999999996</v>
      </c>
      <c r="G443" s="133"/>
      <c r="H443" s="133">
        <v>0</v>
      </c>
      <c r="I443" s="133"/>
      <c r="J443" s="133">
        <v>0</v>
      </c>
      <c r="K443" s="133"/>
      <c r="L443" s="136">
        <v>9443.1299999999992</v>
      </c>
      <c r="M443" s="133"/>
      <c r="N443" s="136">
        <v>0</v>
      </c>
      <c r="O443" s="133"/>
      <c r="P443" s="136">
        <v>0</v>
      </c>
      <c r="Q443" s="133"/>
      <c r="R443" s="136">
        <f t="shared" si="19"/>
        <v>-785496.17999999993</v>
      </c>
      <c r="S443" s="29"/>
      <c r="T443" s="29"/>
      <c r="U443" s="29"/>
    </row>
    <row r="444" spans="1:21" x14ac:dyDescent="0.2">
      <c r="A444" s="3" t="s">
        <v>3553</v>
      </c>
      <c r="B444" s="136">
        <v>-569589.96</v>
      </c>
      <c r="C444" s="133"/>
      <c r="D444" s="133">
        <v>0</v>
      </c>
      <c r="E444" s="133"/>
      <c r="F444" s="133">
        <v>0</v>
      </c>
      <c r="G444" s="133"/>
      <c r="H444" s="133">
        <v>0</v>
      </c>
      <c r="I444" s="133"/>
      <c r="J444" s="133">
        <v>0</v>
      </c>
      <c r="K444" s="133"/>
      <c r="L444" s="136">
        <v>0</v>
      </c>
      <c r="M444" s="133"/>
      <c r="N444" s="136">
        <v>0</v>
      </c>
      <c r="O444" s="133"/>
      <c r="P444" s="136">
        <v>0</v>
      </c>
      <c r="Q444" s="133"/>
      <c r="R444" s="136">
        <f t="shared" si="19"/>
        <v>-569589.96</v>
      </c>
      <c r="S444" s="29"/>
      <c r="T444" s="29"/>
      <c r="U444" s="29"/>
    </row>
    <row r="445" spans="1:21" x14ac:dyDescent="0.2">
      <c r="A445" s="3" t="s">
        <v>3554</v>
      </c>
      <c r="B445" s="136">
        <v>-452027.29</v>
      </c>
      <c r="C445" s="133"/>
      <c r="D445" s="133">
        <v>0</v>
      </c>
      <c r="E445" s="133"/>
      <c r="F445" s="133">
        <v>0</v>
      </c>
      <c r="G445" s="133"/>
      <c r="H445" s="133">
        <v>0</v>
      </c>
      <c r="I445" s="133"/>
      <c r="J445" s="133">
        <v>0</v>
      </c>
      <c r="K445" s="133"/>
      <c r="L445" s="136">
        <v>0</v>
      </c>
      <c r="M445" s="133"/>
      <c r="N445" s="136">
        <v>0</v>
      </c>
      <c r="O445" s="133"/>
      <c r="P445" s="136">
        <v>0</v>
      </c>
      <c r="Q445" s="133"/>
      <c r="R445" s="136">
        <f t="shared" si="19"/>
        <v>-452027.29</v>
      </c>
      <c r="S445" s="29"/>
      <c r="T445" s="29"/>
      <c r="U445" s="29"/>
    </row>
    <row r="446" spans="1:21" x14ac:dyDescent="0.2">
      <c r="A446" s="3" t="s">
        <v>3555</v>
      </c>
      <c r="B446" s="136">
        <v>-8181488.0600000005</v>
      </c>
      <c r="C446" s="133"/>
      <c r="D446" s="133">
        <v>-79603.02</v>
      </c>
      <c r="E446" s="133"/>
      <c r="F446" s="133">
        <v>0</v>
      </c>
      <c r="G446" s="133"/>
      <c r="H446" s="133">
        <v>0</v>
      </c>
      <c r="I446" s="133"/>
      <c r="J446" s="133">
        <v>0</v>
      </c>
      <c r="K446" s="133"/>
      <c r="L446" s="136">
        <v>0</v>
      </c>
      <c r="M446" s="133"/>
      <c r="N446" s="136">
        <v>0</v>
      </c>
      <c r="O446" s="133"/>
      <c r="P446" s="136">
        <v>0</v>
      </c>
      <c r="Q446" s="133"/>
      <c r="R446" s="136">
        <f t="shared" si="19"/>
        <v>-8261091.0800000001</v>
      </c>
      <c r="S446" s="29"/>
      <c r="T446" s="29"/>
      <c r="U446" s="29"/>
    </row>
    <row r="447" spans="1:21" x14ac:dyDescent="0.2">
      <c r="A447" s="131" t="s">
        <v>3556</v>
      </c>
      <c r="B447" s="136">
        <v>-1808695.4699999997</v>
      </c>
      <c r="C447" s="133"/>
      <c r="D447" s="133">
        <v>-50888.03</v>
      </c>
      <c r="E447" s="133"/>
      <c r="F447" s="133">
        <v>19224.330000000002</v>
      </c>
      <c r="G447" s="133"/>
      <c r="H447" s="133">
        <v>0</v>
      </c>
      <c r="I447" s="133"/>
      <c r="J447" s="133">
        <v>0</v>
      </c>
      <c r="K447" s="133"/>
      <c r="L447" s="136">
        <v>71029.63</v>
      </c>
      <c r="M447" s="133"/>
      <c r="N447" s="136">
        <v>0</v>
      </c>
      <c r="O447" s="133"/>
      <c r="P447" s="136">
        <v>0</v>
      </c>
      <c r="Q447" s="133"/>
      <c r="R447" s="136">
        <f t="shared" si="19"/>
        <v>-1769329.5399999996</v>
      </c>
      <c r="S447" s="29"/>
      <c r="T447" s="29"/>
      <c r="U447" s="29"/>
    </row>
    <row r="448" spans="1:21" x14ac:dyDescent="0.2">
      <c r="A448" s="131" t="s">
        <v>3557</v>
      </c>
      <c r="B448" s="136">
        <v>2.3283064365386963E-10</v>
      </c>
      <c r="C448" s="133"/>
      <c r="D448" s="133">
        <v>0</v>
      </c>
      <c r="E448" s="133"/>
      <c r="F448" s="133">
        <v>0</v>
      </c>
      <c r="G448" s="133"/>
      <c r="H448" s="133">
        <v>0</v>
      </c>
      <c r="I448" s="133"/>
      <c r="J448" s="133">
        <v>0</v>
      </c>
      <c r="K448" s="133"/>
      <c r="L448" s="136">
        <v>0</v>
      </c>
      <c r="M448" s="133"/>
      <c r="N448" s="136">
        <v>0</v>
      </c>
      <c r="O448" s="133"/>
      <c r="P448" s="136">
        <v>0</v>
      </c>
      <c r="Q448" s="133"/>
      <c r="R448" s="136">
        <f t="shared" si="19"/>
        <v>2.3283064365386963E-10</v>
      </c>
      <c r="S448" s="29"/>
      <c r="T448" s="29"/>
      <c r="U448" s="29"/>
    </row>
    <row r="449" spans="1:21" x14ac:dyDescent="0.2">
      <c r="A449" s="131" t="s">
        <v>3558</v>
      </c>
      <c r="B449" s="136">
        <v>-2165363.2700000005</v>
      </c>
      <c r="C449" s="133"/>
      <c r="D449" s="133">
        <v>-323108.28000000003</v>
      </c>
      <c r="E449" s="133"/>
      <c r="F449" s="133">
        <v>68778.55</v>
      </c>
      <c r="G449" s="133"/>
      <c r="H449" s="133">
        <v>0</v>
      </c>
      <c r="I449" s="133"/>
      <c r="J449" s="133">
        <v>0</v>
      </c>
      <c r="K449" s="133"/>
      <c r="L449" s="136">
        <v>171708.18</v>
      </c>
      <c r="M449" s="133"/>
      <c r="N449" s="136">
        <v>0</v>
      </c>
      <c r="O449" s="133"/>
      <c r="P449" s="136">
        <v>0</v>
      </c>
      <c r="Q449" s="133"/>
      <c r="R449" s="136">
        <f t="shared" si="19"/>
        <v>-2247984.8200000008</v>
      </c>
      <c r="S449" s="29"/>
      <c r="T449" s="29"/>
      <c r="U449" s="29"/>
    </row>
    <row r="450" spans="1:21" x14ac:dyDescent="0.2">
      <c r="A450" s="131" t="s">
        <v>3559</v>
      </c>
      <c r="B450" s="136">
        <v>-7913447.9699999969</v>
      </c>
      <c r="C450" s="133"/>
      <c r="D450" s="133">
        <v>-367458.01</v>
      </c>
      <c r="E450" s="133"/>
      <c r="F450" s="133">
        <v>36252.04</v>
      </c>
      <c r="G450" s="133"/>
      <c r="H450" s="133">
        <v>0</v>
      </c>
      <c r="I450" s="133"/>
      <c r="J450" s="133">
        <v>0</v>
      </c>
      <c r="K450" s="133"/>
      <c r="L450" s="136">
        <v>5528.9</v>
      </c>
      <c r="M450" s="133"/>
      <c r="N450" s="136">
        <v>0</v>
      </c>
      <c r="O450" s="133"/>
      <c r="P450" s="136">
        <v>0</v>
      </c>
      <c r="Q450" s="133"/>
      <c r="R450" s="136">
        <f t="shared" si="19"/>
        <v>-8239125.0399999963</v>
      </c>
      <c r="S450" s="29"/>
      <c r="T450" s="29"/>
      <c r="U450" s="29"/>
    </row>
    <row r="451" spans="1:21" x14ac:dyDescent="0.2">
      <c r="A451" s="3" t="s">
        <v>3560</v>
      </c>
      <c r="B451" s="136">
        <v>-7327837.9300000006</v>
      </c>
      <c r="C451" s="133"/>
      <c r="D451" s="133">
        <v>-1345467.83</v>
      </c>
      <c r="E451" s="133"/>
      <c r="F451" s="133">
        <v>140346.94</v>
      </c>
      <c r="G451" s="133"/>
      <c r="H451" s="133">
        <v>0</v>
      </c>
      <c r="I451" s="133"/>
      <c r="J451" s="133">
        <v>0</v>
      </c>
      <c r="K451" s="133"/>
      <c r="L451" s="136">
        <v>271117.17</v>
      </c>
      <c r="M451" s="133"/>
      <c r="N451" s="136">
        <v>0</v>
      </c>
      <c r="O451" s="133"/>
      <c r="P451" s="136">
        <v>0</v>
      </c>
      <c r="Q451" s="133"/>
      <c r="R451" s="136">
        <f t="shared" si="19"/>
        <v>-8261841.6500000022</v>
      </c>
      <c r="S451" s="29"/>
      <c r="T451" s="29"/>
      <c r="U451" s="29"/>
    </row>
    <row r="452" spans="1:21" x14ac:dyDescent="0.2">
      <c r="A452" s="3" t="s">
        <v>3561</v>
      </c>
      <c r="B452" s="136">
        <v>-261457.31000000006</v>
      </c>
      <c r="C452" s="133"/>
      <c r="D452" s="133">
        <v>-41731.599999999999</v>
      </c>
      <c r="E452" s="133"/>
      <c r="F452" s="133">
        <v>13110.7</v>
      </c>
      <c r="G452" s="133"/>
      <c r="H452" s="133">
        <v>0</v>
      </c>
      <c r="I452" s="133"/>
      <c r="J452" s="133">
        <v>0</v>
      </c>
      <c r="K452" s="133"/>
      <c r="L452" s="136">
        <v>2691.52</v>
      </c>
      <c r="M452" s="133"/>
      <c r="N452" s="136">
        <v>0</v>
      </c>
      <c r="O452" s="133"/>
      <c r="P452" s="136">
        <v>0</v>
      </c>
      <c r="Q452" s="133"/>
      <c r="R452" s="136">
        <f t="shared" si="19"/>
        <v>-287386.69</v>
      </c>
      <c r="S452" s="29"/>
      <c r="T452" s="29"/>
      <c r="U452" s="29"/>
    </row>
    <row r="453" spans="1:21" x14ac:dyDescent="0.2">
      <c r="A453" s="3" t="s">
        <v>3562</v>
      </c>
      <c r="B453" s="136">
        <v>-5682900.6700000018</v>
      </c>
      <c r="C453" s="133"/>
      <c r="D453" s="133">
        <v>-488191.25</v>
      </c>
      <c r="E453" s="133"/>
      <c r="F453" s="133">
        <v>178700.26</v>
      </c>
      <c r="G453" s="133"/>
      <c r="H453" s="133">
        <v>0</v>
      </c>
      <c r="I453" s="133"/>
      <c r="J453" s="133">
        <v>0</v>
      </c>
      <c r="K453" s="133"/>
      <c r="L453" s="136">
        <v>7168.79</v>
      </c>
      <c r="M453" s="133"/>
      <c r="N453" s="136">
        <v>0</v>
      </c>
      <c r="O453" s="133"/>
      <c r="P453" s="136">
        <v>0</v>
      </c>
      <c r="Q453" s="133"/>
      <c r="R453" s="136">
        <f t="shared" si="19"/>
        <v>-5985222.870000002</v>
      </c>
      <c r="S453" s="29"/>
      <c r="T453" s="29"/>
      <c r="U453" s="29"/>
    </row>
    <row r="454" spans="1:21" x14ac:dyDescent="0.2">
      <c r="A454" s="131" t="s">
        <v>3563</v>
      </c>
      <c r="B454" s="136">
        <v>-407934.85000000009</v>
      </c>
      <c r="C454" s="133"/>
      <c r="D454" s="133">
        <v>-43146.26</v>
      </c>
      <c r="E454" s="133"/>
      <c r="F454" s="133">
        <v>0</v>
      </c>
      <c r="G454" s="133"/>
      <c r="H454" s="133">
        <v>0</v>
      </c>
      <c r="I454" s="133"/>
      <c r="J454" s="133">
        <v>0</v>
      </c>
      <c r="K454" s="133"/>
      <c r="L454" s="136">
        <v>0</v>
      </c>
      <c r="M454" s="133"/>
      <c r="N454" s="136">
        <v>0</v>
      </c>
      <c r="O454" s="133"/>
      <c r="P454" s="136">
        <v>0</v>
      </c>
      <c r="Q454" s="133"/>
      <c r="R454" s="136">
        <f t="shared" si="19"/>
        <v>-451081.1100000001</v>
      </c>
      <c r="S454" s="29"/>
      <c r="T454" s="29"/>
      <c r="U454" s="29"/>
    </row>
    <row r="455" spans="1:21" x14ac:dyDescent="0.2">
      <c r="A455" s="3" t="s">
        <v>3564</v>
      </c>
      <c r="B455" s="136">
        <v>-150931.94999999998</v>
      </c>
      <c r="C455" s="133"/>
      <c r="D455" s="133">
        <v>-20227.12</v>
      </c>
      <c r="E455" s="133"/>
      <c r="F455" s="133">
        <v>60682.27</v>
      </c>
      <c r="G455" s="133"/>
      <c r="H455" s="133">
        <v>0</v>
      </c>
      <c r="I455" s="133"/>
      <c r="J455" s="133">
        <v>0</v>
      </c>
      <c r="K455" s="133"/>
      <c r="L455" s="136">
        <v>0</v>
      </c>
      <c r="M455" s="133"/>
      <c r="N455" s="136">
        <v>0</v>
      </c>
      <c r="O455" s="133"/>
      <c r="P455" s="136">
        <v>0</v>
      </c>
      <c r="Q455" s="133"/>
      <c r="R455" s="136">
        <f t="shared" si="19"/>
        <v>-110476.79999999999</v>
      </c>
      <c r="S455" s="29"/>
      <c r="T455" s="29"/>
      <c r="U455" s="29"/>
    </row>
    <row r="456" spans="1:21" x14ac:dyDescent="0.2">
      <c r="A456" s="3" t="s">
        <v>3565</v>
      </c>
      <c r="B456" s="149">
        <v>-822759.88</v>
      </c>
      <c r="C456" s="83"/>
      <c r="D456" s="133">
        <v>-205747.45</v>
      </c>
      <c r="E456" s="133"/>
      <c r="F456" s="133">
        <v>113692.42</v>
      </c>
      <c r="G456" s="133"/>
      <c r="H456" s="133">
        <v>0</v>
      </c>
      <c r="I456" s="133"/>
      <c r="J456" s="133">
        <v>0</v>
      </c>
      <c r="K456" s="133"/>
      <c r="L456" s="136">
        <v>0</v>
      </c>
      <c r="M456" s="133"/>
      <c r="N456" s="136">
        <v>0</v>
      </c>
      <c r="O456" s="133"/>
      <c r="P456" s="136">
        <v>0</v>
      </c>
      <c r="Q456" s="133"/>
      <c r="R456" s="149">
        <f t="shared" si="19"/>
        <v>-914814.91</v>
      </c>
      <c r="S456" s="29"/>
      <c r="T456" s="29"/>
      <c r="U456" s="29"/>
    </row>
    <row r="457" spans="1:21" x14ac:dyDescent="0.2">
      <c r="B457" s="133">
        <f>SUM(B439:B456)</f>
        <v>-38011022.140000001</v>
      </c>
      <c r="C457" s="133"/>
      <c r="D457" s="150">
        <f>SUM(D439:D456)</f>
        <v>-3252599.45</v>
      </c>
      <c r="E457" s="133"/>
      <c r="F457" s="161">
        <f>SUM(F439:F456)</f>
        <v>645353.03</v>
      </c>
      <c r="G457" s="137"/>
      <c r="H457" s="161">
        <f>SUM(H439:H456)</f>
        <v>0</v>
      </c>
      <c r="I457" s="137"/>
      <c r="J457" s="161">
        <f>SUM(J439:J456)</f>
        <v>0</v>
      </c>
      <c r="K457" s="137"/>
      <c r="L457" s="161">
        <f>SUM(L439:L456)</f>
        <v>611208.95000000007</v>
      </c>
      <c r="M457" s="137"/>
      <c r="N457" s="161">
        <f>SUM(N439:N456)</f>
        <v>-696.13</v>
      </c>
      <c r="O457" s="133"/>
      <c r="P457" s="150">
        <f>SUM(P439:P456)</f>
        <v>0</v>
      </c>
      <c r="Q457" s="133"/>
      <c r="R457" s="133">
        <f>SUM(R439:R456)</f>
        <v>-40007755.739999995</v>
      </c>
      <c r="S457" s="29"/>
      <c r="T457" s="29"/>
      <c r="U457" s="29"/>
    </row>
    <row r="458" spans="1:21" x14ac:dyDescent="0.2">
      <c r="B458" s="133"/>
      <c r="C458" s="133"/>
      <c r="D458" s="133"/>
      <c r="E458" s="133"/>
      <c r="F458" s="137"/>
      <c r="G458" s="137"/>
      <c r="H458" s="137"/>
      <c r="I458" s="137"/>
      <c r="J458" s="137"/>
      <c r="K458" s="137"/>
      <c r="L458" s="137"/>
      <c r="M458" s="137"/>
      <c r="N458" s="137"/>
      <c r="O458" s="133"/>
      <c r="P458" s="133"/>
      <c r="Q458" s="133"/>
      <c r="R458" s="133"/>
      <c r="S458" s="29"/>
      <c r="T458" s="29"/>
      <c r="U458" s="29"/>
    </row>
    <row r="459" spans="1:21" x14ac:dyDescent="0.2">
      <c r="A459" s="9" t="s">
        <v>31</v>
      </c>
      <c r="B459" s="133"/>
      <c r="C459" s="133"/>
      <c r="D459" s="133"/>
      <c r="E459" s="133"/>
      <c r="F459" s="137"/>
      <c r="G459" s="137"/>
      <c r="H459" s="137"/>
      <c r="I459" s="137"/>
      <c r="J459" s="137"/>
      <c r="K459" s="137"/>
      <c r="L459" s="137"/>
      <c r="M459" s="137"/>
      <c r="N459" s="137"/>
      <c r="O459" s="133"/>
      <c r="P459" s="133"/>
      <c r="Q459" s="133"/>
      <c r="R459" s="133"/>
      <c r="S459" s="29"/>
      <c r="T459" s="29"/>
      <c r="U459" s="29"/>
    </row>
    <row r="460" spans="1:21" x14ac:dyDescent="0.2">
      <c r="A460" s="3" t="s">
        <v>3566</v>
      </c>
      <c r="B460" s="136">
        <v>-210845.43</v>
      </c>
      <c r="C460" s="133"/>
      <c r="D460" s="133">
        <v>-319.92</v>
      </c>
      <c r="E460" s="133"/>
      <c r="F460" s="133">
        <v>0</v>
      </c>
      <c r="G460" s="137"/>
      <c r="H460" s="133">
        <v>0</v>
      </c>
      <c r="I460" s="137"/>
      <c r="J460" s="133">
        <v>0</v>
      </c>
      <c r="K460" s="137"/>
      <c r="L460" s="136">
        <v>0</v>
      </c>
      <c r="M460" s="137"/>
      <c r="N460" s="136">
        <v>0</v>
      </c>
      <c r="O460" s="133"/>
      <c r="P460" s="136">
        <v>0</v>
      </c>
      <c r="Q460" s="133"/>
      <c r="R460" s="136">
        <f>SUM(B460:P460)</f>
        <v>-211165.35</v>
      </c>
      <c r="S460" s="29"/>
      <c r="T460" s="29"/>
      <c r="U460" s="29"/>
    </row>
    <row r="461" spans="1:21" x14ac:dyDescent="0.2">
      <c r="A461" s="3" t="s">
        <v>3567</v>
      </c>
      <c r="B461" s="136">
        <v>-11320424.589999998</v>
      </c>
      <c r="C461" s="133"/>
      <c r="D461" s="133">
        <v>-742066.3</v>
      </c>
      <c r="E461" s="133"/>
      <c r="F461" s="133">
        <v>217700.06</v>
      </c>
      <c r="G461" s="137"/>
      <c r="H461" s="133">
        <v>0</v>
      </c>
      <c r="I461" s="137"/>
      <c r="J461" s="133">
        <v>0</v>
      </c>
      <c r="K461" s="137"/>
      <c r="L461" s="136">
        <v>114945.03</v>
      </c>
      <c r="M461" s="137"/>
      <c r="N461" s="136">
        <v>0</v>
      </c>
      <c r="O461" s="133"/>
      <c r="P461" s="136">
        <v>0</v>
      </c>
      <c r="Q461" s="133"/>
      <c r="R461" s="136">
        <f>SUM(B461:P461)</f>
        <v>-11729845.799999999</v>
      </c>
      <c r="S461" s="29"/>
      <c r="T461" s="29"/>
      <c r="U461" s="29"/>
    </row>
    <row r="462" spans="1:21" x14ac:dyDescent="0.2">
      <c r="A462" s="21" t="s">
        <v>3568</v>
      </c>
      <c r="B462" s="83">
        <v>-341676.45999999996</v>
      </c>
      <c r="C462" s="83"/>
      <c r="D462" s="133">
        <v>-73027.83</v>
      </c>
      <c r="E462" s="83"/>
      <c r="F462" s="133">
        <v>42504.33</v>
      </c>
      <c r="G462" s="157"/>
      <c r="H462" s="133">
        <v>0</v>
      </c>
      <c r="I462" s="157"/>
      <c r="J462" s="83">
        <v>0</v>
      </c>
      <c r="K462" s="157"/>
      <c r="L462" s="136">
        <v>0</v>
      </c>
      <c r="M462" s="157"/>
      <c r="N462" s="136">
        <v>0</v>
      </c>
      <c r="O462" s="83"/>
      <c r="P462" s="136">
        <v>0</v>
      </c>
      <c r="Q462" s="83"/>
      <c r="R462" s="83">
        <f>SUM(B462:P462)</f>
        <v>-372199.95999999996</v>
      </c>
      <c r="S462" s="29"/>
      <c r="T462" s="29"/>
      <c r="U462" s="29"/>
    </row>
    <row r="463" spans="1:21" x14ac:dyDescent="0.2">
      <c r="B463" s="19">
        <f>SUM(B460:B462)</f>
        <v>-11872946.479999997</v>
      </c>
      <c r="C463" s="16"/>
      <c r="D463" s="19">
        <f>SUM(D460:D462)</f>
        <v>-815414.05</v>
      </c>
      <c r="E463" s="16"/>
      <c r="F463" s="19">
        <f>SUM(F460:F462)</f>
        <v>260204.39</v>
      </c>
      <c r="G463" s="140"/>
      <c r="H463" s="19">
        <f>SUM(H460:H462)</f>
        <v>0</v>
      </c>
      <c r="I463" s="140"/>
      <c r="J463" s="19">
        <f>SUM(J460:J462)</f>
        <v>0</v>
      </c>
      <c r="K463" s="140"/>
      <c r="L463" s="19">
        <f>SUM(L460:L462)</f>
        <v>114945.03</v>
      </c>
      <c r="M463" s="140"/>
      <c r="N463" s="19">
        <f>SUM(N460:N462)</f>
        <v>0</v>
      </c>
      <c r="O463" s="16"/>
      <c r="P463" s="19">
        <f>SUM(P460:P462)</f>
        <v>0</v>
      </c>
      <c r="Q463" s="16"/>
      <c r="R463" s="19">
        <f>SUM(R460:R462)</f>
        <v>-12313211.109999999</v>
      </c>
      <c r="S463" s="29"/>
      <c r="T463" s="29"/>
      <c r="U463" s="29"/>
    </row>
    <row r="464" spans="1:21" x14ac:dyDescent="0.2">
      <c r="B464" s="16"/>
      <c r="C464" s="16"/>
      <c r="D464" s="16"/>
      <c r="E464" s="16"/>
      <c r="F464" s="140"/>
      <c r="G464" s="140"/>
      <c r="H464" s="140"/>
      <c r="I464" s="140"/>
      <c r="J464" s="140"/>
      <c r="K464" s="140"/>
      <c r="L464" s="140"/>
      <c r="M464" s="140"/>
      <c r="N464" s="140"/>
      <c r="O464" s="16"/>
      <c r="P464" s="16"/>
      <c r="Q464" s="16"/>
      <c r="R464" s="16"/>
      <c r="S464" s="29"/>
      <c r="T464" s="29"/>
      <c r="U464" s="29"/>
    </row>
    <row r="465" spans="1:21" x14ac:dyDescent="0.2">
      <c r="B465" s="14"/>
      <c r="C465" s="16"/>
      <c r="D465" s="14"/>
      <c r="E465" s="16"/>
      <c r="F465" s="158"/>
      <c r="G465" s="140"/>
      <c r="H465" s="158"/>
      <c r="I465" s="140"/>
      <c r="J465" s="158"/>
      <c r="K465" s="140"/>
      <c r="L465" s="158"/>
      <c r="M465" s="140"/>
      <c r="N465" s="158"/>
      <c r="O465" s="16"/>
      <c r="P465" s="14"/>
      <c r="Q465" s="16"/>
      <c r="R465" s="14"/>
    </row>
    <row r="466" spans="1:21" ht="13.5" thickBot="1" x14ac:dyDescent="0.25">
      <c r="A466" s="9" t="s">
        <v>3569</v>
      </c>
      <c r="B466" s="39">
        <f>B463+B457+'KY_Res by Plant Acct-P29 (Reg)'!B435+'KY_Res by Plant Acct-P29 (Reg)'!B424</f>
        <v>-306479679.14999998</v>
      </c>
      <c r="C466" s="16"/>
      <c r="D466" s="39">
        <f>D463+D457+'KY_Res by Plant Acct-P29 (Reg)'!D435+'KY_Res by Plant Acct-P29 (Reg)'!D424</f>
        <v>-29503847.93</v>
      </c>
      <c r="E466" s="16"/>
      <c r="F466" s="159">
        <f>F463+F457+'KY_Res by Plant Acct-P29 (Reg)'!F435+'KY_Res by Plant Acct-P29 (Reg)'!F424</f>
        <v>4275739.3499999996</v>
      </c>
      <c r="G466" s="140"/>
      <c r="H466" s="159">
        <f>H463+H457+'KY_Res by Plant Acct-P29 (Reg)'!H435+'KY_Res by Plant Acct-P29 (Reg)'!H424</f>
        <v>-13949.37</v>
      </c>
      <c r="I466" s="140"/>
      <c r="J466" s="159">
        <f>J463+J457+'KY_Res by Plant Acct-P29 (Reg)'!J435+'KY_Res by Plant Acct-P29 (Reg)'!J424</f>
        <v>0</v>
      </c>
      <c r="K466" s="140"/>
      <c r="L466" s="159">
        <f>L463+L457+'KY_Res by Plant Acct-P29 (Reg)'!L435+'KY_Res by Plant Acct-P29 (Reg)'!L424</f>
        <v>1344115.3599999999</v>
      </c>
      <c r="M466" s="140"/>
      <c r="N466" s="159">
        <f>N463+N457+'KY_Res by Plant Acct-P29 (Reg)'!N435+'KY_Res by Plant Acct-P29 (Reg)'!N424</f>
        <v>-31425.940000000002</v>
      </c>
      <c r="O466" s="16"/>
      <c r="P466" s="39">
        <f>P463+P457+'KY_Res by Plant Acct-P29 (Reg)'!P435+'KY_Res by Plant Acct-P29 (Reg)'!P424</f>
        <v>-39916.239999999998</v>
      </c>
      <c r="Q466" s="16"/>
      <c r="R466" s="39">
        <f>R463+R457+'KY_Res by Plant Acct-P29 (Reg)'!R435+'KY_Res by Plant Acct-P29 (Reg)'!R424</f>
        <v>-330448963.91999996</v>
      </c>
    </row>
    <row r="467" spans="1:21" ht="13.5" thickTop="1" x14ac:dyDescent="0.2">
      <c r="B467" s="14"/>
      <c r="C467" s="16"/>
      <c r="D467" s="14"/>
      <c r="E467" s="16"/>
      <c r="F467" s="14"/>
      <c r="G467" s="16"/>
      <c r="H467" s="14"/>
      <c r="I467" s="16"/>
      <c r="J467" s="14"/>
      <c r="K467" s="16"/>
      <c r="L467" s="14"/>
      <c r="M467" s="16"/>
      <c r="N467" s="14"/>
      <c r="O467" s="16"/>
      <c r="P467" s="14"/>
      <c r="Q467" s="16"/>
      <c r="R467" s="14"/>
    </row>
    <row r="468" spans="1:21" x14ac:dyDescent="0.2">
      <c r="B468" s="14"/>
      <c r="C468" s="16"/>
      <c r="D468" s="14"/>
      <c r="E468" s="16"/>
      <c r="F468" s="14"/>
      <c r="G468" s="16"/>
      <c r="H468" s="14"/>
      <c r="I468" s="16"/>
      <c r="J468" s="14"/>
      <c r="K468" s="16"/>
      <c r="L468" s="14"/>
      <c r="M468" s="16"/>
      <c r="N468" s="14"/>
      <c r="O468" s="16"/>
      <c r="P468" s="14"/>
      <c r="Q468" s="16"/>
      <c r="R468" s="14"/>
    </row>
    <row r="469" spans="1:21" x14ac:dyDescent="0.2">
      <c r="A469" s="9" t="s">
        <v>29</v>
      </c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29"/>
      <c r="T469" s="29"/>
      <c r="U469" s="29"/>
    </row>
    <row r="470" spans="1:21" x14ac:dyDescent="0.2">
      <c r="A470" s="3" t="s">
        <v>3570</v>
      </c>
      <c r="B470" s="151">
        <v>-164.16000000000003</v>
      </c>
      <c r="C470" s="83"/>
      <c r="D470" s="151">
        <v>-44.52</v>
      </c>
      <c r="E470" s="83"/>
      <c r="F470" s="151">
        <v>0</v>
      </c>
      <c r="G470" s="83"/>
      <c r="H470" s="151">
        <v>0</v>
      </c>
      <c r="I470" s="83"/>
      <c r="J470" s="149">
        <v>0</v>
      </c>
      <c r="K470" s="83"/>
      <c r="L470" s="136">
        <v>0</v>
      </c>
      <c r="M470" s="83"/>
      <c r="N470" s="151">
        <v>0</v>
      </c>
      <c r="O470" s="83"/>
      <c r="P470" s="136">
        <v>0</v>
      </c>
      <c r="Q470" s="83"/>
      <c r="R470" s="151">
        <f>SUM(B470:P470)</f>
        <v>-208.68000000000004</v>
      </c>
      <c r="S470" s="29"/>
      <c r="T470" s="29"/>
      <c r="U470" s="29"/>
    </row>
    <row r="471" spans="1:21" x14ac:dyDescent="0.2">
      <c r="B471" s="133">
        <f>SUM(B470)</f>
        <v>-164.16000000000003</v>
      </c>
      <c r="C471" s="133"/>
      <c r="D471" s="133">
        <f>SUM(D470)</f>
        <v>-44.52</v>
      </c>
      <c r="E471" s="133"/>
      <c r="F471" s="133">
        <f>SUM(F470)</f>
        <v>0</v>
      </c>
      <c r="G471" s="133"/>
      <c r="H471" s="133">
        <f>SUM(H470)</f>
        <v>0</v>
      </c>
      <c r="I471" s="133"/>
      <c r="J471" s="133">
        <f>SUM(J470)</f>
        <v>0</v>
      </c>
      <c r="K471" s="133"/>
      <c r="L471" s="150">
        <f>SUM(L470)</f>
        <v>0</v>
      </c>
      <c r="M471" s="133"/>
      <c r="N471" s="133">
        <f>SUM(N470)</f>
        <v>0</v>
      </c>
      <c r="O471" s="133"/>
      <c r="P471" s="150">
        <f>SUM(P470)</f>
        <v>0</v>
      </c>
      <c r="Q471" s="133"/>
      <c r="R471" s="133">
        <f>SUM(R470)</f>
        <v>-208.68000000000004</v>
      </c>
      <c r="S471" s="29"/>
      <c r="T471" s="29"/>
      <c r="U471" s="29"/>
    </row>
    <row r="472" spans="1:21" x14ac:dyDescent="0.2">
      <c r="B472" s="14"/>
      <c r="C472" s="16"/>
      <c r="D472" s="14"/>
      <c r="E472" s="16"/>
      <c r="F472" s="14"/>
      <c r="G472" s="16"/>
      <c r="H472" s="14"/>
      <c r="I472" s="16"/>
      <c r="J472" s="14"/>
      <c r="K472" s="16"/>
      <c r="L472" s="14"/>
      <c r="M472" s="16"/>
      <c r="N472" s="14"/>
      <c r="O472" s="16"/>
      <c r="P472" s="14"/>
      <c r="Q472" s="16"/>
      <c r="R472" s="14"/>
    </row>
    <row r="473" spans="1:21" x14ac:dyDescent="0.2">
      <c r="B473" s="14"/>
      <c r="C473" s="16"/>
      <c r="D473" s="14"/>
      <c r="E473" s="16"/>
      <c r="F473" s="14"/>
      <c r="G473" s="16"/>
      <c r="H473" s="14"/>
      <c r="I473" s="16"/>
      <c r="J473" s="14"/>
      <c r="K473" s="16"/>
      <c r="L473" s="14"/>
      <c r="M473" s="16"/>
      <c r="N473" s="14"/>
      <c r="O473" s="16"/>
      <c r="P473" s="14"/>
      <c r="Q473" s="16"/>
      <c r="R473" s="14"/>
    </row>
    <row r="474" spans="1:21" ht="13.5" thickBot="1" x14ac:dyDescent="0.25">
      <c r="A474" s="9" t="s">
        <v>3571</v>
      </c>
      <c r="B474" s="39">
        <f>B471</f>
        <v>-164.16000000000003</v>
      </c>
      <c r="C474" s="16"/>
      <c r="D474" s="39">
        <f>D471</f>
        <v>-44.52</v>
      </c>
      <c r="E474" s="16"/>
      <c r="F474" s="39">
        <f>F471</f>
        <v>0</v>
      </c>
      <c r="G474" s="16"/>
      <c r="H474" s="39">
        <f>H471</f>
        <v>0</v>
      </c>
      <c r="I474" s="16"/>
      <c r="J474" s="39">
        <f>J471</f>
        <v>0</v>
      </c>
      <c r="K474" s="16"/>
      <c r="L474" s="39">
        <f>L471</f>
        <v>0</v>
      </c>
      <c r="M474" s="16"/>
      <c r="N474" s="39">
        <f>N471</f>
        <v>0</v>
      </c>
      <c r="O474" s="16"/>
      <c r="P474" s="39">
        <f>P471</f>
        <v>0</v>
      </c>
      <c r="Q474" s="16"/>
      <c r="R474" s="39">
        <f>R471</f>
        <v>-208.68000000000004</v>
      </c>
    </row>
    <row r="475" spans="1:21" ht="13.5" thickTop="1" x14ac:dyDescent="0.2"/>
    <row r="477" spans="1:21" x14ac:dyDescent="0.2">
      <c r="A477" s="9" t="s">
        <v>14</v>
      </c>
    </row>
    <row r="478" spans="1:21" x14ac:dyDescent="0.2">
      <c r="A478" s="3" t="s">
        <v>3572</v>
      </c>
      <c r="B478" s="14">
        <v>0</v>
      </c>
      <c r="C478" s="16"/>
      <c r="D478" s="133">
        <v>0</v>
      </c>
      <c r="E478" s="16"/>
      <c r="F478" s="133">
        <v>0</v>
      </c>
      <c r="G478" s="16"/>
      <c r="H478" s="133">
        <v>0</v>
      </c>
      <c r="I478" s="16"/>
      <c r="J478" s="14">
        <v>0</v>
      </c>
      <c r="K478" s="16"/>
      <c r="L478" s="136">
        <v>0</v>
      </c>
      <c r="M478" s="16"/>
      <c r="N478" s="136">
        <v>0</v>
      </c>
      <c r="O478" s="16"/>
      <c r="P478" s="136">
        <v>0</v>
      </c>
      <c r="Q478" s="16"/>
      <c r="R478" s="14">
        <f t="shared" ref="R478:R506" si="20">SUM(B478:P478)</f>
        <v>0</v>
      </c>
      <c r="S478" s="14"/>
    </row>
    <row r="479" spans="1:21" x14ac:dyDescent="0.2">
      <c r="A479" s="3" t="s">
        <v>3573</v>
      </c>
      <c r="B479" s="14">
        <v>0</v>
      </c>
      <c r="C479" s="16"/>
      <c r="D479" s="133">
        <v>0</v>
      </c>
      <c r="E479" s="16"/>
      <c r="F479" s="133">
        <v>0</v>
      </c>
      <c r="G479" s="16"/>
      <c r="H479" s="133">
        <v>0</v>
      </c>
      <c r="I479" s="16"/>
      <c r="J479" s="14">
        <v>0</v>
      </c>
      <c r="K479" s="16"/>
      <c r="L479" s="136">
        <v>0</v>
      </c>
      <c r="M479" s="16"/>
      <c r="N479" s="136">
        <v>0</v>
      </c>
      <c r="O479" s="16"/>
      <c r="P479" s="136">
        <v>0</v>
      </c>
      <c r="Q479" s="16"/>
      <c r="R479" s="14">
        <f t="shared" si="20"/>
        <v>0</v>
      </c>
      <c r="S479" s="14"/>
    </row>
    <row r="480" spans="1:21" x14ac:dyDescent="0.2">
      <c r="A480" s="3" t="s">
        <v>3574</v>
      </c>
      <c r="B480" s="14">
        <v>-11867540.970000003</v>
      </c>
      <c r="C480" s="16"/>
      <c r="D480" s="133">
        <v>-1107586.93</v>
      </c>
      <c r="E480" s="16"/>
      <c r="F480" s="133">
        <v>80455.179999999993</v>
      </c>
      <c r="G480" s="16"/>
      <c r="H480" s="133">
        <v>0</v>
      </c>
      <c r="I480" s="16"/>
      <c r="J480" s="14">
        <v>0</v>
      </c>
      <c r="K480" s="16"/>
      <c r="L480" s="136">
        <v>312</v>
      </c>
      <c r="M480" s="16"/>
      <c r="N480" s="136">
        <v>0</v>
      </c>
      <c r="O480" s="16"/>
      <c r="P480" s="136">
        <v>0</v>
      </c>
      <c r="Q480" s="16"/>
      <c r="R480" s="14">
        <f>SUM(B480:P480)</f>
        <v>-12894360.720000003</v>
      </c>
      <c r="S480" s="14"/>
    </row>
    <row r="481" spans="1:19" x14ac:dyDescent="0.2">
      <c r="A481" s="139" t="s">
        <v>3575</v>
      </c>
      <c r="B481" s="14">
        <v>46012.289999999979</v>
      </c>
      <c r="C481" s="16"/>
      <c r="D481" s="133">
        <v>-20151</v>
      </c>
      <c r="E481" s="16"/>
      <c r="F481" s="133">
        <v>0</v>
      </c>
      <c r="G481" s="16"/>
      <c r="H481" s="133">
        <v>0</v>
      </c>
      <c r="I481" s="16"/>
      <c r="J481" s="14">
        <v>0</v>
      </c>
      <c r="K481" s="16"/>
      <c r="L481" s="136">
        <v>0</v>
      </c>
      <c r="M481" s="16"/>
      <c r="N481" s="136">
        <v>0</v>
      </c>
      <c r="O481" s="16"/>
      <c r="P481" s="136">
        <v>0</v>
      </c>
      <c r="Q481" s="16"/>
      <c r="R481" s="14">
        <f>SUM(B481:P481)</f>
        <v>25861.289999999979</v>
      </c>
      <c r="S481" s="14"/>
    </row>
    <row r="482" spans="1:19" x14ac:dyDescent="0.2">
      <c r="A482" s="162" t="s">
        <v>3576</v>
      </c>
      <c r="B482" s="14">
        <v>-201780.88999999998</v>
      </c>
      <c r="C482" s="16"/>
      <c r="D482" s="133">
        <v>-62626.47</v>
      </c>
      <c r="E482" s="16"/>
      <c r="F482" s="133">
        <v>3781.7</v>
      </c>
      <c r="G482" s="16"/>
      <c r="H482" s="133">
        <v>0</v>
      </c>
      <c r="I482" s="16"/>
      <c r="J482" s="14">
        <v>0</v>
      </c>
      <c r="K482" s="16"/>
      <c r="L482" s="136">
        <v>4273.6899999999996</v>
      </c>
      <c r="M482" s="16"/>
      <c r="N482" s="136">
        <v>0</v>
      </c>
      <c r="O482" s="16"/>
      <c r="P482" s="136">
        <v>0</v>
      </c>
      <c r="Q482" s="16"/>
      <c r="R482" s="14">
        <f>SUM(B482:P482)</f>
        <v>-256351.96999999997</v>
      </c>
      <c r="S482" s="14"/>
    </row>
    <row r="483" spans="1:19" x14ac:dyDescent="0.2">
      <c r="A483" s="3" t="s">
        <v>3577</v>
      </c>
      <c r="B483" s="14">
        <v>-14464997.18</v>
      </c>
      <c r="C483" s="16"/>
      <c r="D483" s="133">
        <v>-859377.88</v>
      </c>
      <c r="E483" s="16"/>
      <c r="F483" s="133">
        <v>287756.99</v>
      </c>
      <c r="G483" s="16"/>
      <c r="H483" s="133">
        <v>0</v>
      </c>
      <c r="I483" s="16"/>
      <c r="J483" s="14">
        <v>0</v>
      </c>
      <c r="K483" s="16"/>
      <c r="L483" s="136">
        <v>76056.95</v>
      </c>
      <c r="M483" s="16"/>
      <c r="N483" s="136">
        <v>0</v>
      </c>
      <c r="O483" s="16"/>
      <c r="P483" s="136">
        <v>0</v>
      </c>
      <c r="Q483" s="16"/>
      <c r="R483" s="14">
        <f t="shared" si="20"/>
        <v>-14960561.120000001</v>
      </c>
      <c r="S483" s="14"/>
    </row>
    <row r="484" spans="1:19" x14ac:dyDescent="0.2">
      <c r="A484" s="3" t="s">
        <v>3578</v>
      </c>
      <c r="B484" s="14">
        <v>-1196786.6600000004</v>
      </c>
      <c r="C484" s="16"/>
      <c r="D484" s="133">
        <v>-37409.67</v>
      </c>
      <c r="E484" s="16"/>
      <c r="F484" s="133">
        <v>498811.84</v>
      </c>
      <c r="G484" s="16"/>
      <c r="H484" s="133">
        <v>0</v>
      </c>
      <c r="I484" s="16"/>
      <c r="J484" s="14">
        <v>0</v>
      </c>
      <c r="K484" s="16"/>
      <c r="L484" s="136">
        <v>61667.4</v>
      </c>
      <c r="M484" s="16"/>
      <c r="N484" s="136">
        <v>0</v>
      </c>
      <c r="O484" s="16"/>
      <c r="P484" s="136">
        <v>0</v>
      </c>
      <c r="Q484" s="16"/>
      <c r="R484" s="14">
        <f t="shared" si="20"/>
        <v>-673717.0900000002</v>
      </c>
      <c r="S484" s="14"/>
    </row>
    <row r="485" spans="1:19" x14ac:dyDescent="0.2">
      <c r="A485" s="3" t="s">
        <v>3579</v>
      </c>
      <c r="B485" s="14">
        <v>244232.80000000028</v>
      </c>
      <c r="C485" s="16"/>
      <c r="D485" s="133">
        <v>-17598.900000000001</v>
      </c>
      <c r="E485" s="16"/>
      <c r="F485" s="133">
        <v>0</v>
      </c>
      <c r="G485" s="16"/>
      <c r="H485" s="133">
        <v>0</v>
      </c>
      <c r="I485" s="16"/>
      <c r="J485" s="14">
        <v>0</v>
      </c>
      <c r="K485" s="16"/>
      <c r="L485" s="136">
        <v>0</v>
      </c>
      <c r="M485" s="16"/>
      <c r="N485" s="136">
        <v>0</v>
      </c>
      <c r="O485" s="16"/>
      <c r="P485" s="136">
        <v>0</v>
      </c>
      <c r="Q485" s="16"/>
      <c r="R485" s="14">
        <f t="shared" si="20"/>
        <v>226633.90000000029</v>
      </c>
      <c r="S485" s="14"/>
    </row>
    <row r="486" spans="1:19" x14ac:dyDescent="0.2">
      <c r="A486" s="3" t="s">
        <v>3580</v>
      </c>
      <c r="B486" s="14">
        <v>-6782960.2799999993</v>
      </c>
      <c r="C486" s="16"/>
      <c r="D486" s="133">
        <v>-193415.23</v>
      </c>
      <c r="E486" s="16"/>
      <c r="F486" s="133">
        <v>69403.289999999994</v>
      </c>
      <c r="G486" s="16"/>
      <c r="H486" s="133">
        <v>0</v>
      </c>
      <c r="I486" s="16"/>
      <c r="J486" s="14">
        <v>0</v>
      </c>
      <c r="K486" s="16"/>
      <c r="L486" s="136">
        <v>3541.78</v>
      </c>
      <c r="M486" s="16"/>
      <c r="N486" s="136">
        <v>0</v>
      </c>
      <c r="O486" s="16"/>
      <c r="P486" s="136">
        <v>0</v>
      </c>
      <c r="Q486" s="16"/>
      <c r="R486" s="14">
        <f t="shared" si="20"/>
        <v>-6903430.4399999995</v>
      </c>
      <c r="S486" s="14"/>
    </row>
    <row r="487" spans="1:19" x14ac:dyDescent="0.2">
      <c r="A487" s="3" t="s">
        <v>3581</v>
      </c>
      <c r="B487" s="14">
        <v>-198843.97000000003</v>
      </c>
      <c r="C487" s="16"/>
      <c r="D487" s="133">
        <v>-16484.34</v>
      </c>
      <c r="E487" s="16"/>
      <c r="F487" s="133">
        <v>0</v>
      </c>
      <c r="G487" s="16"/>
      <c r="H487" s="133">
        <v>0</v>
      </c>
      <c r="I487" s="16"/>
      <c r="J487" s="14">
        <v>0</v>
      </c>
      <c r="K487" s="16"/>
      <c r="L487" s="136">
        <v>0</v>
      </c>
      <c r="M487" s="16"/>
      <c r="N487" s="136">
        <v>0</v>
      </c>
      <c r="O487" s="16"/>
      <c r="P487" s="136">
        <v>0</v>
      </c>
      <c r="Q487" s="16"/>
      <c r="R487" s="14">
        <f t="shared" si="20"/>
        <v>-215328.31000000003</v>
      </c>
      <c r="S487" s="14"/>
    </row>
    <row r="488" spans="1:19" x14ac:dyDescent="0.2">
      <c r="A488" s="3" t="s">
        <v>3582</v>
      </c>
      <c r="B488" s="14">
        <v>-369759.35000000003</v>
      </c>
      <c r="C488" s="16"/>
      <c r="D488" s="133">
        <v>-23505.57</v>
      </c>
      <c r="E488" s="16"/>
      <c r="F488" s="133">
        <v>1917.02</v>
      </c>
      <c r="G488" s="16"/>
      <c r="H488" s="133">
        <v>0</v>
      </c>
      <c r="I488" s="16"/>
      <c r="J488" s="14">
        <v>0</v>
      </c>
      <c r="K488" s="16"/>
      <c r="L488" s="136">
        <v>4509.8</v>
      </c>
      <c r="M488" s="16"/>
      <c r="N488" s="136">
        <v>0</v>
      </c>
      <c r="O488" s="16"/>
      <c r="P488" s="136">
        <v>0</v>
      </c>
      <c r="Q488" s="16"/>
      <c r="R488" s="14">
        <f t="shared" si="20"/>
        <v>-386838.10000000003</v>
      </c>
      <c r="S488" s="14"/>
    </row>
    <row r="489" spans="1:19" x14ac:dyDescent="0.2">
      <c r="A489" s="3" t="s">
        <v>3583</v>
      </c>
      <c r="B489" s="14">
        <v>-6192845.7699999996</v>
      </c>
      <c r="C489" s="16"/>
      <c r="D489" s="133">
        <v>-783080.44</v>
      </c>
      <c r="E489" s="16"/>
      <c r="F489" s="133">
        <v>248851.16</v>
      </c>
      <c r="G489" s="16"/>
      <c r="H489" s="133">
        <v>0</v>
      </c>
      <c r="I489" s="16"/>
      <c r="J489" s="14">
        <v>0</v>
      </c>
      <c r="K489" s="16"/>
      <c r="L489" s="136">
        <v>23104.61</v>
      </c>
      <c r="M489" s="16"/>
      <c r="N489" s="136">
        <v>0</v>
      </c>
      <c r="O489" s="16"/>
      <c r="P489" s="136">
        <v>0</v>
      </c>
      <c r="Q489" s="16"/>
      <c r="R489" s="14">
        <f t="shared" si="20"/>
        <v>-6703970.4399999985</v>
      </c>
      <c r="S489" s="14"/>
    </row>
    <row r="490" spans="1:19" x14ac:dyDescent="0.2">
      <c r="A490" s="3" t="s">
        <v>3584</v>
      </c>
      <c r="B490" s="14">
        <v>-295882.18000000028</v>
      </c>
      <c r="C490" s="16"/>
      <c r="D490" s="133">
        <v>-143312.56</v>
      </c>
      <c r="E490" s="16"/>
      <c r="F490" s="133">
        <v>0</v>
      </c>
      <c r="G490" s="16"/>
      <c r="H490" s="133">
        <v>0</v>
      </c>
      <c r="I490" s="16"/>
      <c r="J490" s="14">
        <v>0</v>
      </c>
      <c r="K490" s="16"/>
      <c r="L490" s="136">
        <v>15119.12</v>
      </c>
      <c r="M490" s="16"/>
      <c r="N490" s="136">
        <v>0</v>
      </c>
      <c r="O490" s="16"/>
      <c r="P490" s="136">
        <v>0</v>
      </c>
      <c r="Q490" s="16"/>
      <c r="R490" s="14">
        <f t="shared" si="20"/>
        <v>-424075.62000000029</v>
      </c>
      <c r="S490" s="14"/>
    </row>
    <row r="491" spans="1:19" x14ac:dyDescent="0.2">
      <c r="A491" s="131" t="s">
        <v>3585</v>
      </c>
      <c r="B491" s="14">
        <v>-6616075.9699999988</v>
      </c>
      <c r="C491" s="16"/>
      <c r="D491" s="133">
        <v>-2181051.5699999998</v>
      </c>
      <c r="E491" s="16"/>
      <c r="F491" s="133">
        <v>4080319.3</v>
      </c>
      <c r="G491" s="16"/>
      <c r="H491" s="133">
        <v>0</v>
      </c>
      <c r="I491" s="16"/>
      <c r="J491" s="14">
        <v>0</v>
      </c>
      <c r="K491" s="16"/>
      <c r="L491" s="136">
        <v>0</v>
      </c>
      <c r="M491" s="16"/>
      <c r="N491" s="136">
        <v>0</v>
      </c>
      <c r="O491" s="16"/>
      <c r="P491" s="136">
        <v>0</v>
      </c>
      <c r="Q491" s="16"/>
      <c r="R491" s="14">
        <f t="shared" si="20"/>
        <v>-4716808.2399999993</v>
      </c>
      <c r="S491" s="14"/>
    </row>
    <row r="492" spans="1:19" x14ac:dyDescent="0.2">
      <c r="A492" s="3" t="s">
        <v>3586</v>
      </c>
      <c r="B492" s="14">
        <v>-2388130.58</v>
      </c>
      <c r="C492" s="16"/>
      <c r="D492" s="133">
        <v>-1265179.18</v>
      </c>
      <c r="E492" s="16"/>
      <c r="F492" s="133">
        <v>1005087.57</v>
      </c>
      <c r="G492" s="16"/>
      <c r="H492" s="133">
        <v>0</v>
      </c>
      <c r="I492" s="16"/>
      <c r="J492" s="14">
        <v>0</v>
      </c>
      <c r="K492" s="16"/>
      <c r="L492" s="136">
        <v>0</v>
      </c>
      <c r="M492" s="16"/>
      <c r="N492" s="136">
        <v>0</v>
      </c>
      <c r="O492" s="16"/>
      <c r="P492" s="136">
        <v>0</v>
      </c>
      <c r="Q492" s="16"/>
      <c r="R492" s="14">
        <f t="shared" si="20"/>
        <v>-2648222.19</v>
      </c>
      <c r="S492" s="14"/>
    </row>
    <row r="493" spans="1:19" x14ac:dyDescent="0.2">
      <c r="A493" s="131" t="s">
        <v>3587</v>
      </c>
      <c r="B493" s="14">
        <v>-1.4551915228366852E-11</v>
      </c>
      <c r="C493" s="16"/>
      <c r="D493" s="133">
        <v>0</v>
      </c>
      <c r="E493" s="16"/>
      <c r="F493" s="133">
        <v>0</v>
      </c>
      <c r="G493" s="16"/>
      <c r="H493" s="133">
        <v>0</v>
      </c>
      <c r="I493" s="16"/>
      <c r="J493" s="14">
        <v>0</v>
      </c>
      <c r="K493" s="16"/>
      <c r="L493" s="136">
        <v>0</v>
      </c>
      <c r="M493" s="16"/>
      <c r="N493" s="136">
        <v>0</v>
      </c>
      <c r="O493" s="16"/>
      <c r="P493" s="136">
        <v>0</v>
      </c>
      <c r="Q493" s="16"/>
      <c r="R493" s="14">
        <f t="shared" si="20"/>
        <v>-1.4551915228366852E-11</v>
      </c>
      <c r="S493" s="14"/>
    </row>
    <row r="494" spans="1:19" x14ac:dyDescent="0.2">
      <c r="A494" s="3" t="s">
        <v>3588</v>
      </c>
      <c r="B494" s="14">
        <v>-643927.89</v>
      </c>
      <c r="C494" s="16"/>
      <c r="D494" s="133">
        <v>-142025.94</v>
      </c>
      <c r="E494" s="16"/>
      <c r="F494" s="133">
        <v>0</v>
      </c>
      <c r="G494" s="16"/>
      <c r="H494" s="133">
        <v>0</v>
      </c>
      <c r="I494" s="16"/>
      <c r="J494" s="14">
        <v>0</v>
      </c>
      <c r="K494" s="16"/>
      <c r="L494" s="136">
        <v>0</v>
      </c>
      <c r="M494" s="16"/>
      <c r="N494" s="136">
        <v>0</v>
      </c>
      <c r="O494" s="16"/>
      <c r="P494" s="136">
        <v>0</v>
      </c>
      <c r="Q494" s="16"/>
      <c r="R494" s="14">
        <f t="shared" si="20"/>
        <v>-785953.83000000007</v>
      </c>
      <c r="S494" s="14"/>
    </row>
    <row r="495" spans="1:19" x14ac:dyDescent="0.2">
      <c r="A495" s="3" t="s">
        <v>3589</v>
      </c>
      <c r="B495" s="14">
        <v>-20757.36</v>
      </c>
      <c r="C495" s="16"/>
      <c r="D495" s="133">
        <v>0</v>
      </c>
      <c r="E495" s="16"/>
      <c r="F495" s="133">
        <v>20757.36</v>
      </c>
      <c r="G495" s="16"/>
      <c r="H495" s="133">
        <v>0</v>
      </c>
      <c r="I495" s="16"/>
      <c r="J495" s="14">
        <v>0</v>
      </c>
      <c r="K495" s="16"/>
      <c r="L495" s="136">
        <v>0</v>
      </c>
      <c r="M495" s="16"/>
      <c r="N495" s="136">
        <v>0</v>
      </c>
      <c r="O495" s="16"/>
      <c r="P495" s="136">
        <v>0</v>
      </c>
      <c r="Q495" s="16"/>
      <c r="R495" s="14">
        <f t="shared" si="20"/>
        <v>0</v>
      </c>
      <c r="S495" s="14"/>
    </row>
    <row r="496" spans="1:19" x14ac:dyDescent="0.2">
      <c r="A496" s="3" t="s">
        <v>3590</v>
      </c>
      <c r="B496" s="14">
        <v>-178722.7</v>
      </c>
      <c r="C496" s="16"/>
      <c r="D496" s="133">
        <v>-5231.22</v>
      </c>
      <c r="E496" s="16"/>
      <c r="F496" s="133">
        <v>0</v>
      </c>
      <c r="G496" s="16"/>
      <c r="H496" s="133">
        <v>0</v>
      </c>
      <c r="I496" s="16"/>
      <c r="J496" s="14">
        <v>0</v>
      </c>
      <c r="K496" s="16"/>
      <c r="L496" s="136">
        <v>0</v>
      </c>
      <c r="M496" s="16"/>
      <c r="N496" s="136">
        <v>0</v>
      </c>
      <c r="O496" s="16"/>
      <c r="P496" s="136">
        <v>0</v>
      </c>
      <c r="Q496" s="16"/>
      <c r="R496" s="14">
        <f t="shared" si="20"/>
        <v>-183953.92000000001</v>
      </c>
      <c r="S496" s="14"/>
    </row>
    <row r="497" spans="1:20" x14ac:dyDescent="0.2">
      <c r="A497" s="3" t="s">
        <v>3591</v>
      </c>
      <c r="B497" s="14">
        <v>-5934.8900000000012</v>
      </c>
      <c r="C497" s="16"/>
      <c r="D497" s="133">
        <v>-3878.6</v>
      </c>
      <c r="E497" s="16"/>
      <c r="F497" s="133">
        <v>13783.47</v>
      </c>
      <c r="G497" s="16"/>
      <c r="H497" s="133">
        <v>0</v>
      </c>
      <c r="I497" s="16"/>
      <c r="J497" s="14">
        <v>0</v>
      </c>
      <c r="K497" s="16"/>
      <c r="L497" s="136">
        <v>0</v>
      </c>
      <c r="M497" s="16"/>
      <c r="N497" s="136">
        <v>0</v>
      </c>
      <c r="O497" s="16"/>
      <c r="P497" s="136">
        <v>0</v>
      </c>
      <c r="Q497" s="16"/>
      <c r="R497" s="14">
        <f t="shared" si="20"/>
        <v>3969.9799999999977</v>
      </c>
      <c r="S497" s="14"/>
    </row>
    <row r="498" spans="1:20" x14ac:dyDescent="0.2">
      <c r="A498" s="3" t="s">
        <v>3592</v>
      </c>
      <c r="B498" s="14">
        <v>-914135.99</v>
      </c>
      <c r="C498" s="16"/>
      <c r="D498" s="133">
        <v>-80808.289999999994</v>
      </c>
      <c r="E498" s="16"/>
      <c r="F498" s="133">
        <v>0</v>
      </c>
      <c r="G498" s="16"/>
      <c r="H498" s="133">
        <v>0</v>
      </c>
      <c r="I498" s="16"/>
      <c r="J498" s="14">
        <v>0</v>
      </c>
      <c r="K498" s="16"/>
      <c r="L498" s="136">
        <v>0</v>
      </c>
      <c r="M498" s="16"/>
      <c r="N498" s="136">
        <v>0</v>
      </c>
      <c r="O498" s="16"/>
      <c r="P498" s="136">
        <v>0</v>
      </c>
      <c r="Q498" s="16"/>
      <c r="R498" s="14">
        <f t="shared" si="20"/>
        <v>-994944.28</v>
      </c>
      <c r="S498" s="14"/>
    </row>
    <row r="499" spans="1:20" x14ac:dyDescent="0.2">
      <c r="A499" s="3" t="s">
        <v>3593</v>
      </c>
      <c r="B499" s="14">
        <v>-2208030.8799999994</v>
      </c>
      <c r="C499" s="16"/>
      <c r="D499" s="133">
        <v>-191608.01</v>
      </c>
      <c r="E499" s="16"/>
      <c r="F499" s="133">
        <v>0</v>
      </c>
      <c r="G499" s="16"/>
      <c r="H499" s="133">
        <v>0</v>
      </c>
      <c r="I499" s="16"/>
      <c r="J499" s="14">
        <v>0</v>
      </c>
      <c r="K499" s="16"/>
      <c r="L499" s="136">
        <v>0</v>
      </c>
      <c r="M499" s="16"/>
      <c r="N499" s="136">
        <v>0</v>
      </c>
      <c r="O499" s="16"/>
      <c r="P499" s="136">
        <v>0</v>
      </c>
      <c r="Q499" s="16"/>
      <c r="R499" s="14">
        <f t="shared" si="20"/>
        <v>-2399638.8899999997</v>
      </c>
      <c r="S499" s="14"/>
      <c r="T499" s="37"/>
    </row>
    <row r="500" spans="1:20" x14ac:dyDescent="0.2">
      <c r="A500" s="3" t="s">
        <v>3594</v>
      </c>
      <c r="B500" s="14">
        <v>1.8189894035458565E-12</v>
      </c>
      <c r="C500" s="16"/>
      <c r="D500" s="133">
        <v>0</v>
      </c>
      <c r="E500" s="16"/>
      <c r="F500" s="133">
        <v>0</v>
      </c>
      <c r="G500" s="16"/>
      <c r="H500" s="133">
        <v>0</v>
      </c>
      <c r="I500" s="16"/>
      <c r="J500" s="14">
        <v>0</v>
      </c>
      <c r="K500" s="16"/>
      <c r="L500" s="136">
        <v>0</v>
      </c>
      <c r="M500" s="16"/>
      <c r="N500" s="136">
        <v>0</v>
      </c>
      <c r="O500" s="16"/>
      <c r="P500" s="136">
        <v>0</v>
      </c>
      <c r="Q500" s="16"/>
      <c r="R500" s="14">
        <f t="shared" si="20"/>
        <v>1.8189894035458565E-12</v>
      </c>
      <c r="S500" s="14"/>
    </row>
    <row r="501" spans="1:20" x14ac:dyDescent="0.2">
      <c r="A501" s="131" t="s">
        <v>3595</v>
      </c>
      <c r="B501" s="14">
        <v>-290447.81</v>
      </c>
      <c r="C501" s="16"/>
      <c r="D501" s="133">
        <v>-10105.459999999999</v>
      </c>
      <c r="E501" s="16"/>
      <c r="F501" s="133">
        <v>0</v>
      </c>
      <c r="G501" s="16"/>
      <c r="H501" s="133">
        <v>0</v>
      </c>
      <c r="I501" s="16"/>
      <c r="J501" s="14">
        <v>0</v>
      </c>
      <c r="K501" s="16"/>
      <c r="L501" s="136">
        <v>0</v>
      </c>
      <c r="M501" s="16"/>
      <c r="N501" s="136">
        <v>0</v>
      </c>
      <c r="O501" s="16"/>
      <c r="P501" s="136">
        <v>0</v>
      </c>
      <c r="Q501" s="16"/>
      <c r="R501" s="14">
        <f t="shared" si="20"/>
        <v>-300553.27</v>
      </c>
      <c r="S501" s="14"/>
    </row>
    <row r="502" spans="1:20" x14ac:dyDescent="0.2">
      <c r="A502" s="3" t="s">
        <v>3596</v>
      </c>
      <c r="B502" s="14">
        <v>-13571.7</v>
      </c>
      <c r="C502" s="16"/>
      <c r="D502" s="133">
        <v>-776.92</v>
      </c>
      <c r="E502" s="16"/>
      <c r="F502" s="133">
        <v>0</v>
      </c>
      <c r="G502" s="16"/>
      <c r="H502" s="133">
        <v>0</v>
      </c>
      <c r="I502" s="16"/>
      <c r="J502" s="14">
        <v>0</v>
      </c>
      <c r="K502" s="16"/>
      <c r="L502" s="136">
        <v>0</v>
      </c>
      <c r="M502" s="16"/>
      <c r="N502" s="136">
        <v>0</v>
      </c>
      <c r="O502" s="16"/>
      <c r="P502" s="136">
        <v>0</v>
      </c>
      <c r="Q502" s="16"/>
      <c r="R502" s="14">
        <f t="shared" si="20"/>
        <v>-14348.62</v>
      </c>
      <c r="S502" s="14"/>
    </row>
    <row r="503" spans="1:20" x14ac:dyDescent="0.2">
      <c r="A503" s="3" t="s">
        <v>3597</v>
      </c>
      <c r="B503" s="14">
        <v>-16666727.220000001</v>
      </c>
      <c r="C503" s="16"/>
      <c r="D503" s="133">
        <v>-1440358.74</v>
      </c>
      <c r="E503" s="16"/>
      <c r="F503" s="133">
        <v>2103725.5299999998</v>
      </c>
      <c r="G503" s="16"/>
      <c r="H503" s="133">
        <v>0</v>
      </c>
      <c r="I503" s="16"/>
      <c r="J503" s="14">
        <v>0</v>
      </c>
      <c r="K503" s="16"/>
      <c r="L503" s="136">
        <v>50259.77</v>
      </c>
      <c r="M503" s="16"/>
      <c r="N503" s="136">
        <v>0</v>
      </c>
      <c r="O503" s="16"/>
      <c r="P503" s="136">
        <v>0</v>
      </c>
      <c r="Q503" s="16"/>
      <c r="R503" s="14">
        <f t="shared" si="20"/>
        <v>-15953100.660000002</v>
      </c>
      <c r="S503" s="14"/>
    </row>
    <row r="504" spans="1:20" x14ac:dyDescent="0.2">
      <c r="A504" s="3" t="s">
        <v>3598</v>
      </c>
      <c r="B504" s="14">
        <v>-9893664.1899999976</v>
      </c>
      <c r="C504" s="16"/>
      <c r="D504" s="133">
        <v>-559713.27</v>
      </c>
      <c r="E504" s="16"/>
      <c r="F504" s="133">
        <v>6626.4</v>
      </c>
      <c r="G504" s="16"/>
      <c r="H504" s="133">
        <v>0</v>
      </c>
      <c r="I504" s="16"/>
      <c r="J504" s="14">
        <v>0</v>
      </c>
      <c r="K504" s="16"/>
      <c r="L504" s="136">
        <v>15588.66</v>
      </c>
      <c r="M504" s="16"/>
      <c r="N504" s="136">
        <v>0</v>
      </c>
      <c r="O504" s="16"/>
      <c r="P504" s="136">
        <v>0</v>
      </c>
      <c r="Q504" s="16"/>
      <c r="R504" s="14">
        <f t="shared" si="20"/>
        <v>-10431162.399999997</v>
      </c>
      <c r="S504" s="14"/>
    </row>
    <row r="505" spans="1:20" x14ac:dyDescent="0.2">
      <c r="A505" s="3" t="s">
        <v>3599</v>
      </c>
      <c r="B505" s="14">
        <v>6.3446350603846291E-11</v>
      </c>
      <c r="C505" s="16"/>
      <c r="D505" s="133">
        <v>0</v>
      </c>
      <c r="E505" s="16"/>
      <c r="F505" s="133">
        <v>0</v>
      </c>
      <c r="G505" s="16"/>
      <c r="H505" s="133">
        <v>0</v>
      </c>
      <c r="I505" s="16"/>
      <c r="J505" s="14">
        <v>0</v>
      </c>
      <c r="K505" s="16"/>
      <c r="L505" s="136">
        <v>0</v>
      </c>
      <c r="M505" s="16"/>
      <c r="N505" s="136">
        <v>0</v>
      </c>
      <c r="O505" s="16"/>
      <c r="P505" s="136">
        <v>0</v>
      </c>
      <c r="Q505" s="16"/>
      <c r="R505" s="14">
        <f t="shared" si="20"/>
        <v>6.3446350603846291E-11</v>
      </c>
      <c r="S505" s="14"/>
    </row>
    <row r="506" spans="1:20" x14ac:dyDescent="0.2">
      <c r="A506" s="3" t="s">
        <v>3600</v>
      </c>
      <c r="B506" s="15">
        <v>0</v>
      </c>
      <c r="C506" s="16"/>
      <c r="D506" s="133">
        <v>0</v>
      </c>
      <c r="E506" s="16"/>
      <c r="F506" s="133">
        <v>0</v>
      </c>
      <c r="G506" s="16"/>
      <c r="H506" s="133">
        <v>0</v>
      </c>
      <c r="I506" s="16"/>
      <c r="J506" s="14">
        <v>0</v>
      </c>
      <c r="K506" s="16"/>
      <c r="L506" s="136">
        <v>0</v>
      </c>
      <c r="M506" s="16"/>
      <c r="N506" s="136">
        <v>0</v>
      </c>
      <c r="O506" s="16"/>
      <c r="P506" s="136">
        <v>0</v>
      </c>
      <c r="Q506" s="16"/>
      <c r="R506" s="15">
        <f t="shared" si="20"/>
        <v>0</v>
      </c>
      <c r="S506" s="14"/>
    </row>
    <row r="507" spans="1:20" x14ac:dyDescent="0.2">
      <c r="B507" s="16">
        <f>SUM(B478:B490)+SUM(B491:B506)</f>
        <v>-81121279.340000004</v>
      </c>
      <c r="C507" s="16"/>
      <c r="D507" s="19">
        <f>SUM(D478:D490)+SUM(D491:D506)</f>
        <v>-9145286.1900000013</v>
      </c>
      <c r="E507" s="16"/>
      <c r="F507" s="19">
        <f>SUM(F478:F490)+SUM(F491:F506)</f>
        <v>8421276.8100000005</v>
      </c>
      <c r="G507" s="140"/>
      <c r="H507" s="19">
        <f>SUM(H478:H490)+SUM(H491:H506)</f>
        <v>0</v>
      </c>
      <c r="I507" s="140"/>
      <c r="J507" s="19">
        <f>SUM(J478:J490)+SUM(J491:J506)</f>
        <v>0</v>
      </c>
      <c r="K507" s="140"/>
      <c r="L507" s="19">
        <f>SUM(L478:L490)+SUM(L491:L506)</f>
        <v>254433.77999999997</v>
      </c>
      <c r="M507" s="16"/>
      <c r="N507" s="19">
        <f>SUM(N478:N490)+SUM(N491:N506)</f>
        <v>0</v>
      </c>
      <c r="O507" s="16"/>
      <c r="P507" s="19">
        <f>SUM(P478:P490)+SUM(P491:P506)</f>
        <v>0</v>
      </c>
      <c r="Q507" s="16"/>
      <c r="R507" s="16">
        <f>SUM(R478:R490)+SUM(R491:R506)</f>
        <v>-81590854.939999998</v>
      </c>
      <c r="S507" s="14"/>
    </row>
    <row r="508" spans="1:20" x14ac:dyDescent="0.2">
      <c r="B508" s="16"/>
      <c r="C508" s="16"/>
      <c r="D508" s="16"/>
      <c r="E508" s="16"/>
      <c r="F508" s="16"/>
      <c r="G508" s="140"/>
      <c r="H508" s="16"/>
      <c r="I508" s="140"/>
      <c r="J508" s="16"/>
      <c r="K508" s="140"/>
      <c r="L508" s="16"/>
      <c r="M508" s="16"/>
      <c r="N508" s="16"/>
      <c r="O508" s="16"/>
      <c r="P508" s="16"/>
      <c r="Q508" s="16"/>
      <c r="R508" s="16"/>
      <c r="S508" s="14"/>
    </row>
    <row r="509" spans="1:20" x14ac:dyDescent="0.2">
      <c r="A509" s="9" t="s">
        <v>3601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4"/>
    </row>
    <row r="510" spans="1:20" x14ac:dyDescent="0.2">
      <c r="A510" s="3" t="s">
        <v>3602</v>
      </c>
      <c r="B510" s="14">
        <v>0</v>
      </c>
      <c r="C510" s="16"/>
      <c r="D510" s="133">
        <v>0</v>
      </c>
      <c r="E510" s="16"/>
      <c r="F510" s="133">
        <v>0</v>
      </c>
      <c r="G510" s="16"/>
      <c r="H510" s="133">
        <v>0</v>
      </c>
      <c r="I510" s="16"/>
      <c r="J510" s="16">
        <v>0</v>
      </c>
      <c r="K510" s="16"/>
      <c r="L510" s="136">
        <v>0</v>
      </c>
      <c r="M510" s="16"/>
      <c r="N510" s="136">
        <v>0</v>
      </c>
      <c r="O510" s="16"/>
      <c r="P510" s="136">
        <v>0</v>
      </c>
      <c r="Q510" s="16"/>
      <c r="R510" s="14">
        <f>SUM(B510:P510)</f>
        <v>0</v>
      </c>
      <c r="S510" s="14"/>
    </row>
    <row r="511" spans="1:20" x14ac:dyDescent="0.2">
      <c r="A511" s="3" t="s">
        <v>3603</v>
      </c>
      <c r="B511" s="14">
        <v>-249.93</v>
      </c>
      <c r="C511" s="16"/>
      <c r="D511" s="133">
        <v>0</v>
      </c>
      <c r="E511" s="16"/>
      <c r="F511" s="133">
        <v>0</v>
      </c>
      <c r="G511" s="16"/>
      <c r="H511" s="133">
        <v>0</v>
      </c>
      <c r="I511" s="16"/>
      <c r="J511" s="16">
        <v>0</v>
      </c>
      <c r="K511" s="16"/>
      <c r="L511" s="136">
        <v>0</v>
      </c>
      <c r="M511" s="16"/>
      <c r="N511" s="136">
        <v>0</v>
      </c>
      <c r="O511" s="16"/>
      <c r="P511" s="136">
        <v>0</v>
      </c>
      <c r="Q511" s="16"/>
      <c r="R511" s="14">
        <f>SUM(B511:P511)</f>
        <v>-249.93</v>
      </c>
      <c r="S511" s="14"/>
    </row>
    <row r="512" spans="1:20" x14ac:dyDescent="0.2">
      <c r="A512" s="3" t="s">
        <v>3604</v>
      </c>
      <c r="B512" s="14">
        <v>-1.1459722060180866E-12</v>
      </c>
      <c r="C512" s="16"/>
      <c r="D512" s="133">
        <v>0</v>
      </c>
      <c r="E512" s="16"/>
      <c r="F512" s="133">
        <v>0</v>
      </c>
      <c r="G512" s="16"/>
      <c r="H512" s="133">
        <v>0</v>
      </c>
      <c r="I512" s="16"/>
      <c r="J512" s="16">
        <v>0</v>
      </c>
      <c r="K512" s="16"/>
      <c r="L512" s="136">
        <v>0</v>
      </c>
      <c r="M512" s="16"/>
      <c r="N512" s="136">
        <v>0</v>
      </c>
      <c r="O512" s="16"/>
      <c r="P512" s="136">
        <v>0</v>
      </c>
      <c r="Q512" s="16"/>
      <c r="R512" s="14">
        <f>SUM(B512:P512)</f>
        <v>-1.1459722060180866E-12</v>
      </c>
      <c r="S512" s="14"/>
    </row>
    <row r="513" spans="1:19" x14ac:dyDescent="0.2">
      <c r="A513" s="3" t="s">
        <v>3605</v>
      </c>
      <c r="B513" s="16">
        <v>-63110.43</v>
      </c>
      <c r="C513" s="16"/>
      <c r="D513" s="133">
        <v>0</v>
      </c>
      <c r="E513" s="16"/>
      <c r="F513" s="133">
        <v>0</v>
      </c>
      <c r="G513" s="16"/>
      <c r="H513" s="133">
        <v>0</v>
      </c>
      <c r="I513" s="16"/>
      <c r="J513" s="16">
        <v>0</v>
      </c>
      <c r="K513" s="16"/>
      <c r="L513" s="136">
        <v>0</v>
      </c>
      <c r="M513" s="16"/>
      <c r="N513" s="136">
        <v>0</v>
      </c>
      <c r="O513" s="16"/>
      <c r="P513" s="136">
        <v>0</v>
      </c>
      <c r="Q513" s="16"/>
      <c r="R513" s="16">
        <f>SUM(B513:P513)</f>
        <v>-63110.43</v>
      </c>
      <c r="S513" s="14"/>
    </row>
    <row r="514" spans="1:19" x14ac:dyDescent="0.2">
      <c r="A514" s="107" t="s">
        <v>3606</v>
      </c>
      <c r="B514" s="16">
        <v>0</v>
      </c>
      <c r="C514" s="16"/>
      <c r="D514" s="133">
        <v>0</v>
      </c>
      <c r="E514" s="16"/>
      <c r="F514" s="133">
        <v>0</v>
      </c>
      <c r="G514" s="16"/>
      <c r="H514" s="133">
        <v>0</v>
      </c>
      <c r="I514" s="16"/>
      <c r="J514" s="16">
        <v>0</v>
      </c>
      <c r="K514" s="16"/>
      <c r="L514" s="136">
        <v>0</v>
      </c>
      <c r="M514" s="16"/>
      <c r="N514" s="136">
        <v>0</v>
      </c>
      <c r="O514" s="16"/>
      <c r="P514" s="136">
        <v>0</v>
      </c>
      <c r="Q514" s="16"/>
      <c r="R514" s="16">
        <f>SUM(B514:P514)</f>
        <v>0</v>
      </c>
      <c r="S514" s="14"/>
    </row>
    <row r="515" spans="1:19" x14ac:dyDescent="0.2">
      <c r="B515" s="19">
        <f>SUM(B510:B514)</f>
        <v>-63360.36</v>
      </c>
      <c r="C515" s="16"/>
      <c r="D515" s="19">
        <f>SUM(D510:D514)</f>
        <v>0</v>
      </c>
      <c r="E515" s="16"/>
      <c r="F515" s="19">
        <f>SUM(F510:F514)</f>
        <v>0</v>
      </c>
      <c r="G515" s="16"/>
      <c r="H515" s="19">
        <f>SUM(H510:H514)</f>
        <v>0</v>
      </c>
      <c r="I515" s="16"/>
      <c r="J515" s="19">
        <f>SUM(J510:J514)</f>
        <v>0</v>
      </c>
      <c r="K515" s="16"/>
      <c r="L515" s="19">
        <f>SUM(L510:L514)</f>
        <v>0</v>
      </c>
      <c r="M515" s="16"/>
      <c r="N515" s="19">
        <f>SUM(N510:N514)</f>
        <v>0</v>
      </c>
      <c r="O515" s="16"/>
      <c r="P515" s="19">
        <f>SUM(P510:P514)</f>
        <v>0</v>
      </c>
      <c r="Q515" s="16"/>
      <c r="R515" s="19">
        <f>SUM(R510:R514)</f>
        <v>-63360.36</v>
      </c>
      <c r="S515" s="14"/>
    </row>
    <row r="516" spans="1:19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4"/>
    </row>
    <row r="517" spans="1:19" x14ac:dyDescent="0.2">
      <c r="B517" s="14"/>
      <c r="C517" s="16"/>
      <c r="D517" s="14"/>
      <c r="E517" s="16"/>
      <c r="F517" s="14"/>
      <c r="G517" s="16"/>
      <c r="H517" s="14"/>
      <c r="I517" s="16"/>
      <c r="J517" s="14"/>
      <c r="K517" s="16"/>
      <c r="L517" s="14"/>
      <c r="M517" s="16"/>
      <c r="N517" s="14"/>
      <c r="O517" s="16"/>
      <c r="P517" s="14"/>
      <c r="Q517" s="16"/>
      <c r="R517" s="14"/>
      <c r="S517" s="14"/>
    </row>
    <row r="518" spans="1:19" ht="13.5" thickBot="1" x14ac:dyDescent="0.25">
      <c r="A518" s="9" t="s">
        <v>3607</v>
      </c>
      <c r="B518" s="39">
        <f>B515+B507</f>
        <v>-81184639.700000003</v>
      </c>
      <c r="C518" s="16"/>
      <c r="D518" s="39">
        <f>D515+D507</f>
        <v>-9145286.1900000013</v>
      </c>
      <c r="E518" s="16"/>
      <c r="F518" s="39">
        <f>F515+F507</f>
        <v>8421276.8100000005</v>
      </c>
      <c r="G518" s="16"/>
      <c r="H518" s="39">
        <f>H515+H507</f>
        <v>0</v>
      </c>
      <c r="I518" s="16"/>
      <c r="J518" s="39">
        <f>J515+J507</f>
        <v>0</v>
      </c>
      <c r="K518" s="16"/>
      <c r="L518" s="39">
        <f>L515+L507</f>
        <v>254433.77999999997</v>
      </c>
      <c r="M518" s="16"/>
      <c r="N518" s="39">
        <f>N515+N507</f>
        <v>0</v>
      </c>
      <c r="O518" s="16"/>
      <c r="P518" s="39">
        <f>P515+P507</f>
        <v>0</v>
      </c>
      <c r="Q518" s="16"/>
      <c r="R518" s="39">
        <f>R515+R507</f>
        <v>-81654215.299999997</v>
      </c>
      <c r="S518" s="14"/>
    </row>
    <row r="519" spans="1:19" ht="13.5" thickTop="1" x14ac:dyDescent="0.2"/>
    <row r="521" spans="1:19" x14ac:dyDescent="0.2">
      <c r="A521" s="9" t="s">
        <v>15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4"/>
    </row>
    <row r="522" spans="1:19" x14ac:dyDescent="0.2">
      <c r="A522" s="3" t="s">
        <v>3608</v>
      </c>
      <c r="B522" s="14">
        <v>0</v>
      </c>
      <c r="C522" s="16"/>
      <c r="D522" s="133">
        <v>0</v>
      </c>
      <c r="E522" s="16"/>
      <c r="F522" s="133">
        <v>0</v>
      </c>
      <c r="G522" s="16"/>
      <c r="H522" s="133">
        <v>0</v>
      </c>
      <c r="I522" s="16"/>
      <c r="J522" s="16">
        <v>0</v>
      </c>
      <c r="K522" s="16"/>
      <c r="L522" s="136">
        <v>0</v>
      </c>
      <c r="M522" s="16"/>
      <c r="N522" s="136">
        <v>0</v>
      </c>
      <c r="O522" s="16"/>
      <c r="P522" s="136">
        <v>0</v>
      </c>
      <c r="Q522" s="16"/>
      <c r="R522" s="14">
        <f>SUM(B522:P522)</f>
        <v>0</v>
      </c>
      <c r="S522" s="14"/>
    </row>
    <row r="523" spans="1:19" x14ac:dyDescent="0.2">
      <c r="A523" s="3" t="s">
        <v>3609</v>
      </c>
      <c r="B523" s="14">
        <v>0</v>
      </c>
      <c r="C523" s="16"/>
      <c r="D523" s="133">
        <v>0</v>
      </c>
      <c r="E523" s="16"/>
      <c r="F523" s="133">
        <v>0</v>
      </c>
      <c r="G523" s="16"/>
      <c r="H523" s="133">
        <v>0</v>
      </c>
      <c r="I523" s="16"/>
      <c r="J523" s="16">
        <v>0</v>
      </c>
      <c r="K523" s="16"/>
      <c r="L523" s="136">
        <v>0</v>
      </c>
      <c r="M523" s="16"/>
      <c r="N523" s="136">
        <v>0</v>
      </c>
      <c r="O523" s="16"/>
      <c r="P523" s="136">
        <v>0</v>
      </c>
      <c r="Q523" s="16"/>
      <c r="R523" s="14">
        <f>SUM(B523:P523)</f>
        <v>0</v>
      </c>
      <c r="S523" s="14"/>
    </row>
    <row r="524" spans="1:19" x14ac:dyDescent="0.2">
      <c r="A524" s="3" t="s">
        <v>3610</v>
      </c>
      <c r="B524" s="16">
        <v>-17586297.250000004</v>
      </c>
      <c r="C524" s="16"/>
      <c r="D524" s="133">
        <v>-9587223.5399999991</v>
      </c>
      <c r="E524" s="16"/>
      <c r="F524" s="133">
        <v>8008540.6900000004</v>
      </c>
      <c r="G524" s="16"/>
      <c r="H524" s="133">
        <v>0</v>
      </c>
      <c r="I524" s="16"/>
      <c r="J524" s="16">
        <v>0</v>
      </c>
      <c r="K524" s="16"/>
      <c r="L524" s="136">
        <v>0</v>
      </c>
      <c r="M524" s="16"/>
      <c r="N524" s="136">
        <v>0</v>
      </c>
      <c r="O524" s="16"/>
      <c r="P524" s="136">
        <v>0</v>
      </c>
      <c r="Q524" s="16"/>
      <c r="R524" s="16">
        <f>SUM(B524:P524)</f>
        <v>-19164980.100000001</v>
      </c>
      <c r="S524" s="14"/>
    </row>
    <row r="525" spans="1:19" x14ac:dyDescent="0.2">
      <c r="A525" s="3" t="s">
        <v>3611</v>
      </c>
      <c r="B525" s="14">
        <v>-33914421.810000002</v>
      </c>
      <c r="C525" s="16"/>
      <c r="D525" s="133">
        <v>-5231347.8499999996</v>
      </c>
      <c r="E525" s="16"/>
      <c r="F525" s="133">
        <v>0</v>
      </c>
      <c r="G525" s="16"/>
      <c r="H525" s="133">
        <v>0</v>
      </c>
      <c r="I525" s="16"/>
      <c r="J525" s="16">
        <v>0</v>
      </c>
      <c r="K525" s="16"/>
      <c r="L525" s="136">
        <v>0</v>
      </c>
      <c r="M525" s="16"/>
      <c r="N525" s="136">
        <v>0</v>
      </c>
      <c r="O525" s="16"/>
      <c r="P525" s="136">
        <v>0</v>
      </c>
      <c r="Q525" s="16"/>
      <c r="R525" s="14">
        <f>SUM(B525:P525)</f>
        <v>-39145769.660000004</v>
      </c>
      <c r="S525" s="14"/>
    </row>
    <row r="526" spans="1:19" x14ac:dyDescent="0.2">
      <c r="A526" s="3" t="s">
        <v>3612</v>
      </c>
      <c r="B526" s="15">
        <v>0</v>
      </c>
      <c r="C526" s="16"/>
      <c r="D526" s="151">
        <v>0</v>
      </c>
      <c r="E526" s="16"/>
      <c r="F526" s="151">
        <v>0</v>
      </c>
      <c r="G526" s="16"/>
      <c r="H526" s="151">
        <v>0</v>
      </c>
      <c r="I526" s="16"/>
      <c r="J526" s="15">
        <v>0</v>
      </c>
      <c r="K526" s="16"/>
      <c r="L526" s="136">
        <v>0</v>
      </c>
      <c r="M526" s="16"/>
      <c r="N526" s="151">
        <v>0</v>
      </c>
      <c r="O526" s="16"/>
      <c r="P526" s="136">
        <v>0</v>
      </c>
      <c r="Q526" s="16"/>
      <c r="R526" s="15">
        <f>SUM(B526:P526)</f>
        <v>0</v>
      </c>
      <c r="S526" s="14"/>
    </row>
    <row r="527" spans="1:19" x14ac:dyDescent="0.2">
      <c r="B527" s="16">
        <f>SUM(B522:B526)</f>
        <v>-51500719.060000002</v>
      </c>
      <c r="C527" s="16"/>
      <c r="D527" s="16">
        <f>SUM(D522:D526)</f>
        <v>-14818571.389999999</v>
      </c>
      <c r="E527" s="16"/>
      <c r="F527" s="16">
        <f>SUM(F522:F526)</f>
        <v>8008540.6900000004</v>
      </c>
      <c r="G527" s="16"/>
      <c r="H527" s="16">
        <f>SUM(H522:H526)</f>
        <v>0</v>
      </c>
      <c r="I527" s="16"/>
      <c r="J527" s="16">
        <f>SUM(J522:J526)</f>
        <v>0</v>
      </c>
      <c r="K527" s="16"/>
      <c r="L527" s="19">
        <f>SUM(L522:L526)</f>
        <v>0</v>
      </c>
      <c r="M527" s="16"/>
      <c r="N527" s="16">
        <f>SUM(N522:N526)</f>
        <v>0</v>
      </c>
      <c r="O527" s="16"/>
      <c r="P527" s="19">
        <f>SUM(P522:P526)</f>
        <v>0</v>
      </c>
      <c r="Q527" s="16"/>
      <c r="R527" s="16">
        <f>SUM(R522:R526)</f>
        <v>-58310749.760000005</v>
      </c>
      <c r="S527" s="14"/>
    </row>
    <row r="528" spans="1:19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4"/>
    </row>
    <row r="530" spans="1:19" ht="13.5" thickBot="1" x14ac:dyDescent="0.25">
      <c r="A530" s="9" t="s">
        <v>3613</v>
      </c>
      <c r="B530" s="39">
        <f>B527</f>
        <v>-51500719.060000002</v>
      </c>
      <c r="C530" s="16"/>
      <c r="D530" s="39">
        <f>D527</f>
        <v>-14818571.389999999</v>
      </c>
      <c r="E530" s="16"/>
      <c r="F530" s="39">
        <f>F527</f>
        <v>8008540.6900000004</v>
      </c>
      <c r="G530" s="16"/>
      <c r="H530" s="39">
        <f>H527</f>
        <v>0</v>
      </c>
      <c r="I530" s="16"/>
      <c r="J530" s="39">
        <f>J527</f>
        <v>0</v>
      </c>
      <c r="K530" s="16"/>
      <c r="L530" s="39">
        <f>L527</f>
        <v>0</v>
      </c>
      <c r="M530" s="16"/>
      <c r="N530" s="39">
        <f>N527</f>
        <v>0</v>
      </c>
      <c r="O530" s="16"/>
      <c r="P530" s="39">
        <f>P527</f>
        <v>0</v>
      </c>
      <c r="Q530" s="16"/>
      <c r="R530" s="39">
        <f>R527</f>
        <v>-58310749.760000005</v>
      </c>
      <c r="S530" s="14"/>
    </row>
    <row r="531" spans="1:19" ht="13.5" thickTop="1" x14ac:dyDescent="0.2"/>
    <row r="533" spans="1:19" ht="13.5" thickBot="1" x14ac:dyDescent="0.25">
      <c r="A533" s="9" t="s">
        <v>3614</v>
      </c>
      <c r="B533" s="94">
        <f>B474+B466+B400+B392+B530+B518</f>
        <v>-2090740042.3800001</v>
      </c>
      <c r="D533" s="94">
        <f>D474+D466+D400+D392+D530+D518</f>
        <v>-200283809.24999997</v>
      </c>
      <c r="F533" s="94">
        <f>F474+F466+F400+F392+F530+F518</f>
        <v>75361056.579999998</v>
      </c>
      <c r="H533" s="94">
        <f>H474+H466+H400+H392+H530+H518</f>
        <v>-30513.219999999979</v>
      </c>
      <c r="J533" s="94">
        <f>J474+J466+J400+J392+J530+J518</f>
        <v>0</v>
      </c>
      <c r="L533" s="94">
        <f>L474+L466+L400+L392+L530+L518</f>
        <v>44515851.039999999</v>
      </c>
      <c r="N533" s="94">
        <f>N474+N466+N400+N392+N530+N518</f>
        <v>-1511805.3199999998</v>
      </c>
      <c r="P533" s="94">
        <f>P474+P466+P400+P392+P530+P518</f>
        <v>-2695316.3200000003</v>
      </c>
      <c r="R533" s="94">
        <f>R474+R466+R400+R392+R530+R518</f>
        <v>-2175384578.8699999</v>
      </c>
    </row>
    <row r="534" spans="1:19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3" manualBreakCount="3">
    <brk id="168" max="16383" man="1"/>
    <brk id="403" max="16383" man="1"/>
    <brk id="47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AA51"/>
  <sheetViews>
    <sheetView zoomScale="80" zoomScaleNormal="80" workbookViewId="0">
      <pane xSplit="3" ySplit="7" topLeftCell="D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3.7109375" style="3" bestFit="1" customWidth="1"/>
    <col min="2" max="2" width="17.7109375" style="3" customWidth="1"/>
    <col min="3" max="3" width="1.7109375" style="29" customWidth="1"/>
    <col min="4" max="4" width="17.7109375" style="3" customWidth="1"/>
    <col min="5" max="5" width="1.7109375" style="29" customWidth="1"/>
    <col min="6" max="6" width="17.7109375" style="3" customWidth="1"/>
    <col min="7" max="7" width="1.7109375" style="29" customWidth="1"/>
    <col min="8" max="8" width="17.7109375" style="3" customWidth="1"/>
    <col min="9" max="9" width="1.7109375" style="29" customWidth="1"/>
    <col min="10" max="10" width="17.7109375" style="3" customWidth="1"/>
    <col min="11" max="11" width="1.7109375" style="29" customWidth="1"/>
    <col min="12" max="12" width="17.7109375" style="3" customWidth="1"/>
    <col min="13" max="13" width="1.7109375" style="29" customWidth="1"/>
    <col min="14" max="14" width="17.7109375" style="3" customWidth="1"/>
    <col min="15" max="15" width="1.7109375" style="29" customWidth="1"/>
    <col min="16" max="16" width="17.7109375" style="3" customWidth="1"/>
    <col min="17" max="17" width="1.7109375" style="29" customWidth="1"/>
    <col min="18" max="18" width="17.7109375" style="3" customWidth="1"/>
    <col min="19" max="16384" width="9.140625" style="3"/>
  </cols>
  <sheetData>
    <row r="1" spans="1:27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135"/>
    </row>
    <row r="2" spans="1:27" s="130" customFormat="1" ht="15.75" x14ac:dyDescent="0.25">
      <c r="A2" s="210" t="s">
        <v>3615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W2" s="135"/>
    </row>
    <row r="3" spans="1:27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4"/>
      <c r="T3" s="104"/>
      <c r="U3" s="104"/>
      <c r="V3" s="104"/>
      <c r="W3" s="104"/>
      <c r="X3" s="104"/>
      <c r="Y3" s="104"/>
      <c r="Z3" s="104"/>
      <c r="AA3" s="104"/>
    </row>
    <row r="4" spans="1:27" x14ac:dyDescent="0.2">
      <c r="A4" s="145"/>
      <c r="B4" s="145"/>
      <c r="C4" s="112"/>
      <c r="D4" s="145"/>
      <c r="E4" s="112"/>
      <c r="F4" s="145"/>
      <c r="G4" s="112"/>
      <c r="H4" s="145"/>
      <c r="I4" s="112"/>
      <c r="J4" s="145"/>
      <c r="K4" s="112"/>
      <c r="L4" s="145"/>
      <c r="M4" s="112"/>
      <c r="N4" s="145"/>
      <c r="O4" s="112"/>
      <c r="P4" s="145"/>
      <c r="Q4" s="112"/>
      <c r="R4" s="145"/>
      <c r="S4" s="104"/>
      <c r="T4" s="104"/>
      <c r="U4" s="104"/>
      <c r="V4" s="104"/>
      <c r="W4" s="104"/>
      <c r="X4" s="104"/>
      <c r="Y4" s="104"/>
      <c r="Z4" s="104"/>
      <c r="AA4" s="104"/>
    </row>
    <row r="6" spans="1:27" x14ac:dyDescent="0.2">
      <c r="B6" s="7" t="s">
        <v>3</v>
      </c>
      <c r="D6" s="136"/>
      <c r="F6" s="136"/>
      <c r="H6" s="7" t="s">
        <v>4</v>
      </c>
      <c r="I6" s="17"/>
      <c r="J6" s="7" t="s">
        <v>67</v>
      </c>
      <c r="K6" s="17"/>
      <c r="L6" s="17" t="s">
        <v>68</v>
      </c>
      <c r="P6" s="7" t="s">
        <v>69</v>
      </c>
      <c r="Q6" s="17"/>
      <c r="R6" s="7" t="s">
        <v>5</v>
      </c>
      <c r="S6" s="7"/>
      <c r="U6" s="7"/>
    </row>
    <row r="7" spans="1:27" x14ac:dyDescent="0.2">
      <c r="B7" s="11" t="s">
        <v>7</v>
      </c>
      <c r="D7" s="11" t="s">
        <v>70</v>
      </c>
      <c r="F7" s="11" t="s">
        <v>9</v>
      </c>
      <c r="H7" s="11" t="s">
        <v>10</v>
      </c>
      <c r="I7" s="17"/>
      <c r="J7" s="11" t="s">
        <v>72</v>
      </c>
      <c r="K7" s="17"/>
      <c r="L7" s="11" t="s">
        <v>73</v>
      </c>
      <c r="M7" s="17"/>
      <c r="N7" s="11" t="s">
        <v>74</v>
      </c>
      <c r="O7" s="17"/>
      <c r="P7" s="11" t="s">
        <v>75</v>
      </c>
      <c r="Q7" s="17"/>
      <c r="R7" s="11" t="s">
        <v>7</v>
      </c>
    </row>
    <row r="9" spans="1:27" x14ac:dyDescent="0.2">
      <c r="A9" s="9" t="s">
        <v>18</v>
      </c>
      <c r="B9" s="147"/>
      <c r="C9" s="148"/>
      <c r="D9" s="147"/>
      <c r="E9" s="148"/>
      <c r="F9" s="147"/>
      <c r="G9" s="148"/>
      <c r="H9" s="147"/>
      <c r="I9" s="148"/>
      <c r="J9" s="147"/>
      <c r="K9" s="148"/>
      <c r="L9" s="147"/>
      <c r="M9" s="148"/>
      <c r="N9" s="147"/>
      <c r="O9" s="148"/>
      <c r="P9" s="147"/>
      <c r="Q9" s="148"/>
      <c r="R9" s="147"/>
    </row>
    <row r="10" spans="1:27" x14ac:dyDescent="0.2">
      <c r="A10" s="131" t="s">
        <v>3616</v>
      </c>
      <c r="B10" s="151">
        <v>0</v>
      </c>
      <c r="C10" s="133"/>
      <c r="D10" s="151">
        <v>0</v>
      </c>
      <c r="E10" s="133"/>
      <c r="F10" s="151">
        <v>0</v>
      </c>
      <c r="G10" s="133"/>
      <c r="H10" s="151">
        <v>0</v>
      </c>
      <c r="I10" s="133"/>
      <c r="J10" s="151">
        <v>0</v>
      </c>
      <c r="K10" s="133"/>
      <c r="L10" s="151">
        <v>0</v>
      </c>
      <c r="M10" s="133"/>
      <c r="N10" s="151">
        <v>0</v>
      </c>
      <c r="O10" s="133"/>
      <c r="P10" s="151">
        <v>0</v>
      </c>
      <c r="Q10" s="133"/>
      <c r="R10" s="151">
        <f>SUM(B10:P10)</f>
        <v>0</v>
      </c>
      <c r="S10" s="136"/>
      <c r="T10" s="136"/>
      <c r="U10" s="136"/>
    </row>
    <row r="11" spans="1:27" x14ac:dyDescent="0.2">
      <c r="B11" s="133">
        <f>SUM(B10:B10)</f>
        <v>0</v>
      </c>
      <c r="C11" s="133"/>
      <c r="D11" s="133">
        <f>SUM(D10:D10)</f>
        <v>0</v>
      </c>
      <c r="E11" s="133"/>
      <c r="F11" s="133">
        <f>SUM(F10:F10)</f>
        <v>0</v>
      </c>
      <c r="G11" s="133"/>
      <c r="H11" s="133">
        <f>SUM(H10:H10)</f>
        <v>0</v>
      </c>
      <c r="I11" s="133"/>
      <c r="J11" s="133">
        <f>SUM(J10:J10)</f>
        <v>0</v>
      </c>
      <c r="K11" s="133"/>
      <c r="L11" s="133">
        <f>SUM(L10:L10)</f>
        <v>0</v>
      </c>
      <c r="M11" s="133"/>
      <c r="N11" s="133">
        <f>SUM(N10:N10)</f>
        <v>0</v>
      </c>
      <c r="O11" s="133"/>
      <c r="P11" s="133">
        <f>SUM(P10:P10)</f>
        <v>0</v>
      </c>
      <c r="Q11" s="133"/>
      <c r="R11" s="133">
        <f>SUM(R10:R10)</f>
        <v>0</v>
      </c>
      <c r="S11" s="136"/>
      <c r="T11" s="136"/>
      <c r="U11" s="136"/>
    </row>
    <row r="12" spans="1:27" x14ac:dyDescent="0.2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6"/>
      <c r="T12" s="136"/>
      <c r="U12" s="136"/>
    </row>
    <row r="13" spans="1:27" x14ac:dyDescent="0.2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6"/>
      <c r="U13" s="136"/>
    </row>
    <row r="14" spans="1:27" x14ac:dyDescent="0.2">
      <c r="A14" s="9" t="s">
        <v>24</v>
      </c>
      <c r="B14" s="136"/>
      <c r="C14" s="133"/>
      <c r="D14" s="136"/>
      <c r="E14" s="133"/>
      <c r="F14" s="136"/>
      <c r="G14" s="133"/>
      <c r="H14" s="136"/>
      <c r="I14" s="133"/>
      <c r="J14" s="136"/>
      <c r="K14" s="133"/>
      <c r="L14" s="136"/>
      <c r="M14" s="133"/>
      <c r="N14" s="136"/>
      <c r="O14" s="133"/>
      <c r="P14" s="136"/>
      <c r="Q14" s="133"/>
      <c r="R14" s="136"/>
      <c r="S14" s="136"/>
      <c r="T14" s="136"/>
      <c r="U14" s="136"/>
    </row>
    <row r="15" spans="1:27" x14ac:dyDescent="0.2">
      <c r="A15" s="131" t="s">
        <v>3617</v>
      </c>
      <c r="B15" s="133">
        <v>-338806.74999999994</v>
      </c>
      <c r="C15" s="133"/>
      <c r="D15" s="133">
        <v>-8632.08</v>
      </c>
      <c r="E15" s="133"/>
      <c r="F15" s="133">
        <v>0</v>
      </c>
      <c r="G15" s="133"/>
      <c r="H15" s="133">
        <v>0</v>
      </c>
      <c r="I15" s="133"/>
      <c r="J15" s="136">
        <v>0</v>
      </c>
      <c r="K15" s="133"/>
      <c r="L15" s="133">
        <v>0</v>
      </c>
      <c r="M15" s="133"/>
      <c r="N15" s="133">
        <v>0</v>
      </c>
      <c r="O15" s="133"/>
      <c r="P15" s="133">
        <v>0</v>
      </c>
      <c r="Q15" s="133"/>
      <c r="R15" s="133">
        <f t="shared" ref="R15:R21" si="0">SUM(B15:P15)</f>
        <v>-347438.82999999996</v>
      </c>
      <c r="S15" s="136"/>
      <c r="T15" s="136"/>
      <c r="U15" s="136"/>
    </row>
    <row r="16" spans="1:27" x14ac:dyDescent="0.2">
      <c r="A16" s="131" t="s">
        <v>3618</v>
      </c>
      <c r="B16" s="133">
        <v>0</v>
      </c>
      <c r="C16" s="133"/>
      <c r="D16" s="133">
        <v>0</v>
      </c>
      <c r="E16" s="133"/>
      <c r="F16" s="133">
        <v>0</v>
      </c>
      <c r="G16" s="133"/>
      <c r="H16" s="133">
        <v>0</v>
      </c>
      <c r="I16" s="133"/>
      <c r="J16" s="136">
        <v>0</v>
      </c>
      <c r="K16" s="133"/>
      <c r="L16" s="133">
        <v>0</v>
      </c>
      <c r="M16" s="133"/>
      <c r="N16" s="133">
        <v>0</v>
      </c>
      <c r="O16" s="133"/>
      <c r="P16" s="133">
        <v>0</v>
      </c>
      <c r="Q16" s="133"/>
      <c r="R16" s="133">
        <f t="shared" si="0"/>
        <v>0</v>
      </c>
      <c r="S16" s="136"/>
      <c r="T16" s="136"/>
      <c r="U16" s="136"/>
    </row>
    <row r="17" spans="1:21" x14ac:dyDescent="0.2">
      <c r="A17" s="131" t="s">
        <v>3619</v>
      </c>
      <c r="B17" s="133">
        <v>-416982.33000000007</v>
      </c>
      <c r="C17" s="133"/>
      <c r="D17" s="133">
        <v>-155432.39000000001</v>
      </c>
      <c r="E17" s="133"/>
      <c r="F17" s="133">
        <v>0</v>
      </c>
      <c r="G17" s="133"/>
      <c r="H17" s="133">
        <v>0</v>
      </c>
      <c r="I17" s="133"/>
      <c r="J17" s="136">
        <v>0</v>
      </c>
      <c r="K17" s="133"/>
      <c r="L17" s="133">
        <v>0</v>
      </c>
      <c r="M17" s="133"/>
      <c r="N17" s="133">
        <v>0</v>
      </c>
      <c r="O17" s="133"/>
      <c r="P17" s="133">
        <v>0</v>
      </c>
      <c r="Q17" s="133"/>
      <c r="R17" s="133">
        <f t="shared" si="0"/>
        <v>-572414.72000000009</v>
      </c>
      <c r="S17" s="136"/>
      <c r="T17" s="136"/>
      <c r="U17" s="136"/>
    </row>
    <row r="18" spans="1:21" x14ac:dyDescent="0.2">
      <c r="A18" s="131" t="s">
        <v>3620</v>
      </c>
      <c r="B18" s="133">
        <v>-7559311.7200000007</v>
      </c>
      <c r="C18" s="133"/>
      <c r="D18" s="133">
        <v>-276272.90999999997</v>
      </c>
      <c r="E18" s="133"/>
      <c r="F18" s="133">
        <v>3607.81</v>
      </c>
      <c r="G18" s="133"/>
      <c r="H18" s="133">
        <v>0</v>
      </c>
      <c r="I18" s="133"/>
      <c r="J18" s="136">
        <v>0</v>
      </c>
      <c r="K18" s="133"/>
      <c r="L18" s="133">
        <v>323.85000000000002</v>
      </c>
      <c r="M18" s="133"/>
      <c r="N18" s="133">
        <v>0</v>
      </c>
      <c r="O18" s="133"/>
      <c r="P18" s="133">
        <v>0</v>
      </c>
      <c r="Q18" s="133"/>
      <c r="R18" s="133">
        <f t="shared" si="0"/>
        <v>-7831652.9700000016</v>
      </c>
      <c r="S18" s="136"/>
      <c r="T18" s="136"/>
      <c r="U18" s="136"/>
    </row>
    <row r="19" spans="1:21" x14ac:dyDescent="0.2">
      <c r="A19" s="131" t="s">
        <v>3621</v>
      </c>
      <c r="B19" s="133">
        <v>-5236689.7200000007</v>
      </c>
      <c r="C19" s="133"/>
      <c r="D19" s="133">
        <v>-245737.86</v>
      </c>
      <c r="E19" s="133"/>
      <c r="F19" s="133">
        <v>0</v>
      </c>
      <c r="G19" s="133"/>
      <c r="H19" s="133">
        <v>0</v>
      </c>
      <c r="I19" s="133"/>
      <c r="J19" s="136">
        <v>0</v>
      </c>
      <c r="K19" s="133"/>
      <c r="L19" s="133">
        <v>0</v>
      </c>
      <c r="M19" s="133"/>
      <c r="N19" s="133">
        <v>0</v>
      </c>
      <c r="O19" s="133"/>
      <c r="P19" s="133">
        <v>0</v>
      </c>
      <c r="Q19" s="133"/>
      <c r="R19" s="133">
        <f t="shared" si="0"/>
        <v>-5482427.580000001</v>
      </c>
      <c r="S19" s="136"/>
      <c r="T19" s="136"/>
      <c r="U19" s="136"/>
    </row>
    <row r="20" spans="1:21" x14ac:dyDescent="0.2">
      <c r="A20" s="131" t="s">
        <v>3622</v>
      </c>
      <c r="B20" s="133">
        <v>-1677340.9300000002</v>
      </c>
      <c r="C20" s="133"/>
      <c r="D20" s="133">
        <v>-407309.58</v>
      </c>
      <c r="E20" s="133"/>
      <c r="F20" s="133">
        <v>0</v>
      </c>
      <c r="G20" s="133"/>
      <c r="H20" s="133">
        <v>0</v>
      </c>
      <c r="I20" s="133"/>
      <c r="J20" s="136">
        <v>0</v>
      </c>
      <c r="K20" s="133"/>
      <c r="L20" s="133">
        <v>0</v>
      </c>
      <c r="M20" s="133"/>
      <c r="N20" s="133">
        <v>0</v>
      </c>
      <c r="O20" s="133"/>
      <c r="P20" s="133">
        <v>0</v>
      </c>
      <c r="Q20" s="133"/>
      <c r="R20" s="133">
        <f t="shared" si="0"/>
        <v>-2084650.5100000002</v>
      </c>
      <c r="S20" s="136"/>
      <c r="T20" s="136"/>
      <c r="U20" s="136"/>
    </row>
    <row r="21" spans="1:21" x14ac:dyDescent="0.2">
      <c r="A21" s="131" t="s">
        <v>3623</v>
      </c>
      <c r="B21" s="151">
        <v>-3497382.27</v>
      </c>
      <c r="C21" s="133"/>
      <c r="D21" s="133">
        <v>-183989.76000000001</v>
      </c>
      <c r="E21" s="133"/>
      <c r="F21" s="151">
        <v>0</v>
      </c>
      <c r="G21" s="133"/>
      <c r="H21" s="151">
        <v>0</v>
      </c>
      <c r="I21" s="133"/>
      <c r="J21" s="136">
        <v>0</v>
      </c>
      <c r="K21" s="133"/>
      <c r="L21" s="151">
        <v>0</v>
      </c>
      <c r="M21" s="133"/>
      <c r="N21" s="151">
        <v>0</v>
      </c>
      <c r="O21" s="133"/>
      <c r="P21" s="151">
        <v>0</v>
      </c>
      <c r="Q21" s="133"/>
      <c r="R21" s="151">
        <f t="shared" si="0"/>
        <v>-3681372.0300000003</v>
      </c>
      <c r="S21" s="136"/>
      <c r="T21" s="136"/>
      <c r="U21" s="136"/>
    </row>
    <row r="22" spans="1:21" x14ac:dyDescent="0.2">
      <c r="B22" s="133">
        <f>SUM(B15:B21)</f>
        <v>-18726513.720000003</v>
      </c>
      <c r="C22" s="133"/>
      <c r="D22" s="150">
        <f>SUM(D15:D21)</f>
        <v>-1277374.58</v>
      </c>
      <c r="E22" s="133"/>
      <c r="F22" s="150">
        <f>SUM(F15:F21)</f>
        <v>3607.81</v>
      </c>
      <c r="G22" s="133"/>
      <c r="H22" s="150">
        <f>SUM(H15:H21)</f>
        <v>0</v>
      </c>
      <c r="I22" s="133"/>
      <c r="J22" s="150">
        <f>SUM(J15:J21)</f>
        <v>0</v>
      </c>
      <c r="K22" s="133"/>
      <c r="L22" s="150">
        <f>SUM(L15:L21)</f>
        <v>323.85000000000002</v>
      </c>
      <c r="M22" s="133"/>
      <c r="N22" s="150">
        <f>SUM(N15:N21)</f>
        <v>0</v>
      </c>
      <c r="O22" s="133"/>
      <c r="P22" s="150">
        <f>SUM(P15:P21)</f>
        <v>0</v>
      </c>
      <c r="Q22" s="133"/>
      <c r="R22" s="133">
        <f>SUM(R15:R21)</f>
        <v>-19999956.640000001</v>
      </c>
      <c r="S22" s="133"/>
      <c r="T22" s="136"/>
      <c r="U22" s="136"/>
    </row>
    <row r="23" spans="1:21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6"/>
      <c r="U23" s="136"/>
    </row>
    <row r="24" spans="1:21" x14ac:dyDescent="0.2">
      <c r="B24" s="136"/>
      <c r="C24" s="133"/>
      <c r="D24" s="136"/>
      <c r="E24" s="133"/>
      <c r="F24" s="136"/>
      <c r="G24" s="133"/>
      <c r="H24" s="136"/>
      <c r="I24" s="133"/>
      <c r="J24" s="136"/>
      <c r="K24" s="133"/>
      <c r="L24" s="136"/>
      <c r="M24" s="133"/>
      <c r="N24" s="136"/>
      <c r="O24" s="133"/>
      <c r="P24" s="136"/>
      <c r="Q24" s="133"/>
      <c r="R24" s="136"/>
      <c r="S24" s="136"/>
      <c r="T24" s="136"/>
      <c r="U24" s="136"/>
    </row>
    <row r="25" spans="1:21" ht="13.5" thickBot="1" x14ac:dyDescent="0.25">
      <c r="A25" s="9" t="s">
        <v>3518</v>
      </c>
      <c r="B25" s="141">
        <f>B22+B11</f>
        <v>-18726513.720000003</v>
      </c>
      <c r="C25" s="133"/>
      <c r="D25" s="141">
        <f>D22+D11</f>
        <v>-1277374.58</v>
      </c>
      <c r="E25" s="133"/>
      <c r="F25" s="141">
        <f>F22+F11</f>
        <v>3607.81</v>
      </c>
      <c r="G25" s="133"/>
      <c r="H25" s="141">
        <f>H22+H11</f>
        <v>0</v>
      </c>
      <c r="I25" s="133"/>
      <c r="J25" s="141">
        <f>J22+J11</f>
        <v>0</v>
      </c>
      <c r="K25" s="133"/>
      <c r="L25" s="141">
        <f>L22+L11</f>
        <v>323.85000000000002</v>
      </c>
      <c r="M25" s="133"/>
      <c r="N25" s="141">
        <f>N22+N11</f>
        <v>0</v>
      </c>
      <c r="O25" s="133"/>
      <c r="P25" s="141">
        <f>P22+P11</f>
        <v>0</v>
      </c>
      <c r="Q25" s="133"/>
      <c r="R25" s="141">
        <f>R22+R11</f>
        <v>-19999956.640000001</v>
      </c>
      <c r="S25" s="136"/>
      <c r="T25" s="136"/>
      <c r="U25" s="136"/>
    </row>
    <row r="26" spans="1:21" ht="13.5" thickTop="1" x14ac:dyDescent="0.2">
      <c r="B26" s="147"/>
      <c r="C26" s="148"/>
      <c r="D26" s="147"/>
      <c r="E26" s="148"/>
      <c r="F26" s="147"/>
      <c r="G26" s="148"/>
      <c r="H26" s="147"/>
      <c r="I26" s="148"/>
      <c r="J26" s="147"/>
      <c r="K26" s="148"/>
      <c r="L26" s="147"/>
      <c r="M26" s="148"/>
      <c r="N26" s="147"/>
      <c r="O26" s="148"/>
      <c r="P26" s="147"/>
      <c r="Q26" s="148"/>
      <c r="R26" s="147"/>
    </row>
    <row r="28" spans="1:21" x14ac:dyDescent="0.2">
      <c r="A28" s="9" t="s">
        <v>30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29"/>
      <c r="T28" s="29"/>
      <c r="U28" s="29"/>
    </row>
    <row r="29" spans="1:21" x14ac:dyDescent="0.2">
      <c r="A29" s="131" t="s">
        <v>3624</v>
      </c>
      <c r="B29" s="136">
        <v>-162210.00999999998</v>
      </c>
      <c r="C29" s="133"/>
      <c r="D29" s="133">
        <v>-27994.17</v>
      </c>
      <c r="E29" s="133"/>
      <c r="F29" s="133">
        <v>0</v>
      </c>
      <c r="G29" s="133"/>
      <c r="H29" s="133">
        <v>0</v>
      </c>
      <c r="I29" s="133"/>
      <c r="J29" s="133">
        <v>0</v>
      </c>
      <c r="K29" s="133"/>
      <c r="L29" s="133">
        <v>0</v>
      </c>
      <c r="M29" s="133"/>
      <c r="N29" s="133">
        <v>0</v>
      </c>
      <c r="O29" s="133"/>
      <c r="P29" s="133">
        <v>0</v>
      </c>
      <c r="Q29" s="133"/>
      <c r="R29" s="136">
        <f t="shared" ref="R29:R35" si="1">SUM(B29:P29)</f>
        <v>-190204.18</v>
      </c>
      <c r="S29" s="29"/>
      <c r="T29" s="29"/>
      <c r="U29" s="29"/>
    </row>
    <row r="30" spans="1:21" x14ac:dyDescent="0.2">
      <c r="A30" s="131" t="s">
        <v>3625</v>
      </c>
      <c r="B30" s="136">
        <v>-323673.01000000013</v>
      </c>
      <c r="C30" s="133"/>
      <c r="D30" s="133">
        <v>-33662.28</v>
      </c>
      <c r="E30" s="133"/>
      <c r="F30" s="133">
        <v>3197.75</v>
      </c>
      <c r="G30" s="133"/>
      <c r="H30" s="133">
        <v>0</v>
      </c>
      <c r="I30" s="133"/>
      <c r="J30" s="133">
        <v>0</v>
      </c>
      <c r="K30" s="133"/>
      <c r="L30" s="133">
        <v>816.42</v>
      </c>
      <c r="M30" s="133"/>
      <c r="N30" s="133">
        <v>0</v>
      </c>
      <c r="O30" s="133"/>
      <c r="P30" s="133">
        <v>0</v>
      </c>
      <c r="Q30" s="133"/>
      <c r="R30" s="136">
        <f t="shared" si="1"/>
        <v>-353321.12000000017</v>
      </c>
      <c r="S30" s="29"/>
      <c r="T30" s="29"/>
      <c r="U30" s="29"/>
    </row>
    <row r="31" spans="1:21" x14ac:dyDescent="0.2">
      <c r="A31" s="131" t="s">
        <v>3626</v>
      </c>
      <c r="B31" s="136">
        <v>0</v>
      </c>
      <c r="C31" s="133"/>
      <c r="D31" s="133">
        <v>0</v>
      </c>
      <c r="E31" s="133"/>
      <c r="F31" s="133">
        <v>0</v>
      </c>
      <c r="G31" s="133"/>
      <c r="H31" s="133">
        <v>0</v>
      </c>
      <c r="I31" s="133"/>
      <c r="J31" s="133">
        <v>0</v>
      </c>
      <c r="K31" s="133"/>
      <c r="L31" s="133">
        <v>0</v>
      </c>
      <c r="M31" s="133"/>
      <c r="N31" s="133">
        <v>0</v>
      </c>
      <c r="O31" s="133"/>
      <c r="P31" s="133">
        <v>0</v>
      </c>
      <c r="Q31" s="133"/>
      <c r="R31" s="136">
        <f t="shared" si="1"/>
        <v>0</v>
      </c>
      <c r="S31" s="29"/>
      <c r="T31" s="29"/>
      <c r="U31" s="29"/>
    </row>
    <row r="32" spans="1:21" x14ac:dyDescent="0.2">
      <c r="A32" s="131" t="s">
        <v>3627</v>
      </c>
      <c r="B32" s="136">
        <v>-306532.18999999994</v>
      </c>
      <c r="C32" s="133"/>
      <c r="D32" s="133">
        <v>-79054.080000000002</v>
      </c>
      <c r="E32" s="133"/>
      <c r="F32" s="133">
        <v>24744.79</v>
      </c>
      <c r="G32" s="133"/>
      <c r="H32" s="133">
        <v>0</v>
      </c>
      <c r="I32" s="133"/>
      <c r="J32" s="133">
        <v>0</v>
      </c>
      <c r="K32" s="133"/>
      <c r="L32" s="133">
        <v>6317.61</v>
      </c>
      <c r="M32" s="133"/>
      <c r="N32" s="133">
        <v>0</v>
      </c>
      <c r="O32" s="133"/>
      <c r="P32" s="133">
        <v>0</v>
      </c>
      <c r="Q32" s="133"/>
      <c r="R32" s="136">
        <f t="shared" si="1"/>
        <v>-354523.87</v>
      </c>
      <c r="S32" s="29"/>
      <c r="T32" s="29"/>
      <c r="U32" s="29"/>
    </row>
    <row r="33" spans="1:21" x14ac:dyDescent="0.2">
      <c r="A33" s="131" t="s">
        <v>3628</v>
      </c>
      <c r="B33" s="136">
        <v>-797923.42999999993</v>
      </c>
      <c r="C33" s="133"/>
      <c r="D33" s="133">
        <v>-96172.05</v>
      </c>
      <c r="E33" s="133"/>
      <c r="F33" s="133">
        <v>502.11</v>
      </c>
      <c r="G33" s="133"/>
      <c r="H33" s="133">
        <v>0</v>
      </c>
      <c r="I33" s="133"/>
      <c r="J33" s="133">
        <v>0</v>
      </c>
      <c r="K33" s="133"/>
      <c r="L33" s="133">
        <v>1136.53</v>
      </c>
      <c r="M33" s="133"/>
      <c r="N33" s="133">
        <v>0</v>
      </c>
      <c r="O33" s="133"/>
      <c r="P33" s="133">
        <v>0</v>
      </c>
      <c r="Q33" s="133"/>
      <c r="R33" s="136">
        <f>SUM(B33:P33)</f>
        <v>-892456.84</v>
      </c>
      <c r="S33" s="29"/>
      <c r="T33" s="29"/>
      <c r="U33" s="29"/>
    </row>
    <row r="34" spans="1:21" x14ac:dyDescent="0.2">
      <c r="A34" s="131" t="s">
        <v>3560</v>
      </c>
      <c r="B34" s="136">
        <v>0</v>
      </c>
      <c r="C34" s="133"/>
      <c r="D34" s="133">
        <v>0</v>
      </c>
      <c r="E34" s="133"/>
      <c r="F34" s="133">
        <v>0</v>
      </c>
      <c r="G34" s="133"/>
      <c r="H34" s="133">
        <v>0</v>
      </c>
      <c r="I34" s="133"/>
      <c r="J34" s="133">
        <v>0</v>
      </c>
      <c r="K34" s="133"/>
      <c r="L34" s="133">
        <v>0</v>
      </c>
      <c r="M34" s="133"/>
      <c r="N34" s="133">
        <v>0</v>
      </c>
      <c r="O34" s="133"/>
      <c r="P34" s="133">
        <v>0</v>
      </c>
      <c r="Q34" s="133"/>
      <c r="R34" s="136">
        <f t="shared" si="1"/>
        <v>0</v>
      </c>
      <c r="S34" s="29"/>
      <c r="T34" s="29"/>
      <c r="U34" s="29"/>
    </row>
    <row r="35" spans="1:21" x14ac:dyDescent="0.2">
      <c r="A35" s="131" t="s">
        <v>3629</v>
      </c>
      <c r="B35" s="151">
        <v>-95810.680000000008</v>
      </c>
      <c r="C35" s="133"/>
      <c r="D35" s="133">
        <v>-46675.040000000001</v>
      </c>
      <c r="E35" s="133"/>
      <c r="F35" s="133">
        <v>0</v>
      </c>
      <c r="G35" s="133"/>
      <c r="H35" s="133">
        <v>0</v>
      </c>
      <c r="I35" s="133"/>
      <c r="J35" s="133">
        <v>0</v>
      </c>
      <c r="K35" s="133"/>
      <c r="L35" s="133">
        <v>0</v>
      </c>
      <c r="M35" s="133"/>
      <c r="N35" s="133">
        <v>0</v>
      </c>
      <c r="O35" s="133"/>
      <c r="P35" s="133">
        <v>0</v>
      </c>
      <c r="Q35" s="133"/>
      <c r="R35" s="151">
        <f t="shared" si="1"/>
        <v>-142485.72</v>
      </c>
      <c r="S35" s="29"/>
      <c r="T35" s="29"/>
      <c r="U35" s="29"/>
    </row>
    <row r="36" spans="1:21" x14ac:dyDescent="0.2">
      <c r="B36" s="37">
        <f>SUM(B29:B35)</f>
        <v>-1686149.32</v>
      </c>
      <c r="D36" s="113">
        <f>SUM(D29:D35)</f>
        <v>-283557.62</v>
      </c>
      <c r="F36" s="113">
        <f>SUM(F29:F35)</f>
        <v>28444.65</v>
      </c>
      <c r="H36" s="113">
        <f>SUM(H29:H35)</f>
        <v>0</v>
      </c>
      <c r="J36" s="113">
        <f>SUM(J29:J35)</f>
        <v>0</v>
      </c>
      <c r="L36" s="113">
        <f>SUM(L29:L35)</f>
        <v>8270.56</v>
      </c>
      <c r="N36" s="113">
        <f>SUM(N29:N35)</f>
        <v>0</v>
      </c>
      <c r="P36" s="113">
        <f>SUM(P29:P35)</f>
        <v>0</v>
      </c>
      <c r="R36" s="37">
        <f>SUM(R29:R35)</f>
        <v>-1932991.7300000002</v>
      </c>
    </row>
    <row r="39" spans="1:21" ht="13.5" thickBot="1" x14ac:dyDescent="0.25">
      <c r="A39" s="9" t="s">
        <v>3569</v>
      </c>
      <c r="B39" s="141">
        <f>B36+B24</f>
        <v>-1686149.32</v>
      </c>
      <c r="C39" s="133"/>
      <c r="D39" s="141">
        <f>D36+D24</f>
        <v>-283557.62</v>
      </c>
      <c r="E39" s="133"/>
      <c r="F39" s="141">
        <f>F36+F24</f>
        <v>28444.65</v>
      </c>
      <c r="G39" s="133"/>
      <c r="H39" s="141">
        <f>H36+H24</f>
        <v>0</v>
      </c>
      <c r="I39" s="133"/>
      <c r="J39" s="141">
        <f>J36+J24</f>
        <v>0</v>
      </c>
      <c r="K39" s="133"/>
      <c r="L39" s="141">
        <f>L36+L24</f>
        <v>8270.56</v>
      </c>
      <c r="M39" s="133"/>
      <c r="N39" s="141">
        <f>N36+N24</f>
        <v>0</v>
      </c>
      <c r="O39" s="133"/>
      <c r="P39" s="141">
        <f>P36+P24</f>
        <v>0</v>
      </c>
      <c r="Q39" s="133"/>
      <c r="R39" s="141">
        <f>R36+R24</f>
        <v>-1932991.7300000002</v>
      </c>
      <c r="S39" s="136"/>
      <c r="T39" s="136"/>
      <c r="U39" s="136"/>
    </row>
    <row r="40" spans="1:21" ht="13.5" thickTop="1" x14ac:dyDescent="0.2"/>
    <row r="42" spans="1:21" x14ac:dyDescent="0.2">
      <c r="A42" s="9" t="s">
        <v>14</v>
      </c>
    </row>
    <row r="43" spans="1:21" x14ac:dyDescent="0.2">
      <c r="A43" s="3" t="s">
        <v>3630</v>
      </c>
      <c r="B43" s="136">
        <v>15403.0999999999</v>
      </c>
      <c r="C43" s="133"/>
      <c r="D43" s="133">
        <v>-5181.6000000000004</v>
      </c>
      <c r="E43" s="133"/>
      <c r="F43" s="133">
        <v>0</v>
      </c>
      <c r="G43" s="133"/>
      <c r="H43" s="133">
        <v>0</v>
      </c>
      <c r="I43" s="133"/>
      <c r="J43" s="136">
        <v>0</v>
      </c>
      <c r="K43" s="133"/>
      <c r="L43" s="133">
        <v>0</v>
      </c>
      <c r="M43" s="133"/>
      <c r="N43" s="133">
        <v>0</v>
      </c>
      <c r="O43" s="133"/>
      <c r="P43" s="133">
        <v>0</v>
      </c>
      <c r="Q43" s="133"/>
      <c r="R43" s="136">
        <f>SUM(B43:P43)</f>
        <v>10221.4999999999</v>
      </c>
      <c r="S43" s="136"/>
    </row>
    <row r="44" spans="1:21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1:21" x14ac:dyDescent="0.2">
      <c r="B45" s="136"/>
      <c r="C45" s="133"/>
      <c r="D45" s="136"/>
      <c r="E45" s="133"/>
      <c r="F45" s="136"/>
      <c r="G45" s="133"/>
      <c r="H45" s="136"/>
      <c r="I45" s="133"/>
      <c r="J45" s="136"/>
      <c r="K45" s="133"/>
      <c r="L45" s="136"/>
      <c r="M45" s="133"/>
      <c r="N45" s="136"/>
      <c r="O45" s="133"/>
      <c r="P45" s="136"/>
      <c r="Q45" s="133"/>
      <c r="R45" s="136"/>
      <c r="S45" s="136"/>
    </row>
    <row r="46" spans="1:21" ht="13.5" thickBot="1" x14ac:dyDescent="0.25">
      <c r="A46" s="9" t="s">
        <v>3607</v>
      </c>
      <c r="B46" s="141">
        <f>B43</f>
        <v>15403.0999999999</v>
      </c>
      <c r="C46" s="133"/>
      <c r="D46" s="141">
        <f>D43</f>
        <v>-5181.6000000000004</v>
      </c>
      <c r="E46" s="133"/>
      <c r="F46" s="141">
        <f>F43</f>
        <v>0</v>
      </c>
      <c r="G46" s="133"/>
      <c r="H46" s="141">
        <f>H43</f>
        <v>0</v>
      </c>
      <c r="I46" s="133"/>
      <c r="J46" s="141">
        <f>J43</f>
        <v>0</v>
      </c>
      <c r="K46" s="133"/>
      <c r="L46" s="141">
        <f>L43</f>
        <v>0</v>
      </c>
      <c r="M46" s="133"/>
      <c r="N46" s="141">
        <f>N43</f>
        <v>0</v>
      </c>
      <c r="O46" s="133"/>
      <c r="P46" s="141">
        <f>P43</f>
        <v>0</v>
      </c>
      <c r="Q46" s="133"/>
      <c r="R46" s="141">
        <f>R43</f>
        <v>10221.4999999999</v>
      </c>
      <c r="S46" s="136"/>
    </row>
    <row r="47" spans="1:21" ht="13.5" thickTop="1" x14ac:dyDescent="0.2"/>
    <row r="50" spans="1:18" ht="13.5" thickBot="1" x14ac:dyDescent="0.25">
      <c r="A50" s="9" t="s">
        <v>3631</v>
      </c>
      <c r="B50" s="94">
        <f>B39+B25+B46</f>
        <v>-20397259.940000001</v>
      </c>
      <c r="D50" s="94">
        <f>D39+D25+D46</f>
        <v>-1566113.8000000003</v>
      </c>
      <c r="F50" s="94">
        <f>F39+F25+F46</f>
        <v>32052.460000000003</v>
      </c>
      <c r="H50" s="94">
        <f>H39+H25+H46</f>
        <v>0</v>
      </c>
      <c r="J50" s="94">
        <f>J39+J25+J46</f>
        <v>0</v>
      </c>
      <c r="L50" s="94">
        <f>L39+L25+L46</f>
        <v>8594.41</v>
      </c>
      <c r="N50" s="94">
        <f>N39+N25+N46</f>
        <v>0</v>
      </c>
      <c r="P50" s="94">
        <f>P39+P25+P46</f>
        <v>0</v>
      </c>
      <c r="R50" s="94">
        <f>R39+R25+R46</f>
        <v>-21922726.870000001</v>
      </c>
    </row>
    <row r="51" spans="1:18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 tint="0.39997558519241921"/>
  </sheetPr>
  <dimension ref="A1:AB318"/>
  <sheetViews>
    <sheetView zoomScale="80" zoomScaleNormal="80" workbookViewId="0">
      <pane xSplit="2" ySplit="8" topLeftCell="C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8.140625" style="3" customWidth="1"/>
    <col min="2" max="2" width="38.140625" style="3" customWidth="1"/>
    <col min="3" max="3" width="18.7109375" style="3" bestFit="1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8.7109375" style="3" bestFit="1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7.7109375" style="3" customWidth="1"/>
    <col min="18" max="18" width="1.7109375" style="3" customWidth="1"/>
    <col min="19" max="19" width="17.7109375" style="3" customWidth="1"/>
    <col min="20" max="20" width="1.7109375" style="3" customWidth="1"/>
    <col min="21" max="21" width="19.85546875" style="3" bestFit="1" customWidth="1"/>
    <col min="22" max="22" width="2.7109375" style="3" customWidth="1"/>
    <col min="23" max="16384" width="9.140625" style="3"/>
  </cols>
  <sheetData>
    <row r="1" spans="1:2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43"/>
    </row>
    <row r="2" spans="1:22" x14ac:dyDescent="0.2">
      <c r="A2" s="213" t="s">
        <v>3632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143"/>
    </row>
    <row r="3" spans="1:22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145"/>
    </row>
    <row r="4" spans="1:22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6" spans="1:22" x14ac:dyDescent="0.2">
      <c r="C6" s="7" t="s">
        <v>3</v>
      </c>
      <c r="E6" s="14"/>
      <c r="G6" s="14"/>
      <c r="I6" s="7" t="s">
        <v>4</v>
      </c>
      <c r="J6" s="7"/>
      <c r="K6" s="7" t="s">
        <v>66</v>
      </c>
      <c r="M6" s="7" t="s">
        <v>67</v>
      </c>
      <c r="O6" s="17" t="s">
        <v>68</v>
      </c>
      <c r="Q6" s="7"/>
      <c r="S6" s="7" t="s">
        <v>69</v>
      </c>
      <c r="U6" s="7" t="s">
        <v>5</v>
      </c>
      <c r="V6" s="7"/>
    </row>
    <row r="7" spans="1:22" x14ac:dyDescent="0.2">
      <c r="C7" s="11" t="s">
        <v>7</v>
      </c>
      <c r="E7" s="11" t="s">
        <v>70</v>
      </c>
      <c r="G7" s="11" t="s">
        <v>9</v>
      </c>
      <c r="I7" s="11" t="s">
        <v>10</v>
      </c>
      <c r="J7" s="17"/>
      <c r="K7" s="11" t="s">
        <v>71</v>
      </c>
      <c r="M7" s="11" t="s">
        <v>72</v>
      </c>
      <c r="O7" s="11" t="s">
        <v>73</v>
      </c>
      <c r="Q7" s="11" t="s">
        <v>74</v>
      </c>
      <c r="S7" s="11" t="s">
        <v>75</v>
      </c>
      <c r="U7" s="11" t="s">
        <v>7</v>
      </c>
      <c r="V7" s="11"/>
    </row>
    <row r="8" spans="1:22" x14ac:dyDescent="0.2">
      <c r="C8" s="17"/>
      <c r="E8" s="17"/>
      <c r="G8" s="17"/>
      <c r="I8" s="17"/>
      <c r="J8" s="17"/>
      <c r="K8" s="17"/>
      <c r="M8" s="17"/>
      <c r="O8" s="17"/>
      <c r="Q8" s="17"/>
      <c r="S8" s="17"/>
      <c r="U8" s="17"/>
      <c r="V8" s="17"/>
    </row>
    <row r="9" spans="1:22" x14ac:dyDescent="0.2">
      <c r="A9" s="9" t="s">
        <v>76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">
      <c r="B10" s="3" t="s">
        <v>14</v>
      </c>
      <c r="C10" s="16">
        <f>+'Summary - Reserve - PG 2 (Reg)'!C10</f>
        <v>-79973717.86999999</v>
      </c>
      <c r="D10" s="14"/>
      <c r="E10" s="16">
        <f>+'Summary - Reserve - PG 2 (Reg)'!E10</f>
        <v>-8898287.4299999997</v>
      </c>
      <c r="F10" s="14"/>
      <c r="G10" s="16">
        <f>+'Summary - Reserve - PG 2 (Reg)'!G10</f>
        <v>8421276.8100000005</v>
      </c>
      <c r="H10" s="14"/>
      <c r="I10" s="16">
        <f>+'Summary - Reserve - PG 2 (Reg)'!I10</f>
        <v>0</v>
      </c>
      <c r="J10" s="14"/>
      <c r="K10" s="16">
        <f>+'Summary - Reserve - PG 2 (Reg)'!K10</f>
        <v>0</v>
      </c>
      <c r="L10" s="14"/>
      <c r="M10" s="16">
        <f>+'Summary - Reserve - PG 2 (Reg)'!M10</f>
        <v>0</v>
      </c>
      <c r="N10" s="14"/>
      <c r="O10" s="16">
        <f>+'Summary - Reserve - PG 2 (Reg)'!O10</f>
        <v>0</v>
      </c>
      <c r="P10" s="14"/>
      <c r="Q10" s="16">
        <f>+'Summary - Reserve - PG 2 (Reg)'!Q10</f>
        <v>0</v>
      </c>
      <c r="R10" s="14"/>
      <c r="S10" s="16">
        <f>+'Summary - Reserve - PG 2 (Reg)'!S10</f>
        <v>0</v>
      </c>
      <c r="T10" s="14"/>
      <c r="U10" s="14">
        <f t="shared" ref="U10:U32" si="0">S10+Q10+O10+M10+I10+G10+E10+C10</f>
        <v>-80450728.489999995</v>
      </c>
      <c r="V10" s="14"/>
    </row>
    <row r="11" spans="1:22" x14ac:dyDescent="0.2">
      <c r="B11" s="3" t="s">
        <v>77</v>
      </c>
      <c r="C11" s="16">
        <f>+'Summary - Reserve - PG 2 (Reg)'!C11</f>
        <v>0</v>
      </c>
      <c r="D11" s="14"/>
      <c r="E11" s="16">
        <f>+'Summary - Reserve - PG 2 (Reg)'!E11</f>
        <v>0</v>
      </c>
      <c r="F11" s="14"/>
      <c r="G11" s="16">
        <f>+'Summary - Reserve - PG 2 (Reg)'!G11</f>
        <v>0</v>
      </c>
      <c r="H11" s="14"/>
      <c r="I11" s="16">
        <f>+'Summary - Reserve - PG 2 (Reg)'!I11</f>
        <v>0</v>
      </c>
      <c r="J11" s="14"/>
      <c r="K11" s="16">
        <f>+'Summary - Reserve - PG 2 (Reg)'!K11</f>
        <v>0</v>
      </c>
      <c r="L11" s="14"/>
      <c r="M11" s="16">
        <f>+'Summary - Reserve - PG 2 (Reg)'!M11</f>
        <v>0</v>
      </c>
      <c r="N11" s="14"/>
      <c r="O11" s="16">
        <f>+'Summary - Reserve - PG 2 (Reg)'!O11</f>
        <v>0</v>
      </c>
      <c r="P11" s="14"/>
      <c r="Q11" s="16">
        <f>+'Summary - Reserve - PG 2 (Reg)'!Q11</f>
        <v>0</v>
      </c>
      <c r="R11" s="14"/>
      <c r="S11" s="16">
        <f>+'Summary - Reserve - PG 2 (Reg)'!S11</f>
        <v>0</v>
      </c>
      <c r="T11" s="14"/>
      <c r="U11" s="14">
        <f t="shared" si="0"/>
        <v>0</v>
      </c>
      <c r="V11" s="14"/>
    </row>
    <row r="12" spans="1:22" x14ac:dyDescent="0.2">
      <c r="B12" s="3" t="s">
        <v>18</v>
      </c>
      <c r="C12" s="16">
        <f>+'Summary - Reserve - PG 2 (Reg)'!C12</f>
        <v>-356864212.81999999</v>
      </c>
      <c r="D12" s="14"/>
      <c r="E12" s="16">
        <f>+'Summary - Reserve - PG 2 (Reg)'!E12</f>
        <v>-25168934.100000001</v>
      </c>
      <c r="F12" s="14"/>
      <c r="G12" s="16">
        <f>+'Summary - Reserve - PG 2 (Reg)'!G12</f>
        <v>14899000.75</v>
      </c>
      <c r="H12" s="14"/>
      <c r="I12" s="16">
        <f>+'Summary - Reserve - PG 2 (Reg)'!I12</f>
        <v>272159.09000000003</v>
      </c>
      <c r="J12" s="14"/>
      <c r="K12" s="16">
        <f>+'Summary - Reserve - PG 2 (Reg)'!K12</f>
        <v>0</v>
      </c>
      <c r="L12" s="14"/>
      <c r="M12" s="16">
        <f>+'Summary - Reserve - PG 2 (Reg)'!M12</f>
        <v>0</v>
      </c>
      <c r="N12" s="14"/>
      <c r="O12" s="16">
        <f>+'Summary - Reserve - PG 2 (Reg)'!O12</f>
        <v>0</v>
      </c>
      <c r="P12" s="14"/>
      <c r="Q12" s="16">
        <f>+'Summary - Reserve - PG 2 (Reg)'!Q12</f>
        <v>0</v>
      </c>
      <c r="R12" s="14"/>
      <c r="S12" s="16">
        <f>+'Summary - Reserve - PG 2 (Reg)'!S12</f>
        <v>0</v>
      </c>
      <c r="T12" s="14"/>
      <c r="U12" s="14">
        <f t="shared" si="0"/>
        <v>-366861987.07999998</v>
      </c>
      <c r="V12" s="14"/>
    </row>
    <row r="13" spans="1:22" x14ac:dyDescent="0.2">
      <c r="B13" s="3" t="s">
        <v>78</v>
      </c>
      <c r="C13" s="16">
        <f>+'Summary - Reserve - PG 2 (Reg)'!C13</f>
        <v>-50028.710000000065</v>
      </c>
      <c r="D13" s="14"/>
      <c r="E13" s="16">
        <f>+'Summary - Reserve - PG 2 (Reg)'!E13</f>
        <v>-41530.18</v>
      </c>
      <c r="F13" s="14"/>
      <c r="G13" s="16">
        <f>+'Summary - Reserve - PG 2 (Reg)'!G13</f>
        <v>42151.25</v>
      </c>
      <c r="H13" s="14"/>
      <c r="I13" s="16">
        <f>+'Summary - Reserve - PG 2 (Reg)'!I13</f>
        <v>0</v>
      </c>
      <c r="J13" s="14"/>
      <c r="K13" s="16">
        <f>+'Summary - Reserve - PG 2 (Reg)'!K13</f>
        <v>0</v>
      </c>
      <c r="L13" s="14"/>
      <c r="M13" s="16">
        <f>+'Summary - Reserve - PG 2 (Reg)'!M13</f>
        <v>0</v>
      </c>
      <c r="N13" s="14"/>
      <c r="O13" s="16">
        <f>+'Summary - Reserve - PG 2 (Reg)'!O13</f>
        <v>0</v>
      </c>
      <c r="P13" s="14"/>
      <c r="Q13" s="16">
        <f>+'Summary - Reserve - PG 2 (Reg)'!Q13</f>
        <v>0</v>
      </c>
      <c r="R13" s="14"/>
      <c r="S13" s="16">
        <f>+'Summary - Reserve - PG 2 (Reg)'!S13</f>
        <v>0</v>
      </c>
      <c r="T13" s="14"/>
      <c r="U13" s="14">
        <f t="shared" si="0"/>
        <v>-49407.640000000065</v>
      </c>
      <c r="V13" s="14"/>
    </row>
    <row r="14" spans="1:22" x14ac:dyDescent="0.2">
      <c r="B14" s="3" t="s">
        <v>19</v>
      </c>
      <c r="C14" s="16">
        <f>+'Summary - Reserve - PG 2 (Reg)'!C14</f>
        <v>-9041188.5799999982</v>
      </c>
      <c r="D14" s="14"/>
      <c r="E14" s="16">
        <f>+'Summary - Reserve - PG 2 (Reg)'!E14</f>
        <v>-1562744.86</v>
      </c>
      <c r="F14" s="14"/>
      <c r="G14" s="16">
        <f>+'Summary - Reserve - PG 2 (Reg)'!G14</f>
        <v>729805.85</v>
      </c>
      <c r="H14" s="14"/>
      <c r="I14" s="16">
        <f>+'Summary - Reserve - PG 2 (Reg)'!I14</f>
        <v>-16563.850000000009</v>
      </c>
      <c r="J14" s="14"/>
      <c r="K14" s="16">
        <f>+'Summary - Reserve - PG 2 (Reg)'!K14</f>
        <v>0</v>
      </c>
      <c r="L14" s="14"/>
      <c r="M14" s="16">
        <f>+'Summary - Reserve - PG 2 (Reg)'!M14</f>
        <v>0</v>
      </c>
      <c r="N14" s="14"/>
      <c r="O14" s="16">
        <f>+'Summary - Reserve - PG 2 (Reg)'!O14</f>
        <v>0</v>
      </c>
      <c r="P14" s="14"/>
      <c r="Q14" s="16">
        <f>+'Summary - Reserve - PG 2 (Reg)'!Q14</f>
        <v>0</v>
      </c>
      <c r="R14" s="14"/>
      <c r="S14" s="16">
        <f>+'Summary - Reserve - PG 2 (Reg)'!S14</f>
        <v>0</v>
      </c>
      <c r="T14" s="14"/>
      <c r="U14" s="14">
        <f t="shared" si="0"/>
        <v>-9890691.4399999976</v>
      </c>
      <c r="V14" s="14"/>
    </row>
    <row r="15" spans="1:22" x14ac:dyDescent="0.2">
      <c r="B15" s="3" t="s">
        <v>20</v>
      </c>
      <c r="C15" s="16">
        <f>+'Summary - Reserve - PG 2 (Reg)'!C15</f>
        <v>-18574456.290000003</v>
      </c>
      <c r="D15" s="14"/>
      <c r="E15" s="16">
        <f>+'Summary - Reserve - PG 2 (Reg)'!E15</f>
        <v>-3292887.91</v>
      </c>
      <c r="F15" s="14"/>
      <c r="G15" s="16">
        <f>+'Summary - Reserve - PG 2 (Reg)'!G15</f>
        <v>213911.37</v>
      </c>
      <c r="H15" s="14"/>
      <c r="I15" s="16">
        <f>+'Summary - Reserve - PG 2 (Reg)'!I15</f>
        <v>0</v>
      </c>
      <c r="J15" s="14"/>
      <c r="K15" s="16">
        <f>+'Summary - Reserve - PG 2 (Reg)'!K15</f>
        <v>0</v>
      </c>
      <c r="L15" s="14"/>
      <c r="M15" s="16">
        <f>+'Summary - Reserve - PG 2 (Reg)'!M15</f>
        <v>0</v>
      </c>
      <c r="N15" s="14"/>
      <c r="O15" s="16">
        <f>+'Summary - Reserve - PG 2 (Reg)'!O15</f>
        <v>0</v>
      </c>
      <c r="P15" s="14"/>
      <c r="Q15" s="16">
        <f>+'Summary - Reserve - PG 2 (Reg)'!Q15</f>
        <v>0</v>
      </c>
      <c r="R15" s="14"/>
      <c r="S15" s="16">
        <f>+'Summary - Reserve - PG 2 (Reg)'!S15</f>
        <v>0</v>
      </c>
      <c r="T15" s="14"/>
      <c r="U15" s="14">
        <f t="shared" si="0"/>
        <v>-21653432.830000002</v>
      </c>
      <c r="V15" s="14"/>
    </row>
    <row r="16" spans="1:22" x14ac:dyDescent="0.2">
      <c r="B16" s="3" t="s">
        <v>79</v>
      </c>
      <c r="C16" s="16">
        <f>+'Summary - Reserve - PG 2 (Reg)'!C16</f>
        <v>-10638.64000000001</v>
      </c>
      <c r="D16" s="14"/>
      <c r="E16" s="16">
        <f>+'Summary - Reserve - PG 2 (Reg)'!E16</f>
        <v>-11692.49</v>
      </c>
      <c r="F16" s="14"/>
      <c r="G16" s="16">
        <f>+'Summary - Reserve - PG 2 (Reg)'!G16</f>
        <v>0</v>
      </c>
      <c r="H16" s="14"/>
      <c r="I16" s="16">
        <f>+'Summary - Reserve - PG 2 (Reg)'!I16</f>
        <v>0</v>
      </c>
      <c r="J16" s="14"/>
      <c r="K16" s="16">
        <f>+'Summary - Reserve - PG 2 (Reg)'!K16</f>
        <v>0</v>
      </c>
      <c r="L16" s="14"/>
      <c r="M16" s="16">
        <f>+'Summary - Reserve - PG 2 (Reg)'!M16</f>
        <v>0</v>
      </c>
      <c r="N16" s="14"/>
      <c r="O16" s="16">
        <f>+'Summary - Reserve - PG 2 (Reg)'!O16</f>
        <v>0</v>
      </c>
      <c r="P16" s="14"/>
      <c r="Q16" s="16">
        <f>+'Summary - Reserve - PG 2 (Reg)'!Q16</f>
        <v>0</v>
      </c>
      <c r="R16" s="14"/>
      <c r="S16" s="16">
        <f>+'Summary - Reserve - PG 2 (Reg)'!S16</f>
        <v>0</v>
      </c>
      <c r="T16" s="14"/>
      <c r="U16" s="14">
        <f t="shared" si="0"/>
        <v>-22331.130000000012</v>
      </c>
      <c r="V16" s="14"/>
    </row>
    <row r="17" spans="2:22" x14ac:dyDescent="0.2">
      <c r="B17" s="3" t="s">
        <v>22</v>
      </c>
      <c r="C17" s="16">
        <f>+'Summary - Reserve - PG 2 (Reg)'!C17</f>
        <v>-117132945.51000001</v>
      </c>
      <c r="D17" s="14"/>
      <c r="E17" s="16">
        <f>+'Summary - Reserve - PG 2 (Reg)'!E17</f>
        <v>-14397266.35</v>
      </c>
      <c r="F17" s="14"/>
      <c r="G17" s="16">
        <f>+'Summary - Reserve - PG 2 (Reg)'!G17</f>
        <v>1242800.1399999999</v>
      </c>
      <c r="H17" s="14"/>
      <c r="I17" s="16">
        <f>+'Summary - Reserve - PG 2 (Reg)'!I17</f>
        <v>0</v>
      </c>
      <c r="J17" s="14"/>
      <c r="K17" s="16">
        <f>+'Summary - Reserve - PG 2 (Reg)'!K17</f>
        <v>0</v>
      </c>
      <c r="L17" s="14"/>
      <c r="M17" s="16">
        <f>+'Summary - Reserve - PG 2 (Reg)'!M17</f>
        <v>0</v>
      </c>
      <c r="N17" s="14"/>
      <c r="O17" s="16">
        <f>+'Summary - Reserve - PG 2 (Reg)'!O17</f>
        <v>0</v>
      </c>
      <c r="P17" s="14"/>
      <c r="Q17" s="16">
        <f>+'Summary - Reserve - PG 2 (Reg)'!Q17</f>
        <v>0</v>
      </c>
      <c r="R17" s="14"/>
      <c r="S17" s="16">
        <f>+'Summary - Reserve - PG 2 (Reg)'!S17</f>
        <v>0</v>
      </c>
      <c r="T17" s="14"/>
      <c r="U17" s="14">
        <f t="shared" si="0"/>
        <v>-130287411.72</v>
      </c>
      <c r="V17" s="14"/>
    </row>
    <row r="18" spans="2:22" x14ac:dyDescent="0.2">
      <c r="B18" s="3" t="s">
        <v>80</v>
      </c>
      <c r="C18" s="16">
        <f>+'Summary - Reserve - PG 2 (Reg)'!C18</f>
        <v>-8977.0100000001239</v>
      </c>
      <c r="D18" s="14"/>
      <c r="E18" s="16">
        <f>+'Summary - Reserve - PG 2 (Reg)'!E18</f>
        <v>-4641.8</v>
      </c>
      <c r="F18" s="14"/>
      <c r="G18" s="16">
        <f>+'Summary - Reserve - PG 2 (Reg)'!G18</f>
        <v>0</v>
      </c>
      <c r="H18" s="14"/>
      <c r="I18" s="16">
        <f>+'Summary - Reserve - PG 2 (Reg)'!I18</f>
        <v>0</v>
      </c>
      <c r="J18" s="14"/>
      <c r="K18" s="16">
        <f>+'Summary - Reserve - PG 2 (Reg)'!K18</f>
        <v>0</v>
      </c>
      <c r="L18" s="14"/>
      <c r="M18" s="16">
        <f>+'Summary - Reserve - PG 2 (Reg)'!M18</f>
        <v>0</v>
      </c>
      <c r="N18" s="14"/>
      <c r="O18" s="16">
        <f>+'Summary - Reserve - PG 2 (Reg)'!O18</f>
        <v>0</v>
      </c>
      <c r="P18" s="14"/>
      <c r="Q18" s="16">
        <f>+'Summary - Reserve - PG 2 (Reg)'!Q18</f>
        <v>0</v>
      </c>
      <c r="R18" s="14"/>
      <c r="S18" s="16">
        <f>+'Summary - Reserve - PG 2 (Reg)'!S18</f>
        <v>0</v>
      </c>
      <c r="T18" s="14"/>
      <c r="U18" s="14">
        <f>S18+Q18+O18+M18+I18+G18+E18+C18</f>
        <v>-13618.810000000125</v>
      </c>
      <c r="V18" s="14"/>
    </row>
    <row r="19" spans="2:22" x14ac:dyDescent="0.2">
      <c r="B19" s="3" t="s">
        <v>23</v>
      </c>
      <c r="C19" s="16">
        <f>+'Summary - Reserve - PG 2 (Reg)'!C19</f>
        <v>-734670837.12</v>
      </c>
      <c r="D19" s="14"/>
      <c r="E19" s="16">
        <f>+'Summary - Reserve - PG 2 (Reg)'!E19</f>
        <v>-62601524.93</v>
      </c>
      <c r="F19" s="14"/>
      <c r="G19" s="16">
        <f>+'Summary - Reserve - PG 2 (Reg)'!G19</f>
        <v>14736965.74</v>
      </c>
      <c r="H19" s="14"/>
      <c r="I19" s="16">
        <f>+'Summary - Reserve - PG 2 (Reg)'!I19</f>
        <v>0</v>
      </c>
      <c r="J19" s="14"/>
      <c r="K19" s="16">
        <f>+'Summary - Reserve - PG 2 (Reg)'!K19</f>
        <v>0</v>
      </c>
      <c r="L19" s="14"/>
      <c r="M19" s="16">
        <f>+'Summary - Reserve - PG 2 (Reg)'!M19</f>
        <v>0</v>
      </c>
      <c r="N19" s="14"/>
      <c r="O19" s="16">
        <f>+'Summary - Reserve - PG 2 (Reg)'!O19</f>
        <v>0</v>
      </c>
      <c r="P19" s="14"/>
      <c r="Q19" s="16">
        <f>+'Summary - Reserve - PG 2 (Reg)'!Q19</f>
        <v>0</v>
      </c>
      <c r="R19" s="14"/>
      <c r="S19" s="16">
        <f>+'Summary - Reserve - PG 2 (Reg)'!S19</f>
        <v>0</v>
      </c>
      <c r="T19" s="14"/>
      <c r="U19" s="14">
        <f>S19+Q19+O19+M19+I19+G19+E19+C19</f>
        <v>-782535396.30999994</v>
      </c>
      <c r="V19" s="14"/>
    </row>
    <row r="20" spans="2:22" x14ac:dyDescent="0.2">
      <c r="B20" s="3" t="s">
        <v>81</v>
      </c>
      <c r="C20" s="16">
        <f>+'Summary - Reserve - PG 2 (Reg)'!C20</f>
        <v>-39822147.699999996</v>
      </c>
      <c r="D20" s="14"/>
      <c r="E20" s="16">
        <f>+'Summary - Reserve - PG 2 (Reg)'!E20</f>
        <v>-17008435.280000001</v>
      </c>
      <c r="F20" s="14"/>
      <c r="G20" s="16">
        <f>+'Summary - Reserve - PG 2 (Reg)'!G20</f>
        <v>20817965.800000001</v>
      </c>
      <c r="H20" s="14"/>
      <c r="I20" s="16">
        <f>+'Summary - Reserve - PG 2 (Reg)'!I20</f>
        <v>0</v>
      </c>
      <c r="J20" s="14"/>
      <c r="K20" s="16">
        <f>+'Summary - Reserve - PG 2 (Reg)'!K20</f>
        <v>0</v>
      </c>
      <c r="L20" s="14"/>
      <c r="M20" s="16">
        <f>+'Summary - Reserve - PG 2 (Reg)'!M20</f>
        <v>0</v>
      </c>
      <c r="N20" s="14"/>
      <c r="O20" s="16">
        <f>+'Summary - Reserve - PG 2 (Reg)'!O20</f>
        <v>0</v>
      </c>
      <c r="P20" s="14"/>
      <c r="Q20" s="16">
        <f>+'Summary - Reserve - PG 2 (Reg)'!Q20</f>
        <v>0</v>
      </c>
      <c r="R20" s="14"/>
      <c r="S20" s="16">
        <f>+'Summary - Reserve - PG 2 (Reg)'!S20</f>
        <v>0</v>
      </c>
      <c r="T20" s="14"/>
      <c r="U20" s="14">
        <f>S20+Q20+O20+M20+I20+G20+E20+C20</f>
        <v>-36012617.179999992</v>
      </c>
      <c r="V20" s="14"/>
    </row>
    <row r="21" spans="2:22" x14ac:dyDescent="0.2">
      <c r="B21" s="3" t="s">
        <v>24</v>
      </c>
      <c r="C21" s="16">
        <f>+'Summary - Reserve - PG 2 (Reg)'!C21</f>
        <v>-134905244.73999998</v>
      </c>
      <c r="D21" s="14"/>
      <c r="E21" s="16">
        <f>+'Summary - Reserve - PG 2 (Reg)'!E21</f>
        <v>-6480011.6100000003</v>
      </c>
      <c r="F21" s="14"/>
      <c r="G21" s="16">
        <f>+'Summary - Reserve - PG 2 (Reg)'!G21</f>
        <v>1969135.76</v>
      </c>
      <c r="H21" s="14"/>
      <c r="I21" s="16">
        <f>+'Summary - Reserve - PG 2 (Reg)'!I21</f>
        <v>-272159.09000000003</v>
      </c>
      <c r="J21" s="14"/>
      <c r="K21" s="16">
        <f>+'Summary - Reserve - PG 2 (Reg)'!K21</f>
        <v>0</v>
      </c>
      <c r="L21" s="14"/>
      <c r="M21" s="16">
        <f>+'Summary - Reserve - PG 2 (Reg)'!M21</f>
        <v>0</v>
      </c>
      <c r="N21" s="14"/>
      <c r="O21" s="16">
        <f>+'Summary - Reserve - PG 2 (Reg)'!O21</f>
        <v>0</v>
      </c>
      <c r="P21" s="14"/>
      <c r="Q21" s="16">
        <f>+'Summary - Reserve - PG 2 (Reg)'!Q21</f>
        <v>0</v>
      </c>
      <c r="R21" s="14"/>
      <c r="S21" s="16">
        <f>+'Summary - Reserve - PG 2 (Reg)'!S21</f>
        <v>0</v>
      </c>
      <c r="T21" s="14"/>
      <c r="U21" s="14">
        <f t="shared" si="0"/>
        <v>-139688279.67999998</v>
      </c>
      <c r="V21" s="14"/>
    </row>
    <row r="22" spans="2:22" x14ac:dyDescent="0.2">
      <c r="B22" s="3" t="s">
        <v>82</v>
      </c>
      <c r="C22" s="16">
        <f>+'Summary - Reserve - PG 2 (Reg)'!C22</f>
        <v>-30161.289999999997</v>
      </c>
      <c r="D22" s="14"/>
      <c r="E22" s="16">
        <f>+'Summary - Reserve - PG 2 (Reg)'!E22</f>
        <v>-12858.85</v>
      </c>
      <c r="F22" s="14"/>
      <c r="G22" s="16">
        <f>+'Summary - Reserve - PG 2 (Reg)'!G22</f>
        <v>7370.88</v>
      </c>
      <c r="H22" s="14"/>
      <c r="I22" s="16">
        <f>+'Summary - Reserve - PG 2 (Reg)'!I22</f>
        <v>0</v>
      </c>
      <c r="J22" s="14"/>
      <c r="K22" s="16">
        <f>+'Summary - Reserve - PG 2 (Reg)'!K22</f>
        <v>0</v>
      </c>
      <c r="L22" s="14"/>
      <c r="M22" s="16">
        <f>+'Summary - Reserve - PG 2 (Reg)'!M22</f>
        <v>0</v>
      </c>
      <c r="N22" s="14"/>
      <c r="O22" s="16">
        <f>+'Summary - Reserve - PG 2 (Reg)'!O22</f>
        <v>0</v>
      </c>
      <c r="P22" s="14"/>
      <c r="Q22" s="16">
        <f>+'Summary - Reserve - PG 2 (Reg)'!Q22</f>
        <v>0</v>
      </c>
      <c r="R22" s="14"/>
      <c r="S22" s="16">
        <f>+'Summary - Reserve - PG 2 (Reg)'!S22</f>
        <v>0</v>
      </c>
      <c r="T22" s="14"/>
      <c r="U22" s="14">
        <f t="shared" si="0"/>
        <v>-35649.259999999995</v>
      </c>
      <c r="V22" s="14"/>
    </row>
    <row r="23" spans="2:22" x14ac:dyDescent="0.2">
      <c r="B23" s="3" t="s">
        <v>27</v>
      </c>
      <c r="C23" s="16">
        <f>+'Summary - Reserve - PG 2 (Reg)'!C23</f>
        <v>-171453599.78000006</v>
      </c>
      <c r="D23" s="14"/>
      <c r="E23" s="16">
        <f>+'Summary - Reserve - PG 2 (Reg)'!E23</f>
        <v>-17398788.789999999</v>
      </c>
      <c r="F23" s="14"/>
      <c r="G23" s="16">
        <f>+'Summary - Reserve - PG 2 (Reg)'!G23</f>
        <v>2515897.66</v>
      </c>
      <c r="H23" s="14"/>
      <c r="I23" s="16">
        <f>+'Summary - Reserve - PG 2 (Reg)'!I23</f>
        <v>0</v>
      </c>
      <c r="J23" s="14"/>
      <c r="K23" s="16">
        <f>+'Summary - Reserve - PG 2 (Reg)'!K23</f>
        <v>0</v>
      </c>
      <c r="L23" s="14"/>
      <c r="M23" s="16">
        <f>+'Summary - Reserve - PG 2 (Reg)'!M23</f>
        <v>0</v>
      </c>
      <c r="N23" s="14"/>
      <c r="O23" s="16">
        <f>+'Summary - Reserve - PG 2 (Reg)'!O23</f>
        <v>0</v>
      </c>
      <c r="P23" s="14"/>
      <c r="Q23" s="16">
        <f>+'Summary - Reserve - PG 2 (Reg)'!Q23</f>
        <v>0</v>
      </c>
      <c r="R23" s="14"/>
      <c r="S23" s="16">
        <f>+'Summary - Reserve - PG 2 (Reg)'!S23</f>
        <v>0</v>
      </c>
      <c r="T23" s="14"/>
      <c r="U23" s="14">
        <f t="shared" si="0"/>
        <v>-186336490.91000006</v>
      </c>
      <c r="V23" s="14"/>
    </row>
    <row r="24" spans="2:22" x14ac:dyDescent="0.2">
      <c r="B24" s="3" t="s">
        <v>83</v>
      </c>
      <c r="C24" s="16">
        <f>+'Summary - Reserve - PG 2 (Reg)'!C24</f>
        <v>-1378383.8099999991</v>
      </c>
      <c r="D24" s="14"/>
      <c r="E24" s="16">
        <f>+'Summary - Reserve - PG 2 (Reg)'!E24</f>
        <v>-284389.57</v>
      </c>
      <c r="F24" s="14"/>
      <c r="G24" s="16">
        <f>+'Summary - Reserve - PG 2 (Reg)'!G24</f>
        <v>60138.52</v>
      </c>
      <c r="H24" s="14"/>
      <c r="I24" s="16">
        <f>+'Summary - Reserve - PG 2 (Reg)'!I24</f>
        <v>0</v>
      </c>
      <c r="J24" s="14"/>
      <c r="K24" s="16">
        <f>+'Summary - Reserve - PG 2 (Reg)'!K24</f>
        <v>0</v>
      </c>
      <c r="L24" s="14"/>
      <c r="M24" s="16">
        <f>+'Summary - Reserve - PG 2 (Reg)'!M24</f>
        <v>0</v>
      </c>
      <c r="N24" s="14"/>
      <c r="O24" s="16">
        <f>+'Summary - Reserve - PG 2 (Reg)'!O24</f>
        <v>0</v>
      </c>
      <c r="P24" s="14"/>
      <c r="Q24" s="16">
        <f>+'Summary - Reserve - PG 2 (Reg)'!Q24</f>
        <v>0</v>
      </c>
      <c r="R24" s="14"/>
      <c r="S24" s="16">
        <f>+'Summary - Reserve - PG 2 (Reg)'!S24</f>
        <v>0</v>
      </c>
      <c r="T24" s="14"/>
      <c r="U24" s="14">
        <f t="shared" si="0"/>
        <v>-1602634.8599999992</v>
      </c>
      <c r="V24" s="14"/>
    </row>
    <row r="25" spans="2:22" x14ac:dyDescent="0.2">
      <c r="B25" s="3" t="s">
        <v>28</v>
      </c>
      <c r="C25" s="16">
        <f>+'Summary - Reserve - PG 2 (Reg)'!C25</f>
        <v>-6010330.6799999997</v>
      </c>
      <c r="D25" s="14"/>
      <c r="E25" s="16">
        <f>+'Summary - Reserve - PG 2 (Reg)'!E25</f>
        <v>-698300.07</v>
      </c>
      <c r="F25" s="14"/>
      <c r="G25" s="16">
        <f>+'Summary - Reserve - PG 2 (Reg)'!G25</f>
        <v>794145.75</v>
      </c>
      <c r="H25" s="14"/>
      <c r="I25" s="16">
        <f>+'Summary - Reserve - PG 2 (Reg)'!I25</f>
        <v>-12797.84</v>
      </c>
      <c r="J25" s="14"/>
      <c r="K25" s="16">
        <f>+'Summary - Reserve - PG 2 (Reg)'!K25</f>
        <v>0</v>
      </c>
      <c r="L25" s="14"/>
      <c r="M25" s="16">
        <f>+'Summary - Reserve - PG 2 (Reg)'!M25</f>
        <v>0</v>
      </c>
      <c r="N25" s="14"/>
      <c r="O25" s="16">
        <f>+'Summary - Reserve - PG 2 (Reg)'!O25</f>
        <v>0</v>
      </c>
      <c r="P25" s="14"/>
      <c r="Q25" s="16">
        <f>+'Summary - Reserve - PG 2 (Reg)'!Q25</f>
        <v>0</v>
      </c>
      <c r="R25" s="14"/>
      <c r="S25" s="16">
        <f>+'Summary - Reserve - PG 2 (Reg)'!S25</f>
        <v>0</v>
      </c>
      <c r="T25" s="14"/>
      <c r="U25" s="14">
        <f t="shared" si="0"/>
        <v>-5927282.8399999999</v>
      </c>
      <c r="V25" s="14"/>
    </row>
    <row r="26" spans="2:22" x14ac:dyDescent="0.2">
      <c r="B26" s="3" t="s">
        <v>30</v>
      </c>
      <c r="C26" s="16">
        <f>+'Summary - Reserve - PG 2 (Reg)'!C26</f>
        <v>-38225888.900000006</v>
      </c>
      <c r="D26" s="14"/>
      <c r="E26" s="16">
        <f>+'Summary - Reserve - PG 2 (Reg)'!E26</f>
        <v>-2970597.74</v>
      </c>
      <c r="F26" s="14"/>
      <c r="G26" s="16">
        <f>+'Summary - Reserve - PG 2 (Reg)'!G26</f>
        <v>499422.99</v>
      </c>
      <c r="H26" s="14"/>
      <c r="I26" s="16">
        <f>+'Summary - Reserve - PG 2 (Reg)'!I26</f>
        <v>0</v>
      </c>
      <c r="J26" s="14"/>
      <c r="K26" s="16">
        <f>+'Summary - Reserve - PG 2 (Reg)'!K26</f>
        <v>0</v>
      </c>
      <c r="L26" s="14"/>
      <c r="M26" s="16">
        <f>+'Summary - Reserve - PG 2 (Reg)'!M26</f>
        <v>0</v>
      </c>
      <c r="N26" s="14"/>
      <c r="O26" s="16">
        <f>+'Summary - Reserve - PG 2 (Reg)'!O26</f>
        <v>0</v>
      </c>
      <c r="P26" s="14"/>
      <c r="Q26" s="16">
        <f>+'Summary - Reserve - PG 2 (Reg)'!Q26</f>
        <v>0</v>
      </c>
      <c r="R26" s="14"/>
      <c r="S26" s="16">
        <f>+'Summary - Reserve - PG 2 (Reg)'!S26</f>
        <v>0</v>
      </c>
      <c r="T26" s="14"/>
      <c r="U26" s="14">
        <f t="shared" si="0"/>
        <v>-40697063.650000006</v>
      </c>
      <c r="V26" s="14"/>
    </row>
    <row r="27" spans="2:22" x14ac:dyDescent="0.2">
      <c r="B27" s="3" t="s">
        <v>84</v>
      </c>
      <c r="C27" s="16">
        <f>+'Summary - Reserve - PG 2 (Reg)'!C27</f>
        <v>-973691.83000000007</v>
      </c>
      <c r="D27" s="14"/>
      <c r="E27" s="16">
        <f>+'Summary - Reserve - PG 2 (Reg)'!E27</f>
        <v>-225974.57</v>
      </c>
      <c r="F27" s="14"/>
      <c r="G27" s="16">
        <f>+'Summary - Reserve - PG 2 (Reg)'!G27</f>
        <v>174374.69</v>
      </c>
      <c r="H27" s="14"/>
      <c r="I27" s="16">
        <f>+'Summary - Reserve - PG 2 (Reg)'!I27</f>
        <v>0</v>
      </c>
      <c r="J27" s="14"/>
      <c r="K27" s="16">
        <f>+'Summary - Reserve - PG 2 (Reg)'!K27</f>
        <v>0</v>
      </c>
      <c r="L27" s="14"/>
      <c r="M27" s="16">
        <f>+'Summary - Reserve - PG 2 (Reg)'!M27</f>
        <v>0</v>
      </c>
      <c r="N27" s="14"/>
      <c r="O27" s="16">
        <f>+'Summary - Reserve - PG 2 (Reg)'!O27</f>
        <v>0</v>
      </c>
      <c r="P27" s="14"/>
      <c r="Q27" s="16">
        <f>+'Summary - Reserve - PG 2 (Reg)'!Q27</f>
        <v>0</v>
      </c>
      <c r="R27" s="14"/>
      <c r="S27" s="16">
        <f>+'Summary - Reserve - PG 2 (Reg)'!S27</f>
        <v>0</v>
      </c>
      <c r="T27" s="14"/>
      <c r="U27" s="14">
        <f t="shared" si="0"/>
        <v>-1025291.7100000001</v>
      </c>
      <c r="V27" s="14"/>
    </row>
    <row r="28" spans="2:22" x14ac:dyDescent="0.2">
      <c r="B28" s="3" t="s">
        <v>51</v>
      </c>
      <c r="C28" s="16">
        <f>+'Summary - Reserve - PG 2 (Reg)'!C28</f>
        <v>0</v>
      </c>
      <c r="D28" s="14"/>
      <c r="E28" s="16">
        <f>+'Summary - Reserve - PG 2 (Reg)'!E28</f>
        <v>0</v>
      </c>
      <c r="F28" s="14"/>
      <c r="G28" s="16">
        <f>+'Summary - Reserve - PG 2 (Reg)'!G28</f>
        <v>0</v>
      </c>
      <c r="H28" s="14"/>
      <c r="I28" s="16">
        <f>+'Summary - Reserve - PG 2 (Reg)'!I28</f>
        <v>0</v>
      </c>
      <c r="J28" s="14"/>
      <c r="K28" s="16">
        <f>+'Summary - Reserve - PG 2 (Reg)'!K28</f>
        <v>0</v>
      </c>
      <c r="L28" s="14"/>
      <c r="M28" s="16">
        <f>+'Summary - Reserve - PG 2 (Reg)'!M28</f>
        <v>0</v>
      </c>
      <c r="N28" s="14"/>
      <c r="O28" s="16">
        <f>+'Summary - Reserve - PG 2 (Reg)'!O28</f>
        <v>0</v>
      </c>
      <c r="P28" s="14"/>
      <c r="Q28" s="16">
        <f>+'Summary - Reserve - PG 2 (Reg)'!Q28</f>
        <v>0</v>
      </c>
      <c r="R28" s="14"/>
      <c r="S28" s="16">
        <f>+'Summary - Reserve - PG 2 (Reg)'!S28</f>
        <v>0</v>
      </c>
      <c r="T28" s="14"/>
      <c r="U28" s="14">
        <f t="shared" si="0"/>
        <v>0</v>
      </c>
      <c r="V28" s="14"/>
    </row>
    <row r="29" spans="2:22" x14ac:dyDescent="0.2">
      <c r="B29" s="3" t="s">
        <v>31</v>
      </c>
      <c r="C29" s="16">
        <f>+'Summary - Reserve - PG 2 (Reg)'!C29</f>
        <v>-9787563.0600000042</v>
      </c>
      <c r="D29" s="16"/>
      <c r="E29" s="16">
        <f>+'Summary - Reserve - PG 2 (Reg)'!E29</f>
        <v>-585886.49</v>
      </c>
      <c r="F29" s="16"/>
      <c r="G29" s="16">
        <f>+'Summary - Reserve - PG 2 (Reg)'!G29</f>
        <v>217700.06</v>
      </c>
      <c r="H29" s="16"/>
      <c r="I29" s="16">
        <f>+'Summary - Reserve - PG 2 (Reg)'!I29</f>
        <v>0</v>
      </c>
      <c r="J29" s="16"/>
      <c r="K29" s="16">
        <f>+'Summary - Reserve - PG 2 (Reg)'!K29</f>
        <v>0</v>
      </c>
      <c r="L29" s="16"/>
      <c r="M29" s="16">
        <f>+'Summary - Reserve - PG 2 (Reg)'!M29</f>
        <v>0</v>
      </c>
      <c r="N29" s="16"/>
      <c r="O29" s="16">
        <f>+'Summary - Reserve - PG 2 (Reg)'!O29</f>
        <v>0</v>
      </c>
      <c r="P29" s="16"/>
      <c r="Q29" s="16">
        <f>+'Summary - Reserve - PG 2 (Reg)'!Q29</f>
        <v>0</v>
      </c>
      <c r="R29" s="16"/>
      <c r="S29" s="16">
        <f>+'Summary - Reserve - PG 2 (Reg)'!S29</f>
        <v>0</v>
      </c>
      <c r="T29" s="16"/>
      <c r="U29" s="16">
        <f t="shared" si="0"/>
        <v>-10155749.490000004</v>
      </c>
      <c r="V29" s="16"/>
    </row>
    <row r="30" spans="2:22" x14ac:dyDescent="0.2">
      <c r="B30" s="3" t="s">
        <v>85</v>
      </c>
      <c r="C30" s="16">
        <f>+'Summary - Reserve - PG 2 (Reg)'!C30</f>
        <v>-341676.46</v>
      </c>
      <c r="D30" s="16"/>
      <c r="E30" s="16">
        <f>+'Summary - Reserve - PG 2 (Reg)'!E30</f>
        <v>-73027.83</v>
      </c>
      <c r="F30" s="16"/>
      <c r="G30" s="16">
        <f>+'Summary - Reserve - PG 2 (Reg)'!G30</f>
        <v>42504.33</v>
      </c>
      <c r="H30" s="16"/>
      <c r="I30" s="16">
        <f>+'Summary - Reserve - PG 2 (Reg)'!I30</f>
        <v>0</v>
      </c>
      <c r="J30" s="16"/>
      <c r="K30" s="16">
        <f>+'Summary - Reserve - PG 2 (Reg)'!K30</f>
        <v>0</v>
      </c>
      <c r="L30" s="16"/>
      <c r="M30" s="16">
        <f>+'Summary - Reserve - PG 2 (Reg)'!M30</f>
        <v>0</v>
      </c>
      <c r="N30" s="16"/>
      <c r="O30" s="16">
        <f>+'Summary - Reserve - PG 2 (Reg)'!O30</f>
        <v>0</v>
      </c>
      <c r="P30" s="16"/>
      <c r="Q30" s="16">
        <f>+'Summary - Reserve - PG 2 (Reg)'!Q30</f>
        <v>0</v>
      </c>
      <c r="R30" s="16"/>
      <c r="S30" s="16">
        <f>+'Summary - Reserve - PG 2 (Reg)'!S30</f>
        <v>0</v>
      </c>
      <c r="T30" s="16"/>
      <c r="U30" s="16">
        <f t="shared" si="0"/>
        <v>-372199.96</v>
      </c>
      <c r="V30" s="16"/>
    </row>
    <row r="31" spans="2:22" x14ac:dyDescent="0.2">
      <c r="B31" s="21" t="s">
        <v>201</v>
      </c>
      <c r="C31" s="16">
        <f>+'Summary - Reserve - PG 2 (Reg)'!C31</f>
        <v>0</v>
      </c>
      <c r="D31" s="16"/>
      <c r="E31" s="16">
        <f>+'Summary - Reserve - PG 2 (Reg)'!E31</f>
        <v>0</v>
      </c>
      <c r="F31" s="16"/>
      <c r="G31" s="16">
        <f>+'Summary - Reserve - PG 2 (Reg)'!G31</f>
        <v>0</v>
      </c>
      <c r="H31" s="16"/>
      <c r="I31" s="16">
        <f>+'Summary - Reserve - PG 2 (Reg)'!I31</f>
        <v>0</v>
      </c>
      <c r="J31" s="16"/>
      <c r="K31" s="16">
        <f>+'Summary - Reserve - PG 2 (Reg)'!K31</f>
        <v>0</v>
      </c>
      <c r="L31" s="16"/>
      <c r="M31" s="16">
        <f>+'Summary - Reserve - PG 2 (Reg)'!M31</f>
        <v>0</v>
      </c>
      <c r="N31" s="16"/>
      <c r="O31" s="16">
        <f>+'Summary - Reserve - PG 2 (Reg)'!O31</f>
        <v>0</v>
      </c>
      <c r="P31" s="16"/>
      <c r="Q31" s="16">
        <f>+'Summary - Reserve - PG 2 (Reg)'!Q31</f>
        <v>0</v>
      </c>
      <c r="R31" s="16"/>
      <c r="S31" s="16">
        <f>+'Summary - Reserve - PG 2 (Reg)'!S31</f>
        <v>0</v>
      </c>
      <c r="T31" s="16"/>
      <c r="U31" s="16">
        <f t="shared" si="0"/>
        <v>0</v>
      </c>
      <c r="V31" s="16"/>
    </row>
    <row r="32" spans="2:22" x14ac:dyDescent="0.2">
      <c r="B32" s="21" t="s">
        <v>88</v>
      </c>
      <c r="C32" s="15">
        <f>+'Summary - Reserve - PG 2 (Reg)'!C32</f>
        <v>-63360.360000000008</v>
      </c>
      <c r="D32" s="16"/>
      <c r="E32" s="15">
        <f>+'Summary - Reserve - PG 2 (Reg)'!E32</f>
        <v>0</v>
      </c>
      <c r="F32" s="16"/>
      <c r="G32" s="15">
        <f>+'Summary - Reserve - PG 2 (Reg)'!G32</f>
        <v>0</v>
      </c>
      <c r="H32" s="16"/>
      <c r="I32" s="15">
        <f>+'Summary - Reserve - PG 2 (Reg)'!I32</f>
        <v>0</v>
      </c>
      <c r="J32" s="16"/>
      <c r="K32" s="15">
        <f>+'Summary - Reserve - PG 2 (Reg)'!K32</f>
        <v>0</v>
      </c>
      <c r="L32" s="16"/>
      <c r="M32" s="15">
        <f>+'Summary - Reserve - PG 2 (Reg)'!M32</f>
        <v>0</v>
      </c>
      <c r="N32" s="16"/>
      <c r="O32" s="15">
        <f>+'Summary - Reserve - PG 2 (Reg)'!O32</f>
        <v>0</v>
      </c>
      <c r="P32" s="16"/>
      <c r="Q32" s="15">
        <f>+'Summary - Reserve - PG 2 (Reg)'!Q32</f>
        <v>0</v>
      </c>
      <c r="R32" s="16"/>
      <c r="S32" s="15">
        <f>+'Summary - Reserve - PG 2 (Reg)'!S32</f>
        <v>0</v>
      </c>
      <c r="T32" s="16"/>
      <c r="U32" s="15">
        <f t="shared" si="0"/>
        <v>-63360.360000000008</v>
      </c>
      <c r="V32" s="16"/>
    </row>
    <row r="33" spans="1:28" x14ac:dyDescent="0.2">
      <c r="B33" s="18"/>
      <c r="C33" s="16">
        <f>SUM(C10:C32)</f>
        <v>-1719319051.1599998</v>
      </c>
      <c r="D33" s="16"/>
      <c r="E33" s="16">
        <f>SUM(E10:E32)</f>
        <v>-161717780.85000002</v>
      </c>
      <c r="F33" s="16"/>
      <c r="G33" s="16">
        <f>SUM(G10:G32)</f>
        <v>67384568.350000009</v>
      </c>
      <c r="H33" s="16"/>
      <c r="I33" s="16">
        <f>SUM(I10:I32)</f>
        <v>-29361.690000000006</v>
      </c>
      <c r="J33" s="16"/>
      <c r="K33" s="16">
        <f>SUM(K10:K32)</f>
        <v>0</v>
      </c>
      <c r="L33" s="16"/>
      <c r="M33" s="16">
        <f>SUM(M10:M32)</f>
        <v>0</v>
      </c>
      <c r="N33" s="16"/>
      <c r="O33" s="16">
        <f>SUM(O10:O32)</f>
        <v>0</v>
      </c>
      <c r="P33" s="16"/>
      <c r="Q33" s="16">
        <f>SUM(Q10:Q32)</f>
        <v>0</v>
      </c>
      <c r="R33" s="16"/>
      <c r="S33" s="16">
        <f>SUM(S10:S32)</f>
        <v>0</v>
      </c>
      <c r="T33" s="16"/>
      <c r="U33" s="16">
        <f>SUM(U10:U32)</f>
        <v>-1813681625.3499999</v>
      </c>
      <c r="V33" s="16"/>
    </row>
    <row r="34" spans="1:28" x14ac:dyDescent="0.2">
      <c r="C34" s="29"/>
      <c r="D34" s="29"/>
      <c r="E34" s="29"/>
      <c r="F34" s="29"/>
      <c r="G34" s="29"/>
      <c r="H34" s="29"/>
      <c r="I34" s="30"/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8" ht="15" x14ac:dyDescent="0.35">
      <c r="A35" s="9" t="s">
        <v>89</v>
      </c>
      <c r="C35" s="32"/>
      <c r="D35" s="33"/>
      <c r="E35" s="32"/>
      <c r="F35" s="33"/>
      <c r="G35" s="32"/>
      <c r="H35" s="33"/>
      <c r="I35" s="32"/>
      <c r="J35" s="32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32"/>
      <c r="V35" s="32"/>
    </row>
    <row r="36" spans="1:28" x14ac:dyDescent="0.2">
      <c r="B36" s="3" t="s">
        <v>14</v>
      </c>
      <c r="C36" s="16">
        <f>+'Summary - Reserve - PG 2 (Reg)'!C36</f>
        <v>-1407905.42</v>
      </c>
      <c r="D36" s="16"/>
      <c r="E36" s="16">
        <f>+'Summary - Reserve - PG 2 (Reg)'!E36</f>
        <v>-252336.29</v>
      </c>
      <c r="F36" s="16"/>
      <c r="G36" s="16">
        <f>+'Summary - Reserve - PG 2 (Reg)'!G36</f>
        <v>0</v>
      </c>
      <c r="H36" s="16"/>
      <c r="I36" s="16">
        <f>+'Summary - Reserve - PG 2 (Reg)'!I36</f>
        <v>0</v>
      </c>
      <c r="J36" s="16"/>
      <c r="K36" s="16">
        <f>+'Summary - Reserve - PG 2 (Reg)'!K36</f>
        <v>0</v>
      </c>
      <c r="L36" s="16"/>
      <c r="M36" s="16">
        <f>+'Summary - Reserve - PG 2 (Reg)'!M36</f>
        <v>0</v>
      </c>
      <c r="N36" s="16"/>
      <c r="O36" s="16">
        <f>+'Summary - Reserve - PG 2 (Reg)'!O36</f>
        <v>254433.78</v>
      </c>
      <c r="P36" s="16"/>
      <c r="Q36" s="16">
        <f>+'Summary - Reserve - PG 2 (Reg)'!Q36</f>
        <v>0</v>
      </c>
      <c r="R36" s="16"/>
      <c r="S36" s="16">
        <f>+'Summary - Reserve - PG 2 (Reg)'!S36</f>
        <v>0</v>
      </c>
      <c r="T36" s="16"/>
      <c r="U36" s="16">
        <f t="shared" ref="U36:U50" si="1">S36+Q36+O36+M36+I36+G36+E36+C36</f>
        <v>-1405807.93</v>
      </c>
      <c r="V36" s="16"/>
    </row>
    <row r="37" spans="1:28" x14ac:dyDescent="0.2">
      <c r="B37" s="3" t="s">
        <v>18</v>
      </c>
      <c r="C37" s="16">
        <f>+'Summary - Reserve - PG 2 (Reg)'!C37</f>
        <v>-162129790.74000004</v>
      </c>
      <c r="D37" s="16"/>
      <c r="E37" s="16">
        <f>+'Summary - Reserve - PG 2 (Reg)'!E37</f>
        <v>-11596082.09</v>
      </c>
      <c r="F37" s="16"/>
      <c r="G37" s="16">
        <f>+'Summary - Reserve - PG 2 (Reg)'!G37</f>
        <v>0</v>
      </c>
      <c r="H37" s="16"/>
      <c r="I37" s="16">
        <f>+'Summary - Reserve - PG 2 (Reg)'!I37</f>
        <v>47560.12</v>
      </c>
      <c r="J37" s="16"/>
      <c r="K37" s="16">
        <f>+'Summary - Reserve - PG 2 (Reg)'!K37</f>
        <v>0</v>
      </c>
      <c r="L37" s="16"/>
      <c r="M37" s="16">
        <f>+'Summary - Reserve - PG 2 (Reg)'!M37</f>
        <v>0</v>
      </c>
      <c r="N37" s="16"/>
      <c r="O37" s="16">
        <f>+'Summary - Reserve - PG 2 (Reg)'!O37</f>
        <v>10240416.870000001</v>
      </c>
      <c r="P37" s="16"/>
      <c r="Q37" s="16">
        <f>+'Summary - Reserve - PG 2 (Reg)'!Q37</f>
        <v>0</v>
      </c>
      <c r="R37" s="16"/>
      <c r="S37" s="16">
        <f>+'Summary - Reserve - PG 2 (Reg)'!S37</f>
        <v>-2315691.0300000003</v>
      </c>
      <c r="T37" s="16"/>
      <c r="U37" s="16">
        <f t="shared" si="1"/>
        <v>-165753586.87000003</v>
      </c>
      <c r="V37" s="16"/>
    </row>
    <row r="38" spans="1:28" x14ac:dyDescent="0.2">
      <c r="B38" s="3" t="s">
        <v>19</v>
      </c>
      <c r="C38" s="16">
        <f>+'Summary - Reserve - PG 2 (Reg)'!C38</f>
        <v>3866.64</v>
      </c>
      <c r="D38" s="16"/>
      <c r="E38" s="16">
        <f>+'Summary - Reserve - PG 2 (Reg)'!E38</f>
        <v>0</v>
      </c>
      <c r="F38" s="16"/>
      <c r="G38" s="16">
        <f>+'Summary - Reserve - PG 2 (Reg)'!G38</f>
        <v>0</v>
      </c>
      <c r="H38" s="16"/>
      <c r="I38" s="16">
        <f>+'Summary - Reserve - PG 2 (Reg)'!I38</f>
        <v>0</v>
      </c>
      <c r="J38" s="16"/>
      <c r="K38" s="16">
        <f>+'Summary - Reserve - PG 2 (Reg)'!K38</f>
        <v>0</v>
      </c>
      <c r="L38" s="16"/>
      <c r="M38" s="16">
        <f>+'Summary - Reserve - PG 2 (Reg)'!M38</f>
        <v>0</v>
      </c>
      <c r="N38" s="16"/>
      <c r="O38" s="16">
        <f>+'Summary - Reserve - PG 2 (Reg)'!O38</f>
        <v>0</v>
      </c>
      <c r="P38" s="16"/>
      <c r="Q38" s="16">
        <f>+'Summary - Reserve - PG 2 (Reg)'!Q38</f>
        <v>0</v>
      </c>
      <c r="R38" s="16"/>
      <c r="S38" s="16">
        <f>+'Summary - Reserve - PG 2 (Reg)'!S38</f>
        <v>0</v>
      </c>
      <c r="T38" s="16"/>
      <c r="U38" s="16">
        <f t="shared" si="1"/>
        <v>3866.64</v>
      </c>
      <c r="V38" s="16"/>
    </row>
    <row r="39" spans="1:28" x14ac:dyDescent="0.2">
      <c r="B39" s="3" t="s">
        <v>20</v>
      </c>
      <c r="C39" s="16">
        <f>+'Summary - Reserve - PG 2 (Reg)'!C39</f>
        <v>1589391.92</v>
      </c>
      <c r="D39" s="16"/>
      <c r="E39" s="16">
        <f>+'Summary - Reserve - PG 2 (Reg)'!E39</f>
        <v>-107345.76</v>
      </c>
      <c r="F39" s="16"/>
      <c r="G39" s="16">
        <f>+'Summary - Reserve - PG 2 (Reg)'!G39</f>
        <v>0</v>
      </c>
      <c r="H39" s="16"/>
      <c r="I39" s="16">
        <f>+'Summary - Reserve - PG 2 (Reg)'!I39</f>
        <v>0</v>
      </c>
      <c r="J39" s="16"/>
      <c r="K39" s="16">
        <f>+'Summary - Reserve - PG 2 (Reg)'!K39</f>
        <v>0</v>
      </c>
      <c r="L39" s="16"/>
      <c r="M39" s="16">
        <f>+'Summary - Reserve - PG 2 (Reg)'!M39</f>
        <v>0</v>
      </c>
      <c r="N39" s="16"/>
      <c r="O39" s="16">
        <f>+'Summary - Reserve - PG 2 (Reg)'!O39</f>
        <v>0</v>
      </c>
      <c r="P39" s="16"/>
      <c r="Q39" s="16">
        <f>+'Summary - Reserve - PG 2 (Reg)'!Q39</f>
        <v>0</v>
      </c>
      <c r="R39" s="16"/>
      <c r="S39" s="16">
        <f>+'Summary - Reserve - PG 2 (Reg)'!S39</f>
        <v>0</v>
      </c>
      <c r="T39" s="16"/>
      <c r="U39" s="16">
        <f t="shared" si="1"/>
        <v>1482046.16</v>
      </c>
      <c r="V39" s="16"/>
    </row>
    <row r="40" spans="1:28" x14ac:dyDescent="0.2">
      <c r="B40" s="3" t="s">
        <v>22</v>
      </c>
      <c r="C40" s="16">
        <f>+'Summary - Reserve - PG 2 (Reg)'!C40</f>
        <v>-4160154.0700000008</v>
      </c>
      <c r="D40" s="16"/>
      <c r="E40" s="16">
        <f>+'Summary - Reserve - PG 2 (Reg)'!E40</f>
        <v>-908538.03</v>
      </c>
      <c r="F40" s="16"/>
      <c r="G40" s="16">
        <f>+'Summary - Reserve - PG 2 (Reg)'!G40</f>
        <v>0</v>
      </c>
      <c r="H40" s="16"/>
      <c r="I40" s="16">
        <f>+'Summary - Reserve - PG 2 (Reg)'!I40</f>
        <v>0</v>
      </c>
      <c r="J40" s="16"/>
      <c r="K40" s="16">
        <f>+'Summary - Reserve - PG 2 (Reg)'!K40</f>
        <v>0</v>
      </c>
      <c r="L40" s="16"/>
      <c r="M40" s="16">
        <f>+'Summary - Reserve - PG 2 (Reg)'!M40</f>
        <v>0</v>
      </c>
      <c r="N40" s="16"/>
      <c r="O40" s="16">
        <f>+'Summary - Reserve - PG 2 (Reg)'!O40</f>
        <v>186950.6</v>
      </c>
      <c r="P40" s="16"/>
      <c r="Q40" s="16">
        <f>+'Summary - Reserve - PG 2 (Reg)'!Q40</f>
        <v>0</v>
      </c>
      <c r="R40" s="16"/>
      <c r="S40" s="16">
        <f>+'Summary - Reserve - PG 2 (Reg)'!S40</f>
        <v>0</v>
      </c>
      <c r="T40" s="16"/>
      <c r="U40" s="16">
        <f t="shared" si="1"/>
        <v>-4881741.5000000009</v>
      </c>
      <c r="V40" s="16"/>
    </row>
    <row r="41" spans="1:28" s="142" customFormat="1" x14ac:dyDescent="0.2">
      <c r="A41" s="3"/>
      <c r="B41" s="3" t="s">
        <v>23</v>
      </c>
      <c r="C41" s="16">
        <f>+'Summary - Reserve - PG 2 (Reg)'!C41</f>
        <v>-125306877.39</v>
      </c>
      <c r="D41" s="16"/>
      <c r="E41" s="16">
        <f>+'Summary - Reserve - PG 2 (Reg)'!E41</f>
        <v>-4771971.41</v>
      </c>
      <c r="F41" s="16"/>
      <c r="G41" s="16">
        <f>+'Summary - Reserve - PG 2 (Reg)'!G41</f>
        <v>0</v>
      </c>
      <c r="H41" s="16"/>
      <c r="I41" s="16">
        <f>+'Summary - Reserve - PG 2 (Reg)'!I41</f>
        <v>0</v>
      </c>
      <c r="J41" s="16"/>
      <c r="K41" s="16">
        <f>+'Summary - Reserve - PG 2 (Reg)'!K41</f>
        <v>0</v>
      </c>
      <c r="L41" s="16"/>
      <c r="M41" s="16">
        <f>+'Summary - Reserve - PG 2 (Reg)'!M41</f>
        <v>0</v>
      </c>
      <c r="N41" s="16"/>
      <c r="O41" s="16">
        <f>+'Summary - Reserve - PG 2 (Reg)'!O41</f>
        <v>30855487.050000001</v>
      </c>
      <c r="P41" s="16"/>
      <c r="Q41" s="16">
        <f>+'Summary - Reserve - PG 2 (Reg)'!Q41</f>
        <v>0</v>
      </c>
      <c r="R41" s="16"/>
      <c r="S41" s="16">
        <f>+'Summary - Reserve - PG 2 (Reg)'!S41</f>
        <v>-339709.05</v>
      </c>
      <c r="T41" s="16"/>
      <c r="U41" s="16">
        <f t="shared" si="1"/>
        <v>-99563070.799999997</v>
      </c>
      <c r="V41" s="16"/>
      <c r="W41" s="3"/>
      <c r="X41" s="3"/>
      <c r="Y41" s="3"/>
      <c r="Z41" s="3"/>
      <c r="AA41" s="3"/>
      <c r="AB41" s="3"/>
    </row>
    <row r="42" spans="1:28" s="142" customFormat="1" x14ac:dyDescent="0.2">
      <c r="A42" s="3"/>
      <c r="B42" s="120" t="s">
        <v>81</v>
      </c>
      <c r="C42" s="16">
        <v>0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/>
      <c r="U42" s="16">
        <f t="shared" si="1"/>
        <v>0</v>
      </c>
      <c r="V42" s="16"/>
      <c r="W42" s="3"/>
      <c r="X42" s="3"/>
      <c r="Y42" s="3"/>
      <c r="Z42" s="3"/>
      <c r="AA42" s="3"/>
      <c r="AB42" s="3"/>
    </row>
    <row r="43" spans="1:28" s="142" customFormat="1" x14ac:dyDescent="0.2">
      <c r="A43" s="3"/>
      <c r="B43" s="3" t="s">
        <v>24</v>
      </c>
      <c r="C43" s="16">
        <f>+'Summary - Reserve - PG 2 (Reg)'!C42</f>
        <v>-25777696.100000001</v>
      </c>
      <c r="D43" s="16"/>
      <c r="E43" s="16">
        <f>+'Summary - Reserve - PG 2 (Reg)'!E42</f>
        <v>-2645658.16</v>
      </c>
      <c r="F43" s="16"/>
      <c r="G43" s="16">
        <f>+'Summary - Reserve - PG 2 (Reg)'!G42</f>
        <v>0</v>
      </c>
      <c r="H43" s="16"/>
      <c r="I43" s="16">
        <f>+'Summary - Reserve - PG 2 (Reg)'!I42</f>
        <v>-47560.12</v>
      </c>
      <c r="J43" s="16"/>
      <c r="K43" s="16">
        <f>+'Summary - Reserve - PG 2 (Reg)'!K42</f>
        <v>0</v>
      </c>
      <c r="L43" s="16"/>
      <c r="M43" s="16">
        <f>+'Summary - Reserve - PG 2 (Reg)'!M42</f>
        <v>0</v>
      </c>
      <c r="N43" s="16"/>
      <c r="O43" s="16">
        <f>+'Summary - Reserve - PG 2 (Reg)'!O42</f>
        <v>1634771.23</v>
      </c>
      <c r="P43" s="16"/>
      <c r="Q43" s="16">
        <f>+'Summary - Reserve - PG 2 (Reg)'!Q42</f>
        <v>0</v>
      </c>
      <c r="R43" s="16"/>
      <c r="S43" s="16">
        <f>+'Summary - Reserve - PG 2 (Reg)'!S42</f>
        <v>0</v>
      </c>
      <c r="T43" s="16"/>
      <c r="U43" s="16">
        <f t="shared" si="1"/>
        <v>-26836143.150000002</v>
      </c>
      <c r="V43" s="16"/>
      <c r="W43" s="3"/>
      <c r="X43" s="3"/>
      <c r="Y43" s="3"/>
      <c r="Z43" s="3"/>
      <c r="AA43" s="3"/>
      <c r="AB43" s="3"/>
    </row>
    <row r="44" spans="1:28" s="142" customFormat="1" x14ac:dyDescent="0.2">
      <c r="A44" s="3"/>
      <c r="B44" s="3" t="s">
        <v>27</v>
      </c>
      <c r="C44" s="16">
        <f>+'Summary - Reserve - PG 2 (Reg)'!C43</f>
        <v>-82455723.039999992</v>
      </c>
      <c r="D44" s="16"/>
      <c r="E44" s="16">
        <f>+'Summary - Reserve - PG 2 (Reg)'!E43</f>
        <v>-7286566.0999999996</v>
      </c>
      <c r="F44" s="16"/>
      <c r="G44" s="16">
        <f>+'Summary - Reserve - PG 2 (Reg)'!G43</f>
        <v>0</v>
      </c>
      <c r="H44" s="16"/>
      <c r="I44" s="16">
        <f>+'Summary - Reserve - PG 2 (Reg)'!I43</f>
        <v>0</v>
      </c>
      <c r="J44" s="16"/>
      <c r="K44" s="16">
        <f>+'Summary - Reserve - PG 2 (Reg)'!K43</f>
        <v>0</v>
      </c>
      <c r="L44" s="16"/>
      <c r="M44" s="16">
        <f>+'Summary - Reserve - PG 2 (Reg)'!M43</f>
        <v>0</v>
      </c>
      <c r="N44" s="16"/>
      <c r="O44" s="16">
        <f>+'Summary - Reserve - PG 2 (Reg)'!O43</f>
        <v>617961.38</v>
      </c>
      <c r="P44" s="16"/>
      <c r="Q44" s="16">
        <f>+'Summary - Reserve - PG 2 (Reg)'!Q43</f>
        <v>0</v>
      </c>
      <c r="R44" s="16"/>
      <c r="S44" s="16">
        <f>+'Summary - Reserve - PG 2 (Reg)'!S43</f>
        <v>-39916.239999999998</v>
      </c>
      <c r="T44" s="16"/>
      <c r="U44" s="16">
        <f t="shared" si="1"/>
        <v>-89164243.999999985</v>
      </c>
      <c r="V44" s="16"/>
      <c r="W44" s="3"/>
      <c r="X44" s="3"/>
      <c r="Y44" s="3"/>
      <c r="Z44" s="3"/>
      <c r="AA44" s="3"/>
      <c r="AB44" s="3"/>
    </row>
    <row r="45" spans="1:28" s="142" customFormat="1" x14ac:dyDescent="0.2">
      <c r="A45" s="3"/>
      <c r="B45" s="3" t="s">
        <v>28</v>
      </c>
      <c r="C45" s="16">
        <f>+'Summary - Reserve - PG 2 (Reg)'!C44</f>
        <v>88.599999999999966</v>
      </c>
      <c r="D45" s="16"/>
      <c r="E45" s="16">
        <f>+'Summary - Reserve - PG 2 (Reg)'!E44</f>
        <v>0</v>
      </c>
      <c r="F45" s="16"/>
      <c r="G45" s="16">
        <f>+'Summary - Reserve - PG 2 (Reg)'!G44</f>
        <v>0</v>
      </c>
      <c r="H45" s="16"/>
      <c r="I45" s="16">
        <f>+'Summary - Reserve - PG 2 (Reg)'!I44</f>
        <v>100.57</v>
      </c>
      <c r="J45" s="16"/>
      <c r="K45" s="16">
        <f>+'Summary - Reserve - PG 2 (Reg)'!K44</f>
        <v>0</v>
      </c>
      <c r="L45" s="16"/>
      <c r="M45" s="16">
        <f>+'Summary - Reserve - PG 2 (Reg)'!M44</f>
        <v>0</v>
      </c>
      <c r="N45" s="16"/>
      <c r="O45" s="16">
        <f>+'Summary - Reserve - PG 2 (Reg)'!O44</f>
        <v>0</v>
      </c>
      <c r="P45" s="16"/>
      <c r="Q45" s="16">
        <f>+'Summary - Reserve - PG 2 (Reg)'!Q44</f>
        <v>0</v>
      </c>
      <c r="R45" s="16"/>
      <c r="S45" s="16">
        <f>+'Summary - Reserve - PG 2 (Reg)'!S44</f>
        <v>0</v>
      </c>
      <c r="T45" s="16"/>
      <c r="U45" s="16">
        <f t="shared" si="1"/>
        <v>189.16999999999996</v>
      </c>
      <c r="V45" s="16"/>
      <c r="W45" s="3"/>
      <c r="X45" s="3"/>
      <c r="Y45" s="3"/>
      <c r="Z45" s="3"/>
      <c r="AA45" s="3"/>
      <c r="AB45" s="3"/>
    </row>
    <row r="46" spans="1:28" s="142" customFormat="1" x14ac:dyDescent="0.2">
      <c r="A46" s="3"/>
      <c r="B46" s="3" t="s">
        <v>30</v>
      </c>
      <c r="C46" s="16">
        <f>+'Summary - Reserve - PG 2 (Reg)'!C45</f>
        <v>-950944.0000000007</v>
      </c>
      <c r="D46" s="16"/>
      <c r="E46" s="16">
        <f>+'Summary - Reserve - PG 2 (Reg)'!E45</f>
        <v>-377279.7</v>
      </c>
      <c r="F46" s="16"/>
      <c r="G46" s="16">
        <f>+'Summary - Reserve - PG 2 (Reg)'!G45</f>
        <v>0</v>
      </c>
      <c r="H46" s="16"/>
      <c r="I46" s="16">
        <f>+'Summary - Reserve - PG 2 (Reg)'!I45</f>
        <v>0</v>
      </c>
      <c r="J46" s="16"/>
      <c r="K46" s="16">
        <f>+'Summary - Reserve - PG 2 (Reg)'!K45</f>
        <v>0</v>
      </c>
      <c r="L46" s="16"/>
      <c r="M46" s="16">
        <f>+'Summary - Reserve - PG 2 (Reg)'!M45</f>
        <v>0</v>
      </c>
      <c r="N46" s="16"/>
      <c r="O46" s="16">
        <f>+'Summary - Reserve - PG 2 (Reg)'!O45</f>
        <v>619479.51</v>
      </c>
      <c r="P46" s="16"/>
      <c r="Q46" s="16">
        <f>+'Summary - Reserve - PG 2 (Reg)'!Q45</f>
        <v>0</v>
      </c>
      <c r="R46" s="16"/>
      <c r="S46" s="16">
        <f>+'Summary - Reserve - PG 2 (Reg)'!S45</f>
        <v>0</v>
      </c>
      <c r="T46" s="16"/>
      <c r="U46" s="16">
        <f t="shared" si="1"/>
        <v>-708744.19000000064</v>
      </c>
      <c r="V46" s="16"/>
      <c r="W46" s="3"/>
      <c r="X46" s="3"/>
      <c r="Y46" s="3"/>
      <c r="Z46" s="3"/>
      <c r="AA46" s="3"/>
      <c r="AB46" s="3"/>
    </row>
    <row r="47" spans="1:28" s="142" customFormat="1" x14ac:dyDescent="0.2">
      <c r="A47" s="3"/>
      <c r="B47" s="120" t="s">
        <v>84</v>
      </c>
      <c r="C47" s="16">
        <v>0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16">
        <f t="shared" si="1"/>
        <v>0</v>
      </c>
      <c r="V47" s="16"/>
      <c r="W47" s="3"/>
      <c r="X47" s="3"/>
      <c r="Y47" s="3"/>
      <c r="Z47" s="3"/>
      <c r="AA47" s="3"/>
      <c r="AB47" s="3"/>
    </row>
    <row r="48" spans="1:28" s="142" customFormat="1" x14ac:dyDescent="0.2">
      <c r="A48" s="3"/>
      <c r="B48" s="3" t="s">
        <v>51</v>
      </c>
      <c r="C48" s="16">
        <f>+'Summary - Reserve - PG 2 (Reg)'!C46</f>
        <v>0</v>
      </c>
      <c r="D48" s="16"/>
      <c r="E48" s="16">
        <f>+'Summary - Reserve - PG 2 (Reg)'!E46</f>
        <v>0</v>
      </c>
      <c r="F48" s="16"/>
      <c r="G48" s="16">
        <f>+'Summary - Reserve - PG 2 (Reg)'!G46</f>
        <v>0</v>
      </c>
      <c r="H48" s="16"/>
      <c r="I48" s="16">
        <f>+'Summary - Reserve - PG 2 (Reg)'!I46</f>
        <v>0</v>
      </c>
      <c r="J48" s="16"/>
      <c r="K48" s="16">
        <f>+'Summary - Reserve - PG 2 (Reg)'!K46</f>
        <v>0</v>
      </c>
      <c r="L48" s="16"/>
      <c r="M48" s="16">
        <f>+'Summary - Reserve - PG 2 (Reg)'!M46</f>
        <v>0</v>
      </c>
      <c r="N48" s="16"/>
      <c r="O48" s="16">
        <f>+'Summary - Reserve - PG 2 (Reg)'!O46</f>
        <v>0</v>
      </c>
      <c r="P48" s="16"/>
      <c r="Q48" s="16">
        <f>+'Summary - Reserve - PG 2 (Reg)'!Q46</f>
        <v>0</v>
      </c>
      <c r="R48" s="16"/>
      <c r="S48" s="16">
        <f>+'Summary - Reserve - PG 2 (Reg)'!S46</f>
        <v>0</v>
      </c>
      <c r="T48" s="16"/>
      <c r="U48" s="16">
        <f t="shared" si="1"/>
        <v>0</v>
      </c>
      <c r="V48" s="16"/>
      <c r="W48" s="3"/>
      <c r="X48" s="3"/>
      <c r="Y48" s="3"/>
      <c r="Z48" s="3"/>
      <c r="AA48" s="3"/>
      <c r="AB48" s="3"/>
    </row>
    <row r="49" spans="1:28" s="142" customFormat="1" x14ac:dyDescent="0.2">
      <c r="A49" s="3"/>
      <c r="B49" s="3" t="s">
        <v>31</v>
      </c>
      <c r="C49" s="16">
        <f>+'Summary - Reserve - PG 2 (Reg)'!C47</f>
        <v>-1989761.0899999999</v>
      </c>
      <c r="D49" s="16"/>
      <c r="E49" s="16">
        <f>+'Summary - Reserve - PG 2 (Reg)'!E47</f>
        <v>-166948.17000000001</v>
      </c>
      <c r="F49" s="16"/>
      <c r="G49" s="16">
        <f>+'Summary - Reserve - PG 2 (Reg)'!G47</f>
        <v>0</v>
      </c>
      <c r="H49" s="16"/>
      <c r="I49" s="16">
        <f>+'Summary - Reserve - PG 2 (Reg)'!I47</f>
        <v>0</v>
      </c>
      <c r="J49" s="16"/>
      <c r="K49" s="16">
        <f>+'Summary - Reserve - PG 2 (Reg)'!K47</f>
        <v>0</v>
      </c>
      <c r="L49" s="16"/>
      <c r="M49" s="16">
        <f>+'Summary - Reserve - PG 2 (Reg)'!M47</f>
        <v>0</v>
      </c>
      <c r="N49" s="16"/>
      <c r="O49" s="16">
        <f>+'Summary - Reserve - PG 2 (Reg)'!O47</f>
        <v>114945.03</v>
      </c>
      <c r="P49" s="16"/>
      <c r="Q49" s="16">
        <f>+'Summary - Reserve - PG 2 (Reg)'!Q47</f>
        <v>0</v>
      </c>
      <c r="R49" s="16"/>
      <c r="S49" s="16">
        <f>+'Summary - Reserve - PG 2 (Reg)'!S47</f>
        <v>0</v>
      </c>
      <c r="T49" s="16"/>
      <c r="U49" s="16">
        <f t="shared" si="1"/>
        <v>-2041764.23</v>
      </c>
      <c r="V49" s="16"/>
      <c r="W49" s="3"/>
      <c r="X49" s="3"/>
      <c r="Y49" s="3"/>
      <c r="Z49" s="3"/>
      <c r="AA49" s="3"/>
      <c r="AB49" s="3"/>
    </row>
    <row r="50" spans="1:28" s="142" customFormat="1" x14ac:dyDescent="0.2">
      <c r="A50" s="3"/>
      <c r="B50" s="3" t="s">
        <v>54</v>
      </c>
      <c r="C50" s="15">
        <f>+'Summary - Reserve - PG 2 (Reg)'!C48</f>
        <v>1.2734258092450546E-13</v>
      </c>
      <c r="D50" s="16"/>
      <c r="E50" s="15">
        <f>+'Summary - Reserve - PG 2 (Reg)'!E48</f>
        <v>0</v>
      </c>
      <c r="F50" s="16"/>
      <c r="G50" s="15">
        <f>+'Summary - Reserve - PG 2 (Reg)'!G48</f>
        <v>0</v>
      </c>
      <c r="H50" s="16"/>
      <c r="I50" s="15">
        <f>+'Summary - Reserve - PG 2 (Reg)'!I48</f>
        <v>0</v>
      </c>
      <c r="J50" s="16"/>
      <c r="K50" s="15">
        <f>+'Summary - Reserve - PG 2 (Reg)'!K48</f>
        <v>0</v>
      </c>
      <c r="L50" s="16"/>
      <c r="M50" s="15">
        <f>+'Summary - Reserve - PG 2 (Reg)'!M48</f>
        <v>0</v>
      </c>
      <c r="N50" s="16"/>
      <c r="O50" s="15">
        <f>+'Summary - Reserve - PG 2 (Reg)'!O48</f>
        <v>0</v>
      </c>
      <c r="P50" s="16"/>
      <c r="Q50" s="15">
        <f>+'Summary - Reserve - PG 2 (Reg)'!Q48</f>
        <v>0</v>
      </c>
      <c r="R50" s="16"/>
      <c r="S50" s="15">
        <f>+'Summary - Reserve - PG 2 (Reg)'!S48</f>
        <v>0</v>
      </c>
      <c r="T50" s="16"/>
      <c r="U50" s="15">
        <f t="shared" si="1"/>
        <v>1.2734258092450546E-13</v>
      </c>
      <c r="V50" s="16"/>
      <c r="W50" s="3"/>
      <c r="X50" s="3"/>
      <c r="Y50" s="3"/>
      <c r="Z50" s="3"/>
      <c r="AA50" s="3"/>
      <c r="AB50" s="3"/>
    </row>
    <row r="51" spans="1:28" s="142" customFormat="1" x14ac:dyDescent="0.2">
      <c r="A51" s="3"/>
      <c r="B51" s="18"/>
      <c r="C51" s="16">
        <f>SUM(C36:C50)</f>
        <v>-402585504.69</v>
      </c>
      <c r="D51" s="16"/>
      <c r="E51" s="16">
        <f>SUM(E36:E50)</f>
        <v>-28112725.709999997</v>
      </c>
      <c r="F51" s="16"/>
      <c r="G51" s="16">
        <f>SUM(G36:G50)</f>
        <v>0</v>
      </c>
      <c r="H51" s="16"/>
      <c r="I51" s="16">
        <f>SUM(I36:I50)</f>
        <v>100.57</v>
      </c>
      <c r="J51" s="16"/>
      <c r="K51" s="16">
        <f>SUM(K36:K50)</f>
        <v>0</v>
      </c>
      <c r="L51" s="16"/>
      <c r="M51" s="16">
        <f>SUM(M36:M50)</f>
        <v>0</v>
      </c>
      <c r="N51" s="16"/>
      <c r="O51" s="16">
        <f>SUM(O36:O50)</f>
        <v>44524445.449999996</v>
      </c>
      <c r="P51" s="16"/>
      <c r="Q51" s="16">
        <f>SUM(Q36:Q50)</f>
        <v>0</v>
      </c>
      <c r="R51" s="16"/>
      <c r="S51" s="16">
        <f>SUM(S36:S50)</f>
        <v>-2695316.3200000003</v>
      </c>
      <c r="T51" s="16"/>
      <c r="U51" s="16">
        <f>SUM(U36:U50)</f>
        <v>-388869000.70000005</v>
      </c>
      <c r="V51" s="16"/>
      <c r="W51" s="3"/>
      <c r="X51" s="3"/>
      <c r="Y51" s="3"/>
      <c r="Z51" s="3"/>
      <c r="AA51" s="3"/>
      <c r="AB51" s="3"/>
    </row>
    <row r="52" spans="1:28" s="142" customFormat="1" x14ac:dyDescent="0.2">
      <c r="A52" s="3"/>
      <c r="B52" s="3"/>
      <c r="C52" s="29"/>
      <c r="D52" s="29"/>
      <c r="E52" s="29"/>
      <c r="F52" s="29"/>
      <c r="G52" s="29"/>
      <c r="H52" s="29"/>
      <c r="I52" s="30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"/>
      <c r="X52" s="3"/>
      <c r="Y52" s="3"/>
      <c r="Z52" s="3"/>
      <c r="AA52" s="3"/>
      <c r="AB52" s="3"/>
    </row>
    <row r="53" spans="1:28" s="142" customFormat="1" ht="15" x14ac:dyDescent="0.35">
      <c r="A53" s="9" t="s">
        <v>90</v>
      </c>
      <c r="B53" s="3"/>
      <c r="C53" s="32"/>
      <c r="D53" s="33"/>
      <c r="E53" s="32"/>
      <c r="F53" s="33"/>
      <c r="G53" s="32"/>
      <c r="H53" s="33"/>
      <c r="I53" s="32"/>
      <c r="J53" s="32"/>
      <c r="K53" s="32"/>
      <c r="L53" s="33"/>
      <c r="M53" s="32"/>
      <c r="N53" s="33"/>
      <c r="O53" s="32"/>
      <c r="P53" s="33"/>
      <c r="Q53" s="32"/>
      <c r="R53" s="33"/>
      <c r="S53" s="32"/>
      <c r="T53" s="33"/>
      <c r="U53" s="32"/>
      <c r="V53" s="32"/>
      <c r="W53" s="3"/>
      <c r="X53" s="3"/>
      <c r="Y53" s="3"/>
      <c r="Z53" s="3"/>
      <c r="AA53" s="3"/>
      <c r="AB53" s="3"/>
    </row>
    <row r="54" spans="1:28" s="142" customFormat="1" x14ac:dyDescent="0.2">
      <c r="A54" s="3"/>
      <c r="B54" s="3" t="s">
        <v>14</v>
      </c>
      <c r="C54" s="16">
        <f>+'Summary - Reserve - PG 2 (Reg)'!C52</f>
        <v>275747.05</v>
      </c>
      <c r="D54" s="16"/>
      <c r="E54" s="16">
        <f>+'Summary - Reserve - PG 2 (Reg)'!E52</f>
        <v>155.93</v>
      </c>
      <c r="F54" s="16"/>
      <c r="G54" s="16">
        <f>+'Summary - Reserve - PG 2 (Reg)'!G52</f>
        <v>0</v>
      </c>
      <c r="H54" s="16"/>
      <c r="I54" s="16">
        <f>+'Summary - Reserve - PG 2 (Reg)'!I52</f>
        <v>0</v>
      </c>
      <c r="J54" s="16"/>
      <c r="K54" s="16">
        <f>+'Summary - Reserve - PG 2 (Reg)'!K52</f>
        <v>0</v>
      </c>
      <c r="L54" s="16"/>
      <c r="M54" s="16">
        <f>+'Summary - Reserve - PG 2 (Reg)'!M52</f>
        <v>0</v>
      </c>
      <c r="N54" s="16"/>
      <c r="O54" s="16">
        <f>+'Summary - Reserve - PG 2 (Reg)'!O52</f>
        <v>0</v>
      </c>
      <c r="P54" s="16"/>
      <c r="Q54" s="16">
        <f>+'Summary - Reserve - PG 2 (Reg)'!Q52</f>
        <v>0</v>
      </c>
      <c r="R54" s="16"/>
      <c r="S54" s="16">
        <f>+'Summary - Reserve - PG 2 (Reg)'!S52</f>
        <v>0</v>
      </c>
      <c r="T54" s="16"/>
      <c r="U54" s="16">
        <f t="shared" ref="U54:U66" si="2">S54+Q54+O54+M54+I54+G54+E54+C54</f>
        <v>275902.98</v>
      </c>
      <c r="V54" s="16"/>
      <c r="W54" s="3"/>
      <c r="X54" s="3"/>
      <c r="Y54" s="3"/>
      <c r="Z54" s="3"/>
      <c r="AA54" s="3"/>
      <c r="AB54" s="3"/>
    </row>
    <row r="55" spans="1:28" s="142" customFormat="1" x14ac:dyDescent="0.2">
      <c r="A55" s="3"/>
      <c r="B55" s="3" t="s">
        <v>18</v>
      </c>
      <c r="C55" s="16">
        <f>+'Summary - Reserve - PG 2 (Reg)'!C53</f>
        <v>20627173.23</v>
      </c>
      <c r="D55" s="16"/>
      <c r="E55" s="16">
        <f>+'Summary - Reserve - PG 2 (Reg)'!E53</f>
        <v>984048.03</v>
      </c>
      <c r="F55" s="16"/>
      <c r="G55" s="16">
        <f>+'Summary - Reserve - PG 2 (Reg)'!G53</f>
        <v>0</v>
      </c>
      <c r="H55" s="16"/>
      <c r="I55" s="16">
        <f>+'Summary - Reserve - PG 2 (Reg)'!I53</f>
        <v>0</v>
      </c>
      <c r="J55" s="16"/>
      <c r="K55" s="16">
        <f>+'Summary - Reserve - PG 2 (Reg)'!K53</f>
        <v>0</v>
      </c>
      <c r="L55" s="16"/>
      <c r="M55" s="16">
        <f>+'Summary - Reserve - PG 2 (Reg)'!M53</f>
        <v>0</v>
      </c>
      <c r="N55" s="16"/>
      <c r="O55" s="16">
        <f>+'Summary - Reserve - PG 2 (Reg)'!O53</f>
        <v>0</v>
      </c>
      <c r="P55" s="16"/>
      <c r="Q55" s="16">
        <f>+'Summary - Reserve - PG 2 (Reg)'!Q53</f>
        <v>-658299.74</v>
      </c>
      <c r="R55" s="16"/>
      <c r="S55" s="16">
        <f>+'Summary - Reserve - PG 2 (Reg)'!S53</f>
        <v>0</v>
      </c>
      <c r="T55" s="16"/>
      <c r="U55" s="16">
        <f t="shared" si="2"/>
        <v>20952921.52</v>
      </c>
      <c r="V55" s="16"/>
      <c r="W55" s="3"/>
      <c r="X55" s="3"/>
      <c r="Y55" s="3"/>
      <c r="Z55" s="3"/>
      <c r="AA55" s="3"/>
      <c r="AB55" s="3"/>
    </row>
    <row r="56" spans="1:28" s="142" customFormat="1" x14ac:dyDescent="0.2">
      <c r="A56" s="3"/>
      <c r="B56" s="3" t="s">
        <v>19</v>
      </c>
      <c r="C56" s="16">
        <f>+'Summary - Reserve - PG 2 (Reg)'!C54</f>
        <v>151690.44999999998</v>
      </c>
      <c r="D56" s="16"/>
      <c r="E56" s="16">
        <f>+'Summary - Reserve - PG 2 (Reg)'!E54</f>
        <v>961.63</v>
      </c>
      <c r="F56" s="16"/>
      <c r="G56" s="16">
        <f>+'Summary - Reserve - PG 2 (Reg)'!G54</f>
        <v>0</v>
      </c>
      <c r="H56" s="16"/>
      <c r="I56" s="16">
        <f>+'Summary - Reserve - PG 2 (Reg)'!I54</f>
        <v>0</v>
      </c>
      <c r="J56" s="16"/>
      <c r="K56" s="16">
        <f>+'Summary - Reserve - PG 2 (Reg)'!K54</f>
        <v>0</v>
      </c>
      <c r="L56" s="16"/>
      <c r="M56" s="16">
        <f>+'Summary - Reserve - PG 2 (Reg)'!M54</f>
        <v>0</v>
      </c>
      <c r="N56" s="16"/>
      <c r="O56" s="16">
        <f>+'Summary - Reserve - PG 2 (Reg)'!O54</f>
        <v>0</v>
      </c>
      <c r="P56" s="16"/>
      <c r="Q56" s="16">
        <f>+'Summary - Reserve - PG 2 (Reg)'!Q54</f>
        <v>0</v>
      </c>
      <c r="R56" s="16"/>
      <c r="S56" s="16">
        <f>+'Summary - Reserve - PG 2 (Reg)'!S54</f>
        <v>0</v>
      </c>
      <c r="T56" s="16"/>
      <c r="U56" s="16">
        <f t="shared" si="2"/>
        <v>152652.07999999999</v>
      </c>
      <c r="V56" s="16"/>
      <c r="W56" s="3"/>
      <c r="X56" s="3"/>
      <c r="Y56" s="3"/>
      <c r="Z56" s="3"/>
      <c r="AA56" s="3"/>
      <c r="AB56" s="3"/>
    </row>
    <row r="57" spans="1:28" s="142" customFormat="1" x14ac:dyDescent="0.2">
      <c r="A57" s="3"/>
      <c r="B57" s="3" t="s">
        <v>20</v>
      </c>
      <c r="C57" s="16">
        <f>+'Summary - Reserve - PG 2 (Reg)'!C55</f>
        <v>441896.45999999996</v>
      </c>
      <c r="D57" s="16"/>
      <c r="E57" s="16">
        <f>+'Summary - Reserve - PG 2 (Reg)'!E55</f>
        <v>24586.66</v>
      </c>
      <c r="F57" s="16"/>
      <c r="G57" s="16">
        <f>+'Summary - Reserve - PG 2 (Reg)'!G55</f>
        <v>0</v>
      </c>
      <c r="H57" s="16"/>
      <c r="I57" s="16">
        <f>+'Summary - Reserve - PG 2 (Reg)'!I55</f>
        <v>0</v>
      </c>
      <c r="J57" s="16"/>
      <c r="K57" s="16">
        <f>+'Summary - Reserve - PG 2 (Reg)'!K55</f>
        <v>0</v>
      </c>
      <c r="L57" s="16"/>
      <c r="M57" s="16">
        <f>+'Summary - Reserve - PG 2 (Reg)'!M55</f>
        <v>0</v>
      </c>
      <c r="N57" s="16"/>
      <c r="O57" s="16">
        <f>+'Summary - Reserve - PG 2 (Reg)'!O55</f>
        <v>0</v>
      </c>
      <c r="P57" s="16"/>
      <c r="Q57" s="16">
        <f>+'Summary - Reserve - PG 2 (Reg)'!Q55</f>
        <v>0</v>
      </c>
      <c r="R57" s="16"/>
      <c r="S57" s="16">
        <f>+'Summary - Reserve - PG 2 (Reg)'!S55</f>
        <v>0</v>
      </c>
      <c r="T57" s="16"/>
      <c r="U57" s="16">
        <f t="shared" si="2"/>
        <v>466483.11999999994</v>
      </c>
      <c r="V57" s="16"/>
      <c r="W57" s="3"/>
      <c r="X57" s="3"/>
      <c r="Y57" s="3"/>
      <c r="Z57" s="3"/>
      <c r="AA57" s="3"/>
      <c r="AB57" s="3"/>
    </row>
    <row r="58" spans="1:28" s="142" customFormat="1" x14ac:dyDescent="0.2">
      <c r="A58" s="3"/>
      <c r="B58" s="3" t="s">
        <v>22</v>
      </c>
      <c r="C58" s="16">
        <f>+'Summary - Reserve - PG 2 (Reg)'!C56</f>
        <v>339071.75</v>
      </c>
      <c r="D58" s="16"/>
      <c r="E58" s="16">
        <f>+'Summary - Reserve - PG 2 (Reg)'!E56</f>
        <v>122267.04</v>
      </c>
      <c r="F58" s="16"/>
      <c r="G58" s="16">
        <f>+'Summary - Reserve - PG 2 (Reg)'!G56</f>
        <v>0</v>
      </c>
      <c r="H58" s="16"/>
      <c r="I58" s="16">
        <f>+'Summary - Reserve - PG 2 (Reg)'!I56</f>
        <v>0</v>
      </c>
      <c r="J58" s="16"/>
      <c r="K58" s="16">
        <f>+'Summary - Reserve - PG 2 (Reg)'!K56</f>
        <v>0</v>
      </c>
      <c r="L58" s="16"/>
      <c r="M58" s="16">
        <f>+'Summary - Reserve - PG 2 (Reg)'!M56</f>
        <v>0</v>
      </c>
      <c r="N58" s="16"/>
      <c r="O58" s="16">
        <f>+'Summary - Reserve - PG 2 (Reg)'!O56</f>
        <v>0</v>
      </c>
      <c r="P58" s="16"/>
      <c r="Q58" s="16">
        <f>+'Summary - Reserve - PG 2 (Reg)'!Q56</f>
        <v>0</v>
      </c>
      <c r="R58" s="16"/>
      <c r="S58" s="16">
        <f>+'Summary - Reserve - PG 2 (Reg)'!S56</f>
        <v>0</v>
      </c>
      <c r="T58" s="16"/>
      <c r="U58" s="16">
        <f t="shared" si="2"/>
        <v>461338.79</v>
      </c>
      <c r="V58" s="16"/>
      <c r="W58" s="3"/>
      <c r="X58" s="3"/>
      <c r="Y58" s="3"/>
      <c r="Z58" s="3"/>
      <c r="AA58" s="3"/>
      <c r="AB58" s="3"/>
    </row>
    <row r="59" spans="1:28" s="142" customFormat="1" x14ac:dyDescent="0.2">
      <c r="A59" s="3"/>
      <c r="B59" s="3" t="s">
        <v>23</v>
      </c>
      <c r="C59" s="16">
        <f>+'Summary - Reserve - PG 2 (Reg)'!C57</f>
        <v>28345010.91</v>
      </c>
      <c r="D59" s="16"/>
      <c r="E59" s="16">
        <f>+'Summary - Reserve - PG 2 (Reg)'!E57</f>
        <v>1071371.1100000001</v>
      </c>
      <c r="F59" s="16"/>
      <c r="G59" s="16">
        <f>+'Summary - Reserve - PG 2 (Reg)'!G57</f>
        <v>0</v>
      </c>
      <c r="H59" s="16"/>
      <c r="I59" s="16">
        <f>+'Summary - Reserve - PG 2 (Reg)'!I57</f>
        <v>0</v>
      </c>
      <c r="J59" s="16"/>
      <c r="K59" s="16">
        <f>+'Summary - Reserve - PG 2 (Reg)'!K57</f>
        <v>0</v>
      </c>
      <c r="L59" s="16"/>
      <c r="M59" s="16">
        <f>+'Summary - Reserve - PG 2 (Reg)'!M57</f>
        <v>0</v>
      </c>
      <c r="N59" s="16"/>
      <c r="O59" s="16">
        <f>+'Summary - Reserve - PG 2 (Reg)'!O57</f>
        <v>0</v>
      </c>
      <c r="P59" s="16"/>
      <c r="Q59" s="16">
        <f>+'Summary - Reserve - PG 2 (Reg)'!Q57</f>
        <v>-815417.91</v>
      </c>
      <c r="R59" s="16"/>
      <c r="S59" s="16">
        <f>+'Summary - Reserve - PG 2 (Reg)'!S57</f>
        <v>0</v>
      </c>
      <c r="T59" s="16"/>
      <c r="U59" s="16">
        <f t="shared" si="2"/>
        <v>28600964.109999999</v>
      </c>
      <c r="V59" s="16"/>
      <c r="W59" s="3"/>
      <c r="X59" s="3"/>
      <c r="Y59" s="3"/>
      <c r="Z59" s="3"/>
      <c r="AA59" s="3"/>
      <c r="AB59" s="3"/>
    </row>
    <row r="60" spans="1:28" s="142" customFormat="1" x14ac:dyDescent="0.2">
      <c r="A60" s="3"/>
      <c r="B60" s="3" t="s">
        <v>24</v>
      </c>
      <c r="C60" s="16">
        <f>+'Summary - Reserve - PG 2 (Reg)'!C58</f>
        <v>6685901.3199999994</v>
      </c>
      <c r="D60" s="16"/>
      <c r="E60" s="16">
        <f>+'Summary - Reserve - PG 2 (Reg)'!E58</f>
        <v>315455.53999999998</v>
      </c>
      <c r="F60" s="16"/>
      <c r="G60" s="16">
        <f>+'Summary - Reserve - PG 2 (Reg)'!G58</f>
        <v>0</v>
      </c>
      <c r="H60" s="16"/>
      <c r="I60" s="16">
        <f>+'Summary - Reserve - PG 2 (Reg)'!I58</f>
        <v>0</v>
      </c>
      <c r="J60" s="16"/>
      <c r="K60" s="16">
        <f>+'Summary - Reserve - PG 2 (Reg)'!K58</f>
        <v>0</v>
      </c>
      <c r="L60" s="16"/>
      <c r="M60" s="16">
        <f>+'Summary - Reserve - PG 2 (Reg)'!M58</f>
        <v>0</v>
      </c>
      <c r="N60" s="16"/>
      <c r="O60" s="16">
        <f>+'Summary - Reserve - PG 2 (Reg)'!O58</f>
        <v>0</v>
      </c>
      <c r="P60" s="16"/>
      <c r="Q60" s="16">
        <f>+'Summary - Reserve - PG 2 (Reg)'!Q58</f>
        <v>-6661.73</v>
      </c>
      <c r="R60" s="16"/>
      <c r="S60" s="16">
        <f>+'Summary - Reserve - PG 2 (Reg)'!S58</f>
        <v>0</v>
      </c>
      <c r="T60" s="16"/>
      <c r="U60" s="16">
        <f t="shared" si="2"/>
        <v>6994695.129999999</v>
      </c>
      <c r="V60" s="16"/>
      <c r="W60" s="3"/>
      <c r="X60" s="3"/>
      <c r="Y60" s="3"/>
      <c r="Z60" s="3"/>
      <c r="AA60" s="3"/>
      <c r="AB60" s="3"/>
    </row>
    <row r="61" spans="1:28" s="142" customFormat="1" x14ac:dyDescent="0.2">
      <c r="A61" s="3"/>
      <c r="B61" s="3" t="s">
        <v>27</v>
      </c>
      <c r="C61" s="16">
        <f>+'Summary - Reserve - PG 2 (Reg)'!C59</f>
        <v>4464500.95</v>
      </c>
      <c r="D61" s="16"/>
      <c r="E61" s="16">
        <f>+'Summary - Reserve - PG 2 (Reg)'!E59</f>
        <v>230850.75</v>
      </c>
      <c r="F61" s="16"/>
      <c r="G61" s="16">
        <f>+'Summary - Reserve - PG 2 (Reg)'!G59</f>
        <v>0</v>
      </c>
      <c r="H61" s="16"/>
      <c r="I61" s="16">
        <f>+'Summary - Reserve - PG 2 (Reg)'!I59</f>
        <v>0</v>
      </c>
      <c r="J61" s="16"/>
      <c r="K61" s="16">
        <f>+'Summary - Reserve - PG 2 (Reg)'!K59</f>
        <v>0</v>
      </c>
      <c r="L61" s="16"/>
      <c r="M61" s="16">
        <f>+'Summary - Reserve - PG 2 (Reg)'!M59</f>
        <v>0</v>
      </c>
      <c r="N61" s="16"/>
      <c r="O61" s="16">
        <f>+'Summary - Reserve - PG 2 (Reg)'!O59</f>
        <v>0</v>
      </c>
      <c r="P61" s="16"/>
      <c r="Q61" s="16">
        <f>+'Summary - Reserve - PG 2 (Reg)'!Q59</f>
        <v>-30729.81</v>
      </c>
      <c r="R61" s="16"/>
      <c r="S61" s="16">
        <f>+'Summary - Reserve - PG 2 (Reg)'!S59</f>
        <v>0</v>
      </c>
      <c r="T61" s="16"/>
      <c r="U61" s="16">
        <f t="shared" si="2"/>
        <v>4664621.8900000006</v>
      </c>
      <c r="V61" s="16"/>
      <c r="W61" s="3"/>
      <c r="X61" s="3"/>
      <c r="Y61" s="3"/>
      <c r="Z61" s="3"/>
      <c r="AA61" s="3"/>
      <c r="AB61" s="3"/>
    </row>
    <row r="62" spans="1:28" s="142" customFormat="1" x14ac:dyDescent="0.2">
      <c r="A62" s="3"/>
      <c r="B62" s="3" t="s">
        <v>28</v>
      </c>
      <c r="C62" s="16">
        <f>+'Summary - Reserve - PG 2 (Reg)'!C60</f>
        <v>237737.23000000004</v>
      </c>
      <c r="D62" s="16"/>
      <c r="E62" s="16">
        <f>+'Summary - Reserve - PG 2 (Reg)'!E60</f>
        <v>1359.35</v>
      </c>
      <c r="F62" s="16"/>
      <c r="G62" s="16">
        <f>+'Summary - Reserve - PG 2 (Reg)'!G60</f>
        <v>0</v>
      </c>
      <c r="H62" s="16"/>
      <c r="I62" s="16">
        <f>+'Summary - Reserve - PG 2 (Reg)'!I60</f>
        <v>-1252.0999999999999</v>
      </c>
      <c r="J62" s="16"/>
      <c r="K62" s="16">
        <f>+'Summary - Reserve - PG 2 (Reg)'!K60</f>
        <v>0</v>
      </c>
      <c r="L62" s="16"/>
      <c r="M62" s="16">
        <f>+'Summary - Reserve - PG 2 (Reg)'!M60</f>
        <v>0</v>
      </c>
      <c r="N62" s="16"/>
      <c r="O62" s="16">
        <f>+'Summary - Reserve - PG 2 (Reg)'!O60</f>
        <v>0</v>
      </c>
      <c r="P62" s="16"/>
      <c r="Q62" s="16">
        <f>+'Summary - Reserve - PG 2 (Reg)'!Q60</f>
        <v>0</v>
      </c>
      <c r="R62" s="16"/>
      <c r="S62" s="16">
        <f>+'Summary - Reserve - PG 2 (Reg)'!S60</f>
        <v>0</v>
      </c>
      <c r="T62" s="16"/>
      <c r="U62" s="16">
        <f t="shared" si="2"/>
        <v>237844.48000000004</v>
      </c>
      <c r="V62" s="16"/>
      <c r="W62" s="3"/>
      <c r="X62" s="3"/>
      <c r="Y62" s="3"/>
      <c r="Z62" s="3"/>
      <c r="AA62" s="3"/>
      <c r="AB62" s="3"/>
    </row>
    <row r="63" spans="1:28" s="142" customFormat="1" x14ac:dyDescent="0.2">
      <c r="A63" s="3"/>
      <c r="B63" s="3" t="s">
        <v>30</v>
      </c>
      <c r="C63" s="16">
        <f>+'Summary - Reserve - PG 2 (Reg)'!C61</f>
        <v>453353.26999999996</v>
      </c>
      <c r="D63" s="16"/>
      <c r="E63" s="16">
        <f>+'Summary - Reserve - PG 2 (Reg)'!E61</f>
        <v>37694.94</v>
      </c>
      <c r="F63" s="16"/>
      <c r="G63" s="16">
        <f>+'Summary - Reserve - PG 2 (Reg)'!G61</f>
        <v>0</v>
      </c>
      <c r="H63" s="16"/>
      <c r="I63" s="16">
        <f>+'Summary - Reserve - PG 2 (Reg)'!I61</f>
        <v>0</v>
      </c>
      <c r="J63" s="16"/>
      <c r="K63" s="16">
        <f>+'Summary - Reserve - PG 2 (Reg)'!K61</f>
        <v>0</v>
      </c>
      <c r="L63" s="16"/>
      <c r="M63" s="16">
        <f>+'Summary - Reserve - PG 2 (Reg)'!M61</f>
        <v>0</v>
      </c>
      <c r="N63" s="16"/>
      <c r="O63" s="16">
        <f>+'Summary - Reserve - PG 2 (Reg)'!O61</f>
        <v>0</v>
      </c>
      <c r="P63" s="16"/>
      <c r="Q63" s="16">
        <f>+'Summary - Reserve - PG 2 (Reg)'!Q61</f>
        <v>-696.13</v>
      </c>
      <c r="R63" s="16"/>
      <c r="S63" s="16">
        <f>+'Summary - Reserve - PG 2 (Reg)'!S61</f>
        <v>0</v>
      </c>
      <c r="T63" s="16"/>
      <c r="U63" s="16">
        <f t="shared" si="2"/>
        <v>490352.07999999996</v>
      </c>
      <c r="V63" s="16"/>
      <c r="W63" s="3"/>
      <c r="X63" s="3"/>
      <c r="Y63" s="3"/>
      <c r="Z63" s="3"/>
      <c r="AA63" s="3"/>
      <c r="AB63" s="3"/>
    </row>
    <row r="64" spans="1:28" s="142" customFormat="1" x14ac:dyDescent="0.2">
      <c r="A64" s="3"/>
      <c r="B64" s="3" t="s">
        <v>51</v>
      </c>
      <c r="C64" s="16">
        <f>+'Summary - Reserve - PG 2 (Reg)'!C62</f>
        <v>0</v>
      </c>
      <c r="D64" s="16"/>
      <c r="E64" s="16">
        <f>+'Summary - Reserve - PG 2 (Reg)'!E62</f>
        <v>0</v>
      </c>
      <c r="F64" s="16"/>
      <c r="G64" s="16">
        <f>+'Summary - Reserve - PG 2 (Reg)'!G62</f>
        <v>0</v>
      </c>
      <c r="H64" s="16"/>
      <c r="I64" s="16">
        <f>+'Summary - Reserve - PG 2 (Reg)'!I62</f>
        <v>0</v>
      </c>
      <c r="J64" s="16"/>
      <c r="K64" s="16">
        <f>+'Summary - Reserve - PG 2 (Reg)'!K62</f>
        <v>0</v>
      </c>
      <c r="L64" s="16"/>
      <c r="M64" s="16">
        <f>+'Summary - Reserve - PG 2 (Reg)'!M62</f>
        <v>0</v>
      </c>
      <c r="N64" s="16"/>
      <c r="O64" s="16">
        <f>+'Summary - Reserve - PG 2 (Reg)'!O62</f>
        <v>0</v>
      </c>
      <c r="P64" s="16"/>
      <c r="Q64" s="16">
        <f>+'Summary - Reserve - PG 2 (Reg)'!Q62</f>
        <v>0</v>
      </c>
      <c r="R64" s="16"/>
      <c r="S64" s="16">
        <f>+'Summary - Reserve - PG 2 (Reg)'!S62</f>
        <v>0</v>
      </c>
      <c r="T64" s="16"/>
      <c r="U64" s="16">
        <f t="shared" si="2"/>
        <v>0</v>
      </c>
      <c r="V64" s="16"/>
      <c r="W64" s="3"/>
      <c r="X64" s="3"/>
      <c r="Y64" s="3"/>
      <c r="Z64" s="3"/>
      <c r="AA64" s="3"/>
      <c r="AB64" s="3"/>
    </row>
    <row r="65" spans="1:28" s="142" customFormat="1" x14ac:dyDescent="0.2">
      <c r="A65" s="3"/>
      <c r="B65" s="3" t="s">
        <v>31</v>
      </c>
      <c r="C65" s="16">
        <f>+'Summary - Reserve - PG 2 (Reg)'!C63</f>
        <v>246054.13</v>
      </c>
      <c r="D65" s="16"/>
      <c r="E65" s="16">
        <f>+'Summary - Reserve - PG 2 (Reg)'!E63</f>
        <v>10448.44</v>
      </c>
      <c r="F65" s="16"/>
      <c r="G65" s="16">
        <f>+'Summary - Reserve - PG 2 (Reg)'!G63</f>
        <v>0</v>
      </c>
      <c r="H65" s="16"/>
      <c r="I65" s="16">
        <f>+'Summary - Reserve - PG 2 (Reg)'!I63</f>
        <v>0</v>
      </c>
      <c r="J65" s="16"/>
      <c r="K65" s="16">
        <f>+'Summary - Reserve - PG 2 (Reg)'!K63</f>
        <v>0</v>
      </c>
      <c r="L65" s="16"/>
      <c r="M65" s="16">
        <f>+'Summary - Reserve - PG 2 (Reg)'!M63</f>
        <v>0</v>
      </c>
      <c r="N65" s="16"/>
      <c r="O65" s="16">
        <f>+'Summary - Reserve - PG 2 (Reg)'!O63</f>
        <v>0</v>
      </c>
      <c r="P65" s="16"/>
      <c r="Q65" s="16">
        <f>+'Summary - Reserve - PG 2 (Reg)'!Q63</f>
        <v>0</v>
      </c>
      <c r="R65" s="16"/>
      <c r="S65" s="16">
        <f>+'Summary - Reserve - PG 2 (Reg)'!S63</f>
        <v>0</v>
      </c>
      <c r="T65" s="16"/>
      <c r="U65" s="16">
        <f t="shared" si="2"/>
        <v>256502.57</v>
      </c>
      <c r="V65" s="16"/>
      <c r="W65" s="3"/>
      <c r="X65" s="3"/>
      <c r="Y65" s="3"/>
      <c r="Z65" s="3"/>
      <c r="AA65" s="3"/>
      <c r="AB65" s="3"/>
    </row>
    <row r="66" spans="1:28" s="142" customFormat="1" x14ac:dyDescent="0.2">
      <c r="A66" s="3"/>
      <c r="B66" s="3" t="s">
        <v>54</v>
      </c>
      <c r="C66" s="15">
        <f>+'Summary - Reserve - PG 2 (Reg)'!C64</f>
        <v>0</v>
      </c>
      <c r="D66" s="16"/>
      <c r="E66" s="15">
        <f>+'Summary - Reserve - PG 2 (Reg)'!E64</f>
        <v>0</v>
      </c>
      <c r="F66" s="16"/>
      <c r="G66" s="15">
        <f>+'Summary - Reserve - PG 2 (Reg)'!G64</f>
        <v>0</v>
      </c>
      <c r="H66" s="16"/>
      <c r="I66" s="15">
        <f>+'Summary - Reserve - PG 2 (Reg)'!I64</f>
        <v>0</v>
      </c>
      <c r="J66" s="16"/>
      <c r="K66" s="15">
        <f>+'Summary - Reserve - PG 2 (Reg)'!K64</f>
        <v>0</v>
      </c>
      <c r="L66" s="16"/>
      <c r="M66" s="15">
        <f>+'Summary - Reserve - PG 2 (Reg)'!M64</f>
        <v>0</v>
      </c>
      <c r="N66" s="16"/>
      <c r="O66" s="15">
        <f>+'Summary - Reserve - PG 2 (Reg)'!O64</f>
        <v>0</v>
      </c>
      <c r="P66" s="16"/>
      <c r="Q66" s="15">
        <f>+'Summary - Reserve - PG 2 (Reg)'!Q64</f>
        <v>0</v>
      </c>
      <c r="R66" s="16"/>
      <c r="S66" s="15">
        <f>+'Summary - Reserve - PG 2 (Reg)'!S64</f>
        <v>0</v>
      </c>
      <c r="T66" s="16"/>
      <c r="U66" s="15">
        <f t="shared" si="2"/>
        <v>0</v>
      </c>
      <c r="V66" s="16"/>
      <c r="W66" s="3"/>
      <c r="X66" s="3"/>
      <c r="Y66" s="3"/>
      <c r="Z66" s="3"/>
      <c r="AA66" s="3"/>
      <c r="AB66" s="3"/>
    </row>
    <row r="67" spans="1:28" s="142" customFormat="1" x14ac:dyDescent="0.2">
      <c r="A67" s="3"/>
      <c r="B67" s="18"/>
      <c r="C67" s="16">
        <f>SUM(C54:C66)</f>
        <v>62268136.750000007</v>
      </c>
      <c r="D67" s="16"/>
      <c r="E67" s="16">
        <f>SUM(E54:E66)</f>
        <v>2799199.4200000004</v>
      </c>
      <c r="F67" s="16"/>
      <c r="G67" s="16">
        <f>SUM(G54:G66)</f>
        <v>0</v>
      </c>
      <c r="H67" s="16"/>
      <c r="I67" s="16">
        <f>SUM(I54:I66)</f>
        <v>-1252.0999999999999</v>
      </c>
      <c r="J67" s="16"/>
      <c r="K67" s="16">
        <f>SUM(K54:K66)</f>
        <v>0</v>
      </c>
      <c r="L67" s="16"/>
      <c r="M67" s="16">
        <f>SUM(M54:M66)</f>
        <v>0</v>
      </c>
      <c r="N67" s="16"/>
      <c r="O67" s="16">
        <f>SUM(O54:O66)</f>
        <v>0</v>
      </c>
      <c r="P67" s="16"/>
      <c r="Q67" s="16">
        <f>SUM(Q54:Q66)</f>
        <v>-1511805.3199999998</v>
      </c>
      <c r="R67" s="16"/>
      <c r="S67" s="16">
        <f>SUM(S54:S66)</f>
        <v>0</v>
      </c>
      <c r="T67" s="16"/>
      <c r="U67" s="16">
        <f>SUM(U54:U66)</f>
        <v>63554278.749999985</v>
      </c>
      <c r="V67" s="16"/>
      <c r="W67" s="3"/>
      <c r="X67" s="3"/>
      <c r="Y67" s="3"/>
      <c r="Z67" s="3"/>
      <c r="AA67" s="3"/>
      <c r="AB67" s="3"/>
    </row>
    <row r="68" spans="1:28" x14ac:dyDescent="0.2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8" x14ac:dyDescent="0.2">
      <c r="A69" s="9" t="s">
        <v>91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8" x14ac:dyDescent="0.2">
      <c r="B70" s="3" t="s">
        <v>13</v>
      </c>
      <c r="C70" s="14">
        <f>C54+C36+C10+C11+C66+C50+C32+C31</f>
        <v>-81169236.599999994</v>
      </c>
      <c r="D70" s="14"/>
      <c r="E70" s="14">
        <f>E54+E36+E10+E11+E66+E50+E32+E31</f>
        <v>-9150467.7899999991</v>
      </c>
      <c r="F70" s="14"/>
      <c r="G70" s="14">
        <f>G54+G36+G10+G11+G66+G50+G32+G31</f>
        <v>8421276.8100000005</v>
      </c>
      <c r="H70" s="14"/>
      <c r="I70" s="14">
        <f>I54+I36+I10+I11+I66+I50+I32+I31</f>
        <v>0</v>
      </c>
      <c r="J70" s="14"/>
      <c r="K70" s="14">
        <f>K54+K36+K10+K11+K66+K50+K32+K31</f>
        <v>0</v>
      </c>
      <c r="L70" s="14"/>
      <c r="M70" s="14">
        <f>M54+M36+M10+M11+M66+M50+M32+M31</f>
        <v>0</v>
      </c>
      <c r="N70" s="14"/>
      <c r="O70" s="14">
        <f>O54+O36+O10+O11+O66+O50+O32+O31</f>
        <v>254433.78</v>
      </c>
      <c r="P70" s="14"/>
      <c r="Q70" s="14">
        <f>Q54+Q36+Q10+Q11+Q66+Q50+Q32+Q31</f>
        <v>0</v>
      </c>
      <c r="R70" s="14"/>
      <c r="S70" s="14">
        <f>S54+S36+S10+S11+S66+S50+S32+S31</f>
        <v>0</v>
      </c>
      <c r="T70" s="14"/>
      <c r="U70" s="14">
        <f>U54+U36+U10+U11+U66+U50+U32+U31</f>
        <v>-81643993.799999997</v>
      </c>
      <c r="V70" s="14"/>
    </row>
    <row r="71" spans="1:28" x14ac:dyDescent="0.2">
      <c r="B71" s="3" t="s">
        <v>17</v>
      </c>
      <c r="C71" s="16">
        <f>C55+C56+C57+C58+C59+C60+C37+C38+C39+C40+C41+C43+C12+C13+C14+C15+C16+C17+C18+C19+C20+C21+C22+C42</f>
        <v>-1670301354.0300002</v>
      </c>
      <c r="D71" s="16"/>
      <c r="E71" s="16">
        <f>E55+E56+E57+E58+E59+E60+E37+E38+E39+E40+E41+E43+E12+E13+E14+E15+E16+E17+E18+E19+E20+E21+E22+E42</f>
        <v>-148093433.80000001</v>
      </c>
      <c r="F71" s="16"/>
      <c r="G71" s="16">
        <f>G55+G56+G57+G58+G59+G60+G37+G38+G39+G40+G41+G43+G12+G13+G14+G15+G16+G17+G18+G19+G20+G21+G22+G42</f>
        <v>54659107.540000007</v>
      </c>
      <c r="H71" s="16"/>
      <c r="I71" s="16">
        <f>I55+I56+I57+I58+I59+I60+I37+I38+I39+I40+I41+I43+I12+I13+I14+I15+I16+I17+I18+I19+I20+I21+I22+I42</f>
        <v>-16563.850000000006</v>
      </c>
      <c r="J71" s="16"/>
      <c r="K71" s="16">
        <f>K55+K56+K57+K58+K59+K60+K37+K38+K39+K40+K41+K43+K12+K13+K14+K15+K16+K17+K18+K19+K20+K21+K22+K42</f>
        <v>0</v>
      </c>
      <c r="L71" s="16"/>
      <c r="M71" s="16">
        <f>M55+M56+M57+M58+M59+M60+M37+M38+M39+M40+M41+M43+M12+M13+M14+M15+M16+M17+M18+M19+M20+M21+M22+M42</f>
        <v>0</v>
      </c>
      <c r="N71" s="16"/>
      <c r="O71" s="16">
        <f>O55+O56+O57+O58+O59+O60+O37+O38+O39+O40+O41+O43+O12+O13+O14+O15+O16+O17+O18+O19+O20+O21+O22+O42</f>
        <v>42917625.75</v>
      </c>
      <c r="P71" s="16"/>
      <c r="Q71" s="16">
        <f>Q55+Q56+Q57+Q58+Q59+Q60+Q37+Q38+Q39+Q40+Q41+Q43+Q12+Q13+Q14+Q15+Q16+Q17+Q18+Q19+Q20+Q21+Q22+Q42</f>
        <v>-1480379.38</v>
      </c>
      <c r="R71" s="16"/>
      <c r="S71" s="16">
        <f>S55+S56+S57+S58+S59+S60+S37+S38+S39+S40+S41+S43+S12+S13+S14+S15+S16+S17+S18+S19+S20+S21+S22+S42</f>
        <v>-2655400.08</v>
      </c>
      <c r="T71" s="16"/>
      <c r="U71" s="16">
        <f>U55+U56+U57+U58+U59+U60+U37+U38+U39+U40+U41+U43+U12+U13+U14+U15+U16+U17+U18+U19+U20+U21+U22+U42</f>
        <v>-1724970397.8500001</v>
      </c>
      <c r="V71" s="16"/>
    </row>
    <row r="72" spans="1:28" x14ac:dyDescent="0.2">
      <c r="B72" s="3" t="s">
        <v>26</v>
      </c>
      <c r="C72" s="15">
        <f>C61+C62+C63+C64+C65+C44+C45+C46+C48+C49+C23+C24+C25+C26+C27+C28+C29+C30+C47</f>
        <v>-308165828.47000009</v>
      </c>
      <c r="D72" s="16"/>
      <c r="E72" s="15">
        <f>E61+E62+E63+E64+E65+E44+E45+E46+E48+E49+E23+E24+E25+E26+E27+E28+E29+E30+E47</f>
        <v>-29787405.549999993</v>
      </c>
      <c r="F72" s="16"/>
      <c r="G72" s="15">
        <f>G61+G62+G63+G64+G65+G44+G45+G46+G48+G49+G23+G24+G25+G26+G27+G28+G29+G30+G47</f>
        <v>4304184</v>
      </c>
      <c r="H72" s="16"/>
      <c r="I72" s="15">
        <f>I61+I62+I63+I64+I65+I44+I45+I46+I48+I49+I23+I24+I25+I26+I27+I28+I29+I30+I47</f>
        <v>-13949.37</v>
      </c>
      <c r="J72" s="16"/>
      <c r="K72" s="15">
        <f>K61+K62+K63+K64+K65+K44+K45+K46+K48+K49+K23+K24+K25+K26+K27+K28+K29+K30+K47</f>
        <v>0</v>
      </c>
      <c r="L72" s="16"/>
      <c r="M72" s="15">
        <f>M61+M62+M63+M64+M65+M44+M45+M46+M48+M49+M23+M24+M25+M26+M27+M28+M29+M30+M47</f>
        <v>0</v>
      </c>
      <c r="N72" s="16"/>
      <c r="O72" s="15">
        <f>O61+O62+O63+O64+O65+O44+O45+O46+O48+O49+O23+O24+O25+O26+O27+O28+O29+O30+O47</f>
        <v>1352385.9200000002</v>
      </c>
      <c r="P72" s="16"/>
      <c r="Q72" s="15">
        <f>Q61+Q62+Q63+Q64+Q65+Q44+Q45+Q46+Q48+Q49+Q23+Q24+Q25+Q26+Q27+Q28+Q29+Q30+Q47</f>
        <v>-31425.940000000002</v>
      </c>
      <c r="R72" s="16"/>
      <c r="S72" s="15">
        <f>S61+S62+S63+S64+S65+S44+S45+S46+S48+S49+S23+S24+S25+S26+S27+S28+S29+S30+S47</f>
        <v>-39916.239999999998</v>
      </c>
      <c r="T72" s="16"/>
      <c r="U72" s="15">
        <f>U61+U62+U63+U64+U65+U44+U45+U46+U48+U49+U23+U24+U25+U26+U27+U28+U29+U30+U47</f>
        <v>-332381955.64999998</v>
      </c>
      <c r="V72" s="16"/>
    </row>
    <row r="73" spans="1:28" x14ac:dyDescent="0.2">
      <c r="B73" s="18"/>
      <c r="C73" s="16">
        <f>SUM(C70:C72)</f>
        <v>-2059636419.1000001</v>
      </c>
      <c r="D73" s="16"/>
      <c r="E73" s="16">
        <f>SUM(E70:E72)</f>
        <v>-187031307.13999999</v>
      </c>
      <c r="F73" s="16"/>
      <c r="G73" s="16">
        <f>SUM(G70:G72)</f>
        <v>67384568.350000009</v>
      </c>
      <c r="H73" s="16"/>
      <c r="I73" s="16">
        <f>SUM(I70:I72)</f>
        <v>-30513.220000000008</v>
      </c>
      <c r="J73" s="16"/>
      <c r="K73" s="16">
        <f>SUM(K70:K72)</f>
        <v>0</v>
      </c>
      <c r="L73" s="16"/>
      <c r="M73" s="16">
        <f>SUM(M70:M72)</f>
        <v>0</v>
      </c>
      <c r="N73" s="16"/>
      <c r="O73" s="16">
        <f>SUM(O70:O72)</f>
        <v>44524445.450000003</v>
      </c>
      <c r="P73" s="16"/>
      <c r="Q73" s="16">
        <f>SUM(Q70:Q72)</f>
        <v>-1511805.3199999998</v>
      </c>
      <c r="R73" s="16"/>
      <c r="S73" s="16">
        <f>SUM(S70:S72)</f>
        <v>-2695316.3200000003</v>
      </c>
      <c r="T73" s="16"/>
      <c r="U73" s="16">
        <f>SUM(U70:U72)</f>
        <v>-2138996347.3000002</v>
      </c>
      <c r="V73" s="16"/>
    </row>
    <row r="74" spans="1:28" x14ac:dyDescent="0.2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8" x14ac:dyDescent="0.2">
      <c r="A75" s="9" t="s">
        <v>93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8" x14ac:dyDescent="0.2">
      <c r="B76" s="3" t="s">
        <v>13</v>
      </c>
      <c r="C76" s="16">
        <f>+'Summary - Reserve - PG 2 (Reg)'!C74</f>
        <v>319140.77999999991</v>
      </c>
      <c r="D76" s="14"/>
      <c r="E76" s="16">
        <f>+'Summary - Reserve - PG 2 (Reg)'!E74</f>
        <v>0</v>
      </c>
      <c r="F76" s="14"/>
      <c r="G76" s="16">
        <f>+'Summary - Reserve - PG 2 (Reg)'!G74</f>
        <v>0</v>
      </c>
      <c r="H76" s="14"/>
      <c r="I76" s="16">
        <f>+'Summary - Reserve - PG 2 (Reg)'!I74</f>
        <v>2200</v>
      </c>
      <c r="J76" s="14"/>
      <c r="K76" s="16">
        <f>+'Summary - Reserve - PG 2 (Reg)'!K74</f>
        <v>0</v>
      </c>
      <c r="L76" s="14"/>
      <c r="M76" s="16">
        <f>+'Summary - Reserve - PG 2 (Reg)'!M74</f>
        <v>-254433.77999999997</v>
      </c>
      <c r="N76" s="14"/>
      <c r="O76" s="16">
        <f>+'Summary - Reserve - PG 2 (Reg)'!O74</f>
        <v>355684.6</v>
      </c>
      <c r="P76" s="14"/>
      <c r="Q76" s="16">
        <f>+'Summary - Reserve - PG 2 (Reg)'!Q74</f>
        <v>-33335</v>
      </c>
      <c r="R76" s="14"/>
      <c r="S76" s="16">
        <f>+'Summary - Reserve - PG 2 (Reg)'!S74</f>
        <v>-189610.72999999998</v>
      </c>
      <c r="T76" s="14"/>
      <c r="U76" s="14">
        <f>S76+Q76+O76+M76+I76+G76+E76+C76+K76</f>
        <v>199645.86999999994</v>
      </c>
      <c r="V76" s="14"/>
    </row>
    <row r="77" spans="1:28" x14ac:dyDescent="0.2">
      <c r="B77" s="3" t="s">
        <v>17</v>
      </c>
      <c r="C77" s="16">
        <f>+'Summary - Reserve - PG 2 (Reg)'!C75</f>
        <v>53786919.939999998</v>
      </c>
      <c r="D77" s="14"/>
      <c r="E77" s="16">
        <f>+'Summary - Reserve - PG 2 (Reg)'!E75</f>
        <v>0</v>
      </c>
      <c r="F77" s="14"/>
      <c r="G77" s="16">
        <f>+'Summary - Reserve - PG 2 (Reg)'!G75</f>
        <v>0</v>
      </c>
      <c r="H77" s="14"/>
      <c r="I77" s="16">
        <f>+'Summary - Reserve - PG 2 (Reg)'!I75</f>
        <v>34871.78</v>
      </c>
      <c r="J77" s="14"/>
      <c r="K77" s="16">
        <f>+'Summary - Reserve - PG 2 (Reg)'!K75</f>
        <v>-25867164.27</v>
      </c>
      <c r="L77" s="14"/>
      <c r="M77" s="16">
        <f>+'Summary - Reserve - PG 2 (Reg)'!M75</f>
        <v>-12914682.019999998</v>
      </c>
      <c r="N77" s="14"/>
      <c r="O77" s="16">
        <f>+'Summary - Reserve - PG 2 (Reg)'!O75</f>
        <v>31472738.859999992</v>
      </c>
      <c r="P77" s="14"/>
      <c r="Q77" s="16">
        <f>+'Summary - Reserve - PG 2 (Reg)'!Q75</f>
        <v>-538089.17000000004</v>
      </c>
      <c r="R77" s="14"/>
      <c r="S77" s="16">
        <f>+'Summary - Reserve - PG 2 (Reg)'!S75</f>
        <v>-1045710.5399999999</v>
      </c>
      <c r="T77" s="14"/>
      <c r="U77" s="14">
        <f>S77+Q77+O77+M77+I77+G77+E77+C77+K77</f>
        <v>44928884.579999998</v>
      </c>
      <c r="V77" s="14"/>
    </row>
    <row r="78" spans="1:28" x14ac:dyDescent="0.2">
      <c r="B78" s="3" t="s">
        <v>26</v>
      </c>
      <c r="C78" s="15">
        <f>+'Summary - Reserve - PG 2 (Reg)'!C76</f>
        <v>3939484.5200000005</v>
      </c>
      <c r="D78" s="14"/>
      <c r="E78" s="15">
        <f>+'Summary - Reserve - PG 2 (Reg)'!E76</f>
        <v>0</v>
      </c>
      <c r="F78" s="14"/>
      <c r="G78" s="15">
        <f>+'Summary - Reserve - PG 2 (Reg)'!G76</f>
        <v>0</v>
      </c>
      <c r="H78" s="14"/>
      <c r="I78" s="15">
        <f>+'Summary - Reserve - PG 2 (Reg)'!I76</f>
        <v>15255.44</v>
      </c>
      <c r="J78" s="14"/>
      <c r="K78" s="15">
        <f>+'Summary - Reserve - PG 2 (Reg)'!K76</f>
        <v>-533831.31000000006</v>
      </c>
      <c r="L78" s="14"/>
      <c r="M78" s="15">
        <f>+'Summary - Reserve - PG 2 (Reg)'!M76</f>
        <v>-747212.42999999993</v>
      </c>
      <c r="N78" s="14"/>
      <c r="O78" s="15">
        <f>+'Summary - Reserve - PG 2 (Reg)'!O76</f>
        <v>5046751.3199999984</v>
      </c>
      <c r="P78" s="14"/>
      <c r="Q78" s="15">
        <f>+'Summary - Reserve - PG 2 (Reg)'!Q76</f>
        <v>-70853.339999999982</v>
      </c>
      <c r="R78" s="14"/>
      <c r="S78" s="15">
        <f>+'Summary - Reserve - PG 2 (Reg)'!S76</f>
        <v>300.19</v>
      </c>
      <c r="T78" s="14"/>
      <c r="U78" s="14">
        <f>S78+Q78+O78+M78+I78+G78+E78+C78+K78</f>
        <v>7649894.3899999987</v>
      </c>
      <c r="V78" s="14"/>
    </row>
    <row r="79" spans="1:28" x14ac:dyDescent="0.2">
      <c r="B79" s="18"/>
      <c r="C79" s="20">
        <f>SUM(C76:C78)</f>
        <v>58045545.240000002</v>
      </c>
      <c r="D79" s="14"/>
      <c r="E79" s="20">
        <f>SUM(E76:E78)</f>
        <v>0</v>
      </c>
      <c r="F79" s="14"/>
      <c r="G79" s="20">
        <f>SUM(G76:G78)</f>
        <v>0</v>
      </c>
      <c r="H79" s="14"/>
      <c r="I79" s="20">
        <f>SUM(I76:I78)</f>
        <v>52327.22</v>
      </c>
      <c r="J79" s="16"/>
      <c r="K79" s="20">
        <f>SUM(K76:K78)</f>
        <v>-26400995.579999998</v>
      </c>
      <c r="L79" s="14"/>
      <c r="M79" s="20">
        <f>SUM(M76:M78)</f>
        <v>-13916328.229999997</v>
      </c>
      <c r="N79" s="14"/>
      <c r="O79" s="20">
        <f>SUM(O76:O78)</f>
        <v>36875174.779999994</v>
      </c>
      <c r="P79" s="14"/>
      <c r="Q79" s="20">
        <f>SUM(Q76:Q78)</f>
        <v>-642277.51</v>
      </c>
      <c r="R79" s="14"/>
      <c r="S79" s="20">
        <f>SUM(S76:S78)</f>
        <v>-1235021.08</v>
      </c>
      <c r="T79" s="14"/>
      <c r="U79" s="20">
        <f>SUM(U76:U78)</f>
        <v>52778424.839999996</v>
      </c>
      <c r="V79" s="16"/>
    </row>
    <row r="80" spans="1:28" x14ac:dyDescent="0.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">
      <c r="B81" s="18" t="s">
        <v>94</v>
      </c>
      <c r="C81" s="15">
        <f>C73+C79</f>
        <v>-2001590873.8600001</v>
      </c>
      <c r="D81" s="14"/>
      <c r="E81" s="15">
        <f>E73+E79</f>
        <v>-187031307.13999999</v>
      </c>
      <c r="F81" s="14"/>
      <c r="G81" s="15">
        <f>G73+G79</f>
        <v>67384568.350000009</v>
      </c>
      <c r="H81" s="14"/>
      <c r="I81" s="15">
        <f>I73+I79</f>
        <v>21813.999999999993</v>
      </c>
      <c r="J81" s="16"/>
      <c r="K81" s="15">
        <f>K73+K79</f>
        <v>-26400995.579999998</v>
      </c>
      <c r="L81" s="14"/>
      <c r="M81" s="15">
        <f>M73+M79</f>
        <v>-13916328.229999997</v>
      </c>
      <c r="N81" s="14"/>
      <c r="O81" s="15">
        <f>O73+O79</f>
        <v>81399620.229999989</v>
      </c>
      <c r="P81" s="14"/>
      <c r="Q81" s="15">
        <f>Q73+Q79</f>
        <v>-2154082.83</v>
      </c>
      <c r="R81" s="14"/>
      <c r="S81" s="15">
        <f>S73+S79</f>
        <v>-3930337.4000000004</v>
      </c>
      <c r="T81" s="14"/>
      <c r="U81" s="15">
        <f>U73+U79</f>
        <v>-2086217922.4600003</v>
      </c>
      <c r="V81" s="16"/>
    </row>
    <row r="82" spans="1:22" x14ac:dyDescent="0.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2">
      <c r="A83" s="9" t="s">
        <v>95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">
      <c r="B84" s="3" t="s">
        <v>13</v>
      </c>
      <c r="C84" s="16">
        <f>+'Summary - Reserve - PG 2 (Reg)'!C82</f>
        <v>-51500719.059999995</v>
      </c>
      <c r="D84" s="14"/>
      <c r="E84" s="16">
        <f>+'Summary - Reserve - PG 2 (Reg)'!E82</f>
        <v>-14818571.390000001</v>
      </c>
      <c r="F84" s="14"/>
      <c r="G84" s="16">
        <f>+'Summary - Reserve - PG 2 (Reg)'!G82</f>
        <v>8008540.6900000004</v>
      </c>
      <c r="H84" s="14"/>
      <c r="I84" s="16">
        <f>+'Summary - Reserve - PG 2 (Reg)'!I82</f>
        <v>0</v>
      </c>
      <c r="J84" s="14"/>
      <c r="K84" s="16">
        <f>+'Summary - Reserve - PG 2 (Reg)'!K82</f>
        <v>0</v>
      </c>
      <c r="L84" s="14"/>
      <c r="M84" s="16">
        <f>+'Summary - Reserve - PG 2 (Reg)'!M82</f>
        <v>0</v>
      </c>
      <c r="N84" s="14"/>
      <c r="O84" s="16">
        <f>+'Summary - Reserve - PG 2 (Reg)'!O82</f>
        <v>0</v>
      </c>
      <c r="P84" s="14"/>
      <c r="Q84" s="16">
        <f>+'Summary - Reserve - PG 2 (Reg)'!Q82</f>
        <v>0</v>
      </c>
      <c r="R84" s="14"/>
      <c r="S84" s="16">
        <f>+'Summary - Reserve - PG 2 (Reg)'!S82</f>
        <v>0</v>
      </c>
      <c r="T84" s="14"/>
      <c r="U84" s="14">
        <f>S84+Q84+O84+M84+I84+G84+E84+C84</f>
        <v>-58310749.759999998</v>
      </c>
      <c r="V84" s="14"/>
    </row>
    <row r="85" spans="1:22" x14ac:dyDescent="0.2">
      <c r="B85" s="3" t="s">
        <v>17</v>
      </c>
      <c r="C85" s="16">
        <f>+'Summary - Reserve - PG 2 (Reg)'!C83</f>
        <v>0</v>
      </c>
      <c r="D85" s="14"/>
      <c r="E85" s="16">
        <f>+'Summary - Reserve - PG 2 (Reg)'!E83</f>
        <v>0</v>
      </c>
      <c r="F85" s="14"/>
      <c r="G85" s="16">
        <f>+'Summary - Reserve - PG 2 (Reg)'!G83</f>
        <v>0</v>
      </c>
      <c r="H85" s="14"/>
      <c r="I85" s="16">
        <f>+'Summary - Reserve - PG 2 (Reg)'!I83</f>
        <v>0</v>
      </c>
      <c r="J85" s="14"/>
      <c r="K85" s="16">
        <f>+'Summary - Reserve - PG 2 (Reg)'!K83</f>
        <v>0</v>
      </c>
      <c r="L85" s="14"/>
      <c r="M85" s="16">
        <f>+'Summary - Reserve - PG 2 (Reg)'!M83</f>
        <v>0</v>
      </c>
      <c r="N85" s="14"/>
      <c r="O85" s="16">
        <f>+'Summary - Reserve - PG 2 (Reg)'!O83</f>
        <v>0</v>
      </c>
      <c r="P85" s="14"/>
      <c r="Q85" s="16">
        <f>+'Summary - Reserve - PG 2 (Reg)'!Q83</f>
        <v>0</v>
      </c>
      <c r="R85" s="14"/>
      <c r="S85" s="16">
        <f>+'Summary - Reserve - PG 2 (Reg)'!S83</f>
        <v>0</v>
      </c>
      <c r="T85" s="14"/>
      <c r="U85" s="14">
        <f>S85+Q85+O85+M85+I85+G85+E85+C85</f>
        <v>0</v>
      </c>
      <c r="V85" s="14"/>
    </row>
    <row r="86" spans="1:22" x14ac:dyDescent="0.2">
      <c r="B86" s="3" t="s">
        <v>26</v>
      </c>
      <c r="C86" s="15">
        <f>+'Summary - Reserve - PG 2 (Reg)'!C84</f>
        <v>-164.16000000000003</v>
      </c>
      <c r="D86" s="14"/>
      <c r="E86" s="15">
        <f>+'Summary - Reserve - PG 2 (Reg)'!E84</f>
        <v>-44.52</v>
      </c>
      <c r="F86" s="14"/>
      <c r="G86" s="15">
        <f>+'Summary - Reserve - PG 2 (Reg)'!G84</f>
        <v>0</v>
      </c>
      <c r="H86" s="14"/>
      <c r="I86" s="15">
        <f>+'Summary - Reserve - PG 2 (Reg)'!I84</f>
        <v>0</v>
      </c>
      <c r="J86" s="16"/>
      <c r="K86" s="15">
        <f>+'Summary - Reserve - PG 2 (Reg)'!K84</f>
        <v>0</v>
      </c>
      <c r="L86" s="14"/>
      <c r="M86" s="15">
        <f>+'Summary - Reserve - PG 2 (Reg)'!M84</f>
        <v>0</v>
      </c>
      <c r="N86" s="14"/>
      <c r="O86" s="15">
        <f>+'Summary - Reserve - PG 2 (Reg)'!O84</f>
        <v>0</v>
      </c>
      <c r="P86" s="14"/>
      <c r="Q86" s="15">
        <f>+'Summary - Reserve - PG 2 (Reg)'!Q84</f>
        <v>0</v>
      </c>
      <c r="R86" s="14"/>
      <c r="S86" s="15">
        <f>+'Summary - Reserve - PG 2 (Reg)'!S84</f>
        <v>0</v>
      </c>
      <c r="T86" s="14"/>
      <c r="U86" s="15">
        <f>S86+Q86+O86+M86+I86+G86+E86+C86</f>
        <v>-208.68000000000004</v>
      </c>
      <c r="V86" s="16"/>
    </row>
    <row r="87" spans="1:22" x14ac:dyDescent="0.2">
      <c r="B87" s="18" t="s">
        <v>99</v>
      </c>
      <c r="C87" s="16">
        <f>SUM(C84:C86)</f>
        <v>-51500883.219999991</v>
      </c>
      <c r="D87" s="16"/>
      <c r="E87" s="16">
        <f>SUM(E84:E86)</f>
        <v>-14818615.91</v>
      </c>
      <c r="F87" s="16"/>
      <c r="G87" s="16">
        <f>SUM(G84:G86)</f>
        <v>8008540.6900000004</v>
      </c>
      <c r="H87" s="16"/>
      <c r="I87" s="16">
        <f>SUM(I84:I86)</f>
        <v>0</v>
      </c>
      <c r="J87" s="16"/>
      <c r="K87" s="16">
        <f>SUM(K84:K86)</f>
        <v>0</v>
      </c>
      <c r="L87" s="16"/>
      <c r="M87" s="16">
        <f>SUM(M84:M86)</f>
        <v>0</v>
      </c>
      <c r="N87" s="16"/>
      <c r="O87" s="16">
        <f>SUM(O84:O86)</f>
        <v>0</v>
      </c>
      <c r="P87" s="16"/>
      <c r="Q87" s="16">
        <f>SUM(Q84:Q86)</f>
        <v>0</v>
      </c>
      <c r="R87" s="16"/>
      <c r="S87" s="16">
        <f>SUM(S84:S86)</f>
        <v>0</v>
      </c>
      <c r="T87" s="16"/>
      <c r="U87" s="16">
        <f>SUM(U84:U86)</f>
        <v>-58310958.439999998</v>
      </c>
      <c r="V87" s="16"/>
    </row>
    <row r="88" spans="1:22" x14ac:dyDescent="0.2">
      <c r="B88" s="18"/>
      <c r="C88" s="16"/>
      <c r="D88" s="14"/>
      <c r="E88" s="16"/>
      <c r="F88" s="14"/>
      <c r="G88" s="16"/>
      <c r="H88" s="14"/>
      <c r="I88" s="16"/>
      <c r="J88" s="16"/>
      <c r="K88" s="16"/>
      <c r="L88" s="14"/>
      <c r="M88" s="16"/>
      <c r="N88" s="14"/>
      <c r="O88" s="16"/>
      <c r="P88" s="14"/>
      <c r="Q88" s="16"/>
      <c r="R88" s="14"/>
      <c r="S88" s="16"/>
      <c r="T88" s="14"/>
      <c r="U88" s="16"/>
      <c r="V88" s="16"/>
    </row>
    <row r="89" spans="1:22" x14ac:dyDescent="0.2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3.5" thickBot="1" x14ac:dyDescent="0.25">
      <c r="B90" s="18" t="s">
        <v>100</v>
      </c>
      <c r="C90" s="39">
        <f>C81+C87</f>
        <v>-2053091757.0800002</v>
      </c>
      <c r="D90" s="14"/>
      <c r="E90" s="39">
        <f>E81+E87</f>
        <v>-201849923.04999998</v>
      </c>
      <c r="F90" s="14"/>
      <c r="G90" s="39">
        <f>G81+G87</f>
        <v>75393109.040000007</v>
      </c>
      <c r="H90" s="14"/>
      <c r="I90" s="39">
        <f>I81+I87</f>
        <v>21813.999999999993</v>
      </c>
      <c r="J90" s="16"/>
      <c r="K90" s="39">
        <f>K81+K87</f>
        <v>-26400995.579999998</v>
      </c>
      <c r="L90" s="14"/>
      <c r="M90" s="39">
        <f>M81+M87</f>
        <v>-13916328.229999997</v>
      </c>
      <c r="N90" s="14"/>
      <c r="O90" s="39">
        <f>O81+O87</f>
        <v>81399620.229999989</v>
      </c>
      <c r="P90" s="14"/>
      <c r="Q90" s="39">
        <f>Q81+Q87</f>
        <v>-2154082.83</v>
      </c>
      <c r="R90" s="14"/>
      <c r="S90" s="39">
        <f>S81+S87</f>
        <v>-3930337.4000000004</v>
      </c>
      <c r="T90" s="14"/>
      <c r="U90" s="39">
        <f>U81+U87</f>
        <v>-2144528880.9000003</v>
      </c>
      <c r="V90" s="16"/>
    </row>
    <row r="91" spans="1:22" ht="13.5" thickTop="1" x14ac:dyDescent="0.2">
      <c r="B91" s="18"/>
      <c r="C91" s="16"/>
      <c r="D91" s="14"/>
      <c r="E91" s="16"/>
      <c r="F91" s="14"/>
      <c r="G91" s="16"/>
      <c r="H91" s="14"/>
      <c r="I91" s="16"/>
      <c r="J91" s="16"/>
      <c r="K91" s="16"/>
      <c r="L91" s="14"/>
      <c r="M91" s="16"/>
      <c r="N91" s="14"/>
      <c r="O91" s="16"/>
      <c r="P91" s="14"/>
      <c r="Q91" s="16"/>
      <c r="R91" s="14"/>
      <c r="S91" s="16"/>
      <c r="T91" s="14"/>
      <c r="U91" s="16"/>
      <c r="V91" s="16"/>
    </row>
    <row r="92" spans="1:22" ht="13.5" thickBot="1" x14ac:dyDescent="0.25">
      <c r="B92" s="18" t="s">
        <v>101</v>
      </c>
      <c r="C92" s="16"/>
      <c r="D92" s="14"/>
      <c r="E92" s="16"/>
      <c r="F92" s="14"/>
      <c r="G92" s="16"/>
      <c r="H92" s="14"/>
      <c r="I92" s="16"/>
      <c r="J92" s="16"/>
      <c r="K92" s="16"/>
      <c r="L92" s="14"/>
      <c r="M92" s="16"/>
      <c r="N92" s="14"/>
      <c r="O92" s="16"/>
      <c r="P92" s="14"/>
      <c r="Q92" s="16"/>
      <c r="R92" s="14"/>
      <c r="S92" s="16"/>
      <c r="T92" s="14"/>
      <c r="U92" s="23">
        <f>U90-U32</f>
        <v>-2144465520.5400004</v>
      </c>
      <c r="V92" s="16"/>
    </row>
    <row r="93" spans="1:22" ht="13.5" thickTop="1" x14ac:dyDescent="0.2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x14ac:dyDescent="0.2">
      <c r="A94" s="9" t="s">
        <v>102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3.5" thickBot="1" x14ac:dyDescent="0.25">
      <c r="A95" s="9" t="s">
        <v>103</v>
      </c>
      <c r="C95" s="39">
        <f>'Summary - Cost - PG 1 (Reg)'!D133+C90-C32</f>
        <v>4716068886.5699997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39">
        <f>'Summary - Cost - PG 1 (Reg)'!N133+'Depr Study Summary Pg2'!U90-U32</f>
        <v>5011031245.2199993</v>
      </c>
      <c r="V95" s="16"/>
    </row>
    <row r="96" spans="1:22" ht="13.5" thickTop="1" x14ac:dyDescent="0.2">
      <c r="C96" s="14"/>
      <c r="D96" s="14"/>
      <c r="E96" s="14"/>
      <c r="F96" s="14"/>
      <c r="G96" s="14"/>
      <c r="H96" s="14"/>
      <c r="I96" s="14"/>
      <c r="J96" s="14"/>
      <c r="K96" s="14"/>
      <c r="L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8" x14ac:dyDescent="0.2">
      <c r="F97" s="14"/>
      <c r="G97" s="14"/>
      <c r="H97" s="14"/>
      <c r="I97" s="14"/>
      <c r="J97" s="14"/>
      <c r="N97" s="40"/>
      <c r="O97" s="40"/>
      <c r="P97" s="40"/>
      <c r="Q97" s="40"/>
      <c r="R97" s="40"/>
      <c r="S97" s="40"/>
      <c r="T97" s="40"/>
      <c r="U97" s="40"/>
      <c r="V97" s="41"/>
    </row>
    <row r="98" spans="1:28" x14ac:dyDescent="0.2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1:28" x14ac:dyDescent="0.2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1:28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1:28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1:28" x14ac:dyDescent="0.2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spans="1:28" s="142" customFormat="1" x14ac:dyDescent="0.2">
      <c r="A103" s="3"/>
      <c r="B103" s="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3"/>
      <c r="X103" s="3"/>
      <c r="Y103" s="3"/>
      <c r="Z103" s="3"/>
      <c r="AA103" s="3"/>
      <c r="AB103" s="3"/>
    </row>
    <row r="104" spans="1:28" s="142" customFormat="1" x14ac:dyDescent="0.2">
      <c r="A104" s="3"/>
      <c r="B104" s="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3"/>
      <c r="X104" s="3"/>
      <c r="Y104" s="3"/>
      <c r="Z104" s="3"/>
      <c r="AA104" s="3"/>
      <c r="AB104" s="3"/>
    </row>
    <row r="105" spans="1:28" s="142" customFormat="1" x14ac:dyDescent="0.2">
      <c r="A105" s="3"/>
      <c r="B105" s="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3"/>
      <c r="X105" s="3"/>
      <c r="Y105" s="3"/>
      <c r="Z105" s="3"/>
      <c r="AA105" s="3"/>
      <c r="AB105" s="3"/>
    </row>
    <row r="106" spans="1:28" s="142" customFormat="1" x14ac:dyDescent="0.2">
      <c r="A106" s="3"/>
      <c r="B106" s="3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3"/>
      <c r="X106" s="3"/>
      <c r="Y106" s="3"/>
      <c r="Z106" s="3"/>
      <c r="AA106" s="3"/>
      <c r="AB106" s="3"/>
    </row>
    <row r="107" spans="1:28" s="142" customFormat="1" x14ac:dyDescent="0.2">
      <c r="A107" s="3"/>
      <c r="B107" s="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3"/>
      <c r="X107" s="3"/>
      <c r="Y107" s="3"/>
      <c r="Z107" s="3"/>
      <c r="AA107" s="3"/>
      <c r="AB107" s="3"/>
    </row>
    <row r="108" spans="1:28" s="142" customFormat="1" x14ac:dyDescent="0.2">
      <c r="A108" s="3"/>
      <c r="B108" s="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3"/>
      <c r="X108" s="3"/>
      <c r="Y108" s="3"/>
      <c r="Z108" s="3"/>
      <c r="AA108" s="3"/>
      <c r="AB108" s="3"/>
    </row>
    <row r="109" spans="1:28" s="142" customFormat="1" x14ac:dyDescent="0.2">
      <c r="A109" s="3"/>
      <c r="B109" s="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3"/>
      <c r="X109" s="3"/>
      <c r="Y109" s="3"/>
      <c r="Z109" s="3"/>
      <c r="AA109" s="3"/>
      <c r="AB109" s="3"/>
    </row>
    <row r="110" spans="1:28" s="142" customFormat="1" x14ac:dyDescent="0.2">
      <c r="A110" s="3"/>
      <c r="B110" s="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3"/>
      <c r="X110" s="3"/>
      <c r="Y110" s="3"/>
      <c r="Z110" s="3"/>
      <c r="AA110" s="3"/>
      <c r="AB110" s="3"/>
    </row>
    <row r="111" spans="1:28" s="142" customFormat="1" x14ac:dyDescent="0.2">
      <c r="A111" s="3"/>
      <c r="B111" s="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3"/>
      <c r="X111" s="3"/>
      <c r="Y111" s="3"/>
      <c r="Z111" s="3"/>
      <c r="AA111" s="3"/>
      <c r="AB111" s="3"/>
    </row>
    <row r="112" spans="1:28" s="142" customFormat="1" x14ac:dyDescent="0.2">
      <c r="A112" s="3"/>
      <c r="B112" s="3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3"/>
      <c r="X112" s="3"/>
      <c r="Y112" s="3"/>
      <c r="Z112" s="3"/>
      <c r="AA112" s="3"/>
      <c r="AB112" s="3"/>
    </row>
    <row r="113" spans="1:28" s="142" customFormat="1" x14ac:dyDescent="0.2">
      <c r="A113" s="3"/>
      <c r="B113" s="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3"/>
      <c r="X113" s="3"/>
      <c r="Y113" s="3"/>
      <c r="Z113" s="3"/>
      <c r="AA113" s="3"/>
      <c r="AB113" s="3"/>
    </row>
    <row r="114" spans="1:28" s="142" customFormat="1" x14ac:dyDescent="0.2">
      <c r="A114" s="3"/>
      <c r="B114" s="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3"/>
      <c r="X114" s="3"/>
      <c r="Y114" s="3"/>
      <c r="Z114" s="3"/>
      <c r="AA114" s="3"/>
      <c r="AB114" s="3"/>
    </row>
    <row r="115" spans="1:28" s="142" customFormat="1" x14ac:dyDescent="0.2">
      <c r="A115" s="3"/>
      <c r="B115" s="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3"/>
      <c r="X115" s="3"/>
      <c r="Y115" s="3"/>
      <c r="Z115" s="3"/>
      <c r="AA115" s="3"/>
      <c r="AB115" s="3"/>
    </row>
    <row r="116" spans="1:28" s="142" customFormat="1" x14ac:dyDescent="0.2">
      <c r="A116" s="3"/>
      <c r="B116" s="3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3"/>
      <c r="X116" s="3"/>
      <c r="Y116" s="3"/>
      <c r="Z116" s="3"/>
      <c r="AA116" s="3"/>
      <c r="AB116" s="3"/>
    </row>
    <row r="117" spans="1:28" s="142" customFormat="1" x14ac:dyDescent="0.2">
      <c r="A117" s="3"/>
      <c r="B117" s="3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3"/>
      <c r="X117" s="3"/>
      <c r="Y117" s="3"/>
      <c r="Z117" s="3"/>
      <c r="AA117" s="3"/>
      <c r="AB117" s="3"/>
    </row>
    <row r="118" spans="1:28" s="142" customFormat="1" x14ac:dyDescent="0.2">
      <c r="A118" s="3"/>
      <c r="B118" s="3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3"/>
      <c r="X118" s="3"/>
      <c r="Y118" s="3"/>
      <c r="Z118" s="3"/>
      <c r="AA118" s="3"/>
      <c r="AB118" s="3"/>
    </row>
    <row r="119" spans="1:28" s="142" customFormat="1" x14ac:dyDescent="0.2">
      <c r="A119" s="3"/>
      <c r="B119" s="3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3"/>
      <c r="X119" s="3"/>
      <c r="Y119" s="3"/>
      <c r="Z119" s="3"/>
      <c r="AA119" s="3"/>
      <c r="AB119" s="3"/>
    </row>
    <row r="120" spans="1:28" s="142" customFormat="1" x14ac:dyDescent="0.2">
      <c r="A120" s="3"/>
      <c r="B120" s="3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3"/>
      <c r="X120" s="3"/>
      <c r="Y120" s="3"/>
      <c r="Z120" s="3"/>
      <c r="AA120" s="3"/>
      <c r="AB120" s="3"/>
    </row>
    <row r="121" spans="1:28" s="142" customFormat="1" x14ac:dyDescent="0.2">
      <c r="A121" s="3"/>
      <c r="B121" s="3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3"/>
      <c r="X121" s="3"/>
      <c r="Y121" s="3"/>
      <c r="Z121" s="3"/>
      <c r="AA121" s="3"/>
      <c r="AB121" s="3"/>
    </row>
    <row r="122" spans="1:28" s="142" customFormat="1" x14ac:dyDescent="0.2">
      <c r="A122" s="3"/>
      <c r="B122" s="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3"/>
      <c r="X122" s="3"/>
      <c r="Y122" s="3"/>
      <c r="Z122" s="3"/>
      <c r="AA122" s="3"/>
      <c r="AB122" s="3"/>
    </row>
    <row r="123" spans="1:28" s="142" customFormat="1" x14ac:dyDescent="0.2">
      <c r="A123" s="3"/>
      <c r="B123" s="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3"/>
      <c r="X123" s="3"/>
      <c r="Y123" s="3"/>
      <c r="Z123" s="3"/>
      <c r="AA123" s="3"/>
      <c r="AB123" s="3"/>
    </row>
    <row r="124" spans="1:28" s="142" customFormat="1" x14ac:dyDescent="0.2">
      <c r="A124" s="3"/>
      <c r="B124" s="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3"/>
      <c r="X124" s="3"/>
      <c r="Y124" s="3"/>
      <c r="Z124" s="3"/>
      <c r="AA124" s="3"/>
      <c r="AB124" s="3"/>
    </row>
    <row r="125" spans="1:28" s="142" customFormat="1" x14ac:dyDescent="0.2">
      <c r="A125" s="3"/>
      <c r="B125" s="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3"/>
      <c r="X125" s="3"/>
      <c r="Y125" s="3"/>
      <c r="Z125" s="3"/>
      <c r="AA125" s="3"/>
      <c r="AB125" s="3"/>
    </row>
    <row r="126" spans="1:28" s="142" customFormat="1" x14ac:dyDescent="0.2">
      <c r="A126" s="3"/>
      <c r="B126" s="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3"/>
      <c r="X126" s="3"/>
      <c r="Y126" s="3"/>
      <c r="Z126" s="3"/>
      <c r="AA126" s="3"/>
      <c r="AB126" s="3"/>
    </row>
    <row r="127" spans="1:28" s="142" customFormat="1" x14ac:dyDescent="0.2">
      <c r="A127" s="3"/>
      <c r="B127" s="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3"/>
      <c r="X127" s="3"/>
      <c r="Y127" s="3"/>
      <c r="Z127" s="3"/>
      <c r="AA127" s="3"/>
      <c r="AB127" s="3"/>
    </row>
    <row r="128" spans="1:28" s="142" customFormat="1" x14ac:dyDescent="0.2">
      <c r="A128" s="3"/>
      <c r="B128" s="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3"/>
      <c r="X128" s="3"/>
      <c r="Y128" s="3"/>
      <c r="Z128" s="3"/>
      <c r="AA128" s="3"/>
      <c r="AB128" s="3"/>
    </row>
    <row r="129" spans="1:28" s="142" customFormat="1" x14ac:dyDescent="0.2">
      <c r="A129" s="3"/>
      <c r="B129" s="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3"/>
      <c r="X129" s="3"/>
      <c r="Y129" s="3"/>
      <c r="Z129" s="3"/>
      <c r="AA129" s="3"/>
      <c r="AB129" s="3"/>
    </row>
    <row r="130" spans="1:28" s="142" customFormat="1" x14ac:dyDescent="0.2">
      <c r="A130" s="3"/>
      <c r="B130" s="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3"/>
      <c r="X130" s="3"/>
      <c r="Y130" s="3"/>
      <c r="Z130" s="3"/>
      <c r="AA130" s="3"/>
      <c r="AB130" s="3"/>
    </row>
    <row r="131" spans="1:28" s="142" customFormat="1" x14ac:dyDescent="0.2">
      <c r="A131" s="3"/>
      <c r="B131" s="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3"/>
      <c r="X131" s="3"/>
      <c r="Y131" s="3"/>
      <c r="Z131" s="3"/>
      <c r="AA131" s="3"/>
      <c r="AB131" s="3"/>
    </row>
    <row r="132" spans="1:28" s="142" customFormat="1" x14ac:dyDescent="0.2">
      <c r="A132" s="3"/>
      <c r="B132" s="3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3"/>
      <c r="X132" s="3"/>
      <c r="Y132" s="3"/>
      <c r="Z132" s="3"/>
      <c r="AA132" s="3"/>
      <c r="AB132" s="3"/>
    </row>
    <row r="133" spans="1:28" s="142" customFormat="1" x14ac:dyDescent="0.2">
      <c r="A133" s="3"/>
      <c r="B133" s="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3"/>
      <c r="X133" s="3"/>
      <c r="Y133" s="3"/>
      <c r="Z133" s="3"/>
      <c r="AA133" s="3"/>
      <c r="AB133" s="3"/>
    </row>
    <row r="134" spans="1:28" s="142" customFormat="1" x14ac:dyDescent="0.2">
      <c r="A134" s="3"/>
      <c r="B134" s="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3"/>
      <c r="X134" s="3"/>
      <c r="Y134" s="3"/>
      <c r="Z134" s="3"/>
      <c r="AA134" s="3"/>
      <c r="AB134" s="3"/>
    </row>
    <row r="135" spans="1:28" s="142" customFormat="1" x14ac:dyDescent="0.2">
      <c r="A135" s="3"/>
      <c r="B135" s="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3"/>
      <c r="X135" s="3"/>
      <c r="Y135" s="3"/>
      <c r="Z135" s="3"/>
      <c r="AA135" s="3"/>
      <c r="AB135" s="3"/>
    </row>
    <row r="136" spans="1:28" s="142" customFormat="1" x14ac:dyDescent="0.2">
      <c r="A136" s="3"/>
      <c r="B136" s="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3"/>
      <c r="X136" s="3"/>
      <c r="Y136" s="3"/>
      <c r="Z136" s="3"/>
      <c r="AA136" s="3"/>
      <c r="AB136" s="3"/>
    </row>
    <row r="137" spans="1:28" s="142" customFormat="1" x14ac:dyDescent="0.2">
      <c r="A137" s="3"/>
      <c r="B137" s="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3"/>
      <c r="X137" s="3"/>
      <c r="Y137" s="3"/>
      <c r="Z137" s="3"/>
      <c r="AA137" s="3"/>
      <c r="AB137" s="3"/>
    </row>
    <row r="138" spans="1:28" s="142" customFormat="1" x14ac:dyDescent="0.2">
      <c r="A138" s="3"/>
      <c r="B138" s="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3"/>
      <c r="X138" s="3"/>
      <c r="Y138" s="3"/>
      <c r="Z138" s="3"/>
      <c r="AA138" s="3"/>
      <c r="AB138" s="3"/>
    </row>
    <row r="139" spans="1:28" s="142" customFormat="1" x14ac:dyDescent="0.2">
      <c r="A139" s="3"/>
      <c r="B139" s="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3"/>
      <c r="X139" s="3"/>
      <c r="Y139" s="3"/>
      <c r="Z139" s="3"/>
      <c r="AA139" s="3"/>
      <c r="AB139" s="3"/>
    </row>
    <row r="140" spans="1:28" s="142" customFormat="1" x14ac:dyDescent="0.2">
      <c r="A140" s="3"/>
      <c r="B140" s="3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3"/>
      <c r="X140" s="3"/>
      <c r="Y140" s="3"/>
      <c r="Z140" s="3"/>
      <c r="AA140" s="3"/>
      <c r="AB140" s="3"/>
    </row>
    <row r="141" spans="1:28" s="142" customFormat="1" x14ac:dyDescent="0.2">
      <c r="A141" s="3"/>
      <c r="B141" s="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3"/>
      <c r="X141" s="3"/>
      <c r="Y141" s="3"/>
      <c r="Z141" s="3"/>
      <c r="AA141" s="3"/>
      <c r="AB141" s="3"/>
    </row>
    <row r="142" spans="1:28" s="142" customFormat="1" x14ac:dyDescent="0.2">
      <c r="A142" s="3"/>
      <c r="B142" s="3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3"/>
      <c r="X142" s="3"/>
      <c r="Y142" s="3"/>
      <c r="Z142" s="3"/>
      <c r="AA142" s="3"/>
      <c r="AB142" s="3"/>
    </row>
    <row r="143" spans="1:28" s="142" customFormat="1" x14ac:dyDescent="0.2">
      <c r="A143" s="3"/>
      <c r="B143" s="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3"/>
      <c r="X143" s="3"/>
      <c r="Y143" s="3"/>
      <c r="Z143" s="3"/>
      <c r="AA143" s="3"/>
      <c r="AB143" s="3"/>
    </row>
    <row r="144" spans="1:28" s="142" customFormat="1" x14ac:dyDescent="0.2">
      <c r="A144" s="3"/>
      <c r="B144" s="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3"/>
      <c r="X144" s="3"/>
      <c r="Y144" s="3"/>
      <c r="Z144" s="3"/>
      <c r="AA144" s="3"/>
      <c r="AB144" s="3"/>
    </row>
    <row r="145" spans="1:28" s="142" customFormat="1" x14ac:dyDescent="0.2">
      <c r="A145" s="3"/>
      <c r="B145" s="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3"/>
      <c r="X145" s="3"/>
      <c r="Y145" s="3"/>
      <c r="Z145" s="3"/>
      <c r="AA145" s="3"/>
      <c r="AB145" s="3"/>
    </row>
    <row r="146" spans="1:28" s="142" customFormat="1" x14ac:dyDescent="0.2">
      <c r="A146" s="3"/>
      <c r="B146" s="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3"/>
      <c r="X146" s="3"/>
      <c r="Y146" s="3"/>
      <c r="Z146" s="3"/>
      <c r="AA146" s="3"/>
      <c r="AB146" s="3"/>
    </row>
    <row r="147" spans="1:28" s="142" customFormat="1" x14ac:dyDescent="0.2">
      <c r="A147" s="3"/>
      <c r="B147" s="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3"/>
      <c r="X147" s="3"/>
      <c r="Y147" s="3"/>
      <c r="Z147" s="3"/>
      <c r="AA147" s="3"/>
      <c r="AB147" s="3"/>
    </row>
    <row r="148" spans="1:28" s="142" customFormat="1" x14ac:dyDescent="0.2">
      <c r="A148" s="3"/>
      <c r="B148" s="3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3"/>
      <c r="X148" s="3"/>
      <c r="Y148" s="3"/>
      <c r="Z148" s="3"/>
      <c r="AA148" s="3"/>
      <c r="AB148" s="3"/>
    </row>
    <row r="149" spans="1:28" s="142" customFormat="1" x14ac:dyDescent="0.2">
      <c r="A149" s="3"/>
      <c r="B149" s="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3"/>
      <c r="X149" s="3"/>
      <c r="Y149" s="3"/>
      <c r="Z149" s="3"/>
      <c r="AA149" s="3"/>
      <c r="AB149" s="3"/>
    </row>
    <row r="150" spans="1:28" s="142" customFormat="1" x14ac:dyDescent="0.2">
      <c r="A150" s="3"/>
      <c r="B150" s="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3"/>
      <c r="X150" s="3"/>
      <c r="Y150" s="3"/>
      <c r="Z150" s="3"/>
      <c r="AA150" s="3"/>
      <c r="AB150" s="3"/>
    </row>
    <row r="151" spans="1:28" s="142" customFormat="1" x14ac:dyDescent="0.2">
      <c r="A151" s="3"/>
      <c r="B151" s="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3"/>
      <c r="X151" s="3"/>
      <c r="Y151" s="3"/>
      <c r="Z151" s="3"/>
      <c r="AA151" s="3"/>
      <c r="AB151" s="3"/>
    </row>
    <row r="152" spans="1:28" s="142" customFormat="1" x14ac:dyDescent="0.2">
      <c r="A152" s="3"/>
      <c r="B152" s="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3"/>
      <c r="X152" s="3"/>
      <c r="Y152" s="3"/>
      <c r="Z152" s="3"/>
      <c r="AA152" s="3"/>
      <c r="AB152" s="3"/>
    </row>
    <row r="153" spans="1:28" s="142" customFormat="1" x14ac:dyDescent="0.2">
      <c r="A153" s="3"/>
      <c r="B153" s="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3"/>
      <c r="X153" s="3"/>
      <c r="Y153" s="3"/>
      <c r="Z153" s="3"/>
      <c r="AA153" s="3"/>
      <c r="AB153" s="3"/>
    </row>
    <row r="154" spans="1:28" s="142" customFormat="1" x14ac:dyDescent="0.2">
      <c r="A154" s="3"/>
      <c r="B154" s="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3"/>
      <c r="X154" s="3"/>
      <c r="Y154" s="3"/>
      <c r="Z154" s="3"/>
      <c r="AA154" s="3"/>
      <c r="AB154" s="3"/>
    </row>
    <row r="155" spans="1:28" s="142" customFormat="1" x14ac:dyDescent="0.2">
      <c r="A155" s="3"/>
      <c r="B155" s="3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3"/>
      <c r="X155" s="3"/>
      <c r="Y155" s="3"/>
      <c r="Z155" s="3"/>
      <c r="AA155" s="3"/>
      <c r="AB155" s="3"/>
    </row>
    <row r="156" spans="1:28" s="142" customFormat="1" x14ac:dyDescent="0.2">
      <c r="A156" s="3"/>
      <c r="B156" s="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3"/>
      <c r="X156" s="3"/>
      <c r="Y156" s="3"/>
      <c r="Z156" s="3"/>
      <c r="AA156" s="3"/>
      <c r="AB156" s="3"/>
    </row>
    <row r="157" spans="1:28" s="142" customFormat="1" x14ac:dyDescent="0.2">
      <c r="A157" s="3"/>
      <c r="B157" s="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3"/>
      <c r="X157" s="3"/>
      <c r="Y157" s="3"/>
      <c r="Z157" s="3"/>
      <c r="AA157" s="3"/>
      <c r="AB157" s="3"/>
    </row>
    <row r="158" spans="1:28" s="142" customFormat="1" x14ac:dyDescent="0.2">
      <c r="A158" s="3"/>
      <c r="B158" s="3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3"/>
      <c r="X158" s="3"/>
      <c r="Y158" s="3"/>
      <c r="Z158" s="3"/>
      <c r="AA158" s="3"/>
      <c r="AB158" s="3"/>
    </row>
    <row r="159" spans="1:28" s="142" customFormat="1" x14ac:dyDescent="0.2">
      <c r="A159" s="3"/>
      <c r="B159" s="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3"/>
      <c r="X159" s="3"/>
      <c r="Y159" s="3"/>
      <c r="Z159" s="3"/>
      <c r="AA159" s="3"/>
      <c r="AB159" s="3"/>
    </row>
    <row r="160" spans="1:28" s="142" customFormat="1" x14ac:dyDescent="0.2">
      <c r="A160" s="3"/>
      <c r="B160" s="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3"/>
      <c r="X160" s="3"/>
      <c r="Y160" s="3"/>
      <c r="Z160" s="3"/>
      <c r="AA160" s="3"/>
      <c r="AB160" s="3"/>
    </row>
    <row r="161" spans="1:28" s="142" customFormat="1" x14ac:dyDescent="0.2">
      <c r="A161" s="3"/>
      <c r="B161" s="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3"/>
      <c r="X161" s="3"/>
      <c r="Y161" s="3"/>
      <c r="Z161" s="3"/>
      <c r="AA161" s="3"/>
      <c r="AB161" s="3"/>
    </row>
    <row r="162" spans="1:28" s="142" customFormat="1" x14ac:dyDescent="0.2">
      <c r="A162" s="3"/>
      <c r="B162" s="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3"/>
      <c r="X162" s="3"/>
      <c r="Y162" s="3"/>
      <c r="Z162" s="3"/>
      <c r="AA162" s="3"/>
      <c r="AB162" s="3"/>
    </row>
    <row r="163" spans="1:28" s="142" customFormat="1" x14ac:dyDescent="0.2">
      <c r="A163" s="3"/>
      <c r="B163" s="3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3"/>
      <c r="X163" s="3"/>
      <c r="Y163" s="3"/>
      <c r="Z163" s="3"/>
      <c r="AA163" s="3"/>
      <c r="AB163" s="3"/>
    </row>
    <row r="164" spans="1:28" s="142" customFormat="1" x14ac:dyDescent="0.2">
      <c r="A164" s="3"/>
      <c r="B164" s="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3"/>
      <c r="X164" s="3"/>
      <c r="Y164" s="3"/>
      <c r="Z164" s="3"/>
      <c r="AA164" s="3"/>
      <c r="AB164" s="3"/>
    </row>
    <row r="165" spans="1:28" s="142" customFormat="1" x14ac:dyDescent="0.2">
      <c r="A165" s="3"/>
      <c r="B165" s="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3"/>
      <c r="X165" s="3"/>
      <c r="Y165" s="3"/>
      <c r="Z165" s="3"/>
      <c r="AA165" s="3"/>
      <c r="AB165" s="3"/>
    </row>
    <row r="166" spans="1:28" s="142" customFormat="1" x14ac:dyDescent="0.2">
      <c r="A166" s="3"/>
      <c r="B166" s="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3"/>
      <c r="X166" s="3"/>
      <c r="Y166" s="3"/>
      <c r="Z166" s="3"/>
      <c r="AA166" s="3"/>
      <c r="AB166" s="3"/>
    </row>
    <row r="167" spans="1:28" s="142" customFormat="1" x14ac:dyDescent="0.2">
      <c r="A167" s="3"/>
      <c r="B167" s="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3"/>
      <c r="X167" s="3"/>
      <c r="Y167" s="3"/>
      <c r="Z167" s="3"/>
      <c r="AA167" s="3"/>
      <c r="AB167" s="3"/>
    </row>
    <row r="168" spans="1:28" s="142" customFormat="1" x14ac:dyDescent="0.2">
      <c r="A168" s="3"/>
      <c r="B168" s="3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3"/>
      <c r="X168" s="3"/>
      <c r="Y168" s="3"/>
      <c r="Z168" s="3"/>
      <c r="AA168" s="3"/>
      <c r="AB168" s="3"/>
    </row>
    <row r="169" spans="1:28" s="142" customFormat="1" x14ac:dyDescent="0.2">
      <c r="A169" s="3"/>
      <c r="B169" s="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3"/>
      <c r="X169" s="3"/>
      <c r="Y169" s="3"/>
      <c r="Z169" s="3"/>
      <c r="AA169" s="3"/>
      <c r="AB169" s="3"/>
    </row>
    <row r="170" spans="1:28" s="142" customFormat="1" x14ac:dyDescent="0.2">
      <c r="A170" s="3"/>
      <c r="B170" s="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3"/>
      <c r="X170" s="3"/>
      <c r="Y170" s="3"/>
      <c r="Z170" s="3"/>
      <c r="AA170" s="3"/>
      <c r="AB170" s="3"/>
    </row>
    <row r="171" spans="1:28" s="142" customFormat="1" x14ac:dyDescent="0.2">
      <c r="A171" s="3"/>
      <c r="B171" s="3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3"/>
      <c r="X171" s="3"/>
      <c r="Y171" s="3"/>
      <c r="Z171" s="3"/>
      <c r="AA171" s="3"/>
      <c r="AB171" s="3"/>
    </row>
    <row r="172" spans="1:28" s="142" customFormat="1" x14ac:dyDescent="0.2">
      <c r="A172" s="3"/>
      <c r="B172" s="3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3"/>
      <c r="X172" s="3"/>
      <c r="Y172" s="3"/>
      <c r="Z172" s="3"/>
      <c r="AA172" s="3"/>
      <c r="AB172" s="3"/>
    </row>
    <row r="173" spans="1:28" s="142" customFormat="1" x14ac:dyDescent="0.2">
      <c r="A173" s="3"/>
      <c r="B173" s="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3"/>
      <c r="X173" s="3"/>
      <c r="Y173" s="3"/>
      <c r="Z173" s="3"/>
      <c r="AA173" s="3"/>
      <c r="AB173" s="3"/>
    </row>
    <row r="174" spans="1:28" s="142" customFormat="1" x14ac:dyDescent="0.2">
      <c r="A174" s="3"/>
      <c r="B174" s="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3"/>
      <c r="X174" s="3"/>
      <c r="Y174" s="3"/>
      <c r="Z174" s="3"/>
      <c r="AA174" s="3"/>
      <c r="AB174" s="3"/>
    </row>
    <row r="175" spans="1:28" s="142" customFormat="1" x14ac:dyDescent="0.2">
      <c r="A175" s="3"/>
      <c r="B175" s="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3"/>
      <c r="X175" s="3"/>
      <c r="Y175" s="3"/>
      <c r="Z175" s="3"/>
      <c r="AA175" s="3"/>
      <c r="AB175" s="3"/>
    </row>
    <row r="176" spans="1:28" s="142" customFormat="1" x14ac:dyDescent="0.2">
      <c r="A176" s="3"/>
      <c r="B176" s="3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3"/>
      <c r="X176" s="3"/>
      <c r="Y176" s="3"/>
      <c r="Z176" s="3"/>
      <c r="AA176" s="3"/>
      <c r="AB176" s="3"/>
    </row>
    <row r="177" spans="1:28" s="142" customFormat="1" x14ac:dyDescent="0.2">
      <c r="A177" s="3"/>
      <c r="B177" s="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3"/>
      <c r="X177" s="3"/>
      <c r="Y177" s="3"/>
      <c r="Z177" s="3"/>
      <c r="AA177" s="3"/>
      <c r="AB177" s="3"/>
    </row>
    <row r="178" spans="1:28" s="142" customFormat="1" x14ac:dyDescent="0.2">
      <c r="A178" s="3"/>
      <c r="B178" s="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3"/>
      <c r="X178" s="3"/>
      <c r="Y178" s="3"/>
      <c r="Z178" s="3"/>
      <c r="AA178" s="3"/>
      <c r="AB178" s="3"/>
    </row>
    <row r="179" spans="1:28" s="142" customFormat="1" x14ac:dyDescent="0.2">
      <c r="A179" s="3"/>
      <c r="B179" s="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3"/>
      <c r="X179" s="3"/>
      <c r="Y179" s="3"/>
      <c r="Z179" s="3"/>
      <c r="AA179" s="3"/>
      <c r="AB179" s="3"/>
    </row>
    <row r="180" spans="1:28" s="142" customFormat="1" x14ac:dyDescent="0.2">
      <c r="A180" s="3"/>
      <c r="B180" s="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3"/>
      <c r="X180" s="3"/>
      <c r="Y180" s="3"/>
      <c r="Z180" s="3"/>
      <c r="AA180" s="3"/>
      <c r="AB180" s="3"/>
    </row>
    <row r="181" spans="1:28" s="142" customFormat="1" x14ac:dyDescent="0.2">
      <c r="A181" s="3"/>
      <c r="B181" s="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3"/>
      <c r="X181" s="3"/>
      <c r="Y181" s="3"/>
      <c r="Z181" s="3"/>
      <c r="AA181" s="3"/>
      <c r="AB181" s="3"/>
    </row>
    <row r="182" spans="1:28" s="142" customFormat="1" x14ac:dyDescent="0.2">
      <c r="A182" s="3"/>
      <c r="B182" s="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3"/>
      <c r="X182" s="3"/>
      <c r="Y182" s="3"/>
      <c r="Z182" s="3"/>
      <c r="AA182" s="3"/>
      <c r="AB182" s="3"/>
    </row>
    <row r="183" spans="1:28" s="142" customFormat="1" x14ac:dyDescent="0.2">
      <c r="A183" s="3"/>
      <c r="B183" s="3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3"/>
      <c r="X183" s="3"/>
      <c r="Y183" s="3"/>
      <c r="Z183" s="3"/>
      <c r="AA183" s="3"/>
      <c r="AB183" s="3"/>
    </row>
    <row r="184" spans="1:28" s="142" customFormat="1" x14ac:dyDescent="0.2">
      <c r="A184" s="3"/>
      <c r="B184" s="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3"/>
      <c r="X184" s="3"/>
      <c r="Y184" s="3"/>
      <c r="Z184" s="3"/>
      <c r="AA184" s="3"/>
      <c r="AB184" s="3"/>
    </row>
    <row r="185" spans="1:28" s="142" customFormat="1" x14ac:dyDescent="0.2">
      <c r="A185" s="3"/>
      <c r="B185" s="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3"/>
      <c r="X185" s="3"/>
      <c r="Y185" s="3"/>
      <c r="Z185" s="3"/>
      <c r="AA185" s="3"/>
      <c r="AB185" s="3"/>
    </row>
    <row r="186" spans="1:28" s="142" customFormat="1" x14ac:dyDescent="0.2">
      <c r="A186" s="3"/>
      <c r="B186" s="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3"/>
      <c r="X186" s="3"/>
      <c r="Y186" s="3"/>
      <c r="Z186" s="3"/>
      <c r="AA186" s="3"/>
      <c r="AB186" s="3"/>
    </row>
    <row r="187" spans="1:28" s="142" customFormat="1" x14ac:dyDescent="0.2">
      <c r="A187" s="3"/>
      <c r="B187" s="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3"/>
      <c r="X187" s="3"/>
      <c r="Y187" s="3"/>
      <c r="Z187" s="3"/>
      <c r="AA187" s="3"/>
      <c r="AB187" s="3"/>
    </row>
    <row r="188" spans="1:28" s="142" customFormat="1" x14ac:dyDescent="0.2">
      <c r="A188" s="3"/>
      <c r="B188" s="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3"/>
      <c r="X188" s="3"/>
      <c r="Y188" s="3"/>
      <c r="Z188" s="3"/>
      <c r="AA188" s="3"/>
      <c r="AB188" s="3"/>
    </row>
    <row r="189" spans="1:28" s="142" customFormat="1" x14ac:dyDescent="0.2">
      <c r="A189" s="3"/>
      <c r="B189" s="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3"/>
      <c r="X189" s="3"/>
      <c r="Y189" s="3"/>
      <c r="Z189" s="3"/>
      <c r="AA189" s="3"/>
      <c r="AB189" s="3"/>
    </row>
    <row r="190" spans="1:28" s="142" customFormat="1" x14ac:dyDescent="0.2">
      <c r="A190" s="3"/>
      <c r="B190" s="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3"/>
      <c r="X190" s="3"/>
      <c r="Y190" s="3"/>
      <c r="Z190" s="3"/>
      <c r="AA190" s="3"/>
      <c r="AB190" s="3"/>
    </row>
    <row r="191" spans="1:28" s="142" customFormat="1" x14ac:dyDescent="0.2">
      <c r="A191" s="3"/>
      <c r="B191" s="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3"/>
      <c r="X191" s="3"/>
      <c r="Y191" s="3"/>
      <c r="Z191" s="3"/>
      <c r="AA191" s="3"/>
      <c r="AB191" s="3"/>
    </row>
    <row r="192" spans="1:28" s="142" customFormat="1" x14ac:dyDescent="0.2">
      <c r="A192" s="3"/>
      <c r="B192" s="3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3"/>
      <c r="X192" s="3"/>
      <c r="Y192" s="3"/>
      <c r="Z192" s="3"/>
      <c r="AA192" s="3"/>
      <c r="AB192" s="3"/>
    </row>
    <row r="193" spans="1:28" s="142" customFormat="1" x14ac:dyDescent="0.2">
      <c r="A193" s="3"/>
      <c r="B193" s="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3"/>
      <c r="X193" s="3"/>
      <c r="Y193" s="3"/>
      <c r="Z193" s="3"/>
      <c r="AA193" s="3"/>
      <c r="AB193" s="3"/>
    </row>
    <row r="194" spans="1:28" s="142" customFormat="1" x14ac:dyDescent="0.2">
      <c r="A194" s="3"/>
      <c r="B194" s="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3"/>
      <c r="X194" s="3"/>
      <c r="Y194" s="3"/>
      <c r="Z194" s="3"/>
      <c r="AA194" s="3"/>
      <c r="AB194" s="3"/>
    </row>
    <row r="195" spans="1:28" s="142" customFormat="1" x14ac:dyDescent="0.2">
      <c r="A195" s="3"/>
      <c r="B195" s="3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3"/>
      <c r="X195" s="3"/>
      <c r="Y195" s="3"/>
      <c r="Z195" s="3"/>
      <c r="AA195" s="3"/>
      <c r="AB195" s="3"/>
    </row>
    <row r="196" spans="1:28" s="142" customFormat="1" x14ac:dyDescent="0.2">
      <c r="A196" s="3"/>
      <c r="B196" s="3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3"/>
      <c r="X196" s="3"/>
      <c r="Y196" s="3"/>
      <c r="Z196" s="3"/>
      <c r="AA196" s="3"/>
      <c r="AB196" s="3"/>
    </row>
    <row r="197" spans="1:28" s="142" customFormat="1" x14ac:dyDescent="0.2">
      <c r="A197" s="3"/>
      <c r="B197" s="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3"/>
      <c r="X197" s="3"/>
      <c r="Y197" s="3"/>
      <c r="Z197" s="3"/>
      <c r="AA197" s="3"/>
      <c r="AB197" s="3"/>
    </row>
    <row r="198" spans="1:28" s="142" customFormat="1" x14ac:dyDescent="0.2">
      <c r="A198" s="3"/>
      <c r="B198" s="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3"/>
      <c r="X198" s="3"/>
      <c r="Y198" s="3"/>
      <c r="Z198" s="3"/>
      <c r="AA198" s="3"/>
      <c r="AB198" s="3"/>
    </row>
    <row r="199" spans="1:28" s="142" customFormat="1" x14ac:dyDescent="0.2">
      <c r="A199" s="3"/>
      <c r="B199" s="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3"/>
      <c r="X199" s="3"/>
      <c r="Y199" s="3"/>
      <c r="Z199" s="3"/>
      <c r="AA199" s="3"/>
      <c r="AB199" s="3"/>
    </row>
    <row r="200" spans="1:28" s="142" customFormat="1" x14ac:dyDescent="0.2">
      <c r="A200" s="3"/>
      <c r="B200" s="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3"/>
      <c r="X200" s="3"/>
      <c r="Y200" s="3"/>
      <c r="Z200" s="3"/>
      <c r="AA200" s="3"/>
      <c r="AB200" s="3"/>
    </row>
    <row r="201" spans="1:28" s="142" customFormat="1" x14ac:dyDescent="0.2">
      <c r="A201" s="3"/>
      <c r="B201" s="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3"/>
      <c r="X201" s="3"/>
      <c r="Y201" s="3"/>
      <c r="Z201" s="3"/>
      <c r="AA201" s="3"/>
      <c r="AB201" s="3"/>
    </row>
    <row r="202" spans="1:28" s="142" customFormat="1" x14ac:dyDescent="0.2">
      <c r="A202" s="3"/>
      <c r="B202" s="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3"/>
      <c r="X202" s="3"/>
      <c r="Y202" s="3"/>
      <c r="Z202" s="3"/>
      <c r="AA202" s="3"/>
      <c r="AB202" s="3"/>
    </row>
    <row r="203" spans="1:28" s="142" customFormat="1" x14ac:dyDescent="0.2">
      <c r="A203" s="3"/>
      <c r="B203" s="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3"/>
      <c r="X203" s="3"/>
      <c r="Y203" s="3"/>
      <c r="Z203" s="3"/>
      <c r="AA203" s="3"/>
      <c r="AB203" s="3"/>
    </row>
    <row r="204" spans="1:28" s="142" customFormat="1" x14ac:dyDescent="0.2">
      <c r="A204" s="3"/>
      <c r="B204" s="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3"/>
      <c r="X204" s="3"/>
      <c r="Y204" s="3"/>
      <c r="Z204" s="3"/>
      <c r="AA204" s="3"/>
      <c r="AB204" s="3"/>
    </row>
    <row r="205" spans="1:28" s="142" customFormat="1" x14ac:dyDescent="0.2">
      <c r="A205" s="3"/>
      <c r="B205" s="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3"/>
      <c r="X205" s="3"/>
      <c r="Y205" s="3"/>
      <c r="Z205" s="3"/>
      <c r="AA205" s="3"/>
      <c r="AB205" s="3"/>
    </row>
    <row r="206" spans="1:28" s="142" customFormat="1" x14ac:dyDescent="0.2">
      <c r="A206" s="3"/>
      <c r="B206" s="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3"/>
      <c r="X206" s="3"/>
      <c r="Y206" s="3"/>
      <c r="Z206" s="3"/>
      <c r="AA206" s="3"/>
      <c r="AB206" s="3"/>
    </row>
    <row r="207" spans="1:28" s="142" customFormat="1" x14ac:dyDescent="0.2">
      <c r="A207" s="3"/>
      <c r="B207" s="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3"/>
      <c r="X207" s="3"/>
      <c r="Y207" s="3"/>
      <c r="Z207" s="3"/>
      <c r="AA207" s="3"/>
      <c r="AB207" s="3"/>
    </row>
    <row r="208" spans="1:28" s="142" customFormat="1" x14ac:dyDescent="0.2">
      <c r="A208" s="3"/>
      <c r="B208" s="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3"/>
      <c r="X208" s="3"/>
      <c r="Y208" s="3"/>
      <c r="Z208" s="3"/>
      <c r="AA208" s="3"/>
      <c r="AB208" s="3"/>
    </row>
    <row r="209" spans="1:28" s="142" customFormat="1" x14ac:dyDescent="0.2">
      <c r="A209" s="3"/>
      <c r="B209" s="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3"/>
      <c r="X209" s="3"/>
      <c r="Y209" s="3"/>
      <c r="Z209" s="3"/>
      <c r="AA209" s="3"/>
      <c r="AB209" s="3"/>
    </row>
    <row r="210" spans="1:28" s="142" customFormat="1" x14ac:dyDescent="0.2">
      <c r="A210" s="3"/>
      <c r="B210" s="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3"/>
      <c r="X210" s="3"/>
      <c r="Y210" s="3"/>
      <c r="Z210" s="3"/>
      <c r="AA210" s="3"/>
      <c r="AB210" s="3"/>
    </row>
    <row r="211" spans="1:28" s="142" customFormat="1" x14ac:dyDescent="0.2">
      <c r="A211" s="3"/>
      <c r="B211" s="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3"/>
      <c r="X211" s="3"/>
      <c r="Y211" s="3"/>
      <c r="Z211" s="3"/>
      <c r="AA211" s="3"/>
      <c r="AB211" s="3"/>
    </row>
    <row r="212" spans="1:28" s="142" customFormat="1" x14ac:dyDescent="0.2">
      <c r="A212" s="3"/>
      <c r="B212" s="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3"/>
      <c r="X212" s="3"/>
      <c r="Y212" s="3"/>
      <c r="Z212" s="3"/>
      <c r="AA212" s="3"/>
      <c r="AB212" s="3"/>
    </row>
    <row r="213" spans="1:28" s="142" customFormat="1" x14ac:dyDescent="0.2">
      <c r="A213" s="3"/>
      <c r="B213" s="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3"/>
      <c r="X213" s="3"/>
      <c r="Y213" s="3"/>
      <c r="Z213" s="3"/>
      <c r="AA213" s="3"/>
      <c r="AB213" s="3"/>
    </row>
    <row r="214" spans="1:28" s="142" customFormat="1" x14ac:dyDescent="0.2">
      <c r="A214" s="3"/>
      <c r="B214" s="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3"/>
      <c r="X214" s="3"/>
      <c r="Y214" s="3"/>
      <c r="Z214" s="3"/>
      <c r="AA214" s="3"/>
      <c r="AB214" s="3"/>
    </row>
    <row r="215" spans="1:28" s="142" customFormat="1" x14ac:dyDescent="0.2">
      <c r="A215" s="3"/>
      <c r="B215" s="3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3"/>
      <c r="X215" s="3"/>
      <c r="Y215" s="3"/>
      <c r="Z215" s="3"/>
      <c r="AA215" s="3"/>
      <c r="AB215" s="3"/>
    </row>
    <row r="216" spans="1:28" s="142" customFormat="1" x14ac:dyDescent="0.2">
      <c r="A216" s="3"/>
      <c r="B216" s="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3"/>
      <c r="X216" s="3"/>
      <c r="Y216" s="3"/>
      <c r="Z216" s="3"/>
      <c r="AA216" s="3"/>
      <c r="AB216" s="3"/>
    </row>
    <row r="217" spans="1:28" s="142" customFormat="1" x14ac:dyDescent="0.2">
      <c r="A217" s="3"/>
      <c r="B217" s="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3"/>
      <c r="X217" s="3"/>
      <c r="Y217" s="3"/>
      <c r="Z217" s="3"/>
      <c r="AA217" s="3"/>
      <c r="AB217" s="3"/>
    </row>
    <row r="218" spans="1:28" s="142" customFormat="1" x14ac:dyDescent="0.2">
      <c r="A218" s="3"/>
      <c r="B218" s="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3"/>
      <c r="X218" s="3"/>
      <c r="Y218" s="3"/>
      <c r="Z218" s="3"/>
      <c r="AA218" s="3"/>
      <c r="AB218" s="3"/>
    </row>
    <row r="219" spans="1:28" s="142" customFormat="1" x14ac:dyDescent="0.2">
      <c r="A219" s="3"/>
      <c r="B219" s="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3"/>
      <c r="X219" s="3"/>
      <c r="Y219" s="3"/>
      <c r="Z219" s="3"/>
      <c r="AA219" s="3"/>
      <c r="AB219" s="3"/>
    </row>
    <row r="220" spans="1:28" s="142" customFormat="1" x14ac:dyDescent="0.2">
      <c r="A220" s="3"/>
      <c r="B220" s="3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3"/>
      <c r="X220" s="3"/>
      <c r="Y220" s="3"/>
      <c r="Z220" s="3"/>
      <c r="AA220" s="3"/>
      <c r="AB220" s="3"/>
    </row>
    <row r="221" spans="1:28" s="142" customFormat="1" x14ac:dyDescent="0.2">
      <c r="A221" s="3"/>
      <c r="B221" s="3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3"/>
      <c r="X221" s="3"/>
      <c r="Y221" s="3"/>
      <c r="Z221" s="3"/>
      <c r="AA221" s="3"/>
      <c r="AB221" s="3"/>
    </row>
    <row r="222" spans="1:28" s="142" customFormat="1" x14ac:dyDescent="0.2">
      <c r="A222" s="3"/>
      <c r="B222" s="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3"/>
      <c r="X222" s="3"/>
      <c r="Y222" s="3"/>
      <c r="Z222" s="3"/>
      <c r="AA222" s="3"/>
      <c r="AB222" s="3"/>
    </row>
    <row r="223" spans="1:28" s="142" customFormat="1" x14ac:dyDescent="0.2">
      <c r="A223" s="3"/>
      <c r="B223" s="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3"/>
      <c r="X223" s="3"/>
      <c r="Y223" s="3"/>
      <c r="Z223" s="3"/>
      <c r="AA223" s="3"/>
      <c r="AB223" s="3"/>
    </row>
    <row r="224" spans="1:28" s="142" customFormat="1" x14ac:dyDescent="0.2">
      <c r="A224" s="3"/>
      <c r="B224" s="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3"/>
      <c r="X224" s="3"/>
      <c r="Y224" s="3"/>
      <c r="Z224" s="3"/>
      <c r="AA224" s="3"/>
      <c r="AB224" s="3"/>
    </row>
    <row r="225" spans="1:28" s="142" customFormat="1" x14ac:dyDescent="0.2">
      <c r="A225" s="3"/>
      <c r="B225" s="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3"/>
      <c r="X225" s="3"/>
      <c r="Y225" s="3"/>
      <c r="Z225" s="3"/>
      <c r="AA225" s="3"/>
      <c r="AB225" s="3"/>
    </row>
    <row r="226" spans="1:28" s="142" customFormat="1" x14ac:dyDescent="0.2">
      <c r="A226" s="3"/>
      <c r="B226" s="3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3"/>
      <c r="X226" s="3"/>
      <c r="Y226" s="3"/>
      <c r="Z226" s="3"/>
      <c r="AA226" s="3"/>
      <c r="AB226" s="3"/>
    </row>
    <row r="227" spans="1:28" s="142" customFormat="1" x14ac:dyDescent="0.2">
      <c r="A227" s="3"/>
      <c r="B227" s="3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3"/>
      <c r="X227" s="3"/>
      <c r="Y227" s="3"/>
      <c r="Z227" s="3"/>
      <c r="AA227" s="3"/>
      <c r="AB227" s="3"/>
    </row>
    <row r="228" spans="1:28" s="142" customFormat="1" x14ac:dyDescent="0.2">
      <c r="A228" s="3"/>
      <c r="B228" s="3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3"/>
      <c r="X228" s="3"/>
      <c r="Y228" s="3"/>
      <c r="Z228" s="3"/>
      <c r="AA228" s="3"/>
      <c r="AB228" s="3"/>
    </row>
    <row r="229" spans="1:28" s="142" customFormat="1" x14ac:dyDescent="0.2">
      <c r="A229" s="3"/>
      <c r="B229" s="3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3"/>
      <c r="X229" s="3"/>
      <c r="Y229" s="3"/>
      <c r="Z229" s="3"/>
      <c r="AA229" s="3"/>
      <c r="AB229" s="3"/>
    </row>
    <row r="230" spans="1:28" s="142" customFormat="1" x14ac:dyDescent="0.2">
      <c r="A230" s="3"/>
      <c r="B230" s="3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3"/>
      <c r="X230" s="3"/>
      <c r="Y230" s="3"/>
      <c r="Z230" s="3"/>
      <c r="AA230" s="3"/>
      <c r="AB230" s="3"/>
    </row>
    <row r="231" spans="1:28" s="142" customFormat="1" x14ac:dyDescent="0.2">
      <c r="A231" s="3"/>
      <c r="B231" s="3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3"/>
      <c r="X231" s="3"/>
      <c r="Y231" s="3"/>
      <c r="Z231" s="3"/>
      <c r="AA231" s="3"/>
      <c r="AB231" s="3"/>
    </row>
    <row r="232" spans="1:28" s="142" customFormat="1" x14ac:dyDescent="0.2">
      <c r="A232" s="3"/>
      <c r="B232" s="3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3"/>
      <c r="X232" s="3"/>
      <c r="Y232" s="3"/>
      <c r="Z232" s="3"/>
      <c r="AA232" s="3"/>
      <c r="AB232" s="3"/>
    </row>
    <row r="233" spans="1:28" s="142" customFormat="1" x14ac:dyDescent="0.2">
      <c r="A233" s="3"/>
      <c r="B233" s="3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3"/>
      <c r="X233" s="3"/>
      <c r="Y233" s="3"/>
      <c r="Z233" s="3"/>
      <c r="AA233" s="3"/>
      <c r="AB233" s="3"/>
    </row>
    <row r="234" spans="1:28" s="142" customFormat="1" x14ac:dyDescent="0.2">
      <c r="A234" s="3"/>
      <c r="B234" s="3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3"/>
      <c r="X234" s="3"/>
      <c r="Y234" s="3"/>
      <c r="Z234" s="3"/>
      <c r="AA234" s="3"/>
      <c r="AB234" s="3"/>
    </row>
    <row r="235" spans="1:28" s="142" customFormat="1" x14ac:dyDescent="0.2">
      <c r="A235" s="3"/>
      <c r="B235" s="3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3"/>
      <c r="X235" s="3"/>
      <c r="Y235" s="3"/>
      <c r="Z235" s="3"/>
      <c r="AA235" s="3"/>
      <c r="AB235" s="3"/>
    </row>
    <row r="236" spans="1:28" s="142" customFormat="1" x14ac:dyDescent="0.2">
      <c r="A236" s="3"/>
      <c r="B236" s="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3"/>
      <c r="X236" s="3"/>
      <c r="Y236" s="3"/>
      <c r="Z236" s="3"/>
      <c r="AA236" s="3"/>
      <c r="AB236" s="3"/>
    </row>
    <row r="237" spans="1:28" s="142" customFormat="1" x14ac:dyDescent="0.2">
      <c r="A237" s="3"/>
      <c r="B237" s="3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3"/>
      <c r="X237" s="3"/>
      <c r="Y237" s="3"/>
      <c r="Z237" s="3"/>
      <c r="AA237" s="3"/>
      <c r="AB237" s="3"/>
    </row>
    <row r="238" spans="1:28" s="142" customFormat="1" x14ac:dyDescent="0.2">
      <c r="A238" s="3"/>
      <c r="B238" s="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3"/>
      <c r="X238" s="3"/>
      <c r="Y238" s="3"/>
      <c r="Z238" s="3"/>
      <c r="AA238" s="3"/>
      <c r="AB238" s="3"/>
    </row>
    <row r="239" spans="1:28" s="142" customFormat="1" x14ac:dyDescent="0.2">
      <c r="A239" s="3"/>
      <c r="B239" s="3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3"/>
      <c r="X239" s="3"/>
      <c r="Y239" s="3"/>
      <c r="Z239" s="3"/>
      <c r="AA239" s="3"/>
      <c r="AB239" s="3"/>
    </row>
    <row r="240" spans="1:28" s="142" customFormat="1" x14ac:dyDescent="0.2">
      <c r="A240" s="3"/>
      <c r="B240" s="3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3"/>
      <c r="X240" s="3"/>
      <c r="Y240" s="3"/>
      <c r="Z240" s="3"/>
      <c r="AA240" s="3"/>
      <c r="AB240" s="3"/>
    </row>
    <row r="241" spans="1:28" s="142" customFormat="1" x14ac:dyDescent="0.2">
      <c r="A241" s="3"/>
      <c r="B241" s="3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3"/>
      <c r="X241" s="3"/>
      <c r="Y241" s="3"/>
      <c r="Z241" s="3"/>
      <c r="AA241" s="3"/>
      <c r="AB241" s="3"/>
    </row>
    <row r="242" spans="1:28" s="142" customFormat="1" x14ac:dyDescent="0.2">
      <c r="A242" s="3"/>
      <c r="B242" s="3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3"/>
      <c r="X242" s="3"/>
      <c r="Y242" s="3"/>
      <c r="Z242" s="3"/>
      <c r="AA242" s="3"/>
      <c r="AB242" s="3"/>
    </row>
    <row r="243" spans="1:28" s="142" customFormat="1" x14ac:dyDescent="0.2">
      <c r="A243" s="3"/>
      <c r="B243" s="3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3"/>
      <c r="X243" s="3"/>
      <c r="Y243" s="3"/>
      <c r="Z243" s="3"/>
      <c r="AA243" s="3"/>
      <c r="AB243" s="3"/>
    </row>
    <row r="244" spans="1:28" s="142" customFormat="1" x14ac:dyDescent="0.2">
      <c r="A244" s="3"/>
      <c r="B244" s="3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3"/>
      <c r="X244" s="3"/>
      <c r="Y244" s="3"/>
      <c r="Z244" s="3"/>
      <c r="AA244" s="3"/>
      <c r="AB244" s="3"/>
    </row>
    <row r="245" spans="1:28" s="142" customFormat="1" x14ac:dyDescent="0.2">
      <c r="A245" s="3"/>
      <c r="B245" s="3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3"/>
      <c r="X245" s="3"/>
      <c r="Y245" s="3"/>
      <c r="Z245" s="3"/>
      <c r="AA245" s="3"/>
      <c r="AB245" s="3"/>
    </row>
    <row r="246" spans="1:28" s="142" customFormat="1" x14ac:dyDescent="0.2">
      <c r="A246" s="3"/>
      <c r="B246" s="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3"/>
      <c r="X246" s="3"/>
      <c r="Y246" s="3"/>
      <c r="Z246" s="3"/>
      <c r="AA246" s="3"/>
      <c r="AB246" s="3"/>
    </row>
    <row r="247" spans="1:28" s="142" customFormat="1" x14ac:dyDescent="0.2">
      <c r="A247" s="3"/>
      <c r="B247" s="3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3"/>
      <c r="X247" s="3"/>
      <c r="Y247" s="3"/>
      <c r="Z247" s="3"/>
      <c r="AA247" s="3"/>
      <c r="AB247" s="3"/>
    </row>
    <row r="248" spans="1:28" s="142" customFormat="1" x14ac:dyDescent="0.2">
      <c r="A248" s="3"/>
      <c r="B248" s="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3"/>
      <c r="X248" s="3"/>
      <c r="Y248" s="3"/>
      <c r="Z248" s="3"/>
      <c r="AA248" s="3"/>
      <c r="AB248" s="3"/>
    </row>
    <row r="249" spans="1:28" s="142" customFormat="1" x14ac:dyDescent="0.2">
      <c r="A249" s="3"/>
      <c r="B249" s="3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3"/>
      <c r="X249" s="3"/>
      <c r="Y249" s="3"/>
      <c r="Z249" s="3"/>
      <c r="AA249" s="3"/>
      <c r="AB249" s="3"/>
    </row>
    <row r="250" spans="1:28" s="142" customFormat="1" x14ac:dyDescent="0.2">
      <c r="A250" s="3"/>
      <c r="B250" s="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3"/>
      <c r="X250" s="3"/>
      <c r="Y250" s="3"/>
      <c r="Z250" s="3"/>
      <c r="AA250" s="3"/>
      <c r="AB250" s="3"/>
    </row>
    <row r="251" spans="1:28" s="142" customFormat="1" x14ac:dyDescent="0.2">
      <c r="A251" s="3"/>
      <c r="B251" s="3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3"/>
      <c r="X251" s="3"/>
      <c r="Y251" s="3"/>
      <c r="Z251" s="3"/>
      <c r="AA251" s="3"/>
      <c r="AB251" s="3"/>
    </row>
    <row r="252" spans="1:28" s="142" customFormat="1" x14ac:dyDescent="0.2">
      <c r="A252" s="3"/>
      <c r="B252" s="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3"/>
      <c r="X252" s="3"/>
      <c r="Y252" s="3"/>
      <c r="Z252" s="3"/>
      <c r="AA252" s="3"/>
      <c r="AB252" s="3"/>
    </row>
    <row r="253" spans="1:28" s="142" customFormat="1" x14ac:dyDescent="0.2">
      <c r="A253" s="3"/>
      <c r="B253" s="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3"/>
      <c r="X253" s="3"/>
      <c r="Y253" s="3"/>
      <c r="Z253" s="3"/>
      <c r="AA253" s="3"/>
      <c r="AB253" s="3"/>
    </row>
    <row r="254" spans="1:28" s="142" customFormat="1" x14ac:dyDescent="0.2">
      <c r="A254" s="3"/>
      <c r="B254" s="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3"/>
      <c r="X254" s="3"/>
      <c r="Y254" s="3"/>
      <c r="Z254" s="3"/>
      <c r="AA254" s="3"/>
      <c r="AB254" s="3"/>
    </row>
    <row r="255" spans="1:28" s="142" customFormat="1" x14ac:dyDescent="0.2">
      <c r="A255" s="3"/>
      <c r="B255" s="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3"/>
      <c r="X255" s="3"/>
      <c r="Y255" s="3"/>
      <c r="Z255" s="3"/>
      <c r="AA255" s="3"/>
      <c r="AB255" s="3"/>
    </row>
    <row r="256" spans="1:28" s="142" customFormat="1" x14ac:dyDescent="0.2">
      <c r="A256" s="3"/>
      <c r="B256" s="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3"/>
      <c r="X256" s="3"/>
      <c r="Y256" s="3"/>
      <c r="Z256" s="3"/>
      <c r="AA256" s="3"/>
      <c r="AB256" s="3"/>
    </row>
    <row r="257" spans="1:28" s="142" customFormat="1" x14ac:dyDescent="0.2">
      <c r="A257" s="3"/>
      <c r="B257" s="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3"/>
      <c r="X257" s="3"/>
      <c r="Y257" s="3"/>
      <c r="Z257" s="3"/>
      <c r="AA257" s="3"/>
      <c r="AB257" s="3"/>
    </row>
    <row r="258" spans="1:28" s="142" customFormat="1" x14ac:dyDescent="0.2">
      <c r="A258" s="3"/>
      <c r="B258" s="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3"/>
      <c r="X258" s="3"/>
      <c r="Y258" s="3"/>
      <c r="Z258" s="3"/>
      <c r="AA258" s="3"/>
      <c r="AB258" s="3"/>
    </row>
    <row r="259" spans="1:28" s="142" customFormat="1" x14ac:dyDescent="0.2">
      <c r="A259" s="3"/>
      <c r="B259" s="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3"/>
      <c r="X259" s="3"/>
      <c r="Y259" s="3"/>
      <c r="Z259" s="3"/>
      <c r="AA259" s="3"/>
      <c r="AB259" s="3"/>
    </row>
    <row r="260" spans="1:28" s="142" customFormat="1" x14ac:dyDescent="0.2">
      <c r="A260" s="3"/>
      <c r="B260" s="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3"/>
      <c r="X260" s="3"/>
      <c r="Y260" s="3"/>
      <c r="Z260" s="3"/>
      <c r="AA260" s="3"/>
      <c r="AB260" s="3"/>
    </row>
    <row r="261" spans="1:28" s="142" customFormat="1" x14ac:dyDescent="0.2">
      <c r="A261" s="3"/>
      <c r="B261" s="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3"/>
      <c r="X261" s="3"/>
      <c r="Y261" s="3"/>
      <c r="Z261" s="3"/>
      <c r="AA261" s="3"/>
      <c r="AB261" s="3"/>
    </row>
    <row r="262" spans="1:28" s="142" customFormat="1" x14ac:dyDescent="0.2">
      <c r="A262" s="3"/>
      <c r="B262" s="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3"/>
      <c r="X262" s="3"/>
      <c r="Y262" s="3"/>
      <c r="Z262" s="3"/>
      <c r="AA262" s="3"/>
      <c r="AB262" s="3"/>
    </row>
    <row r="263" spans="1:28" s="142" customFormat="1" x14ac:dyDescent="0.2">
      <c r="A263" s="3"/>
      <c r="B263" s="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3"/>
      <c r="X263" s="3"/>
      <c r="Y263" s="3"/>
      <c r="Z263" s="3"/>
      <c r="AA263" s="3"/>
      <c r="AB263" s="3"/>
    </row>
    <row r="264" spans="1:28" s="142" customFormat="1" x14ac:dyDescent="0.2">
      <c r="A264" s="3"/>
      <c r="B264" s="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3"/>
      <c r="X264" s="3"/>
      <c r="Y264" s="3"/>
      <c r="Z264" s="3"/>
      <c r="AA264" s="3"/>
      <c r="AB264" s="3"/>
    </row>
    <row r="265" spans="1:28" s="142" customFormat="1" x14ac:dyDescent="0.2">
      <c r="A265" s="3"/>
      <c r="B265" s="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3"/>
      <c r="X265" s="3"/>
      <c r="Y265" s="3"/>
      <c r="Z265" s="3"/>
      <c r="AA265" s="3"/>
      <c r="AB265" s="3"/>
    </row>
    <row r="266" spans="1:28" s="142" customFormat="1" x14ac:dyDescent="0.2">
      <c r="A266" s="3"/>
      <c r="B266" s="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3"/>
      <c r="X266" s="3"/>
      <c r="Y266" s="3"/>
      <c r="Z266" s="3"/>
      <c r="AA266" s="3"/>
      <c r="AB266" s="3"/>
    </row>
    <row r="267" spans="1:28" s="142" customFormat="1" x14ac:dyDescent="0.2">
      <c r="A267" s="3"/>
      <c r="B267" s="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3"/>
      <c r="X267" s="3"/>
      <c r="Y267" s="3"/>
      <c r="Z267" s="3"/>
      <c r="AA267" s="3"/>
      <c r="AB267" s="3"/>
    </row>
    <row r="268" spans="1:28" s="142" customFormat="1" x14ac:dyDescent="0.2">
      <c r="A268" s="3"/>
      <c r="B268" s="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3"/>
      <c r="X268" s="3"/>
      <c r="Y268" s="3"/>
      <c r="Z268" s="3"/>
      <c r="AA268" s="3"/>
      <c r="AB268" s="3"/>
    </row>
    <row r="269" spans="1:28" s="142" customFormat="1" x14ac:dyDescent="0.2">
      <c r="A269" s="3"/>
      <c r="B269" s="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3"/>
      <c r="X269" s="3"/>
      <c r="Y269" s="3"/>
      <c r="Z269" s="3"/>
      <c r="AA269" s="3"/>
      <c r="AB269" s="3"/>
    </row>
    <row r="270" spans="1:28" s="142" customFormat="1" x14ac:dyDescent="0.2">
      <c r="A270" s="3"/>
      <c r="B270" s="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3"/>
      <c r="X270" s="3"/>
      <c r="Y270" s="3"/>
      <c r="Z270" s="3"/>
      <c r="AA270" s="3"/>
      <c r="AB270" s="3"/>
    </row>
    <row r="271" spans="1:28" s="142" customFormat="1" x14ac:dyDescent="0.2">
      <c r="A271" s="3"/>
      <c r="B271" s="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3"/>
      <c r="X271" s="3"/>
      <c r="Y271" s="3"/>
      <c r="Z271" s="3"/>
      <c r="AA271" s="3"/>
      <c r="AB271" s="3"/>
    </row>
    <row r="272" spans="1:28" s="142" customFormat="1" x14ac:dyDescent="0.2">
      <c r="A272" s="3"/>
      <c r="B272" s="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3"/>
      <c r="X272" s="3"/>
      <c r="Y272" s="3"/>
      <c r="Z272" s="3"/>
      <c r="AA272" s="3"/>
      <c r="AB272" s="3"/>
    </row>
    <row r="273" spans="1:28" s="142" customFormat="1" x14ac:dyDescent="0.2">
      <c r="A273" s="3"/>
      <c r="B273" s="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3"/>
      <c r="X273" s="3"/>
      <c r="Y273" s="3"/>
      <c r="Z273" s="3"/>
      <c r="AA273" s="3"/>
      <c r="AB273" s="3"/>
    </row>
    <row r="274" spans="1:28" s="142" customFormat="1" x14ac:dyDescent="0.2">
      <c r="A274" s="3"/>
      <c r="B274" s="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3"/>
      <c r="X274" s="3"/>
      <c r="Y274" s="3"/>
      <c r="Z274" s="3"/>
      <c r="AA274" s="3"/>
      <c r="AB274" s="3"/>
    </row>
    <row r="275" spans="1:28" s="142" customFormat="1" x14ac:dyDescent="0.2">
      <c r="A275" s="3"/>
      <c r="B275" s="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3"/>
      <c r="X275" s="3"/>
      <c r="Y275" s="3"/>
      <c r="Z275" s="3"/>
      <c r="AA275" s="3"/>
      <c r="AB275" s="3"/>
    </row>
    <row r="276" spans="1:28" s="142" customFormat="1" x14ac:dyDescent="0.2">
      <c r="A276" s="3"/>
      <c r="B276" s="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3"/>
      <c r="X276" s="3"/>
      <c r="Y276" s="3"/>
      <c r="Z276" s="3"/>
      <c r="AA276" s="3"/>
      <c r="AB276" s="3"/>
    </row>
    <row r="277" spans="1:28" s="142" customFormat="1" x14ac:dyDescent="0.2">
      <c r="A277" s="3"/>
      <c r="B277" s="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3"/>
      <c r="X277" s="3"/>
      <c r="Y277" s="3"/>
      <c r="Z277" s="3"/>
      <c r="AA277" s="3"/>
      <c r="AB277" s="3"/>
    </row>
    <row r="278" spans="1:28" s="142" customFormat="1" x14ac:dyDescent="0.2">
      <c r="A278" s="3"/>
      <c r="B278" s="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3"/>
      <c r="X278" s="3"/>
      <c r="Y278" s="3"/>
      <c r="Z278" s="3"/>
      <c r="AA278" s="3"/>
      <c r="AB278" s="3"/>
    </row>
    <row r="279" spans="1:28" s="142" customFormat="1" x14ac:dyDescent="0.2">
      <c r="A279" s="3"/>
      <c r="B279" s="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3"/>
      <c r="X279" s="3"/>
      <c r="Y279" s="3"/>
      <c r="Z279" s="3"/>
      <c r="AA279" s="3"/>
      <c r="AB279" s="3"/>
    </row>
    <row r="280" spans="1:28" s="142" customFormat="1" x14ac:dyDescent="0.2">
      <c r="A280" s="3"/>
      <c r="B280" s="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3"/>
      <c r="X280" s="3"/>
      <c r="Y280" s="3"/>
      <c r="Z280" s="3"/>
      <c r="AA280" s="3"/>
      <c r="AB280" s="3"/>
    </row>
    <row r="281" spans="1:28" s="142" customFormat="1" x14ac:dyDescent="0.2">
      <c r="A281" s="3"/>
      <c r="B281" s="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3"/>
      <c r="X281" s="3"/>
      <c r="Y281" s="3"/>
      <c r="Z281" s="3"/>
      <c r="AA281" s="3"/>
      <c r="AB281" s="3"/>
    </row>
    <row r="282" spans="1:28" s="142" customFormat="1" x14ac:dyDescent="0.2">
      <c r="A282" s="3"/>
      <c r="B282" s="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3"/>
      <c r="X282" s="3"/>
      <c r="Y282" s="3"/>
      <c r="Z282" s="3"/>
      <c r="AA282" s="3"/>
      <c r="AB282" s="3"/>
    </row>
    <row r="283" spans="1:28" s="142" customFormat="1" x14ac:dyDescent="0.2">
      <c r="A283" s="3"/>
      <c r="B283" s="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3"/>
      <c r="X283" s="3"/>
      <c r="Y283" s="3"/>
      <c r="Z283" s="3"/>
      <c r="AA283" s="3"/>
      <c r="AB283" s="3"/>
    </row>
    <row r="284" spans="1:28" s="142" customFormat="1" x14ac:dyDescent="0.2">
      <c r="A284" s="3"/>
      <c r="B284" s="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3"/>
      <c r="X284" s="3"/>
      <c r="Y284" s="3"/>
      <c r="Z284" s="3"/>
      <c r="AA284" s="3"/>
      <c r="AB284" s="3"/>
    </row>
    <row r="285" spans="1:28" s="142" customFormat="1" x14ac:dyDescent="0.2">
      <c r="A285" s="3"/>
      <c r="B285" s="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3"/>
      <c r="X285" s="3"/>
      <c r="Y285" s="3"/>
      <c r="Z285" s="3"/>
      <c r="AA285" s="3"/>
      <c r="AB285" s="3"/>
    </row>
    <row r="286" spans="1:28" s="142" customFormat="1" x14ac:dyDescent="0.2">
      <c r="A286" s="3"/>
      <c r="B286" s="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3"/>
      <c r="X286" s="3"/>
      <c r="Y286" s="3"/>
      <c r="Z286" s="3"/>
      <c r="AA286" s="3"/>
      <c r="AB286" s="3"/>
    </row>
    <row r="287" spans="1:28" s="142" customFormat="1" x14ac:dyDescent="0.2">
      <c r="A287" s="3"/>
      <c r="B287" s="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3"/>
      <c r="X287" s="3"/>
      <c r="Y287" s="3"/>
      <c r="Z287" s="3"/>
      <c r="AA287" s="3"/>
      <c r="AB287" s="3"/>
    </row>
    <row r="288" spans="1:28" s="142" customFormat="1" x14ac:dyDescent="0.2">
      <c r="A288" s="3"/>
      <c r="B288" s="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3"/>
      <c r="X288" s="3"/>
      <c r="Y288" s="3"/>
      <c r="Z288" s="3"/>
      <c r="AA288" s="3"/>
      <c r="AB288" s="3"/>
    </row>
    <row r="289" spans="1:28" s="142" customFormat="1" x14ac:dyDescent="0.2">
      <c r="A289" s="3"/>
      <c r="B289" s="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3"/>
      <c r="X289" s="3"/>
      <c r="Y289" s="3"/>
      <c r="Z289" s="3"/>
      <c r="AA289" s="3"/>
      <c r="AB289" s="3"/>
    </row>
    <row r="290" spans="1:28" s="142" customFormat="1" x14ac:dyDescent="0.2">
      <c r="A290" s="3"/>
      <c r="B290" s="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3"/>
      <c r="X290" s="3"/>
      <c r="Y290" s="3"/>
      <c r="Z290" s="3"/>
      <c r="AA290" s="3"/>
      <c r="AB290" s="3"/>
    </row>
    <row r="291" spans="1:28" s="142" customFormat="1" x14ac:dyDescent="0.2">
      <c r="A291" s="3"/>
      <c r="B291" s="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3"/>
      <c r="X291" s="3"/>
      <c r="Y291" s="3"/>
      <c r="Z291" s="3"/>
      <c r="AA291" s="3"/>
      <c r="AB291" s="3"/>
    </row>
    <row r="292" spans="1:28" s="142" customFormat="1" x14ac:dyDescent="0.2">
      <c r="A292" s="3"/>
      <c r="B292" s="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3"/>
      <c r="X292" s="3"/>
      <c r="Y292" s="3"/>
      <c r="Z292" s="3"/>
      <c r="AA292" s="3"/>
      <c r="AB292" s="3"/>
    </row>
    <row r="293" spans="1:28" s="142" customFormat="1" x14ac:dyDescent="0.2">
      <c r="A293" s="3"/>
      <c r="B293" s="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3"/>
      <c r="X293" s="3"/>
      <c r="Y293" s="3"/>
      <c r="Z293" s="3"/>
      <c r="AA293" s="3"/>
      <c r="AB293" s="3"/>
    </row>
    <row r="294" spans="1:28" s="142" customFormat="1" x14ac:dyDescent="0.2">
      <c r="A294" s="3"/>
      <c r="B294" s="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3"/>
      <c r="X294" s="3"/>
      <c r="Y294" s="3"/>
      <c r="Z294" s="3"/>
      <c r="AA294" s="3"/>
      <c r="AB294" s="3"/>
    </row>
    <row r="295" spans="1:28" s="142" customFormat="1" x14ac:dyDescent="0.2">
      <c r="A295" s="3"/>
      <c r="B295" s="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3"/>
      <c r="X295" s="3"/>
      <c r="Y295" s="3"/>
      <c r="Z295" s="3"/>
      <c r="AA295" s="3"/>
      <c r="AB295" s="3"/>
    </row>
    <row r="296" spans="1:28" s="142" customFormat="1" x14ac:dyDescent="0.2">
      <c r="A296" s="3"/>
      <c r="B296" s="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3"/>
      <c r="X296" s="3"/>
      <c r="Y296" s="3"/>
      <c r="Z296" s="3"/>
      <c r="AA296" s="3"/>
      <c r="AB296" s="3"/>
    </row>
    <row r="297" spans="1:28" s="142" customFormat="1" x14ac:dyDescent="0.2">
      <c r="A297" s="3"/>
      <c r="B297" s="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3"/>
      <c r="X297" s="3"/>
      <c r="Y297" s="3"/>
      <c r="Z297" s="3"/>
      <c r="AA297" s="3"/>
      <c r="AB297" s="3"/>
    </row>
    <row r="298" spans="1:28" s="142" customFormat="1" x14ac:dyDescent="0.2">
      <c r="A298" s="3"/>
      <c r="B298" s="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3"/>
      <c r="X298" s="3"/>
      <c r="Y298" s="3"/>
      <c r="Z298" s="3"/>
      <c r="AA298" s="3"/>
      <c r="AB298" s="3"/>
    </row>
    <row r="299" spans="1:28" s="142" customFormat="1" x14ac:dyDescent="0.2">
      <c r="A299" s="3"/>
      <c r="B299" s="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3"/>
      <c r="X299" s="3"/>
      <c r="Y299" s="3"/>
      <c r="Z299" s="3"/>
      <c r="AA299" s="3"/>
      <c r="AB299" s="3"/>
    </row>
    <row r="300" spans="1:28" s="142" customFormat="1" x14ac:dyDescent="0.2">
      <c r="A300" s="3"/>
      <c r="B300" s="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3"/>
      <c r="X300" s="3"/>
      <c r="Y300" s="3"/>
      <c r="Z300" s="3"/>
      <c r="AA300" s="3"/>
      <c r="AB300" s="3"/>
    </row>
    <row r="301" spans="1:28" s="142" customFormat="1" x14ac:dyDescent="0.2">
      <c r="A301" s="3"/>
      <c r="B301" s="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3"/>
      <c r="X301" s="3"/>
      <c r="Y301" s="3"/>
      <c r="Z301" s="3"/>
      <c r="AA301" s="3"/>
      <c r="AB301" s="3"/>
    </row>
    <row r="302" spans="1:28" s="142" customFormat="1" x14ac:dyDescent="0.2">
      <c r="A302" s="3"/>
      <c r="B302" s="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3"/>
      <c r="X302" s="3"/>
      <c r="Y302" s="3"/>
      <c r="Z302" s="3"/>
      <c r="AA302" s="3"/>
      <c r="AB302" s="3"/>
    </row>
    <row r="303" spans="1:28" s="142" customFormat="1" x14ac:dyDescent="0.2">
      <c r="A303" s="3"/>
      <c r="B303" s="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3"/>
      <c r="X303" s="3"/>
      <c r="Y303" s="3"/>
      <c r="Z303" s="3"/>
      <c r="AA303" s="3"/>
      <c r="AB303" s="3"/>
    </row>
    <row r="304" spans="1:28" s="142" customFormat="1" x14ac:dyDescent="0.2">
      <c r="A304" s="3"/>
      <c r="B304" s="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3"/>
      <c r="X304" s="3"/>
      <c r="Y304" s="3"/>
      <c r="Z304" s="3"/>
      <c r="AA304" s="3"/>
      <c r="AB304" s="3"/>
    </row>
    <row r="305" spans="1:28" s="142" customFormat="1" x14ac:dyDescent="0.2">
      <c r="A305" s="3"/>
      <c r="B305" s="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3"/>
      <c r="X305" s="3"/>
      <c r="Y305" s="3"/>
      <c r="Z305" s="3"/>
      <c r="AA305" s="3"/>
      <c r="AB305" s="3"/>
    </row>
    <row r="306" spans="1:28" s="142" customFormat="1" x14ac:dyDescent="0.2">
      <c r="A306" s="3"/>
      <c r="B306" s="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3"/>
      <c r="X306" s="3"/>
      <c r="Y306" s="3"/>
      <c r="Z306" s="3"/>
      <c r="AA306" s="3"/>
      <c r="AB306" s="3"/>
    </row>
    <row r="307" spans="1:28" s="142" customFormat="1" x14ac:dyDescent="0.2">
      <c r="A307" s="3"/>
      <c r="B307" s="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3"/>
      <c r="X307" s="3"/>
      <c r="Y307" s="3"/>
      <c r="Z307" s="3"/>
      <c r="AA307" s="3"/>
      <c r="AB307" s="3"/>
    </row>
    <row r="308" spans="1:28" s="142" customFormat="1" x14ac:dyDescent="0.2">
      <c r="A308" s="3"/>
      <c r="B308" s="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3"/>
      <c r="X308" s="3"/>
      <c r="Y308" s="3"/>
      <c r="Z308" s="3"/>
      <c r="AA308" s="3"/>
      <c r="AB308" s="3"/>
    </row>
    <row r="309" spans="1:28" s="142" customFormat="1" x14ac:dyDescent="0.2">
      <c r="A309" s="3"/>
      <c r="B309" s="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3"/>
      <c r="X309" s="3"/>
      <c r="Y309" s="3"/>
      <c r="Z309" s="3"/>
      <c r="AA309" s="3"/>
      <c r="AB309" s="3"/>
    </row>
    <row r="310" spans="1:28" s="142" customFormat="1" x14ac:dyDescent="0.2">
      <c r="A310" s="3"/>
      <c r="B310" s="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3"/>
      <c r="X310" s="3"/>
      <c r="Y310" s="3"/>
      <c r="Z310" s="3"/>
      <c r="AA310" s="3"/>
      <c r="AB310" s="3"/>
    </row>
    <row r="311" spans="1:28" s="142" customFormat="1" x14ac:dyDescent="0.2">
      <c r="A311" s="3"/>
      <c r="B311" s="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3"/>
      <c r="X311" s="3"/>
      <c r="Y311" s="3"/>
      <c r="Z311" s="3"/>
      <c r="AA311" s="3"/>
      <c r="AB311" s="3"/>
    </row>
    <row r="312" spans="1:28" s="142" customFormat="1" x14ac:dyDescent="0.2">
      <c r="A312" s="3"/>
      <c r="B312" s="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3"/>
      <c r="X312" s="3"/>
      <c r="Y312" s="3"/>
      <c r="Z312" s="3"/>
      <c r="AA312" s="3"/>
      <c r="AB312" s="3"/>
    </row>
    <row r="313" spans="1:28" s="142" customFormat="1" x14ac:dyDescent="0.2">
      <c r="A313" s="3"/>
      <c r="B313" s="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3"/>
      <c r="X313" s="3"/>
      <c r="Y313" s="3"/>
      <c r="Z313" s="3"/>
      <c r="AA313" s="3"/>
      <c r="AB313" s="3"/>
    </row>
    <row r="314" spans="1:28" s="142" customFormat="1" x14ac:dyDescent="0.2">
      <c r="A314" s="3"/>
      <c r="B314" s="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3"/>
      <c r="X314" s="3"/>
      <c r="Y314" s="3"/>
      <c r="Z314" s="3"/>
      <c r="AA314" s="3"/>
      <c r="AB314" s="3"/>
    </row>
    <row r="315" spans="1:28" s="142" customFormat="1" x14ac:dyDescent="0.2">
      <c r="A315" s="3"/>
      <c r="B315" s="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3"/>
      <c r="X315" s="3"/>
      <c r="Y315" s="3"/>
      <c r="Z315" s="3"/>
      <c r="AA315" s="3"/>
      <c r="AB315" s="3"/>
    </row>
    <row r="316" spans="1:28" s="142" customFormat="1" x14ac:dyDescent="0.2">
      <c r="A316" s="3"/>
      <c r="B316" s="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3"/>
      <c r="X316" s="3"/>
      <c r="Y316" s="3"/>
      <c r="Z316" s="3"/>
      <c r="AA316" s="3"/>
      <c r="AB316" s="3"/>
    </row>
    <row r="317" spans="1:28" s="142" customFormat="1" x14ac:dyDescent="0.2">
      <c r="A317" s="3"/>
      <c r="B317" s="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3"/>
      <c r="X317" s="3"/>
      <c r="Y317" s="3"/>
      <c r="Z317" s="3"/>
      <c r="AA317" s="3"/>
      <c r="AB317" s="3"/>
    </row>
    <row r="318" spans="1:28" s="142" customFormat="1" x14ac:dyDescent="0.2">
      <c r="A318" s="3"/>
      <c r="B318" s="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3"/>
      <c r="X318" s="3"/>
      <c r="Y318" s="3"/>
      <c r="Z318" s="3"/>
      <c r="AA318" s="3"/>
      <c r="AB318" s="3"/>
    </row>
  </sheetData>
  <mergeCells count="3">
    <mergeCell ref="A1:U1"/>
    <mergeCell ref="A2:U2"/>
    <mergeCell ref="A3:U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2" manualBreakCount="2">
    <brk id="52" max="16383" man="1"/>
    <brk id="11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59999389629810485"/>
  </sheetPr>
  <dimension ref="A1:W532"/>
  <sheetViews>
    <sheetView zoomScale="80" zoomScaleNormal="80" workbookViewId="0">
      <pane xSplit="3" ySplit="8" topLeftCell="D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47.5703125" style="3" bestFit="1" customWidth="1"/>
    <col min="2" max="2" width="19" style="3" bestFit="1" customWidth="1"/>
    <col min="3" max="3" width="1.7109375" style="29" customWidth="1"/>
    <col min="4" max="4" width="17.7109375" style="3" customWidth="1"/>
    <col min="5" max="5" width="1.7109375" style="29" customWidth="1"/>
    <col min="6" max="6" width="17.7109375" style="3" customWidth="1"/>
    <col min="7" max="7" width="1.7109375" style="29" customWidth="1"/>
    <col min="8" max="8" width="17.7109375" style="3" customWidth="1"/>
    <col min="9" max="9" width="1.7109375" style="29" customWidth="1"/>
    <col min="10" max="10" width="17.7109375" style="3" customWidth="1"/>
    <col min="11" max="11" width="1.7109375" style="29" customWidth="1"/>
    <col min="12" max="12" width="17.7109375" style="3" customWidth="1"/>
    <col min="13" max="13" width="1.7109375" style="29" customWidth="1"/>
    <col min="14" max="14" width="17.7109375" style="3" customWidth="1"/>
    <col min="15" max="15" width="1.7109375" style="29" customWidth="1"/>
    <col min="16" max="16" width="17.7109375" style="3" customWidth="1"/>
    <col min="17" max="17" width="1.7109375" style="29" customWidth="1"/>
    <col min="18" max="18" width="19.7109375" style="3" bestFit="1" customWidth="1"/>
    <col min="19" max="16384" width="9.140625" style="3"/>
  </cols>
  <sheetData>
    <row r="1" spans="1:23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135"/>
    </row>
    <row r="2" spans="1:23" s="130" customFormat="1" ht="15.75" x14ac:dyDescent="0.25">
      <c r="A2" s="214" t="s">
        <v>3633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35"/>
    </row>
    <row r="3" spans="1:23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4"/>
      <c r="T3" s="104"/>
      <c r="U3" s="104"/>
      <c r="V3" s="104"/>
      <c r="W3" s="104"/>
    </row>
    <row r="4" spans="1:23" x14ac:dyDescent="0.2">
      <c r="A4" s="145"/>
      <c r="B4" s="145"/>
      <c r="C4" s="112"/>
      <c r="D4" s="145"/>
      <c r="E4" s="112"/>
      <c r="F4" s="145"/>
      <c r="G4" s="112"/>
      <c r="H4" s="145"/>
      <c r="I4" s="112"/>
      <c r="J4" s="145"/>
      <c r="K4" s="112"/>
      <c r="L4" s="145"/>
      <c r="M4" s="112"/>
      <c r="N4" s="145"/>
      <c r="O4" s="112"/>
      <c r="P4" s="145"/>
      <c r="Q4" s="112"/>
      <c r="R4" s="145"/>
      <c r="S4" s="104"/>
      <c r="T4" s="104"/>
      <c r="U4" s="104"/>
      <c r="V4" s="104"/>
      <c r="W4" s="104"/>
    </row>
    <row r="6" spans="1:23" x14ac:dyDescent="0.2">
      <c r="B6" s="7" t="s">
        <v>3</v>
      </c>
      <c r="D6" s="14"/>
      <c r="F6" s="14"/>
      <c r="H6" s="7" t="s">
        <v>4</v>
      </c>
      <c r="I6" s="17"/>
      <c r="J6" s="7" t="s">
        <v>67</v>
      </c>
      <c r="K6" s="17"/>
      <c r="L6" s="17" t="s">
        <v>68</v>
      </c>
      <c r="P6" s="7" t="s">
        <v>69</v>
      </c>
      <c r="Q6" s="17"/>
      <c r="R6" s="7" t="s">
        <v>5</v>
      </c>
    </row>
    <row r="7" spans="1:23" x14ac:dyDescent="0.2">
      <c r="B7" s="11" t="s">
        <v>7</v>
      </c>
      <c r="D7" s="11" t="s">
        <v>70</v>
      </c>
      <c r="F7" s="11" t="s">
        <v>9</v>
      </c>
      <c r="H7" s="11" t="s">
        <v>10</v>
      </c>
      <c r="I7" s="17"/>
      <c r="J7" s="11" t="s">
        <v>72</v>
      </c>
      <c r="K7" s="17"/>
      <c r="L7" s="11" t="s">
        <v>73</v>
      </c>
      <c r="M7" s="17"/>
      <c r="N7" s="11" t="s">
        <v>74</v>
      </c>
      <c r="O7" s="17"/>
      <c r="P7" s="11" t="s">
        <v>75</v>
      </c>
      <c r="Q7" s="17"/>
      <c r="R7" s="11" t="s">
        <v>7</v>
      </c>
    </row>
    <row r="9" spans="1:23" x14ac:dyDescent="0.2">
      <c r="A9" s="9" t="s">
        <v>18</v>
      </c>
      <c r="B9" s="147"/>
      <c r="C9" s="148"/>
      <c r="D9" s="147"/>
      <c r="E9" s="148"/>
      <c r="F9" s="147"/>
      <c r="G9" s="148"/>
      <c r="H9" s="147"/>
      <c r="I9" s="148"/>
      <c r="J9" s="147"/>
      <c r="K9" s="148"/>
      <c r="L9" s="147"/>
      <c r="M9" s="148"/>
      <c r="N9" s="147"/>
      <c r="O9" s="148"/>
      <c r="P9" s="147"/>
      <c r="Q9" s="148"/>
      <c r="R9" s="147"/>
    </row>
    <row r="10" spans="1:23" x14ac:dyDescent="0.2">
      <c r="A10" s="3" t="s">
        <v>3634</v>
      </c>
      <c r="B10" s="133">
        <f>+'KY_Res by Plant Acct-P29 (Reg)'!B10</f>
        <v>0</v>
      </c>
      <c r="C10" s="133"/>
      <c r="D10" s="133">
        <f>+'KY_Res by Plant Acct-P29 (Reg)'!D10</f>
        <v>0</v>
      </c>
      <c r="E10" s="133"/>
      <c r="F10" s="133">
        <f>+'KY_Res by Plant Acct-P29 (Reg)'!F10</f>
        <v>0</v>
      </c>
      <c r="G10" s="133"/>
      <c r="H10" s="133">
        <f>+'KY_Res by Plant Acct-P29 (Reg)'!H10</f>
        <v>0</v>
      </c>
      <c r="I10" s="133"/>
      <c r="J10" s="133">
        <f>+'KY_Res by Plant Acct-P29 (Reg)'!J10</f>
        <v>0</v>
      </c>
      <c r="K10" s="133"/>
      <c r="L10" s="133">
        <f>+'KY_Res by Plant Acct-P29 (Reg)'!L10</f>
        <v>0</v>
      </c>
      <c r="M10" s="133"/>
      <c r="N10" s="133">
        <f>+'KY_Res by Plant Acct-P29 (Reg)'!N10</f>
        <v>0</v>
      </c>
      <c r="O10" s="133"/>
      <c r="P10" s="133">
        <f>+'KY_Res by Plant Acct-P29 (Reg)'!P10</f>
        <v>0</v>
      </c>
      <c r="Q10" s="133"/>
      <c r="R10" s="136">
        <f>SUM(B10:P10)</f>
        <v>0</v>
      </c>
    </row>
    <row r="11" spans="1:23" x14ac:dyDescent="0.2">
      <c r="A11" s="3" t="s">
        <v>3635</v>
      </c>
      <c r="B11" s="133">
        <f>+'KY_Res by Plant Acct-P29 (Reg)'!B11</f>
        <v>-3.5527136788005009E-15</v>
      </c>
      <c r="C11" s="133"/>
      <c r="D11" s="133">
        <f>+'KY_Res by Plant Acct-P29 (Reg)'!D11</f>
        <v>0</v>
      </c>
      <c r="E11" s="133"/>
      <c r="F11" s="133">
        <f>+'KY_Res by Plant Acct-P29 (Reg)'!F11</f>
        <v>0</v>
      </c>
      <c r="G11" s="133"/>
      <c r="H11" s="133">
        <f>+'KY_Res by Plant Acct-P29 (Reg)'!H11</f>
        <v>0</v>
      </c>
      <c r="I11" s="133"/>
      <c r="J11" s="133">
        <f>+'KY_Res by Plant Acct-P29 (Reg)'!J11</f>
        <v>0</v>
      </c>
      <c r="K11" s="133"/>
      <c r="L11" s="133">
        <f>+'KY_Res by Plant Acct-P29 (Reg)'!L11</f>
        <v>0</v>
      </c>
      <c r="M11" s="133"/>
      <c r="N11" s="133">
        <f>+'KY_Res by Plant Acct-P29 (Reg)'!N11</f>
        <v>0</v>
      </c>
      <c r="O11" s="133"/>
      <c r="P11" s="133">
        <f>+'KY_Res by Plant Acct-P29 (Reg)'!P11</f>
        <v>0</v>
      </c>
      <c r="Q11" s="133"/>
      <c r="R11" s="136">
        <f t="shared" ref="R11:R27" si="0">SUM(B11:P11)</f>
        <v>-3.5527136788005009E-15</v>
      </c>
    </row>
    <row r="12" spans="1:23" x14ac:dyDescent="0.2">
      <c r="A12" s="3" t="s">
        <v>3156</v>
      </c>
      <c r="B12" s="133">
        <f>+'KY_Res by Plant Acct-P29 (Reg)'!B12</f>
        <v>-2252423.5199999996</v>
      </c>
      <c r="C12" s="133"/>
      <c r="D12" s="133">
        <f>+'KY_Res by Plant Acct-P29 (Reg)'!D12</f>
        <v>-127666.56</v>
      </c>
      <c r="E12" s="133"/>
      <c r="F12" s="133">
        <f>+'KY_Res by Plant Acct-P29 (Reg)'!F12</f>
        <v>22759.97</v>
      </c>
      <c r="G12" s="133"/>
      <c r="H12" s="133">
        <f>+'KY_Res by Plant Acct-P29 (Reg)'!H12</f>
        <v>-7750.55</v>
      </c>
      <c r="I12" s="133"/>
      <c r="J12" s="133">
        <f>+'KY_Res by Plant Acct-P29 (Reg)'!J12</f>
        <v>0</v>
      </c>
      <c r="K12" s="133"/>
      <c r="L12" s="133">
        <f>+'KY_Res by Plant Acct-P29 (Reg)'!L12</f>
        <v>17539.36</v>
      </c>
      <c r="M12" s="133"/>
      <c r="N12" s="133">
        <f>+'KY_Res by Plant Acct-P29 (Reg)'!N12</f>
        <v>0</v>
      </c>
      <c r="O12" s="133"/>
      <c r="P12" s="133">
        <f>+'KY_Res by Plant Acct-P29 (Reg)'!P12</f>
        <v>0</v>
      </c>
      <c r="Q12" s="133"/>
      <c r="R12" s="136">
        <f t="shared" si="0"/>
        <v>-2347541.2999999993</v>
      </c>
    </row>
    <row r="13" spans="1:23" x14ac:dyDescent="0.2">
      <c r="A13" s="3" t="s">
        <v>3636</v>
      </c>
      <c r="B13" s="133">
        <f>+'KY_Res by Plant Acct-P29 (Reg)'!B13+'IN_Res by Plant Acct-P30 (Reg)'!B10</f>
        <v>-43679215.260000005</v>
      </c>
      <c r="C13" s="133"/>
      <c r="D13" s="133">
        <f>+'KY_Res by Plant Acct-P29 (Reg)'!D13+'IN_Res by Plant Acct-P30 (Reg)'!D10</f>
        <v>-2807310.7</v>
      </c>
      <c r="E13" s="133"/>
      <c r="F13" s="133">
        <f>+'KY_Res by Plant Acct-P29 (Reg)'!F13+'IN_Res by Plant Acct-P30 (Reg)'!F10</f>
        <v>711864.94</v>
      </c>
      <c r="G13" s="133"/>
      <c r="H13" s="133">
        <f>+'KY_Res by Plant Acct-P29 (Reg)'!H13+'IN_Res by Plant Acct-P30 (Reg)'!H10</f>
        <v>327425.63</v>
      </c>
      <c r="I13" s="133"/>
      <c r="J13" s="133">
        <f>+'KY_Res by Plant Acct-P29 (Reg)'!J13+'IN_Res by Plant Acct-P30 (Reg)'!J10</f>
        <v>0</v>
      </c>
      <c r="K13" s="133"/>
      <c r="L13" s="133">
        <f>+'KY_Res by Plant Acct-P29 (Reg)'!L13+'IN_Res by Plant Acct-P30 (Reg)'!L10</f>
        <v>148803.63</v>
      </c>
      <c r="M13" s="133"/>
      <c r="N13" s="133">
        <f>+'KY_Res by Plant Acct-P29 (Reg)'!N13+'IN_Res by Plant Acct-P30 (Reg)'!N10</f>
        <v>-11698.48</v>
      </c>
      <c r="O13" s="133"/>
      <c r="P13" s="133">
        <f>+'KY_Res by Plant Acct-P29 (Reg)'!P13+'IN_Res by Plant Acct-P30 (Reg)'!P10</f>
        <v>0</v>
      </c>
      <c r="Q13" s="133"/>
      <c r="R13" s="136">
        <f t="shared" si="0"/>
        <v>-45310130.240000002</v>
      </c>
    </row>
    <row r="14" spans="1:23" x14ac:dyDescent="0.2">
      <c r="A14" s="3" t="s">
        <v>3637</v>
      </c>
      <c r="B14" s="133">
        <f>+'KY_Res by Plant Acct-P29 (Reg)'!B14</f>
        <v>-9.889999999999997</v>
      </c>
      <c r="C14" s="133"/>
      <c r="D14" s="133">
        <f>+'KY_Res by Plant Acct-P29 (Reg)'!D14</f>
        <v>0</v>
      </c>
      <c r="E14" s="133"/>
      <c r="F14" s="133">
        <f>+'KY_Res by Plant Acct-P29 (Reg)'!F14</f>
        <v>0</v>
      </c>
      <c r="G14" s="133"/>
      <c r="H14" s="133">
        <f>+'KY_Res by Plant Acct-P29 (Reg)'!H14</f>
        <v>0</v>
      </c>
      <c r="I14" s="133"/>
      <c r="J14" s="133">
        <f>+'KY_Res by Plant Acct-P29 (Reg)'!J14</f>
        <v>0</v>
      </c>
      <c r="K14" s="133"/>
      <c r="L14" s="133">
        <f>+'KY_Res by Plant Acct-P29 (Reg)'!L14</f>
        <v>0</v>
      </c>
      <c r="M14" s="133"/>
      <c r="N14" s="133">
        <f>+'KY_Res by Plant Acct-P29 (Reg)'!N14</f>
        <v>0</v>
      </c>
      <c r="O14" s="133"/>
      <c r="P14" s="133">
        <f>+'KY_Res by Plant Acct-P29 (Reg)'!P14</f>
        <v>0</v>
      </c>
      <c r="Q14" s="133"/>
      <c r="R14" s="136">
        <f t="shared" si="0"/>
        <v>-9.889999999999997</v>
      </c>
    </row>
    <row r="15" spans="1:23" x14ac:dyDescent="0.2">
      <c r="A15" s="3" t="s">
        <v>3638</v>
      </c>
      <c r="B15" s="133">
        <f>+'KY_Res by Plant Acct-P29 (Reg)'!B15</f>
        <v>-80356191.730000004</v>
      </c>
      <c r="C15" s="133"/>
      <c r="D15" s="133">
        <f>+'KY_Res by Plant Acct-P29 (Reg)'!D15</f>
        <v>-6486236.6500000004</v>
      </c>
      <c r="E15" s="133"/>
      <c r="F15" s="133">
        <f>+'KY_Res by Plant Acct-P29 (Reg)'!F15</f>
        <v>2893219.44</v>
      </c>
      <c r="G15" s="133"/>
      <c r="H15" s="133">
        <f>+'KY_Res by Plant Acct-P29 (Reg)'!H15</f>
        <v>0</v>
      </c>
      <c r="I15" s="133"/>
      <c r="J15" s="133">
        <f>+'KY_Res by Plant Acct-P29 (Reg)'!J15</f>
        <v>0</v>
      </c>
      <c r="K15" s="133"/>
      <c r="L15" s="133">
        <f>+'KY_Res by Plant Acct-P29 (Reg)'!L15</f>
        <v>3250677.96</v>
      </c>
      <c r="M15" s="133"/>
      <c r="N15" s="133">
        <f>+'KY_Res by Plant Acct-P29 (Reg)'!N15</f>
        <v>-997.83</v>
      </c>
      <c r="O15" s="133"/>
      <c r="P15" s="133">
        <f>+'KY_Res by Plant Acct-P29 (Reg)'!P15</f>
        <v>-311095.40999999997</v>
      </c>
      <c r="Q15" s="133"/>
      <c r="R15" s="136">
        <f t="shared" si="0"/>
        <v>-81010624.220000014</v>
      </c>
    </row>
    <row r="16" spans="1:23" x14ac:dyDescent="0.2">
      <c r="A16" s="3" t="s">
        <v>3639</v>
      </c>
      <c r="B16" s="133">
        <f>+'KY_Res by Plant Acct-P29 (Reg)'!B16</f>
        <v>-116897627.58999997</v>
      </c>
      <c r="C16" s="133"/>
      <c r="D16" s="133">
        <f>+'KY_Res by Plant Acct-P29 (Reg)'!D16</f>
        <v>-9905306.0999999996</v>
      </c>
      <c r="E16" s="133"/>
      <c r="F16" s="133">
        <f>+'KY_Res by Plant Acct-P29 (Reg)'!F16</f>
        <v>2802229.8</v>
      </c>
      <c r="G16" s="133"/>
      <c r="H16" s="133">
        <f>+'KY_Res by Plant Acct-P29 (Reg)'!H16</f>
        <v>44.13</v>
      </c>
      <c r="I16" s="133"/>
      <c r="J16" s="133">
        <f>+'KY_Res by Plant Acct-P29 (Reg)'!J16</f>
        <v>0</v>
      </c>
      <c r="K16" s="133"/>
      <c r="L16" s="133">
        <f>+'KY_Res by Plant Acct-P29 (Reg)'!L16</f>
        <v>1646848.8900000001</v>
      </c>
      <c r="M16" s="133"/>
      <c r="N16" s="133">
        <f>+'KY_Res by Plant Acct-P29 (Reg)'!N16</f>
        <v>-95894.16</v>
      </c>
      <c r="O16" s="133"/>
      <c r="P16" s="133">
        <f>+'KY_Res by Plant Acct-P29 (Reg)'!P16</f>
        <v>-162255.87</v>
      </c>
      <c r="Q16" s="133"/>
      <c r="R16" s="136">
        <f t="shared" si="0"/>
        <v>-122611960.89999998</v>
      </c>
    </row>
    <row r="17" spans="1:18" x14ac:dyDescent="0.2">
      <c r="A17" s="3" t="s">
        <v>3640</v>
      </c>
      <c r="B17" s="133">
        <f>+'KY_Res by Plant Acct-P29 (Reg)'!B17</f>
        <v>-31306859.589999992</v>
      </c>
      <c r="C17" s="133"/>
      <c r="D17" s="133">
        <f>+'KY_Res by Plant Acct-P29 (Reg)'!D17</f>
        <v>-1280863.5</v>
      </c>
      <c r="E17" s="133"/>
      <c r="F17" s="133">
        <f>+'KY_Res by Plant Acct-P29 (Reg)'!F17</f>
        <v>408131.74</v>
      </c>
      <c r="G17" s="133"/>
      <c r="H17" s="133">
        <f>+'KY_Res by Plant Acct-P29 (Reg)'!H17</f>
        <v>0</v>
      </c>
      <c r="I17" s="133"/>
      <c r="J17" s="133">
        <f>+'KY_Res by Plant Acct-P29 (Reg)'!J17</f>
        <v>0</v>
      </c>
      <c r="K17" s="133"/>
      <c r="L17" s="133">
        <f>+'KY_Res by Plant Acct-P29 (Reg)'!L17</f>
        <v>266156.25</v>
      </c>
      <c r="M17" s="133"/>
      <c r="N17" s="133">
        <f>+'KY_Res by Plant Acct-P29 (Reg)'!N17</f>
        <v>-18723.830000000002</v>
      </c>
      <c r="O17" s="133"/>
      <c r="P17" s="133">
        <f>+'KY_Res by Plant Acct-P29 (Reg)'!P17</f>
        <v>-20288.21</v>
      </c>
      <c r="Q17" s="133"/>
      <c r="R17" s="136">
        <f t="shared" si="0"/>
        <v>-31952447.139999993</v>
      </c>
    </row>
    <row r="18" spans="1:18" x14ac:dyDescent="0.2">
      <c r="A18" s="3" t="s">
        <v>3641</v>
      </c>
      <c r="B18" s="133">
        <f>+'KY_Res by Plant Acct-P29 (Reg)'!B18</f>
        <v>-59081416.100000024</v>
      </c>
      <c r="C18" s="133"/>
      <c r="D18" s="133">
        <f>+'KY_Res by Plant Acct-P29 (Reg)'!D18</f>
        <v>-4650399.8099999996</v>
      </c>
      <c r="E18" s="133"/>
      <c r="F18" s="133">
        <f>+'KY_Res by Plant Acct-P29 (Reg)'!F18</f>
        <v>1580438.9</v>
      </c>
      <c r="G18" s="133"/>
      <c r="H18" s="133">
        <f>+'KY_Res by Plant Acct-P29 (Reg)'!H18</f>
        <v>0</v>
      </c>
      <c r="I18" s="133"/>
      <c r="J18" s="133">
        <f>+'KY_Res by Plant Acct-P29 (Reg)'!J18</f>
        <v>0</v>
      </c>
      <c r="K18" s="133"/>
      <c r="L18" s="133">
        <f>+'KY_Res by Plant Acct-P29 (Reg)'!L18</f>
        <v>1206894.1399999999</v>
      </c>
      <c r="M18" s="133"/>
      <c r="N18" s="133">
        <f>+'KY_Res by Plant Acct-P29 (Reg)'!N18</f>
        <v>-179668.96</v>
      </c>
      <c r="O18" s="133"/>
      <c r="P18" s="133">
        <f>+'KY_Res by Plant Acct-P29 (Reg)'!P18</f>
        <v>-76642.25</v>
      </c>
      <c r="Q18" s="133"/>
      <c r="R18" s="136">
        <f t="shared" si="0"/>
        <v>-61200794.080000028</v>
      </c>
    </row>
    <row r="19" spans="1:18" x14ac:dyDescent="0.2">
      <c r="A19" s="3" t="s">
        <v>3163</v>
      </c>
      <c r="B19" s="133">
        <f>+'KY_Res by Plant Acct-P29 (Reg)'!B19</f>
        <v>-77244820.88000001</v>
      </c>
      <c r="C19" s="133"/>
      <c r="D19" s="133">
        <f>+'KY_Res by Plant Acct-P29 (Reg)'!D19</f>
        <v>-3847095.13</v>
      </c>
      <c r="E19" s="133"/>
      <c r="F19" s="133">
        <f>+'KY_Res by Plant Acct-P29 (Reg)'!F19</f>
        <v>2952153.8</v>
      </c>
      <c r="G19" s="133"/>
      <c r="H19" s="133">
        <f>+'KY_Res by Plant Acct-P29 (Reg)'!H19</f>
        <v>0</v>
      </c>
      <c r="I19" s="133"/>
      <c r="J19" s="133">
        <f>+'KY_Res by Plant Acct-P29 (Reg)'!J19</f>
        <v>0</v>
      </c>
      <c r="K19" s="133"/>
      <c r="L19" s="133">
        <f>+'KY_Res by Plant Acct-P29 (Reg)'!L19</f>
        <v>1983595.72</v>
      </c>
      <c r="M19" s="133"/>
      <c r="N19" s="133">
        <f>+'KY_Res by Plant Acct-P29 (Reg)'!N19</f>
        <v>-255445.56</v>
      </c>
      <c r="O19" s="133"/>
      <c r="P19" s="133">
        <f>+'KY_Res by Plant Acct-P29 (Reg)'!P19</f>
        <v>-1745409.29</v>
      </c>
      <c r="Q19" s="133"/>
      <c r="R19" s="136">
        <f t="shared" si="0"/>
        <v>-78157021.340000018</v>
      </c>
    </row>
    <row r="20" spans="1:18" x14ac:dyDescent="0.2">
      <c r="A20" s="3" t="s">
        <v>3642</v>
      </c>
      <c r="B20" s="133">
        <f>+'KY_Res by Plant Acct-P29 (Reg)'!B20</f>
        <v>-1682293.9899999995</v>
      </c>
      <c r="C20" s="133"/>
      <c r="D20" s="133">
        <f>+'KY_Res by Plant Acct-P29 (Reg)'!D20</f>
        <v>-331078.19</v>
      </c>
      <c r="E20" s="133"/>
      <c r="F20" s="133">
        <f>+'KY_Res by Plant Acct-P29 (Reg)'!F20</f>
        <v>37302.65</v>
      </c>
      <c r="G20" s="133"/>
      <c r="H20" s="133">
        <f>+'KY_Res by Plant Acct-P29 (Reg)'!H20</f>
        <v>0</v>
      </c>
      <c r="I20" s="133"/>
      <c r="J20" s="133">
        <f>+'KY_Res by Plant Acct-P29 (Reg)'!J20</f>
        <v>0</v>
      </c>
      <c r="K20" s="133"/>
      <c r="L20" s="133">
        <f>+'KY_Res by Plant Acct-P29 (Reg)'!L20</f>
        <v>244529.68</v>
      </c>
      <c r="M20" s="133"/>
      <c r="N20" s="133">
        <f>+'KY_Res by Plant Acct-P29 (Reg)'!N20</f>
        <v>0</v>
      </c>
      <c r="O20" s="133"/>
      <c r="P20" s="133">
        <f>+'KY_Res by Plant Acct-P29 (Reg)'!P20</f>
        <v>0</v>
      </c>
      <c r="Q20" s="133"/>
      <c r="R20" s="136">
        <f t="shared" si="0"/>
        <v>-1731539.8499999996</v>
      </c>
    </row>
    <row r="21" spans="1:18" x14ac:dyDescent="0.2">
      <c r="A21" s="3" t="s">
        <v>3643</v>
      </c>
      <c r="B21" s="133">
        <f>+'KY_Res by Plant Acct-P29 (Reg)'!B21</f>
        <v>-23456102.720000003</v>
      </c>
      <c r="C21" s="133"/>
      <c r="D21" s="133">
        <f>+'KY_Res by Plant Acct-P29 (Reg)'!D21</f>
        <v>-731457.58</v>
      </c>
      <c r="E21" s="133"/>
      <c r="F21" s="133">
        <f>+'KY_Res by Plant Acct-P29 (Reg)'!F21</f>
        <v>41292.160000000003</v>
      </c>
      <c r="G21" s="133"/>
      <c r="H21" s="133">
        <f>+'KY_Res by Plant Acct-P29 (Reg)'!H21</f>
        <v>0</v>
      </c>
      <c r="I21" s="133"/>
      <c r="J21" s="133">
        <f>+'KY_Res by Plant Acct-P29 (Reg)'!J21</f>
        <v>0</v>
      </c>
      <c r="K21" s="133"/>
      <c r="L21" s="133">
        <f>+'KY_Res by Plant Acct-P29 (Reg)'!L21</f>
        <v>168626.65</v>
      </c>
      <c r="M21" s="133"/>
      <c r="N21" s="133">
        <f>+'KY_Res by Plant Acct-P29 (Reg)'!N21</f>
        <v>0</v>
      </c>
      <c r="O21" s="133"/>
      <c r="P21" s="133">
        <f>+'KY_Res by Plant Acct-P29 (Reg)'!P21</f>
        <v>0</v>
      </c>
      <c r="Q21" s="133"/>
      <c r="R21" s="136">
        <f t="shared" si="0"/>
        <v>-23977641.490000002</v>
      </c>
    </row>
    <row r="22" spans="1:18" x14ac:dyDescent="0.2">
      <c r="A22" s="3" t="s">
        <v>3166</v>
      </c>
      <c r="B22" s="133">
        <f>+'KY_Res by Plant Acct-P29 (Reg)'!B22</f>
        <v>-25109574</v>
      </c>
      <c r="C22" s="133"/>
      <c r="D22" s="133">
        <f>+'KY_Res by Plant Acct-P29 (Reg)'!D22</f>
        <v>-1113870.45</v>
      </c>
      <c r="E22" s="133"/>
      <c r="F22" s="133">
        <f>+'KY_Res by Plant Acct-P29 (Reg)'!F22</f>
        <v>3083601.81</v>
      </c>
      <c r="G22" s="133"/>
      <c r="H22" s="133">
        <f>+'KY_Res by Plant Acct-P29 (Reg)'!H22</f>
        <v>3659499.43</v>
      </c>
      <c r="I22" s="133"/>
      <c r="J22" s="133">
        <f>+'KY_Res by Plant Acct-P29 (Reg)'!J22</f>
        <v>0</v>
      </c>
      <c r="K22" s="133"/>
      <c r="L22" s="133">
        <f>+'KY_Res by Plant Acct-P29 (Reg)'!L22</f>
        <v>0</v>
      </c>
      <c r="M22" s="133"/>
      <c r="N22" s="133">
        <f>+'KY_Res by Plant Acct-P29 (Reg)'!N22</f>
        <v>0</v>
      </c>
      <c r="O22" s="133"/>
      <c r="P22" s="133">
        <f>+'KY_Res by Plant Acct-P29 (Reg)'!P22</f>
        <v>0</v>
      </c>
      <c r="Q22" s="133"/>
      <c r="R22" s="136">
        <f t="shared" si="0"/>
        <v>-19480343.210000001</v>
      </c>
    </row>
    <row r="23" spans="1:18" ht="13.5" customHeight="1" x14ac:dyDescent="0.2">
      <c r="A23" s="3" t="s">
        <v>3644</v>
      </c>
      <c r="B23" s="133">
        <f>+'KY_Res by Plant Acct-P29 (Reg)'!B23</f>
        <v>-55178.04</v>
      </c>
      <c r="C23" s="133"/>
      <c r="D23" s="133">
        <f>+'KY_Res by Plant Acct-P29 (Reg)'!D23</f>
        <v>-88034.23</v>
      </c>
      <c r="E23" s="133">
        <f>+'KY_Res by Plant Acct-P29 (Reg)'!E23</f>
        <v>0</v>
      </c>
      <c r="F23" s="133">
        <f>+'KY_Res by Plant Acct-P29 (Reg)'!F23</f>
        <v>77652.320000000007</v>
      </c>
      <c r="G23" s="133">
        <f>+'KY_Res by Plant Acct-P29 (Reg)'!G23</f>
        <v>0</v>
      </c>
      <c r="H23" s="133">
        <f>+'KY_Res by Plant Acct-P29 (Reg)'!H23</f>
        <v>0</v>
      </c>
      <c r="I23" s="133">
        <f>+'KY_Res by Plant Acct-P29 (Reg)'!I23</f>
        <v>0</v>
      </c>
      <c r="J23" s="133">
        <f>+'KY_Res by Plant Acct-P29 (Reg)'!J23</f>
        <v>0</v>
      </c>
      <c r="K23" s="133">
        <f>+'KY_Res by Plant Acct-P29 (Reg)'!K23</f>
        <v>0</v>
      </c>
      <c r="L23" s="133">
        <f>+'KY_Res by Plant Acct-P29 (Reg)'!L23</f>
        <v>0</v>
      </c>
      <c r="M23" s="133">
        <f>+'KY_Res by Plant Acct-P29 (Reg)'!M23</f>
        <v>0</v>
      </c>
      <c r="N23" s="133">
        <f>+'KY_Res by Plant Acct-P29 (Reg)'!N23</f>
        <v>-72404.100000000006</v>
      </c>
      <c r="O23" s="133">
        <f>+'KY_Res by Plant Acct-P29 (Reg)'!O23</f>
        <v>0</v>
      </c>
      <c r="P23" s="133">
        <f>+'KY_Res by Plant Acct-P29 (Reg)'!P23</f>
        <v>0</v>
      </c>
      <c r="Q23" s="133"/>
      <c r="R23" s="136">
        <f t="shared" si="0"/>
        <v>-137964.04999999999</v>
      </c>
    </row>
    <row r="24" spans="1:18" ht="13.5" customHeight="1" x14ac:dyDescent="0.2">
      <c r="A24" s="3" t="s">
        <v>3645</v>
      </c>
      <c r="B24" s="133">
        <f>+'KY_Res by Plant Acct-P29 (Reg)'!B24</f>
        <v>0</v>
      </c>
      <c r="C24" s="133"/>
      <c r="D24" s="133">
        <f>+'KY_Res by Plant Acct-P29 (Reg)'!D24</f>
        <v>-89174.93</v>
      </c>
      <c r="E24" s="133">
        <f>+'KY_Res by Plant Acct-P29 (Reg)'!E24</f>
        <v>0</v>
      </c>
      <c r="F24" s="133">
        <f>+'KY_Res by Plant Acct-P29 (Reg)'!F24</f>
        <v>0</v>
      </c>
      <c r="G24" s="133">
        <f>+'KY_Res by Plant Acct-P29 (Reg)'!G24</f>
        <v>0</v>
      </c>
      <c r="H24" s="133">
        <f>+'KY_Res by Plant Acct-P29 (Reg)'!H24</f>
        <v>-3659499.43</v>
      </c>
      <c r="I24" s="133">
        <f>+'KY_Res by Plant Acct-P29 (Reg)'!I24</f>
        <v>0</v>
      </c>
      <c r="J24" s="133">
        <f>+'KY_Res by Plant Acct-P29 (Reg)'!J24</f>
        <v>0</v>
      </c>
      <c r="K24" s="133">
        <f>+'KY_Res by Plant Acct-P29 (Reg)'!K24</f>
        <v>0</v>
      </c>
      <c r="L24" s="133">
        <f>+'KY_Res by Plant Acct-P29 (Reg)'!L24</f>
        <v>0</v>
      </c>
      <c r="M24" s="133">
        <f>+'KY_Res by Plant Acct-P29 (Reg)'!M24</f>
        <v>0</v>
      </c>
      <c r="N24" s="133">
        <f>+'KY_Res by Plant Acct-P29 (Reg)'!N24</f>
        <v>0</v>
      </c>
      <c r="O24" s="133">
        <f>+'KY_Res by Plant Acct-P29 (Reg)'!O24</f>
        <v>0</v>
      </c>
      <c r="P24" s="133">
        <f>+'KY_Res by Plant Acct-P29 (Reg)'!P24</f>
        <v>0</v>
      </c>
      <c r="Q24" s="133"/>
      <c r="R24" s="136">
        <f t="shared" ref="R24" si="1">SUM(B24:P24)</f>
        <v>-3748674.3600000003</v>
      </c>
    </row>
    <row r="25" spans="1:18" x14ac:dyDescent="0.2">
      <c r="A25" s="3" t="s">
        <v>3646</v>
      </c>
      <c r="B25" s="133">
        <f>+'KY_Res by Plant Acct-P29 (Reg)'!B26</f>
        <v>-11031481.91</v>
      </c>
      <c r="C25" s="133"/>
      <c r="D25" s="133">
        <f>+'KY_Res by Plant Acct-P29 (Reg)'!D26</f>
        <v>-2157963.08</v>
      </c>
      <c r="E25" s="133"/>
      <c r="F25" s="133">
        <f>+'KY_Res by Plant Acct-P29 (Reg)'!F26</f>
        <v>82893.62</v>
      </c>
      <c r="G25" s="133"/>
      <c r="H25" s="133">
        <f>+'KY_Res by Plant Acct-P29 (Reg)'!H26</f>
        <v>0</v>
      </c>
      <c r="I25" s="133"/>
      <c r="J25" s="133">
        <f>+'KY_Res by Plant Acct-P29 (Reg)'!J26</f>
        <v>0</v>
      </c>
      <c r="K25" s="133"/>
      <c r="L25" s="133">
        <f>+'KY_Res by Plant Acct-P29 (Reg)'!L26</f>
        <v>883470.35</v>
      </c>
      <c r="M25" s="133"/>
      <c r="N25" s="133">
        <f>+'KY_Res by Plant Acct-P29 (Reg)'!N26</f>
        <v>-42.11</v>
      </c>
      <c r="O25" s="133"/>
      <c r="P25" s="133">
        <f>+'KY_Res by Plant Acct-P29 (Reg)'!P26</f>
        <v>0</v>
      </c>
      <c r="Q25" s="133"/>
      <c r="R25" s="136">
        <f t="shared" si="0"/>
        <v>-12223123.130000001</v>
      </c>
    </row>
    <row r="26" spans="1:18" x14ac:dyDescent="0.2">
      <c r="A26" s="3" t="s">
        <v>3647</v>
      </c>
      <c r="B26" s="133">
        <f>+'KY_Res by Plant Acct-P29 (Reg)'!B27</f>
        <v>-26213635.110000007</v>
      </c>
      <c r="C26" s="133"/>
      <c r="D26" s="133">
        <f>+'KY_Res by Plant Acct-P29 (Reg)'!D27</f>
        <v>-2164511.25</v>
      </c>
      <c r="E26" s="133"/>
      <c r="F26" s="133">
        <f>+'KY_Res by Plant Acct-P29 (Reg)'!F27</f>
        <v>205459.6</v>
      </c>
      <c r="G26" s="133"/>
      <c r="H26" s="133">
        <f>+'KY_Res by Plant Acct-P29 (Reg)'!H27</f>
        <v>0</v>
      </c>
      <c r="I26" s="133"/>
      <c r="J26" s="133">
        <f>+'KY_Res by Plant Acct-P29 (Reg)'!J27</f>
        <v>0</v>
      </c>
      <c r="K26" s="133"/>
      <c r="L26" s="133">
        <f>+'KY_Res by Plant Acct-P29 (Reg)'!L27</f>
        <v>423274.23999999999</v>
      </c>
      <c r="M26" s="133"/>
      <c r="N26" s="133">
        <f>+'KY_Res by Plant Acct-P29 (Reg)'!N27</f>
        <v>-23424.71</v>
      </c>
      <c r="O26" s="133"/>
      <c r="P26" s="133">
        <f>+'KY_Res by Plant Acct-P29 (Reg)'!P27</f>
        <v>0</v>
      </c>
      <c r="Q26" s="133"/>
      <c r="R26" s="136">
        <f t="shared" si="0"/>
        <v>-27772837.230000008</v>
      </c>
    </row>
    <row r="27" spans="1:18" x14ac:dyDescent="0.2">
      <c r="A27" s="3" t="s">
        <v>3648</v>
      </c>
      <c r="B27" s="133">
        <f>+'KY_Res by Plant Acct-P29 (Reg)'!B28</f>
        <v>0</v>
      </c>
      <c r="C27" s="133"/>
      <c r="D27" s="133">
        <f>+'KY_Res by Plant Acct-P29 (Reg)'!D28</f>
        <v>0</v>
      </c>
      <c r="E27" s="133"/>
      <c r="F27" s="133">
        <f>+'KY_Res by Plant Acct-P29 (Reg)'!F28</f>
        <v>0</v>
      </c>
      <c r="G27" s="133"/>
      <c r="H27" s="133">
        <f>+'KY_Res by Plant Acct-P29 (Reg)'!H28</f>
        <v>0</v>
      </c>
      <c r="I27" s="133"/>
      <c r="J27" s="133">
        <f>+'KY_Res by Plant Acct-P29 (Reg)'!J28</f>
        <v>0</v>
      </c>
      <c r="K27" s="133"/>
      <c r="L27" s="133">
        <f>+'KY_Res by Plant Acct-P29 (Reg)'!L28</f>
        <v>0</v>
      </c>
      <c r="M27" s="133"/>
      <c r="N27" s="133">
        <f>+'KY_Res by Plant Acct-P29 (Reg)'!N28</f>
        <v>0</v>
      </c>
      <c r="O27" s="133"/>
      <c r="P27" s="133">
        <f>+'KY_Res by Plant Acct-P29 (Reg)'!P28</f>
        <v>0</v>
      </c>
      <c r="Q27" s="133"/>
      <c r="R27" s="136">
        <f t="shared" si="0"/>
        <v>0</v>
      </c>
    </row>
    <row r="28" spans="1:18" x14ac:dyDescent="0.2">
      <c r="A28" s="3" t="s">
        <v>3173</v>
      </c>
      <c r="B28" s="133">
        <f>+'KY_Res by Plant Acct-P29 (Reg)'!B29</f>
        <v>-34491.480000000069</v>
      </c>
      <c r="C28" s="133"/>
      <c r="D28" s="133">
        <f>+'KY_Res by Plant Acct-P29 (Reg)'!D29</f>
        <v>-20734.16</v>
      </c>
      <c r="E28" s="133"/>
      <c r="F28" s="133">
        <f>+'KY_Res by Plant Acct-P29 (Reg)'!F29</f>
        <v>16644.41</v>
      </c>
      <c r="G28" s="133"/>
      <c r="H28" s="133">
        <f>+'KY_Res by Plant Acct-P29 (Reg)'!H29</f>
        <v>0</v>
      </c>
      <c r="I28" s="133"/>
      <c r="J28" s="133">
        <f>+'KY_Res by Plant Acct-P29 (Reg)'!J29</f>
        <v>0</v>
      </c>
      <c r="K28" s="133"/>
      <c r="L28" s="133">
        <f>+'KY_Res by Plant Acct-P29 (Reg)'!L29</f>
        <v>0</v>
      </c>
      <c r="M28" s="133"/>
      <c r="N28" s="133">
        <f>+'KY_Res by Plant Acct-P29 (Reg)'!N29</f>
        <v>0</v>
      </c>
      <c r="O28" s="133"/>
      <c r="P28" s="133">
        <f>+'KY_Res by Plant Acct-P29 (Reg)'!P29</f>
        <v>0</v>
      </c>
      <c r="Q28" s="133"/>
      <c r="R28" s="136">
        <f>SUM(B28:P28)</f>
        <v>-38581.230000000069</v>
      </c>
    </row>
    <row r="29" spans="1:18" s="21" customFormat="1" x14ac:dyDescent="0.2">
      <c r="A29" s="120" t="s">
        <v>3174</v>
      </c>
      <c r="B29" s="149">
        <f>+'KY_Res by Plant Acct-P29 (Reg)'!B30</f>
        <v>-15537.229999999998</v>
      </c>
      <c r="C29" s="83"/>
      <c r="D29" s="149">
        <f>+'KY_Res by Plant Acct-P29 (Reg)'!D30</f>
        <v>-20796.02</v>
      </c>
      <c r="E29" s="83"/>
      <c r="F29" s="149">
        <f>+'KY_Res by Plant Acct-P29 (Reg)'!F30</f>
        <v>25506.84</v>
      </c>
      <c r="G29" s="83"/>
      <c r="H29" s="149">
        <f>+'KY_Res by Plant Acct-P29 (Reg)'!H30</f>
        <v>0</v>
      </c>
      <c r="I29" s="83"/>
      <c r="J29" s="149">
        <f>+'KY_Res by Plant Acct-P29 (Reg)'!J30</f>
        <v>0</v>
      </c>
      <c r="K29" s="83"/>
      <c r="L29" s="149">
        <f>+'KY_Res by Plant Acct-P29 (Reg)'!L30</f>
        <v>0</v>
      </c>
      <c r="M29" s="83"/>
      <c r="N29" s="149">
        <f>+'KY_Res by Plant Acct-P29 (Reg)'!N30</f>
        <v>0</v>
      </c>
      <c r="O29" s="83"/>
      <c r="P29" s="149">
        <f>+'KY_Res by Plant Acct-P29 (Reg)'!P30</f>
        <v>0</v>
      </c>
      <c r="Q29" s="83"/>
      <c r="R29" s="149">
        <f>SUM(B29:P29)</f>
        <v>-10826.41</v>
      </c>
    </row>
    <row r="30" spans="1:18" x14ac:dyDescent="0.2">
      <c r="B30" s="133">
        <f>SUM(B10:B29)</f>
        <v>-498416859.04000014</v>
      </c>
      <c r="C30" s="133"/>
      <c r="D30" s="133">
        <f t="shared" ref="D30:P30" si="2">SUM(D10:D29)</f>
        <v>-35822498.339999996</v>
      </c>
      <c r="E30" s="133"/>
      <c r="F30" s="133">
        <f t="shared" si="2"/>
        <v>14941152</v>
      </c>
      <c r="G30" s="133"/>
      <c r="H30" s="133">
        <f t="shared" si="2"/>
        <v>319719.20999999996</v>
      </c>
      <c r="I30" s="133"/>
      <c r="J30" s="133">
        <f t="shared" si="2"/>
        <v>0</v>
      </c>
      <c r="K30" s="133"/>
      <c r="L30" s="133">
        <f>SUM(L10:L29)</f>
        <v>10240416.869999999</v>
      </c>
      <c r="M30" s="133"/>
      <c r="N30" s="133">
        <f t="shared" si="2"/>
        <v>-658299.74</v>
      </c>
      <c r="O30" s="133"/>
      <c r="P30" s="133">
        <f t="shared" si="2"/>
        <v>-2315691.0300000003</v>
      </c>
      <c r="Q30" s="133"/>
      <c r="R30" s="133">
        <f>SUM(R10:R29)</f>
        <v>-511712060.07000017</v>
      </c>
    </row>
    <row r="31" spans="1:18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1:18" x14ac:dyDescent="0.2">
      <c r="A32" s="9" t="s">
        <v>19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x14ac:dyDescent="0.2">
      <c r="A33" s="3" t="s">
        <v>3175</v>
      </c>
      <c r="B33" s="133">
        <f>+'KY_Res by Plant Acct-P29 (Reg)'!B34</f>
        <v>-504353.23000000004</v>
      </c>
      <c r="C33" s="133"/>
      <c r="D33" s="133">
        <f>+'KY_Res by Plant Acct-P29 (Reg)'!D34</f>
        <v>-77148.789999999994</v>
      </c>
      <c r="E33" s="133"/>
      <c r="F33" s="133">
        <f>+'KY_Res by Plant Acct-P29 (Reg)'!F34</f>
        <v>0</v>
      </c>
      <c r="G33" s="133"/>
      <c r="H33" s="133">
        <f>+'KY_Res by Plant Acct-P29 (Reg)'!H34</f>
        <v>0</v>
      </c>
      <c r="I33" s="133"/>
      <c r="J33" s="133">
        <f>+'KY_Res by Plant Acct-P29 (Reg)'!J34</f>
        <v>0</v>
      </c>
      <c r="K33" s="133"/>
      <c r="L33" s="133">
        <f>+'KY_Res by Plant Acct-P29 (Reg)'!L34</f>
        <v>0</v>
      </c>
      <c r="M33" s="133"/>
      <c r="N33" s="133">
        <f>+'KY_Res by Plant Acct-P29 (Reg)'!N34</f>
        <v>0</v>
      </c>
      <c r="O33" s="133"/>
      <c r="P33" s="133">
        <f>+'KY_Res by Plant Acct-P29 (Reg)'!P34</f>
        <v>0</v>
      </c>
      <c r="Q33" s="133"/>
      <c r="R33" s="133">
        <f>SUM(B33:P33)</f>
        <v>-581502.02</v>
      </c>
    </row>
    <row r="34" spans="1:18" x14ac:dyDescent="0.2">
      <c r="A34" s="3" t="s">
        <v>3176</v>
      </c>
      <c r="B34" s="133">
        <f>+'KY_Res by Plant Acct-P29 (Reg)'!B35</f>
        <v>-2116500.7400000021</v>
      </c>
      <c r="C34" s="133"/>
      <c r="D34" s="133">
        <f>+'KY_Res by Plant Acct-P29 (Reg)'!D35</f>
        <v>-247345.07</v>
      </c>
      <c r="E34" s="133"/>
      <c r="F34" s="133">
        <f>+'KY_Res by Plant Acct-P29 (Reg)'!F35</f>
        <v>43755.68</v>
      </c>
      <c r="G34" s="133"/>
      <c r="H34" s="133">
        <f>+'KY_Res by Plant Acct-P29 (Reg)'!H35</f>
        <v>-9718.2900000000009</v>
      </c>
      <c r="I34" s="133"/>
      <c r="J34" s="133">
        <f>+'KY_Res by Plant Acct-P29 (Reg)'!J35</f>
        <v>0</v>
      </c>
      <c r="K34" s="133"/>
      <c r="L34" s="133">
        <f>+'KY_Res by Plant Acct-P29 (Reg)'!L35</f>
        <v>0</v>
      </c>
      <c r="M34" s="133"/>
      <c r="N34" s="133">
        <f>+'KY_Res by Plant Acct-P29 (Reg)'!N35</f>
        <v>0</v>
      </c>
      <c r="O34" s="133"/>
      <c r="P34" s="133">
        <f>+'KY_Res by Plant Acct-P29 (Reg)'!P35</f>
        <v>0</v>
      </c>
      <c r="Q34" s="133"/>
      <c r="R34" s="133">
        <f t="shared" ref="R34:R40" si="3">SUM(B34:P34)</f>
        <v>-2329808.4200000018</v>
      </c>
    </row>
    <row r="35" spans="1:18" x14ac:dyDescent="0.2">
      <c r="A35" s="3" t="s">
        <v>3177</v>
      </c>
      <c r="B35" s="133">
        <f>+'KY_Res by Plant Acct-P29 (Reg)'!B36</f>
        <v>-148325.09000000003</v>
      </c>
      <c r="C35" s="133"/>
      <c r="D35" s="133">
        <f>+'KY_Res by Plant Acct-P29 (Reg)'!D36</f>
        <v>-31839.51</v>
      </c>
      <c r="E35" s="133"/>
      <c r="F35" s="133">
        <f>+'KY_Res by Plant Acct-P29 (Reg)'!F36</f>
        <v>120866.21</v>
      </c>
      <c r="G35" s="133"/>
      <c r="H35" s="133">
        <f>+'KY_Res by Plant Acct-P29 (Reg)'!H36</f>
        <v>-6845.56</v>
      </c>
      <c r="I35" s="133"/>
      <c r="J35" s="133">
        <f>+'KY_Res by Plant Acct-P29 (Reg)'!J36</f>
        <v>0</v>
      </c>
      <c r="K35" s="133"/>
      <c r="L35" s="133">
        <f>+'KY_Res by Plant Acct-P29 (Reg)'!L36</f>
        <v>0</v>
      </c>
      <c r="M35" s="133"/>
      <c r="N35" s="133">
        <f>+'KY_Res by Plant Acct-P29 (Reg)'!N36</f>
        <v>0</v>
      </c>
      <c r="O35" s="133"/>
      <c r="P35" s="133">
        <f>+'KY_Res by Plant Acct-P29 (Reg)'!P36</f>
        <v>0</v>
      </c>
      <c r="Q35" s="133"/>
      <c r="R35" s="133">
        <f t="shared" si="3"/>
        <v>-66143.950000000026</v>
      </c>
    </row>
    <row r="36" spans="1:18" x14ac:dyDescent="0.2">
      <c r="A36" s="3" t="s">
        <v>3649</v>
      </c>
      <c r="B36" s="133">
        <f>+'KY_Res by Plant Acct-P29 (Reg)'!B37</f>
        <v>-2517300.4099999997</v>
      </c>
      <c r="C36" s="133"/>
      <c r="D36" s="133">
        <f>+'KY_Res by Plant Acct-P29 (Reg)'!D37</f>
        <v>-274999.89</v>
      </c>
      <c r="E36" s="133"/>
      <c r="F36" s="133">
        <f>+'KY_Res by Plant Acct-P29 (Reg)'!F37</f>
        <v>143955.4</v>
      </c>
      <c r="G36" s="133"/>
      <c r="H36" s="133">
        <f>+'KY_Res by Plant Acct-P29 (Reg)'!H37</f>
        <v>0</v>
      </c>
      <c r="I36" s="133"/>
      <c r="J36" s="133">
        <f>+'KY_Res by Plant Acct-P29 (Reg)'!J37</f>
        <v>0</v>
      </c>
      <c r="K36" s="133"/>
      <c r="L36" s="133">
        <f>+'KY_Res by Plant Acct-P29 (Reg)'!L37</f>
        <v>0</v>
      </c>
      <c r="M36" s="133"/>
      <c r="N36" s="133">
        <f>+'KY_Res by Plant Acct-P29 (Reg)'!N37</f>
        <v>0</v>
      </c>
      <c r="O36" s="133"/>
      <c r="P36" s="133">
        <f>+'KY_Res by Plant Acct-P29 (Reg)'!P37</f>
        <v>0</v>
      </c>
      <c r="Q36" s="133"/>
      <c r="R36" s="133">
        <f t="shared" si="3"/>
        <v>-2648344.9</v>
      </c>
    </row>
    <row r="37" spans="1:18" x14ac:dyDescent="0.2">
      <c r="A37" s="3" t="s">
        <v>3179</v>
      </c>
      <c r="B37" s="133">
        <f>+'KY_Res by Plant Acct-P29 (Reg)'!B38</f>
        <v>1.3096723705530167E-10</v>
      </c>
      <c r="C37" s="133"/>
      <c r="D37" s="133">
        <f>+'KY_Res by Plant Acct-P29 (Reg)'!D38</f>
        <v>0</v>
      </c>
      <c r="E37" s="133"/>
      <c r="F37" s="133">
        <f>+'KY_Res by Plant Acct-P29 (Reg)'!F38</f>
        <v>0</v>
      </c>
      <c r="G37" s="133"/>
      <c r="H37" s="133">
        <f>+'KY_Res by Plant Acct-P29 (Reg)'!H38</f>
        <v>0</v>
      </c>
      <c r="I37" s="133"/>
      <c r="J37" s="133">
        <f>+'KY_Res by Plant Acct-P29 (Reg)'!J38</f>
        <v>0</v>
      </c>
      <c r="K37" s="133"/>
      <c r="L37" s="133">
        <f>+'KY_Res by Plant Acct-P29 (Reg)'!L38</f>
        <v>0</v>
      </c>
      <c r="M37" s="133"/>
      <c r="N37" s="133">
        <f>+'KY_Res by Plant Acct-P29 (Reg)'!N38</f>
        <v>0</v>
      </c>
      <c r="O37" s="133"/>
      <c r="P37" s="133">
        <f>+'KY_Res by Plant Acct-P29 (Reg)'!P38</f>
        <v>0</v>
      </c>
      <c r="Q37" s="133"/>
      <c r="R37" s="133">
        <f t="shared" si="3"/>
        <v>1.3096723705530167E-10</v>
      </c>
    </row>
    <row r="38" spans="1:18" x14ac:dyDescent="0.2">
      <c r="A38" s="3" t="s">
        <v>3180</v>
      </c>
      <c r="B38" s="133">
        <f>+'KY_Res by Plant Acct-P29 (Reg)'!B39</f>
        <v>-1817489.5100000005</v>
      </c>
      <c r="C38" s="133"/>
      <c r="D38" s="133">
        <f>+'KY_Res by Plant Acct-P29 (Reg)'!D39</f>
        <v>-90985.17</v>
      </c>
      <c r="E38" s="133"/>
      <c r="F38" s="133">
        <f>+'KY_Res by Plant Acct-P29 (Reg)'!F39</f>
        <v>421228.56</v>
      </c>
      <c r="G38" s="133"/>
      <c r="H38" s="133">
        <f>+'KY_Res by Plant Acct-P29 (Reg)'!H39</f>
        <v>0</v>
      </c>
      <c r="I38" s="133"/>
      <c r="J38" s="133">
        <f>+'KY_Res by Plant Acct-P29 (Reg)'!J39</f>
        <v>0</v>
      </c>
      <c r="K38" s="133"/>
      <c r="L38" s="133">
        <f>+'KY_Res by Plant Acct-P29 (Reg)'!L39</f>
        <v>0</v>
      </c>
      <c r="M38" s="133"/>
      <c r="N38" s="133">
        <f>+'KY_Res by Plant Acct-P29 (Reg)'!N39</f>
        <v>0</v>
      </c>
      <c r="O38" s="133"/>
      <c r="P38" s="133">
        <f>+'KY_Res by Plant Acct-P29 (Reg)'!P39</f>
        <v>0</v>
      </c>
      <c r="Q38" s="133"/>
      <c r="R38" s="133">
        <f t="shared" si="3"/>
        <v>-1487246.1200000003</v>
      </c>
    </row>
    <row r="39" spans="1:18" x14ac:dyDescent="0.2">
      <c r="A39" s="3" t="s">
        <v>3181</v>
      </c>
      <c r="B39" s="133">
        <f>+'KY_Res by Plant Acct-P29 (Reg)'!B40</f>
        <v>-94447.87</v>
      </c>
      <c r="C39" s="133"/>
      <c r="D39" s="133">
        <f>+'KY_Res by Plant Acct-P29 (Reg)'!D40</f>
        <v>-10960.5</v>
      </c>
      <c r="E39" s="133"/>
      <c r="F39" s="133">
        <f>+'KY_Res by Plant Acct-P29 (Reg)'!F40</f>
        <v>0</v>
      </c>
      <c r="G39" s="133"/>
      <c r="H39" s="133">
        <f>+'KY_Res by Plant Acct-P29 (Reg)'!H40</f>
        <v>0</v>
      </c>
      <c r="I39" s="133"/>
      <c r="J39" s="133">
        <f>+'KY_Res by Plant Acct-P29 (Reg)'!J40</f>
        <v>0</v>
      </c>
      <c r="K39" s="133"/>
      <c r="L39" s="133">
        <f>+'KY_Res by Plant Acct-P29 (Reg)'!L40</f>
        <v>0</v>
      </c>
      <c r="M39" s="133"/>
      <c r="N39" s="133">
        <f>+'KY_Res by Plant Acct-P29 (Reg)'!N40</f>
        <v>0</v>
      </c>
      <c r="O39" s="133"/>
      <c r="P39" s="133">
        <f>+'KY_Res by Plant Acct-P29 (Reg)'!P40</f>
        <v>0</v>
      </c>
      <c r="Q39" s="133"/>
      <c r="R39" s="133">
        <f t="shared" si="3"/>
        <v>-105408.37</v>
      </c>
    </row>
    <row r="40" spans="1:18" x14ac:dyDescent="0.2">
      <c r="A40" s="21" t="s">
        <v>3650</v>
      </c>
      <c r="B40" s="133">
        <f>+'KY_Res by Plant Acct-P29 (Reg)'!B41</f>
        <v>-1687214.64</v>
      </c>
      <c r="C40" s="133"/>
      <c r="D40" s="133">
        <f>+'KY_Res by Plant Acct-P29 (Reg)'!D41</f>
        <v>-828504.3</v>
      </c>
      <c r="E40" s="133"/>
      <c r="F40" s="133">
        <f>+'KY_Res by Plant Acct-P29 (Reg)'!F41</f>
        <v>0</v>
      </c>
      <c r="G40" s="133"/>
      <c r="H40" s="133">
        <f>+'KY_Res by Plant Acct-P29 (Reg)'!H41</f>
        <v>0</v>
      </c>
      <c r="I40" s="133"/>
      <c r="J40" s="133">
        <f>+'KY_Res by Plant Acct-P29 (Reg)'!J41</f>
        <v>0</v>
      </c>
      <c r="K40" s="133"/>
      <c r="L40" s="133">
        <f>+'KY_Res by Plant Acct-P29 (Reg)'!L41</f>
        <v>0</v>
      </c>
      <c r="M40" s="133"/>
      <c r="N40" s="133">
        <f>+'KY_Res by Plant Acct-P29 (Reg)'!N41</f>
        <v>0</v>
      </c>
      <c r="O40" s="133"/>
      <c r="P40" s="133">
        <f>+'KY_Res by Plant Acct-P29 (Reg)'!P41</f>
        <v>0</v>
      </c>
      <c r="Q40" s="133"/>
      <c r="R40" s="133">
        <f t="shared" si="3"/>
        <v>-2515718.94</v>
      </c>
    </row>
    <row r="41" spans="1:18" x14ac:dyDescent="0.2">
      <c r="B41" s="150">
        <f>SUM(B33:B40)</f>
        <v>-8885631.4900000021</v>
      </c>
      <c r="C41" s="133"/>
      <c r="D41" s="150">
        <f>SUM(D33:D40)</f>
        <v>-1561783.23</v>
      </c>
      <c r="E41" s="133"/>
      <c r="F41" s="150">
        <f>SUM(F33:F40)</f>
        <v>729805.85000000009</v>
      </c>
      <c r="G41" s="133"/>
      <c r="H41" s="150">
        <f>SUM(H33:H40)</f>
        <v>-16563.850000000002</v>
      </c>
      <c r="I41" s="133"/>
      <c r="J41" s="150">
        <f>SUM(J33:J40)</f>
        <v>0</v>
      </c>
      <c r="K41" s="133"/>
      <c r="L41" s="150">
        <f>SUM(L33:L40)</f>
        <v>0</v>
      </c>
      <c r="M41" s="133"/>
      <c r="N41" s="150">
        <f>SUM(N33:N40)</f>
        <v>0</v>
      </c>
      <c r="O41" s="133"/>
      <c r="P41" s="150">
        <f>SUM(P33:P40)</f>
        <v>0</v>
      </c>
      <c r="Q41" s="133"/>
      <c r="R41" s="150">
        <f>SUM(R33:R40)</f>
        <v>-9734172.7200000025</v>
      </c>
    </row>
    <row r="42" spans="1:18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x14ac:dyDescent="0.2">
      <c r="A43" s="9" t="s">
        <v>20</v>
      </c>
      <c r="B43" s="136"/>
      <c r="C43" s="133"/>
      <c r="D43" s="136"/>
      <c r="E43" s="133"/>
      <c r="F43" s="136"/>
      <c r="G43" s="133"/>
      <c r="H43" s="136"/>
      <c r="I43" s="133"/>
      <c r="J43" s="136"/>
      <c r="K43" s="133"/>
      <c r="L43" s="136"/>
      <c r="M43" s="133"/>
      <c r="N43" s="136"/>
      <c r="O43" s="133"/>
      <c r="P43" s="136"/>
      <c r="Q43" s="133"/>
      <c r="R43" s="136"/>
    </row>
    <row r="44" spans="1:18" x14ac:dyDescent="0.2">
      <c r="A44" s="3" t="s">
        <v>3183</v>
      </c>
      <c r="B44" s="136">
        <f>+'KY_Res by Plant Acct-P29 (Reg)'!B45</f>
        <v>0</v>
      </c>
      <c r="C44" s="133"/>
      <c r="D44" s="136">
        <f>+'KY_Res by Plant Acct-P29 (Reg)'!D45</f>
        <v>0</v>
      </c>
      <c r="E44" s="133"/>
      <c r="F44" s="136">
        <f>+'KY_Res by Plant Acct-P29 (Reg)'!F45</f>
        <v>0</v>
      </c>
      <c r="G44" s="133"/>
      <c r="H44" s="136">
        <f>+'KY_Res by Plant Acct-P29 (Reg)'!H45</f>
        <v>0</v>
      </c>
      <c r="I44" s="133"/>
      <c r="J44" s="136">
        <f>+'KY_Res by Plant Acct-P29 (Reg)'!J45</f>
        <v>0</v>
      </c>
      <c r="K44" s="133"/>
      <c r="L44" s="136">
        <f>+'KY_Res by Plant Acct-P29 (Reg)'!L45</f>
        <v>0</v>
      </c>
      <c r="M44" s="133"/>
      <c r="N44" s="136">
        <f>+'KY_Res by Plant Acct-P29 (Reg)'!N45</f>
        <v>0</v>
      </c>
      <c r="O44" s="133"/>
      <c r="P44" s="136">
        <f>+'KY_Res by Plant Acct-P29 (Reg)'!P45</f>
        <v>0</v>
      </c>
      <c r="Q44" s="133"/>
      <c r="R44" s="136">
        <f t="shared" ref="R44:R55" si="4">SUM(B44:P44)</f>
        <v>0</v>
      </c>
    </row>
    <row r="45" spans="1:18" x14ac:dyDescent="0.2">
      <c r="A45" s="3" t="s">
        <v>3184</v>
      </c>
      <c r="B45" s="136">
        <f>+'KY_Res by Plant Acct-P29 (Reg)'!B46</f>
        <v>0</v>
      </c>
      <c r="C45" s="133"/>
      <c r="D45" s="136">
        <f>+'KY_Res by Plant Acct-P29 (Reg)'!D46</f>
        <v>0</v>
      </c>
      <c r="E45" s="133"/>
      <c r="F45" s="136">
        <f>+'KY_Res by Plant Acct-P29 (Reg)'!F46</f>
        <v>0</v>
      </c>
      <c r="G45" s="133"/>
      <c r="H45" s="136">
        <f>+'KY_Res by Plant Acct-P29 (Reg)'!H46</f>
        <v>0</v>
      </c>
      <c r="I45" s="133"/>
      <c r="J45" s="136">
        <f>+'KY_Res by Plant Acct-P29 (Reg)'!J46</f>
        <v>0</v>
      </c>
      <c r="K45" s="133"/>
      <c r="L45" s="136">
        <f>+'KY_Res by Plant Acct-P29 (Reg)'!L46</f>
        <v>0</v>
      </c>
      <c r="M45" s="133"/>
      <c r="N45" s="136">
        <f>+'KY_Res by Plant Acct-P29 (Reg)'!N46</f>
        <v>0</v>
      </c>
      <c r="O45" s="133"/>
      <c r="P45" s="136">
        <f>+'KY_Res by Plant Acct-P29 (Reg)'!P46</f>
        <v>0</v>
      </c>
      <c r="Q45" s="133"/>
      <c r="R45" s="136">
        <f t="shared" si="4"/>
        <v>0</v>
      </c>
    </row>
    <row r="46" spans="1:18" x14ac:dyDescent="0.2">
      <c r="A46" s="3" t="s">
        <v>3185</v>
      </c>
      <c r="B46" s="136">
        <f>+'KY_Res by Plant Acct-P29 (Reg)'!B47</f>
        <v>-43058.549999999996</v>
      </c>
      <c r="C46" s="133"/>
      <c r="D46" s="136">
        <f>+'KY_Res by Plant Acct-P29 (Reg)'!D47</f>
        <v>-950.7</v>
      </c>
      <c r="E46" s="133"/>
      <c r="F46" s="136">
        <f>+'KY_Res by Plant Acct-P29 (Reg)'!F47</f>
        <v>0</v>
      </c>
      <c r="G46" s="133"/>
      <c r="H46" s="136">
        <f>+'KY_Res by Plant Acct-P29 (Reg)'!H47</f>
        <v>0</v>
      </c>
      <c r="I46" s="133"/>
      <c r="J46" s="136">
        <f>+'KY_Res by Plant Acct-P29 (Reg)'!J47</f>
        <v>0</v>
      </c>
      <c r="K46" s="133"/>
      <c r="L46" s="136">
        <f>+'KY_Res by Plant Acct-P29 (Reg)'!L47</f>
        <v>0</v>
      </c>
      <c r="M46" s="133"/>
      <c r="N46" s="136">
        <f>+'KY_Res by Plant Acct-P29 (Reg)'!N47</f>
        <v>0</v>
      </c>
      <c r="O46" s="133"/>
      <c r="P46" s="136">
        <f>+'KY_Res by Plant Acct-P29 (Reg)'!P47</f>
        <v>0</v>
      </c>
      <c r="Q46" s="133"/>
      <c r="R46" s="136">
        <f t="shared" si="4"/>
        <v>-44009.249999999993</v>
      </c>
    </row>
    <row r="47" spans="1:18" x14ac:dyDescent="0.2">
      <c r="A47" s="3" t="s">
        <v>3186</v>
      </c>
      <c r="B47" s="136">
        <f>+'KY_Res by Plant Acct-P29 (Reg)'!B48</f>
        <v>-4305566.9000000004</v>
      </c>
      <c r="C47" s="133"/>
      <c r="D47" s="136">
        <f>+'KY_Res by Plant Acct-P29 (Reg)'!D48</f>
        <v>-114885.75</v>
      </c>
      <c r="E47" s="133"/>
      <c r="F47" s="136">
        <f>+'KY_Res by Plant Acct-P29 (Reg)'!F48</f>
        <v>28266.74</v>
      </c>
      <c r="G47" s="133"/>
      <c r="H47" s="136">
        <f>+'KY_Res by Plant Acct-P29 (Reg)'!H48</f>
        <v>0</v>
      </c>
      <c r="I47" s="133"/>
      <c r="J47" s="136">
        <f>+'KY_Res by Plant Acct-P29 (Reg)'!J48</f>
        <v>0</v>
      </c>
      <c r="K47" s="133"/>
      <c r="L47" s="136">
        <f>+'KY_Res by Plant Acct-P29 (Reg)'!L48</f>
        <v>0</v>
      </c>
      <c r="M47" s="133"/>
      <c r="N47" s="136">
        <f>+'KY_Res by Plant Acct-P29 (Reg)'!N48</f>
        <v>0</v>
      </c>
      <c r="O47" s="133"/>
      <c r="P47" s="136">
        <f>+'KY_Res by Plant Acct-P29 (Reg)'!P48</f>
        <v>0</v>
      </c>
      <c r="Q47" s="133"/>
      <c r="R47" s="136">
        <f t="shared" si="4"/>
        <v>-4392185.91</v>
      </c>
    </row>
    <row r="48" spans="1:18" x14ac:dyDescent="0.2">
      <c r="A48" s="3" t="s">
        <v>3187</v>
      </c>
      <c r="B48" s="136">
        <f>+'KY_Res by Plant Acct-P29 (Reg)'!B49</f>
        <v>-3383556.66</v>
      </c>
      <c r="C48" s="133"/>
      <c r="D48" s="136">
        <f>+'KY_Res by Plant Acct-P29 (Reg)'!D49</f>
        <v>-384390.66</v>
      </c>
      <c r="E48" s="133"/>
      <c r="F48" s="136">
        <f>+'KY_Res by Plant Acct-P29 (Reg)'!F49</f>
        <v>7416.11</v>
      </c>
      <c r="G48" s="133"/>
      <c r="H48" s="136">
        <f>+'KY_Res by Plant Acct-P29 (Reg)'!H49</f>
        <v>0</v>
      </c>
      <c r="I48" s="133"/>
      <c r="J48" s="136">
        <f>+'KY_Res by Plant Acct-P29 (Reg)'!J49</f>
        <v>0</v>
      </c>
      <c r="K48" s="133"/>
      <c r="L48" s="136">
        <f>+'KY_Res by Plant Acct-P29 (Reg)'!L49</f>
        <v>0</v>
      </c>
      <c r="M48" s="133"/>
      <c r="N48" s="136">
        <f>+'KY_Res by Plant Acct-P29 (Reg)'!N49</f>
        <v>0</v>
      </c>
      <c r="O48" s="133"/>
      <c r="P48" s="136">
        <f>+'KY_Res by Plant Acct-P29 (Reg)'!P49</f>
        <v>0</v>
      </c>
      <c r="Q48" s="133"/>
      <c r="R48" s="136">
        <f t="shared" si="4"/>
        <v>-3760531.2100000004</v>
      </c>
    </row>
    <row r="49" spans="1:18" x14ac:dyDescent="0.2">
      <c r="A49" s="3" t="s">
        <v>3188</v>
      </c>
      <c r="B49" s="136">
        <f>+'KY_Res by Plant Acct-P29 (Reg)'!B50</f>
        <v>-5838166.2399999984</v>
      </c>
      <c r="C49" s="133"/>
      <c r="D49" s="136">
        <f>+'KY_Res by Plant Acct-P29 (Reg)'!D50</f>
        <v>-2542442.48</v>
      </c>
      <c r="E49" s="133"/>
      <c r="F49" s="136">
        <f>+'KY_Res by Plant Acct-P29 (Reg)'!F50</f>
        <v>153828.44</v>
      </c>
      <c r="G49" s="133"/>
      <c r="H49" s="136">
        <f>+'KY_Res by Plant Acct-P29 (Reg)'!H50</f>
        <v>0</v>
      </c>
      <c r="I49" s="133"/>
      <c r="J49" s="136">
        <f>+'KY_Res by Plant Acct-P29 (Reg)'!J50</f>
        <v>0</v>
      </c>
      <c r="K49" s="133"/>
      <c r="L49" s="136">
        <f>+'KY_Res by Plant Acct-P29 (Reg)'!L50</f>
        <v>0</v>
      </c>
      <c r="M49" s="133"/>
      <c r="N49" s="136">
        <f>+'KY_Res by Plant Acct-P29 (Reg)'!N50</f>
        <v>0</v>
      </c>
      <c r="O49" s="133"/>
      <c r="P49" s="136">
        <f>+'KY_Res by Plant Acct-P29 (Reg)'!P50</f>
        <v>0</v>
      </c>
      <c r="Q49" s="133"/>
      <c r="R49" s="136">
        <f t="shared" si="4"/>
        <v>-8226780.2799999984</v>
      </c>
    </row>
    <row r="50" spans="1:18" x14ac:dyDescent="0.2">
      <c r="A50" s="3" t="s">
        <v>3189</v>
      </c>
      <c r="B50" s="136">
        <f>+'KY_Res by Plant Acct-P29 (Reg)'!B51</f>
        <v>-2758631.75</v>
      </c>
      <c r="C50" s="133"/>
      <c r="D50" s="136">
        <f>+'KY_Res by Plant Acct-P29 (Reg)'!D51</f>
        <v>-252478.39</v>
      </c>
      <c r="E50" s="133"/>
      <c r="F50" s="136">
        <f>+'KY_Res by Plant Acct-P29 (Reg)'!F51</f>
        <v>21090.5</v>
      </c>
      <c r="G50" s="133"/>
      <c r="H50" s="136">
        <f>+'KY_Res by Plant Acct-P29 (Reg)'!H51</f>
        <v>0</v>
      </c>
      <c r="I50" s="133"/>
      <c r="J50" s="136">
        <f>+'KY_Res by Plant Acct-P29 (Reg)'!J51</f>
        <v>0</v>
      </c>
      <c r="K50" s="133"/>
      <c r="L50" s="136">
        <f>+'KY_Res by Plant Acct-P29 (Reg)'!L51</f>
        <v>0</v>
      </c>
      <c r="M50" s="133"/>
      <c r="N50" s="136">
        <f>+'KY_Res by Plant Acct-P29 (Reg)'!N51</f>
        <v>0</v>
      </c>
      <c r="O50" s="133"/>
      <c r="P50" s="136">
        <f>+'KY_Res by Plant Acct-P29 (Reg)'!P51</f>
        <v>0</v>
      </c>
      <c r="Q50" s="133"/>
      <c r="R50" s="136">
        <f t="shared" si="4"/>
        <v>-2990019.64</v>
      </c>
    </row>
    <row r="51" spans="1:18" x14ac:dyDescent="0.2">
      <c r="A51" s="3" t="s">
        <v>3190</v>
      </c>
      <c r="B51" s="136">
        <f>+'KY_Res by Plant Acct-P29 (Reg)'!B52</f>
        <v>-6988.52</v>
      </c>
      <c r="C51" s="133"/>
      <c r="D51" s="136">
        <f>+'KY_Res by Plant Acct-P29 (Reg)'!D52</f>
        <v>-710.34</v>
      </c>
      <c r="E51" s="133"/>
      <c r="F51" s="136">
        <f>+'KY_Res by Plant Acct-P29 (Reg)'!F52</f>
        <v>0</v>
      </c>
      <c r="G51" s="133"/>
      <c r="H51" s="136">
        <f>+'KY_Res by Plant Acct-P29 (Reg)'!H52</f>
        <v>0</v>
      </c>
      <c r="I51" s="133"/>
      <c r="J51" s="136">
        <f>+'KY_Res by Plant Acct-P29 (Reg)'!J52</f>
        <v>0</v>
      </c>
      <c r="K51" s="133"/>
      <c r="L51" s="136">
        <f>+'KY_Res by Plant Acct-P29 (Reg)'!L52</f>
        <v>0</v>
      </c>
      <c r="M51" s="133"/>
      <c r="N51" s="136">
        <f>+'KY_Res by Plant Acct-P29 (Reg)'!N52</f>
        <v>0</v>
      </c>
      <c r="O51" s="133"/>
      <c r="P51" s="136">
        <f>+'KY_Res by Plant Acct-P29 (Reg)'!P52</f>
        <v>0</v>
      </c>
      <c r="Q51" s="133"/>
      <c r="R51" s="136">
        <f t="shared" si="4"/>
        <v>-7698.8600000000006</v>
      </c>
    </row>
    <row r="52" spans="1:18" x14ac:dyDescent="0.2">
      <c r="A52" s="3" t="s">
        <v>3191</v>
      </c>
      <c r="B52" s="136">
        <f>+'KY_Res by Plant Acct-P29 (Reg)'!B53</f>
        <v>-186790.03999999998</v>
      </c>
      <c r="C52" s="133"/>
      <c r="D52" s="136">
        <f>+'KY_Res by Plant Acct-P29 (Reg)'!D53</f>
        <v>-79129.289999999994</v>
      </c>
      <c r="E52" s="133"/>
      <c r="F52" s="136">
        <f>+'KY_Res by Plant Acct-P29 (Reg)'!F53</f>
        <v>3309.58</v>
      </c>
      <c r="G52" s="133"/>
      <c r="H52" s="136">
        <f>+'KY_Res by Plant Acct-P29 (Reg)'!H53</f>
        <v>0</v>
      </c>
      <c r="I52" s="133"/>
      <c r="J52" s="136">
        <f>+'KY_Res by Plant Acct-P29 (Reg)'!J53</f>
        <v>0</v>
      </c>
      <c r="K52" s="133"/>
      <c r="L52" s="136">
        <f>+'KY_Res by Plant Acct-P29 (Reg)'!L53</f>
        <v>0</v>
      </c>
      <c r="M52" s="133"/>
      <c r="N52" s="136">
        <f>+'KY_Res by Plant Acct-P29 (Reg)'!N53</f>
        <v>0</v>
      </c>
      <c r="O52" s="133"/>
      <c r="P52" s="136">
        <f>+'KY_Res by Plant Acct-P29 (Reg)'!P53</f>
        <v>0</v>
      </c>
      <c r="Q52" s="133"/>
      <c r="R52" s="136">
        <f t="shared" si="4"/>
        <v>-262609.74999999994</v>
      </c>
    </row>
    <row r="53" spans="1:18" x14ac:dyDescent="0.2">
      <c r="A53" s="3" t="s">
        <v>3192</v>
      </c>
      <c r="B53" s="136">
        <f>+'KY_Res by Plant Acct-P29 (Reg)'!B54</f>
        <v>-872.13</v>
      </c>
      <c r="C53" s="133"/>
      <c r="D53" s="136">
        <f>+'KY_Res by Plant Acct-P29 (Reg)'!D54</f>
        <v>0</v>
      </c>
      <c r="E53" s="133"/>
      <c r="F53" s="136">
        <f>+'KY_Res by Plant Acct-P29 (Reg)'!F54</f>
        <v>0</v>
      </c>
      <c r="G53" s="133"/>
      <c r="H53" s="136">
        <f>+'KY_Res by Plant Acct-P29 (Reg)'!H54</f>
        <v>0</v>
      </c>
      <c r="I53" s="133"/>
      <c r="J53" s="136">
        <f>+'KY_Res by Plant Acct-P29 (Reg)'!J54</f>
        <v>0</v>
      </c>
      <c r="K53" s="133"/>
      <c r="L53" s="136">
        <f>+'KY_Res by Plant Acct-P29 (Reg)'!L54</f>
        <v>0</v>
      </c>
      <c r="M53" s="133"/>
      <c r="N53" s="136">
        <f>+'KY_Res by Plant Acct-P29 (Reg)'!N54</f>
        <v>0</v>
      </c>
      <c r="O53" s="133"/>
      <c r="P53" s="136">
        <f>+'KY_Res by Plant Acct-P29 (Reg)'!P54</f>
        <v>0</v>
      </c>
      <c r="Q53" s="133"/>
      <c r="R53" s="136">
        <f t="shared" si="4"/>
        <v>-872.13</v>
      </c>
    </row>
    <row r="54" spans="1:18" x14ac:dyDescent="0.2">
      <c r="A54" s="3" t="s">
        <v>3193</v>
      </c>
      <c r="B54" s="136">
        <f>+'KY_Res by Plant Acct-P29 (Reg)'!B55</f>
        <v>-19537.119999999995</v>
      </c>
      <c r="C54" s="133"/>
      <c r="D54" s="136">
        <f>+'KY_Res by Plant Acct-P29 (Reg)'!D55</f>
        <v>-659.4</v>
      </c>
      <c r="E54" s="133"/>
      <c r="F54" s="136">
        <f>+'KY_Res by Plant Acct-P29 (Reg)'!F55</f>
        <v>0</v>
      </c>
      <c r="G54" s="133"/>
      <c r="H54" s="136">
        <f>+'KY_Res by Plant Acct-P29 (Reg)'!H55</f>
        <v>0</v>
      </c>
      <c r="I54" s="133"/>
      <c r="J54" s="136">
        <f>+'KY_Res by Plant Acct-P29 (Reg)'!J55</f>
        <v>0</v>
      </c>
      <c r="K54" s="133"/>
      <c r="L54" s="136">
        <f>+'KY_Res by Plant Acct-P29 (Reg)'!L55</f>
        <v>0</v>
      </c>
      <c r="M54" s="133"/>
      <c r="N54" s="136">
        <f>+'KY_Res by Plant Acct-P29 (Reg)'!N55</f>
        <v>0</v>
      </c>
      <c r="O54" s="133"/>
      <c r="P54" s="136">
        <f>+'KY_Res by Plant Acct-P29 (Reg)'!P55</f>
        <v>0</v>
      </c>
      <c r="Q54" s="133"/>
      <c r="R54" s="136">
        <f t="shared" si="4"/>
        <v>-20196.519999999997</v>
      </c>
    </row>
    <row r="55" spans="1:18" x14ac:dyDescent="0.2">
      <c r="A55" s="3" t="s">
        <v>3194</v>
      </c>
      <c r="B55" s="151">
        <f>+'KY_Res by Plant Acct-P29 (Reg)'!B56</f>
        <v>-10638.64000000001</v>
      </c>
      <c r="C55" s="133"/>
      <c r="D55" s="151">
        <f>+'KY_Res by Plant Acct-P29 (Reg)'!D56</f>
        <v>-11692.49</v>
      </c>
      <c r="E55" s="133"/>
      <c r="F55" s="151">
        <f>+'KY_Res by Plant Acct-P29 (Reg)'!F56</f>
        <v>0</v>
      </c>
      <c r="G55" s="133"/>
      <c r="H55" s="151">
        <f>+'KY_Res by Plant Acct-P29 (Reg)'!H56</f>
        <v>0</v>
      </c>
      <c r="I55" s="133"/>
      <c r="J55" s="151">
        <f>+'KY_Res by Plant Acct-P29 (Reg)'!J56</f>
        <v>0</v>
      </c>
      <c r="K55" s="133"/>
      <c r="L55" s="151">
        <f>+'KY_Res by Plant Acct-P29 (Reg)'!L56</f>
        <v>0</v>
      </c>
      <c r="M55" s="133"/>
      <c r="N55" s="151">
        <f>+'KY_Res by Plant Acct-P29 (Reg)'!N56</f>
        <v>0</v>
      </c>
      <c r="O55" s="133"/>
      <c r="P55" s="151">
        <f>+'KY_Res by Plant Acct-P29 (Reg)'!P56</f>
        <v>0</v>
      </c>
      <c r="Q55" s="133"/>
      <c r="R55" s="151">
        <f t="shared" si="4"/>
        <v>-22331.130000000012</v>
      </c>
    </row>
    <row r="56" spans="1:18" x14ac:dyDescent="0.2">
      <c r="B56" s="133">
        <f>SUM(B44:B55)</f>
        <v>-16553806.549999997</v>
      </c>
      <c r="C56" s="133"/>
      <c r="D56" s="133">
        <f t="shared" ref="D56:R56" si="5">SUM(D44:D55)</f>
        <v>-3387339.5</v>
      </c>
      <c r="E56" s="133"/>
      <c r="F56" s="133">
        <f t="shared" si="5"/>
        <v>213911.37</v>
      </c>
      <c r="G56" s="133"/>
      <c r="H56" s="133">
        <f t="shared" si="5"/>
        <v>0</v>
      </c>
      <c r="I56" s="133"/>
      <c r="J56" s="133">
        <f t="shared" si="5"/>
        <v>0</v>
      </c>
      <c r="K56" s="133"/>
      <c r="L56" s="133">
        <f t="shared" si="5"/>
        <v>0</v>
      </c>
      <c r="M56" s="133"/>
      <c r="N56" s="133">
        <f t="shared" si="5"/>
        <v>0</v>
      </c>
      <c r="O56" s="133"/>
      <c r="P56" s="133">
        <f t="shared" si="5"/>
        <v>0</v>
      </c>
      <c r="Q56" s="133"/>
      <c r="R56" s="133">
        <f t="shared" si="5"/>
        <v>-19727234.679999996</v>
      </c>
    </row>
    <row r="57" spans="1:18" x14ac:dyDescent="0.2">
      <c r="B57" s="136"/>
      <c r="C57" s="133"/>
      <c r="D57" s="136"/>
      <c r="E57" s="133"/>
      <c r="F57" s="136"/>
      <c r="G57" s="133"/>
      <c r="H57" s="136"/>
      <c r="I57" s="133"/>
      <c r="J57" s="136"/>
      <c r="K57" s="133"/>
      <c r="L57" s="136"/>
      <c r="M57" s="133"/>
      <c r="N57" s="136"/>
      <c r="O57" s="133"/>
      <c r="P57" s="136"/>
      <c r="Q57" s="133"/>
      <c r="R57" s="136"/>
    </row>
    <row r="58" spans="1:18" x14ac:dyDescent="0.2">
      <c r="A58" s="9" t="s">
        <v>22</v>
      </c>
      <c r="B58" s="136"/>
      <c r="C58" s="133"/>
      <c r="D58" s="136"/>
      <c r="E58" s="133"/>
      <c r="F58" s="136"/>
      <c r="G58" s="133"/>
      <c r="H58" s="136"/>
      <c r="I58" s="133"/>
      <c r="J58" s="136"/>
      <c r="K58" s="133"/>
      <c r="L58" s="136"/>
      <c r="M58" s="133"/>
      <c r="N58" s="136"/>
      <c r="O58" s="133"/>
      <c r="P58" s="136"/>
      <c r="Q58" s="133"/>
      <c r="R58" s="136"/>
    </row>
    <row r="59" spans="1:18" x14ac:dyDescent="0.2">
      <c r="A59" s="3" t="s">
        <v>3195</v>
      </c>
      <c r="B59" s="136">
        <f>+'KY_Res by Plant Acct-P29 (Reg)'!B60</f>
        <v>0</v>
      </c>
      <c r="C59" s="133"/>
      <c r="D59" s="136">
        <f>+'KY_Res by Plant Acct-P29 (Reg)'!D60</f>
        <v>0</v>
      </c>
      <c r="E59" s="133"/>
      <c r="F59" s="136">
        <f>+'KY_Res by Plant Acct-P29 (Reg)'!F60</f>
        <v>0</v>
      </c>
      <c r="G59" s="133"/>
      <c r="H59" s="136">
        <f>+'KY_Res by Plant Acct-P29 (Reg)'!H60</f>
        <v>0</v>
      </c>
      <c r="I59" s="133"/>
      <c r="J59" s="136">
        <f>+'KY_Res by Plant Acct-P29 (Reg)'!J60</f>
        <v>0</v>
      </c>
      <c r="K59" s="136"/>
      <c r="L59" s="136">
        <f>+'KY_Res by Plant Acct-P29 (Reg)'!L60</f>
        <v>0</v>
      </c>
      <c r="M59" s="133"/>
      <c r="N59" s="136">
        <f>+'KY_Res by Plant Acct-P29 (Reg)'!N60</f>
        <v>0</v>
      </c>
      <c r="O59" s="133"/>
      <c r="P59" s="136">
        <f>+'KY_Res by Plant Acct-P29 (Reg)'!P60</f>
        <v>0</v>
      </c>
      <c r="Q59" s="133"/>
      <c r="R59" s="136">
        <f t="shared" ref="R59:R137" si="6">SUM(B59:P59)</f>
        <v>0</v>
      </c>
    </row>
    <row r="60" spans="1:18" x14ac:dyDescent="0.2">
      <c r="A60" s="3" t="s">
        <v>3651</v>
      </c>
      <c r="B60" s="136">
        <f>+'KY_Res by Plant Acct-P29 (Reg)'!B62</f>
        <v>0</v>
      </c>
      <c r="C60" s="133"/>
      <c r="D60" s="136">
        <f>+'KY_Res by Plant Acct-P29 (Reg)'!D62</f>
        <v>0</v>
      </c>
      <c r="E60" s="133"/>
      <c r="F60" s="136">
        <f>+'KY_Res by Plant Acct-P29 (Reg)'!F62</f>
        <v>0</v>
      </c>
      <c r="G60" s="133"/>
      <c r="H60" s="136">
        <f>+'KY_Res by Plant Acct-P29 (Reg)'!H62</f>
        <v>0</v>
      </c>
      <c r="I60" s="133"/>
      <c r="J60" s="136">
        <f>+'KY_Res by Plant Acct-P29 (Reg)'!J62</f>
        <v>0</v>
      </c>
      <c r="K60" s="136"/>
      <c r="L60" s="136">
        <f>+'KY_Res by Plant Acct-P29 (Reg)'!L62</f>
        <v>0</v>
      </c>
      <c r="M60" s="133"/>
      <c r="N60" s="136">
        <f>+'KY_Res by Plant Acct-P29 (Reg)'!N62</f>
        <v>0</v>
      </c>
      <c r="O60" s="133"/>
      <c r="P60" s="136">
        <f>+'KY_Res by Plant Acct-P29 (Reg)'!P62</f>
        <v>0</v>
      </c>
      <c r="Q60" s="133"/>
      <c r="R60" s="136">
        <f t="shared" si="6"/>
        <v>0</v>
      </c>
    </row>
    <row r="61" spans="1:18" x14ac:dyDescent="0.2">
      <c r="A61" s="3" t="s">
        <v>3196</v>
      </c>
      <c r="B61" s="136"/>
      <c r="C61" s="133"/>
      <c r="D61" s="136"/>
      <c r="E61" s="133"/>
      <c r="F61" s="136"/>
      <c r="G61" s="133"/>
      <c r="H61" s="136"/>
      <c r="I61" s="133"/>
      <c r="J61" s="136"/>
      <c r="K61" s="136"/>
      <c r="L61" s="136"/>
      <c r="M61" s="133"/>
      <c r="N61" s="136"/>
      <c r="O61" s="133"/>
      <c r="P61" s="136"/>
      <c r="Q61" s="133"/>
      <c r="R61" s="136"/>
    </row>
    <row r="62" spans="1:18" outlineLevel="1" x14ac:dyDescent="0.2">
      <c r="A62" s="3" t="s">
        <v>3652</v>
      </c>
      <c r="B62" s="136">
        <f>+'KY_Res by Plant Acct-P29 (Reg)'!B63</f>
        <v>-145507.78</v>
      </c>
      <c r="C62" s="133"/>
      <c r="D62" s="136">
        <f>+'KY_Res by Plant Acct-P29 (Reg)'!D63</f>
        <v>-55045.83</v>
      </c>
      <c r="E62" s="133"/>
      <c r="F62" s="136">
        <f>+'KY_Res by Plant Acct-P29 (Reg)'!F63</f>
        <v>0</v>
      </c>
      <c r="G62" s="133"/>
      <c r="H62" s="136">
        <f>+'KY_Res by Plant Acct-P29 (Reg)'!H63</f>
        <v>0</v>
      </c>
      <c r="I62" s="133"/>
      <c r="J62" s="136">
        <f>+'KY_Res by Plant Acct-P29 (Reg)'!J63</f>
        <v>0</v>
      </c>
      <c r="K62" s="136"/>
      <c r="L62" s="136">
        <f>+'KY_Res by Plant Acct-P29 (Reg)'!L63</f>
        <v>0</v>
      </c>
      <c r="M62" s="133"/>
      <c r="N62" s="136">
        <f>+'KY_Res by Plant Acct-P29 (Reg)'!N63</f>
        <v>0</v>
      </c>
      <c r="O62" s="133"/>
      <c r="P62" s="136">
        <f>+'KY_Res by Plant Acct-P29 (Reg)'!P63</f>
        <v>0</v>
      </c>
      <c r="Q62" s="133"/>
      <c r="R62" s="136">
        <f t="shared" si="6"/>
        <v>-200553.61</v>
      </c>
    </row>
    <row r="63" spans="1:18" outlineLevel="1" x14ac:dyDescent="0.2">
      <c r="A63" s="3" t="s">
        <v>3199</v>
      </c>
      <c r="B63" s="136">
        <f>+'KY_Res by Plant Acct-P29 (Reg)'!B64</f>
        <v>-4377090.0199999996</v>
      </c>
      <c r="C63" s="133"/>
      <c r="D63" s="136">
        <f>+'KY_Res by Plant Acct-P29 (Reg)'!D64</f>
        <v>-403109.56</v>
      </c>
      <c r="E63" s="136">
        <f>+'KY_Res by Plant Acct-P29 (Reg)'!E64</f>
        <v>0</v>
      </c>
      <c r="F63" s="136">
        <f>+'KY_Res by Plant Acct-P29 (Reg)'!F64</f>
        <v>0</v>
      </c>
      <c r="G63" s="136">
        <f>+'KY_Res by Plant Acct-P29 (Reg)'!G64</f>
        <v>0</v>
      </c>
      <c r="H63" s="136">
        <f>+'KY_Res by Plant Acct-P29 (Reg)'!H64</f>
        <v>0</v>
      </c>
      <c r="I63" s="136">
        <f>+'KY_Res by Plant Acct-P29 (Reg)'!I64</f>
        <v>0</v>
      </c>
      <c r="J63" s="136">
        <f>+'KY_Res by Plant Acct-P29 (Reg)'!J64</f>
        <v>0</v>
      </c>
      <c r="K63" s="136">
        <f>+'KY_Res by Plant Acct-P29 (Reg)'!K64</f>
        <v>0</v>
      </c>
      <c r="L63" s="136">
        <f>+'KY_Res by Plant Acct-P29 (Reg)'!L64</f>
        <v>0</v>
      </c>
      <c r="M63" s="136">
        <f>+'KY_Res by Plant Acct-P29 (Reg)'!M64</f>
        <v>0</v>
      </c>
      <c r="N63" s="136">
        <f>+'KY_Res by Plant Acct-P29 (Reg)'!N64</f>
        <v>0</v>
      </c>
      <c r="O63" s="136">
        <f>+'KY_Res by Plant Acct-P29 (Reg)'!O64</f>
        <v>0</v>
      </c>
      <c r="P63" s="136">
        <f>+'KY_Res by Plant Acct-P29 (Reg)'!P64</f>
        <v>0</v>
      </c>
      <c r="Q63" s="133"/>
      <c r="R63" s="136">
        <f t="shared" si="6"/>
        <v>-4780199.5799999991</v>
      </c>
    </row>
    <row r="64" spans="1:18" outlineLevel="1" x14ac:dyDescent="0.2">
      <c r="A64" s="3" t="s">
        <v>3200</v>
      </c>
      <c r="B64" s="136">
        <f>+'KY_Res by Plant Acct-P29 (Reg)'!B65</f>
        <v>-359465.6</v>
      </c>
      <c r="C64" s="133"/>
      <c r="D64" s="136">
        <f>+'KY_Res by Plant Acct-P29 (Reg)'!D65</f>
        <v>-44183.28</v>
      </c>
      <c r="E64" s="133"/>
      <c r="F64" s="136">
        <f>+'KY_Res by Plant Acct-P29 (Reg)'!F65</f>
        <v>0</v>
      </c>
      <c r="G64" s="133"/>
      <c r="H64" s="136">
        <f>+'KY_Res by Plant Acct-P29 (Reg)'!H65</f>
        <v>0</v>
      </c>
      <c r="I64" s="133"/>
      <c r="J64" s="136">
        <f>+'KY_Res by Plant Acct-P29 (Reg)'!J65</f>
        <v>0</v>
      </c>
      <c r="K64" s="136"/>
      <c r="L64" s="136">
        <f>+'KY_Res by Plant Acct-P29 (Reg)'!L65</f>
        <v>0</v>
      </c>
      <c r="M64" s="133"/>
      <c r="N64" s="136">
        <f>+'KY_Res by Plant Acct-P29 (Reg)'!N65</f>
        <v>0</v>
      </c>
      <c r="O64" s="133"/>
      <c r="P64" s="136">
        <f>+'KY_Res by Plant Acct-P29 (Reg)'!P65</f>
        <v>0</v>
      </c>
      <c r="Q64" s="133"/>
      <c r="R64" s="136">
        <f t="shared" si="6"/>
        <v>-403648.88</v>
      </c>
    </row>
    <row r="65" spans="1:18" outlineLevel="1" x14ac:dyDescent="0.2">
      <c r="A65" s="3" t="s">
        <v>3201</v>
      </c>
      <c r="B65" s="136">
        <f>+'KY_Res by Plant Acct-P29 (Reg)'!B66</f>
        <v>-55291.369999999995</v>
      </c>
      <c r="C65" s="133"/>
      <c r="D65" s="136">
        <f>+'KY_Res by Plant Acct-P29 (Reg)'!D66</f>
        <v>-4572.96</v>
      </c>
      <c r="E65" s="133"/>
      <c r="F65" s="136">
        <f>+'KY_Res by Plant Acct-P29 (Reg)'!F66</f>
        <v>0</v>
      </c>
      <c r="G65" s="133"/>
      <c r="H65" s="136">
        <f>+'KY_Res by Plant Acct-P29 (Reg)'!H66</f>
        <v>0</v>
      </c>
      <c r="I65" s="133"/>
      <c r="J65" s="136">
        <f>+'KY_Res by Plant Acct-P29 (Reg)'!J66</f>
        <v>0</v>
      </c>
      <c r="K65" s="136"/>
      <c r="L65" s="136">
        <f>+'KY_Res by Plant Acct-P29 (Reg)'!L66</f>
        <v>0</v>
      </c>
      <c r="M65" s="133"/>
      <c r="N65" s="136">
        <f>+'KY_Res by Plant Acct-P29 (Reg)'!N66</f>
        <v>0</v>
      </c>
      <c r="O65" s="133"/>
      <c r="P65" s="136">
        <f>+'KY_Res by Plant Acct-P29 (Reg)'!P66</f>
        <v>0</v>
      </c>
      <c r="Q65" s="133"/>
      <c r="R65" s="136">
        <f t="shared" si="6"/>
        <v>-59864.329999999994</v>
      </c>
    </row>
    <row r="66" spans="1:18" outlineLevel="1" x14ac:dyDescent="0.2">
      <c r="A66" s="3" t="s">
        <v>3202</v>
      </c>
      <c r="B66" s="136">
        <f>+'KY_Res by Plant Acct-P29 (Reg)'!B67</f>
        <v>-75539.079999999987</v>
      </c>
      <c r="C66" s="133"/>
      <c r="D66" s="136">
        <f>+'KY_Res by Plant Acct-P29 (Reg)'!D67</f>
        <v>-6214.62</v>
      </c>
      <c r="E66" s="133"/>
      <c r="F66" s="136">
        <f>+'KY_Res by Plant Acct-P29 (Reg)'!F67</f>
        <v>0</v>
      </c>
      <c r="G66" s="133"/>
      <c r="H66" s="136">
        <f>+'KY_Res by Plant Acct-P29 (Reg)'!H67</f>
        <v>0</v>
      </c>
      <c r="I66" s="133"/>
      <c r="J66" s="136">
        <f>+'KY_Res by Plant Acct-P29 (Reg)'!J67</f>
        <v>0</v>
      </c>
      <c r="K66" s="136"/>
      <c r="L66" s="136">
        <f>+'KY_Res by Plant Acct-P29 (Reg)'!L67</f>
        <v>0</v>
      </c>
      <c r="M66" s="133"/>
      <c r="N66" s="136">
        <f>+'KY_Res by Plant Acct-P29 (Reg)'!N67</f>
        <v>0</v>
      </c>
      <c r="O66" s="133"/>
      <c r="P66" s="136">
        <f>+'KY_Res by Plant Acct-P29 (Reg)'!P67</f>
        <v>0</v>
      </c>
      <c r="Q66" s="133"/>
      <c r="R66" s="136">
        <f t="shared" si="6"/>
        <v>-81753.699999999983</v>
      </c>
    </row>
    <row r="67" spans="1:18" outlineLevel="1" x14ac:dyDescent="0.2">
      <c r="A67" s="3" t="s">
        <v>3203</v>
      </c>
      <c r="B67" s="136">
        <f>+'KY_Res by Plant Acct-P29 (Reg)'!B68</f>
        <v>-12845.670000000002</v>
      </c>
      <c r="C67" s="133"/>
      <c r="D67" s="136">
        <f>+'KY_Res by Plant Acct-P29 (Reg)'!D68</f>
        <v>-25021.57</v>
      </c>
      <c r="E67" s="133"/>
      <c r="F67" s="136">
        <f>+'KY_Res by Plant Acct-P29 (Reg)'!F68</f>
        <v>0</v>
      </c>
      <c r="G67" s="133"/>
      <c r="H67" s="136">
        <f>+'KY_Res by Plant Acct-P29 (Reg)'!H68</f>
        <v>0</v>
      </c>
      <c r="I67" s="133"/>
      <c r="J67" s="136">
        <f>+'KY_Res by Plant Acct-P29 (Reg)'!J68</f>
        <v>0</v>
      </c>
      <c r="K67" s="136"/>
      <c r="L67" s="136">
        <f>+'KY_Res by Plant Acct-P29 (Reg)'!L68</f>
        <v>0</v>
      </c>
      <c r="M67" s="133"/>
      <c r="N67" s="136">
        <f>+'KY_Res by Plant Acct-P29 (Reg)'!N68</f>
        <v>0</v>
      </c>
      <c r="O67" s="133"/>
      <c r="P67" s="136">
        <f>+'KY_Res by Plant Acct-P29 (Reg)'!P68</f>
        <v>0</v>
      </c>
      <c r="Q67" s="133"/>
      <c r="R67" s="136">
        <f t="shared" si="6"/>
        <v>-37867.240000000005</v>
      </c>
    </row>
    <row r="68" spans="1:18" outlineLevel="1" x14ac:dyDescent="0.2">
      <c r="A68" s="3" t="s">
        <v>3204</v>
      </c>
      <c r="B68" s="136">
        <f>+'KY_Res by Plant Acct-P29 (Reg)'!B69</f>
        <v>-61253.599999999991</v>
      </c>
      <c r="C68" s="133"/>
      <c r="D68" s="136">
        <f>+'KY_Res by Plant Acct-P29 (Reg)'!D69</f>
        <v>-3199.26</v>
      </c>
      <c r="E68" s="133"/>
      <c r="F68" s="136">
        <f>+'KY_Res by Plant Acct-P29 (Reg)'!F69</f>
        <v>0</v>
      </c>
      <c r="G68" s="133"/>
      <c r="H68" s="136">
        <f>+'KY_Res by Plant Acct-P29 (Reg)'!H69</f>
        <v>0</v>
      </c>
      <c r="I68" s="133"/>
      <c r="J68" s="136">
        <f>+'KY_Res by Plant Acct-P29 (Reg)'!J69</f>
        <v>0</v>
      </c>
      <c r="K68" s="136"/>
      <c r="L68" s="136">
        <f>+'KY_Res by Plant Acct-P29 (Reg)'!L69</f>
        <v>0</v>
      </c>
      <c r="M68" s="133"/>
      <c r="N68" s="136">
        <f>+'KY_Res by Plant Acct-P29 (Reg)'!N69</f>
        <v>0</v>
      </c>
      <c r="O68" s="133"/>
      <c r="P68" s="136">
        <f>+'KY_Res by Plant Acct-P29 (Reg)'!P69</f>
        <v>0</v>
      </c>
      <c r="Q68" s="133"/>
      <c r="R68" s="136">
        <f t="shared" si="6"/>
        <v>-64452.859999999993</v>
      </c>
    </row>
    <row r="69" spans="1:18" outlineLevel="1" x14ac:dyDescent="0.2">
      <c r="A69" s="3" t="s">
        <v>3205</v>
      </c>
      <c r="B69" s="136">
        <f>+'KY_Res by Plant Acct-P29 (Reg)'!B70</f>
        <v>-1133459.1500000001</v>
      </c>
      <c r="C69" s="133"/>
      <c r="D69" s="136">
        <f>+'KY_Res by Plant Acct-P29 (Reg)'!D70</f>
        <v>-94781.77</v>
      </c>
      <c r="E69" s="133"/>
      <c r="F69" s="136">
        <f>+'KY_Res by Plant Acct-P29 (Reg)'!F70</f>
        <v>0</v>
      </c>
      <c r="G69" s="133"/>
      <c r="H69" s="136">
        <f>+'KY_Res by Plant Acct-P29 (Reg)'!H70</f>
        <v>0</v>
      </c>
      <c r="I69" s="133"/>
      <c r="J69" s="136">
        <f>+'KY_Res by Plant Acct-P29 (Reg)'!J70</f>
        <v>0</v>
      </c>
      <c r="K69" s="136"/>
      <c r="L69" s="136">
        <f>+'KY_Res by Plant Acct-P29 (Reg)'!L70</f>
        <v>0</v>
      </c>
      <c r="M69" s="133"/>
      <c r="N69" s="136">
        <f>+'KY_Res by Plant Acct-P29 (Reg)'!N70</f>
        <v>0</v>
      </c>
      <c r="O69" s="133"/>
      <c r="P69" s="136">
        <f>+'KY_Res by Plant Acct-P29 (Reg)'!P70</f>
        <v>0</v>
      </c>
      <c r="Q69" s="133"/>
      <c r="R69" s="136">
        <f t="shared" si="6"/>
        <v>-1228240.9200000002</v>
      </c>
    </row>
    <row r="70" spans="1:18" outlineLevel="1" x14ac:dyDescent="0.2">
      <c r="A70" s="3" t="s">
        <v>3206</v>
      </c>
      <c r="B70" s="136">
        <f>+'KY_Res by Plant Acct-P29 (Reg)'!B71</f>
        <v>-912398.28000000014</v>
      </c>
      <c r="C70" s="133"/>
      <c r="D70" s="136">
        <f>+'KY_Res by Plant Acct-P29 (Reg)'!D71</f>
        <v>-76460.460000000006</v>
      </c>
      <c r="E70" s="133"/>
      <c r="F70" s="136">
        <f>+'KY_Res by Plant Acct-P29 (Reg)'!F71</f>
        <v>0</v>
      </c>
      <c r="G70" s="133"/>
      <c r="H70" s="136">
        <f>+'KY_Res by Plant Acct-P29 (Reg)'!H71</f>
        <v>0</v>
      </c>
      <c r="I70" s="133"/>
      <c r="J70" s="136">
        <f>+'KY_Res by Plant Acct-P29 (Reg)'!J71</f>
        <v>0</v>
      </c>
      <c r="K70" s="136"/>
      <c r="L70" s="136">
        <f>+'KY_Res by Plant Acct-P29 (Reg)'!L71</f>
        <v>0</v>
      </c>
      <c r="M70" s="133"/>
      <c r="N70" s="136">
        <f>+'KY_Res by Plant Acct-P29 (Reg)'!N71</f>
        <v>0</v>
      </c>
      <c r="O70" s="133"/>
      <c r="P70" s="136">
        <f>+'KY_Res by Plant Acct-P29 (Reg)'!P71</f>
        <v>0</v>
      </c>
      <c r="Q70" s="133"/>
      <c r="R70" s="136">
        <f t="shared" si="6"/>
        <v>-988858.74000000011</v>
      </c>
    </row>
    <row r="71" spans="1:18" outlineLevel="1" x14ac:dyDescent="0.2">
      <c r="A71" s="3" t="s">
        <v>3207</v>
      </c>
      <c r="B71" s="136">
        <f>+'KY_Res by Plant Acct-P29 (Reg)'!B72</f>
        <v>-758311.23999999987</v>
      </c>
      <c r="C71" s="133"/>
      <c r="D71" s="136">
        <f>+'KY_Res by Plant Acct-P29 (Reg)'!D72</f>
        <v>-56781.42</v>
      </c>
      <c r="E71" s="133"/>
      <c r="F71" s="136">
        <f>+'KY_Res by Plant Acct-P29 (Reg)'!F72</f>
        <v>0</v>
      </c>
      <c r="G71" s="133"/>
      <c r="H71" s="136">
        <f>+'KY_Res by Plant Acct-P29 (Reg)'!H72</f>
        <v>0</v>
      </c>
      <c r="I71" s="133"/>
      <c r="J71" s="136">
        <f>+'KY_Res by Plant Acct-P29 (Reg)'!J72</f>
        <v>0</v>
      </c>
      <c r="K71" s="136"/>
      <c r="L71" s="136">
        <f>+'KY_Res by Plant Acct-P29 (Reg)'!L72</f>
        <v>0</v>
      </c>
      <c r="M71" s="133"/>
      <c r="N71" s="136">
        <f>+'KY_Res by Plant Acct-P29 (Reg)'!N72</f>
        <v>0</v>
      </c>
      <c r="O71" s="133"/>
      <c r="P71" s="136">
        <f>+'KY_Res by Plant Acct-P29 (Reg)'!P72</f>
        <v>0</v>
      </c>
      <c r="Q71" s="133"/>
      <c r="R71" s="136">
        <f t="shared" si="6"/>
        <v>-815092.65999999992</v>
      </c>
    </row>
    <row r="72" spans="1:18" outlineLevel="1" x14ac:dyDescent="0.2">
      <c r="A72" s="3" t="s">
        <v>3208</v>
      </c>
      <c r="B72" s="136">
        <f>+'KY_Res by Plant Acct-P29 (Reg)'!B73</f>
        <v>-718930.90999999992</v>
      </c>
      <c r="C72" s="133"/>
      <c r="D72" s="136">
        <f>+'KY_Res by Plant Acct-P29 (Reg)'!D73</f>
        <v>-53359.08</v>
      </c>
      <c r="E72" s="133"/>
      <c r="F72" s="136">
        <f>+'KY_Res by Plant Acct-P29 (Reg)'!F73</f>
        <v>0</v>
      </c>
      <c r="G72" s="133"/>
      <c r="H72" s="136">
        <f>+'KY_Res by Plant Acct-P29 (Reg)'!H73</f>
        <v>0</v>
      </c>
      <c r="I72" s="133"/>
      <c r="J72" s="136">
        <f>+'KY_Res by Plant Acct-P29 (Reg)'!J73</f>
        <v>0</v>
      </c>
      <c r="K72" s="136"/>
      <c r="L72" s="136">
        <f>+'KY_Res by Plant Acct-P29 (Reg)'!L73</f>
        <v>0</v>
      </c>
      <c r="M72" s="133"/>
      <c r="N72" s="136">
        <f>+'KY_Res by Plant Acct-P29 (Reg)'!N73</f>
        <v>0</v>
      </c>
      <c r="O72" s="133"/>
      <c r="P72" s="136">
        <f>+'KY_Res by Plant Acct-P29 (Reg)'!P73</f>
        <v>0</v>
      </c>
      <c r="Q72" s="133"/>
      <c r="R72" s="136">
        <f t="shared" si="6"/>
        <v>-772289.98999999987</v>
      </c>
    </row>
    <row r="73" spans="1:18" outlineLevel="1" x14ac:dyDescent="0.2">
      <c r="A73" s="3" t="s">
        <v>3209</v>
      </c>
      <c r="B73" s="136">
        <f>+'KY_Res by Plant Acct-P29 (Reg)'!B74</f>
        <v>-896519.70000000007</v>
      </c>
      <c r="C73" s="133"/>
      <c r="D73" s="136">
        <f>+'KY_Res by Plant Acct-P29 (Reg)'!D74</f>
        <v>-74388.06</v>
      </c>
      <c r="E73" s="133"/>
      <c r="F73" s="136">
        <f>+'KY_Res by Plant Acct-P29 (Reg)'!F74</f>
        <v>0</v>
      </c>
      <c r="G73" s="133"/>
      <c r="H73" s="136">
        <f>+'KY_Res by Plant Acct-P29 (Reg)'!H74</f>
        <v>0</v>
      </c>
      <c r="I73" s="133"/>
      <c r="J73" s="136">
        <f>+'KY_Res by Plant Acct-P29 (Reg)'!J74</f>
        <v>0</v>
      </c>
      <c r="K73" s="136"/>
      <c r="L73" s="136">
        <f>+'KY_Res by Plant Acct-P29 (Reg)'!L74</f>
        <v>0</v>
      </c>
      <c r="M73" s="133"/>
      <c r="N73" s="136">
        <f>+'KY_Res by Plant Acct-P29 (Reg)'!N74</f>
        <v>0</v>
      </c>
      <c r="O73" s="133"/>
      <c r="P73" s="136">
        <f>+'KY_Res by Plant Acct-P29 (Reg)'!P74</f>
        <v>0</v>
      </c>
      <c r="Q73" s="133"/>
      <c r="R73" s="136">
        <f t="shared" si="6"/>
        <v>-970907.76</v>
      </c>
    </row>
    <row r="74" spans="1:18" outlineLevel="1" x14ac:dyDescent="0.2">
      <c r="A74" s="3" t="s">
        <v>3210</v>
      </c>
      <c r="B74" s="136">
        <f>+'KY_Res by Plant Acct-P29 (Reg)'!B75</f>
        <v>-893003.96</v>
      </c>
      <c r="C74" s="133"/>
      <c r="D74" s="136">
        <f>+'KY_Res by Plant Acct-P29 (Reg)'!D75</f>
        <v>-74096.28</v>
      </c>
      <c r="E74" s="133"/>
      <c r="F74" s="136">
        <f>+'KY_Res by Plant Acct-P29 (Reg)'!F75</f>
        <v>0</v>
      </c>
      <c r="G74" s="133"/>
      <c r="H74" s="136">
        <f>+'KY_Res by Plant Acct-P29 (Reg)'!H75</f>
        <v>0</v>
      </c>
      <c r="I74" s="133"/>
      <c r="J74" s="136">
        <f>+'KY_Res by Plant Acct-P29 (Reg)'!J75</f>
        <v>0</v>
      </c>
      <c r="K74" s="136"/>
      <c r="L74" s="136">
        <f>+'KY_Res by Plant Acct-P29 (Reg)'!L75</f>
        <v>0</v>
      </c>
      <c r="M74" s="133"/>
      <c r="N74" s="136">
        <f>+'KY_Res by Plant Acct-P29 (Reg)'!N75</f>
        <v>0</v>
      </c>
      <c r="O74" s="133"/>
      <c r="P74" s="136">
        <f>+'KY_Res by Plant Acct-P29 (Reg)'!P75</f>
        <v>0</v>
      </c>
      <c r="Q74" s="133"/>
      <c r="R74" s="136">
        <f t="shared" si="6"/>
        <v>-967100.24</v>
      </c>
    </row>
    <row r="75" spans="1:18" outlineLevel="1" x14ac:dyDescent="0.2">
      <c r="A75" s="3" t="s">
        <v>3211</v>
      </c>
      <c r="B75" s="136">
        <f>+'KY_Res by Plant Acct-P29 (Reg)'!B76</f>
        <v>-914371.97999999986</v>
      </c>
      <c r="C75" s="133"/>
      <c r="D75" s="136">
        <f>+'KY_Res by Plant Acct-P29 (Reg)'!D76</f>
        <v>-76625.94</v>
      </c>
      <c r="E75" s="133"/>
      <c r="F75" s="136">
        <f>+'KY_Res by Plant Acct-P29 (Reg)'!F76</f>
        <v>0</v>
      </c>
      <c r="G75" s="133"/>
      <c r="H75" s="136">
        <f>+'KY_Res by Plant Acct-P29 (Reg)'!H76</f>
        <v>0</v>
      </c>
      <c r="I75" s="133"/>
      <c r="J75" s="136">
        <f>+'KY_Res by Plant Acct-P29 (Reg)'!J76</f>
        <v>0</v>
      </c>
      <c r="K75" s="136"/>
      <c r="L75" s="136">
        <f>+'KY_Res by Plant Acct-P29 (Reg)'!L76</f>
        <v>0</v>
      </c>
      <c r="M75" s="133"/>
      <c r="N75" s="136">
        <f>+'KY_Res by Plant Acct-P29 (Reg)'!N76</f>
        <v>0</v>
      </c>
      <c r="O75" s="133"/>
      <c r="P75" s="136">
        <f>+'KY_Res by Plant Acct-P29 (Reg)'!P76</f>
        <v>0</v>
      </c>
      <c r="Q75" s="133"/>
      <c r="R75" s="136">
        <f t="shared" si="6"/>
        <v>-990997.91999999993</v>
      </c>
    </row>
    <row r="76" spans="1:18" outlineLevel="1" x14ac:dyDescent="0.2">
      <c r="A76" s="3" t="s">
        <v>3212</v>
      </c>
      <c r="B76" s="136">
        <f>+'KY_Res by Plant Acct-P29 (Reg)'!B77</f>
        <v>0</v>
      </c>
      <c r="C76" s="133"/>
      <c r="D76" s="136">
        <f>+'KY_Res by Plant Acct-P29 (Reg)'!D77</f>
        <v>0</v>
      </c>
      <c r="E76" s="133"/>
      <c r="F76" s="136">
        <f>+'KY_Res by Plant Acct-P29 (Reg)'!F77</f>
        <v>0</v>
      </c>
      <c r="G76" s="133"/>
      <c r="H76" s="136">
        <f>+'KY_Res by Plant Acct-P29 (Reg)'!H77</f>
        <v>0</v>
      </c>
      <c r="I76" s="133"/>
      <c r="J76" s="136">
        <f>+'KY_Res by Plant Acct-P29 (Reg)'!J77</f>
        <v>0</v>
      </c>
      <c r="K76" s="136"/>
      <c r="L76" s="136">
        <f>+'KY_Res by Plant Acct-P29 (Reg)'!L77</f>
        <v>0</v>
      </c>
      <c r="M76" s="133"/>
      <c r="N76" s="136">
        <f>+'KY_Res by Plant Acct-P29 (Reg)'!N77</f>
        <v>0</v>
      </c>
      <c r="O76" s="133"/>
      <c r="P76" s="136">
        <f>+'KY_Res by Plant Acct-P29 (Reg)'!P77</f>
        <v>0</v>
      </c>
      <c r="Q76" s="133"/>
      <c r="R76" s="136">
        <f t="shared" si="6"/>
        <v>0</v>
      </c>
    </row>
    <row r="77" spans="1:18" outlineLevel="1" x14ac:dyDescent="0.2">
      <c r="A77" s="3" t="s">
        <v>3213</v>
      </c>
      <c r="B77" s="136">
        <f>+'KY_Res by Plant Acct-P29 (Reg)'!B78</f>
        <v>-10028.300000000001</v>
      </c>
      <c r="C77" s="133"/>
      <c r="D77" s="136">
        <f>+'KY_Res by Plant Acct-P29 (Reg)'!D78</f>
        <v>0</v>
      </c>
      <c r="E77" s="133"/>
      <c r="F77" s="136">
        <f>+'KY_Res by Plant Acct-P29 (Reg)'!F78</f>
        <v>0</v>
      </c>
      <c r="G77" s="133"/>
      <c r="H77" s="136">
        <f>+'KY_Res by Plant Acct-P29 (Reg)'!H78</f>
        <v>0</v>
      </c>
      <c r="I77" s="133"/>
      <c r="J77" s="136">
        <f>+'KY_Res by Plant Acct-P29 (Reg)'!J78</f>
        <v>0</v>
      </c>
      <c r="K77" s="136"/>
      <c r="L77" s="136">
        <f>+'KY_Res by Plant Acct-P29 (Reg)'!L78</f>
        <v>0</v>
      </c>
      <c r="M77" s="133"/>
      <c r="N77" s="136">
        <f>+'KY_Res by Plant Acct-P29 (Reg)'!N78</f>
        <v>0</v>
      </c>
      <c r="O77" s="133"/>
      <c r="P77" s="136">
        <f>+'KY_Res by Plant Acct-P29 (Reg)'!P78</f>
        <v>0</v>
      </c>
      <c r="Q77" s="133"/>
      <c r="R77" s="136">
        <f t="shared" si="6"/>
        <v>-10028.300000000001</v>
      </c>
    </row>
    <row r="78" spans="1:18" x14ac:dyDescent="0.2">
      <c r="A78" s="3" t="s">
        <v>3214</v>
      </c>
      <c r="B78" s="136">
        <f>SUM(B62:B77)</f>
        <v>-11324016.640000001</v>
      </c>
      <c r="C78" s="133"/>
      <c r="D78" s="136">
        <f>SUM(D62:D77)</f>
        <v>-1047840.0900000001</v>
      </c>
      <c r="E78" s="133"/>
      <c r="F78" s="136">
        <f t="shared" ref="F78:R78" si="7">SUM(F62:F77)</f>
        <v>0</v>
      </c>
      <c r="G78" s="133"/>
      <c r="H78" s="136">
        <f t="shared" si="7"/>
        <v>0</v>
      </c>
      <c r="I78" s="133"/>
      <c r="J78" s="136">
        <f t="shared" si="7"/>
        <v>0</v>
      </c>
      <c r="K78" s="133"/>
      <c r="L78" s="136">
        <f t="shared" si="7"/>
        <v>0</v>
      </c>
      <c r="M78" s="133"/>
      <c r="N78" s="136">
        <f t="shared" si="7"/>
        <v>0</v>
      </c>
      <c r="O78" s="133"/>
      <c r="P78" s="136">
        <f t="shared" si="7"/>
        <v>0</v>
      </c>
      <c r="Q78" s="133"/>
      <c r="R78" s="136">
        <f t="shared" si="7"/>
        <v>-12371856.73</v>
      </c>
    </row>
    <row r="79" spans="1:18" outlineLevel="1" x14ac:dyDescent="0.2">
      <c r="A79" s="3" t="s">
        <v>3653</v>
      </c>
      <c r="B79" s="136">
        <f>+'KY_Res by Plant Acct-P29 (Reg)'!B80</f>
        <v>-219497.40000000002</v>
      </c>
      <c r="C79" s="133"/>
      <c r="D79" s="136">
        <f>+'KY_Res by Plant Acct-P29 (Reg)'!D80</f>
        <v>-54189.3</v>
      </c>
      <c r="E79" s="133"/>
      <c r="F79" s="136">
        <f>+'KY_Res by Plant Acct-P29 (Reg)'!F80</f>
        <v>0</v>
      </c>
      <c r="G79" s="133"/>
      <c r="H79" s="136">
        <f>+'KY_Res by Plant Acct-P29 (Reg)'!H80</f>
        <v>0</v>
      </c>
      <c r="I79" s="133"/>
      <c r="J79" s="136">
        <f>+'KY_Res by Plant Acct-P29 (Reg)'!J80</f>
        <v>0</v>
      </c>
      <c r="K79" s="133"/>
      <c r="L79" s="136">
        <f>+'KY_Res by Plant Acct-P29 (Reg)'!L80</f>
        <v>0</v>
      </c>
      <c r="M79" s="133"/>
      <c r="N79" s="136">
        <f>+'KY_Res by Plant Acct-P29 (Reg)'!N80</f>
        <v>0</v>
      </c>
      <c r="O79" s="133"/>
      <c r="P79" s="136">
        <f>+'KY_Res by Plant Acct-P29 (Reg)'!P80</f>
        <v>0</v>
      </c>
      <c r="Q79" s="133"/>
      <c r="R79" s="136">
        <f t="shared" si="6"/>
        <v>-273686.7</v>
      </c>
    </row>
    <row r="80" spans="1:18" outlineLevel="1" x14ac:dyDescent="0.2">
      <c r="A80" s="3" t="s">
        <v>3216</v>
      </c>
      <c r="B80" s="136">
        <f>+'KY_Res by Plant Acct-P29 (Reg)'!B81</f>
        <v>-943528.41999999993</v>
      </c>
      <c r="C80" s="136">
        <f>+'KY_Res by Plant Acct-P29 (Reg)'!C81</f>
        <v>0</v>
      </c>
      <c r="D80" s="136">
        <f>+'KY_Res by Plant Acct-P29 (Reg)'!D81</f>
        <v>-49145.04</v>
      </c>
      <c r="E80" s="136">
        <f>+'KY_Res by Plant Acct-P29 (Reg)'!E81</f>
        <v>0</v>
      </c>
      <c r="F80" s="136">
        <f>+'KY_Res by Plant Acct-P29 (Reg)'!F81</f>
        <v>0</v>
      </c>
      <c r="G80" s="136">
        <f>+'KY_Res by Plant Acct-P29 (Reg)'!G81</f>
        <v>0</v>
      </c>
      <c r="H80" s="136">
        <f>+'KY_Res by Plant Acct-P29 (Reg)'!H81</f>
        <v>0</v>
      </c>
      <c r="I80" s="136">
        <f>+'KY_Res by Plant Acct-P29 (Reg)'!I81</f>
        <v>0</v>
      </c>
      <c r="J80" s="136">
        <f>+'KY_Res by Plant Acct-P29 (Reg)'!J81</f>
        <v>0</v>
      </c>
      <c r="K80" s="136">
        <f>+'KY_Res by Plant Acct-P29 (Reg)'!K81</f>
        <v>0</v>
      </c>
      <c r="L80" s="136">
        <f>+'KY_Res by Plant Acct-P29 (Reg)'!L81</f>
        <v>0</v>
      </c>
      <c r="M80" s="136">
        <f>+'KY_Res by Plant Acct-P29 (Reg)'!M81</f>
        <v>0</v>
      </c>
      <c r="N80" s="136">
        <f>+'KY_Res by Plant Acct-P29 (Reg)'!N81</f>
        <v>0</v>
      </c>
      <c r="O80" s="136">
        <f>+'KY_Res by Plant Acct-P29 (Reg)'!O81</f>
        <v>0</v>
      </c>
      <c r="P80" s="136">
        <f>+'KY_Res by Plant Acct-P29 (Reg)'!P81</f>
        <v>0</v>
      </c>
      <c r="Q80" s="133"/>
      <c r="R80" s="136">
        <f t="shared" si="6"/>
        <v>-992673.46</v>
      </c>
    </row>
    <row r="81" spans="1:18" outlineLevel="1" x14ac:dyDescent="0.2">
      <c r="A81" s="3" t="s">
        <v>3217</v>
      </c>
      <c r="B81" s="136">
        <f>+'KY_Res by Plant Acct-P29 (Reg)'!B82</f>
        <v>-277535.98</v>
      </c>
      <c r="C81" s="136">
        <f>+'KY_Res by Plant Acct-P29 (Reg)'!C82</f>
        <v>0</v>
      </c>
      <c r="D81" s="136">
        <f>+'KY_Res by Plant Acct-P29 (Reg)'!D82</f>
        <v>-184201.92</v>
      </c>
      <c r="E81" s="136">
        <f>+'KY_Res by Plant Acct-P29 (Reg)'!E82</f>
        <v>0</v>
      </c>
      <c r="F81" s="136">
        <f>+'KY_Res by Plant Acct-P29 (Reg)'!F82</f>
        <v>0</v>
      </c>
      <c r="G81" s="136">
        <f>+'KY_Res by Plant Acct-P29 (Reg)'!G82</f>
        <v>0</v>
      </c>
      <c r="H81" s="136">
        <f>+'KY_Res by Plant Acct-P29 (Reg)'!H82</f>
        <v>0</v>
      </c>
      <c r="I81" s="136">
        <f>+'KY_Res by Plant Acct-P29 (Reg)'!I82</f>
        <v>0</v>
      </c>
      <c r="J81" s="136">
        <f>+'KY_Res by Plant Acct-P29 (Reg)'!J82</f>
        <v>0</v>
      </c>
      <c r="K81" s="136">
        <f>+'KY_Res by Plant Acct-P29 (Reg)'!K82</f>
        <v>0</v>
      </c>
      <c r="L81" s="136">
        <f>+'KY_Res by Plant Acct-P29 (Reg)'!L82</f>
        <v>0</v>
      </c>
      <c r="M81" s="136">
        <f>+'KY_Res by Plant Acct-P29 (Reg)'!M82</f>
        <v>0</v>
      </c>
      <c r="N81" s="136">
        <f>+'KY_Res by Plant Acct-P29 (Reg)'!N82</f>
        <v>0</v>
      </c>
      <c r="O81" s="136">
        <f>+'KY_Res by Plant Acct-P29 (Reg)'!O82</f>
        <v>0</v>
      </c>
      <c r="P81" s="136">
        <f>+'KY_Res by Plant Acct-P29 (Reg)'!P82</f>
        <v>0</v>
      </c>
      <c r="Q81" s="133"/>
      <c r="R81" s="136">
        <f t="shared" si="6"/>
        <v>-461737.9</v>
      </c>
    </row>
    <row r="82" spans="1:18" outlineLevel="1" x14ac:dyDescent="0.2">
      <c r="A82" s="3" t="s">
        <v>3218</v>
      </c>
      <c r="B82" s="136">
        <f>+'KY_Res by Plant Acct-P29 (Reg)'!B83</f>
        <v>-393555.34999999992</v>
      </c>
      <c r="C82" s="133"/>
      <c r="D82" s="136">
        <f>+'KY_Res by Plant Acct-P29 (Reg)'!D83</f>
        <v>-36162.9</v>
      </c>
      <c r="E82" s="133"/>
      <c r="F82" s="136">
        <f>+'KY_Res by Plant Acct-P29 (Reg)'!F83</f>
        <v>0</v>
      </c>
      <c r="G82" s="133"/>
      <c r="H82" s="136">
        <f>+'KY_Res by Plant Acct-P29 (Reg)'!H83</f>
        <v>0</v>
      </c>
      <c r="I82" s="133"/>
      <c r="J82" s="136">
        <f>+'KY_Res by Plant Acct-P29 (Reg)'!J83</f>
        <v>0</v>
      </c>
      <c r="K82" s="133"/>
      <c r="L82" s="136">
        <f>+'KY_Res by Plant Acct-P29 (Reg)'!L83</f>
        <v>0</v>
      </c>
      <c r="M82" s="133"/>
      <c r="N82" s="136">
        <f>+'KY_Res by Plant Acct-P29 (Reg)'!N83</f>
        <v>0</v>
      </c>
      <c r="O82" s="133"/>
      <c r="P82" s="136">
        <f>+'KY_Res by Plant Acct-P29 (Reg)'!P83</f>
        <v>0</v>
      </c>
      <c r="Q82" s="133"/>
      <c r="R82" s="136">
        <f t="shared" si="6"/>
        <v>-429718.24999999994</v>
      </c>
    </row>
    <row r="83" spans="1:18" outlineLevel="1" x14ac:dyDescent="0.2">
      <c r="A83" s="3" t="s">
        <v>3219</v>
      </c>
      <c r="B83" s="136">
        <f>+'KY_Res by Plant Acct-P29 (Reg)'!B84</f>
        <v>-186734.36</v>
      </c>
      <c r="C83" s="133"/>
      <c r="D83" s="136">
        <f>+'KY_Res by Plant Acct-P29 (Reg)'!D84</f>
        <v>-45198.96</v>
      </c>
      <c r="E83" s="133"/>
      <c r="F83" s="136">
        <f>+'KY_Res by Plant Acct-P29 (Reg)'!F84</f>
        <v>0</v>
      </c>
      <c r="G83" s="133"/>
      <c r="H83" s="136">
        <f>+'KY_Res by Plant Acct-P29 (Reg)'!H84</f>
        <v>0</v>
      </c>
      <c r="I83" s="133"/>
      <c r="J83" s="136">
        <f>+'KY_Res by Plant Acct-P29 (Reg)'!J84</f>
        <v>0</v>
      </c>
      <c r="K83" s="133"/>
      <c r="L83" s="136">
        <f>+'KY_Res by Plant Acct-P29 (Reg)'!L84</f>
        <v>0</v>
      </c>
      <c r="M83" s="133"/>
      <c r="N83" s="136">
        <f>+'KY_Res by Plant Acct-P29 (Reg)'!N84</f>
        <v>0</v>
      </c>
      <c r="O83" s="133"/>
      <c r="P83" s="136">
        <f>+'KY_Res by Plant Acct-P29 (Reg)'!P84</f>
        <v>0</v>
      </c>
      <c r="Q83" s="133"/>
      <c r="R83" s="136">
        <f t="shared" si="6"/>
        <v>-231933.31999999998</v>
      </c>
    </row>
    <row r="84" spans="1:18" outlineLevel="1" x14ac:dyDescent="0.2">
      <c r="A84" s="3" t="s">
        <v>3220</v>
      </c>
      <c r="B84" s="136">
        <f>+'KY_Res by Plant Acct-P29 (Reg)'!B85</f>
        <v>-58047.479999999996</v>
      </c>
      <c r="C84" s="133"/>
      <c r="D84" s="136">
        <f>+'KY_Res by Plant Acct-P29 (Reg)'!D85</f>
        <v>-38562.720000000001</v>
      </c>
      <c r="E84" s="133"/>
      <c r="F84" s="136">
        <f>+'KY_Res by Plant Acct-P29 (Reg)'!F85</f>
        <v>0</v>
      </c>
      <c r="G84" s="133"/>
      <c r="H84" s="136">
        <f>+'KY_Res by Plant Acct-P29 (Reg)'!H85</f>
        <v>0</v>
      </c>
      <c r="I84" s="133"/>
      <c r="J84" s="136">
        <f>+'KY_Res by Plant Acct-P29 (Reg)'!J85</f>
        <v>0</v>
      </c>
      <c r="K84" s="133"/>
      <c r="L84" s="136">
        <f>+'KY_Res by Plant Acct-P29 (Reg)'!L85</f>
        <v>0</v>
      </c>
      <c r="M84" s="133"/>
      <c r="N84" s="136">
        <f>+'KY_Res by Plant Acct-P29 (Reg)'!N85</f>
        <v>0</v>
      </c>
      <c r="O84" s="133"/>
      <c r="P84" s="136">
        <f>+'KY_Res by Plant Acct-P29 (Reg)'!P85</f>
        <v>0</v>
      </c>
      <c r="Q84" s="133"/>
      <c r="R84" s="136">
        <f t="shared" si="6"/>
        <v>-96610.2</v>
      </c>
    </row>
    <row r="85" spans="1:18" outlineLevel="1" x14ac:dyDescent="0.2">
      <c r="A85" s="3" t="s">
        <v>3221</v>
      </c>
      <c r="B85" s="136">
        <f>+'KY_Res by Plant Acct-P29 (Reg)'!B86</f>
        <v>-11244.2</v>
      </c>
      <c r="C85" s="133"/>
      <c r="D85" s="136">
        <f>+'KY_Res by Plant Acct-P29 (Reg)'!D86</f>
        <v>0</v>
      </c>
      <c r="E85" s="133"/>
      <c r="F85" s="136">
        <f>+'KY_Res by Plant Acct-P29 (Reg)'!F86</f>
        <v>0</v>
      </c>
      <c r="G85" s="133"/>
      <c r="H85" s="136">
        <f>+'KY_Res by Plant Acct-P29 (Reg)'!H86</f>
        <v>0</v>
      </c>
      <c r="I85" s="133"/>
      <c r="J85" s="136">
        <f>+'KY_Res by Plant Acct-P29 (Reg)'!J86</f>
        <v>0</v>
      </c>
      <c r="K85" s="133"/>
      <c r="L85" s="136">
        <f>+'KY_Res by Plant Acct-P29 (Reg)'!L86</f>
        <v>0</v>
      </c>
      <c r="M85" s="133"/>
      <c r="N85" s="136">
        <f>+'KY_Res by Plant Acct-P29 (Reg)'!N86</f>
        <v>0</v>
      </c>
      <c r="O85" s="133"/>
      <c r="P85" s="136">
        <f>+'KY_Res by Plant Acct-P29 (Reg)'!P86</f>
        <v>0</v>
      </c>
      <c r="Q85" s="133"/>
      <c r="R85" s="136">
        <f t="shared" si="6"/>
        <v>-11244.2</v>
      </c>
    </row>
    <row r="86" spans="1:18" outlineLevel="1" x14ac:dyDescent="0.2">
      <c r="A86" s="3" t="s">
        <v>3222</v>
      </c>
      <c r="B86" s="136">
        <f>+'KY_Res by Plant Acct-P29 (Reg)'!B87</f>
        <v>-18374.670000000002</v>
      </c>
      <c r="C86" s="133"/>
      <c r="D86" s="136">
        <f>+'KY_Res by Plant Acct-P29 (Reg)'!D87</f>
        <v>-1567.62</v>
      </c>
      <c r="E86" s="133"/>
      <c r="F86" s="136">
        <f>+'KY_Res by Plant Acct-P29 (Reg)'!F87</f>
        <v>0</v>
      </c>
      <c r="G86" s="133"/>
      <c r="H86" s="136">
        <f>+'KY_Res by Plant Acct-P29 (Reg)'!H87</f>
        <v>0</v>
      </c>
      <c r="I86" s="133"/>
      <c r="J86" s="136">
        <f>+'KY_Res by Plant Acct-P29 (Reg)'!J87</f>
        <v>0</v>
      </c>
      <c r="K86" s="133"/>
      <c r="L86" s="136">
        <f>+'KY_Res by Plant Acct-P29 (Reg)'!L87</f>
        <v>0</v>
      </c>
      <c r="M86" s="133"/>
      <c r="N86" s="136">
        <f>+'KY_Res by Plant Acct-P29 (Reg)'!N87</f>
        <v>0</v>
      </c>
      <c r="O86" s="133"/>
      <c r="P86" s="136">
        <f>+'KY_Res by Plant Acct-P29 (Reg)'!P87</f>
        <v>0</v>
      </c>
      <c r="Q86" s="133"/>
      <c r="R86" s="136">
        <f t="shared" si="6"/>
        <v>-19942.29</v>
      </c>
    </row>
    <row r="87" spans="1:18" outlineLevel="1" x14ac:dyDescent="0.2">
      <c r="A87" s="3" t="s">
        <v>3223</v>
      </c>
      <c r="B87" s="136">
        <f>+'KY_Res by Plant Acct-P29 (Reg)'!B88</f>
        <v>0</v>
      </c>
      <c r="C87" s="133"/>
      <c r="D87" s="136">
        <f>+'KY_Res by Plant Acct-P29 (Reg)'!D88</f>
        <v>-183572.95</v>
      </c>
      <c r="E87" s="133"/>
      <c r="F87" s="136">
        <f>+'KY_Res by Plant Acct-P29 (Reg)'!F88</f>
        <v>0</v>
      </c>
      <c r="G87" s="133"/>
      <c r="H87" s="136">
        <f>+'KY_Res by Plant Acct-P29 (Reg)'!H88</f>
        <v>-96490.75</v>
      </c>
      <c r="I87" s="133"/>
      <c r="J87" s="136">
        <f>+'KY_Res by Plant Acct-P29 (Reg)'!J88</f>
        <v>0</v>
      </c>
      <c r="K87" s="133"/>
      <c r="L87" s="136">
        <f>+'KY_Res by Plant Acct-P29 (Reg)'!L88</f>
        <v>0</v>
      </c>
      <c r="M87" s="133"/>
      <c r="N87" s="136">
        <f>+'KY_Res by Plant Acct-P29 (Reg)'!N88</f>
        <v>0</v>
      </c>
      <c r="O87" s="133"/>
      <c r="P87" s="136">
        <f>+'KY_Res by Plant Acct-P29 (Reg)'!P88</f>
        <v>0</v>
      </c>
      <c r="Q87" s="133"/>
      <c r="R87" s="136">
        <f t="shared" si="6"/>
        <v>-280063.7</v>
      </c>
    </row>
    <row r="88" spans="1:18" outlineLevel="1" x14ac:dyDescent="0.2">
      <c r="A88" s="3" t="s">
        <v>3224</v>
      </c>
      <c r="B88" s="136">
        <f>+'KY_Res by Plant Acct-P29 (Reg)'!B89</f>
        <v>-1223002.5200000003</v>
      </c>
      <c r="C88" s="133"/>
      <c r="D88" s="136">
        <f>+'KY_Res by Plant Acct-P29 (Reg)'!D89</f>
        <v>-121522.68</v>
      </c>
      <c r="E88" s="133"/>
      <c r="F88" s="136">
        <f>+'KY_Res by Plant Acct-P29 (Reg)'!F89</f>
        <v>21564.32</v>
      </c>
      <c r="G88" s="133"/>
      <c r="H88" s="136">
        <f>+'KY_Res by Plant Acct-P29 (Reg)'!H89</f>
        <v>96490.75</v>
      </c>
      <c r="I88" s="133"/>
      <c r="J88" s="136">
        <f>+'KY_Res by Plant Acct-P29 (Reg)'!J89</f>
        <v>0</v>
      </c>
      <c r="K88" s="133"/>
      <c r="L88" s="136">
        <f>+'KY_Res by Plant Acct-P29 (Reg)'!L89</f>
        <v>15336.32</v>
      </c>
      <c r="M88" s="133"/>
      <c r="N88" s="136">
        <f>+'KY_Res by Plant Acct-P29 (Reg)'!N89</f>
        <v>0</v>
      </c>
      <c r="O88" s="133"/>
      <c r="P88" s="136">
        <f>+'KY_Res by Plant Acct-P29 (Reg)'!P89</f>
        <v>0</v>
      </c>
      <c r="Q88" s="133"/>
      <c r="R88" s="136">
        <f t="shared" si="6"/>
        <v>-1211133.81</v>
      </c>
    </row>
    <row r="89" spans="1:18" outlineLevel="1" x14ac:dyDescent="0.2">
      <c r="A89" s="3" t="s">
        <v>3225</v>
      </c>
      <c r="B89" s="136">
        <f>+'KY_Res by Plant Acct-P29 (Reg)'!B90</f>
        <v>-155906.20000000001</v>
      </c>
      <c r="C89" s="133"/>
      <c r="D89" s="136">
        <f>+'KY_Res by Plant Acct-P29 (Reg)'!D90</f>
        <v>-13352.64</v>
      </c>
      <c r="E89" s="133"/>
      <c r="F89" s="136">
        <f>+'KY_Res by Plant Acct-P29 (Reg)'!F90</f>
        <v>0</v>
      </c>
      <c r="G89" s="133"/>
      <c r="H89" s="136">
        <f>+'KY_Res by Plant Acct-P29 (Reg)'!H90</f>
        <v>0</v>
      </c>
      <c r="I89" s="133"/>
      <c r="J89" s="136">
        <f>+'KY_Res by Plant Acct-P29 (Reg)'!J90</f>
        <v>0</v>
      </c>
      <c r="K89" s="133"/>
      <c r="L89" s="136">
        <f>+'KY_Res by Plant Acct-P29 (Reg)'!L90</f>
        <v>0</v>
      </c>
      <c r="M89" s="133"/>
      <c r="N89" s="136">
        <f>+'KY_Res by Plant Acct-P29 (Reg)'!N90</f>
        <v>0</v>
      </c>
      <c r="O89" s="133"/>
      <c r="P89" s="136">
        <f>+'KY_Res by Plant Acct-P29 (Reg)'!P90</f>
        <v>0</v>
      </c>
      <c r="Q89" s="133"/>
      <c r="R89" s="136">
        <f t="shared" si="6"/>
        <v>-169258.84000000003</v>
      </c>
    </row>
    <row r="90" spans="1:18" outlineLevel="1" x14ac:dyDescent="0.2">
      <c r="A90" s="3" t="s">
        <v>3226</v>
      </c>
      <c r="B90" s="136">
        <f>+'KY_Res by Plant Acct-P29 (Reg)'!B91</f>
        <v>-48536.669999999991</v>
      </c>
      <c r="C90" s="133"/>
      <c r="D90" s="136">
        <f>+'KY_Res by Plant Acct-P29 (Reg)'!D91</f>
        <v>-3650.34</v>
      </c>
      <c r="E90" s="133"/>
      <c r="F90" s="136">
        <f>+'KY_Res by Plant Acct-P29 (Reg)'!F91</f>
        <v>0</v>
      </c>
      <c r="G90" s="133"/>
      <c r="H90" s="136">
        <f>+'KY_Res by Plant Acct-P29 (Reg)'!H91</f>
        <v>0</v>
      </c>
      <c r="I90" s="133"/>
      <c r="J90" s="136">
        <f>+'KY_Res by Plant Acct-P29 (Reg)'!J91</f>
        <v>0</v>
      </c>
      <c r="K90" s="133"/>
      <c r="L90" s="136">
        <f>+'KY_Res by Plant Acct-P29 (Reg)'!L91</f>
        <v>0</v>
      </c>
      <c r="M90" s="133"/>
      <c r="N90" s="136">
        <f>+'KY_Res by Plant Acct-P29 (Reg)'!N91</f>
        <v>0</v>
      </c>
      <c r="O90" s="133"/>
      <c r="P90" s="136">
        <f>+'KY_Res by Plant Acct-P29 (Reg)'!P91</f>
        <v>0</v>
      </c>
      <c r="Q90" s="133"/>
      <c r="R90" s="136">
        <f t="shared" si="6"/>
        <v>-52187.009999999995</v>
      </c>
    </row>
    <row r="91" spans="1:18" outlineLevel="1" x14ac:dyDescent="0.2">
      <c r="A91" s="3" t="s">
        <v>3227</v>
      </c>
      <c r="B91" s="136">
        <f>+'KY_Res by Plant Acct-P29 (Reg)'!B92</f>
        <v>-48474.38</v>
      </c>
      <c r="C91" s="133"/>
      <c r="D91" s="136">
        <f>+'KY_Res by Plant Acct-P29 (Reg)'!D92</f>
        <v>-3645.36</v>
      </c>
      <c r="E91" s="133"/>
      <c r="F91" s="136">
        <f>+'KY_Res by Plant Acct-P29 (Reg)'!F92</f>
        <v>0</v>
      </c>
      <c r="G91" s="133"/>
      <c r="H91" s="136">
        <f>+'KY_Res by Plant Acct-P29 (Reg)'!H92</f>
        <v>0</v>
      </c>
      <c r="I91" s="133"/>
      <c r="J91" s="136">
        <f>+'KY_Res by Plant Acct-P29 (Reg)'!J92</f>
        <v>0</v>
      </c>
      <c r="K91" s="133"/>
      <c r="L91" s="136">
        <f>+'KY_Res by Plant Acct-P29 (Reg)'!L92</f>
        <v>0</v>
      </c>
      <c r="M91" s="133"/>
      <c r="N91" s="136">
        <f>+'KY_Res by Plant Acct-P29 (Reg)'!N92</f>
        <v>0</v>
      </c>
      <c r="O91" s="133"/>
      <c r="P91" s="136">
        <f>+'KY_Res by Plant Acct-P29 (Reg)'!P92</f>
        <v>0</v>
      </c>
      <c r="Q91" s="133"/>
      <c r="R91" s="136">
        <f t="shared" si="6"/>
        <v>-52119.74</v>
      </c>
    </row>
    <row r="92" spans="1:18" outlineLevel="1" x14ac:dyDescent="0.2">
      <c r="A92" s="3" t="s">
        <v>3228</v>
      </c>
      <c r="B92" s="136">
        <f>+'KY_Res by Plant Acct-P29 (Reg)'!B93</f>
        <v>-147362.11000000002</v>
      </c>
      <c r="C92" s="133"/>
      <c r="D92" s="136">
        <f>+'KY_Res by Plant Acct-P29 (Reg)'!D93</f>
        <v>-12403.2</v>
      </c>
      <c r="E92" s="133"/>
      <c r="F92" s="136">
        <f>+'KY_Res by Plant Acct-P29 (Reg)'!F93</f>
        <v>0</v>
      </c>
      <c r="G92" s="133"/>
      <c r="H92" s="136">
        <f>+'KY_Res by Plant Acct-P29 (Reg)'!H93</f>
        <v>0</v>
      </c>
      <c r="I92" s="133"/>
      <c r="J92" s="136">
        <f>+'KY_Res by Plant Acct-P29 (Reg)'!J93</f>
        <v>0</v>
      </c>
      <c r="K92" s="133"/>
      <c r="L92" s="136">
        <f>+'KY_Res by Plant Acct-P29 (Reg)'!L93</f>
        <v>0</v>
      </c>
      <c r="M92" s="133"/>
      <c r="N92" s="136">
        <f>+'KY_Res by Plant Acct-P29 (Reg)'!N93</f>
        <v>0</v>
      </c>
      <c r="O92" s="133"/>
      <c r="P92" s="136">
        <f>+'KY_Res by Plant Acct-P29 (Reg)'!P93</f>
        <v>0</v>
      </c>
      <c r="Q92" s="133"/>
      <c r="R92" s="136">
        <f t="shared" si="6"/>
        <v>-159765.31000000003</v>
      </c>
    </row>
    <row r="93" spans="1:18" outlineLevel="1" x14ac:dyDescent="0.2">
      <c r="A93" s="3" t="s">
        <v>3229</v>
      </c>
      <c r="B93" s="136">
        <f>+'KY_Res by Plant Acct-P29 (Reg)'!B94</f>
        <v>-146784.37</v>
      </c>
      <c r="C93" s="133"/>
      <c r="D93" s="136">
        <f>+'KY_Res by Plant Acct-P29 (Reg)'!D94</f>
        <v>-12354.6</v>
      </c>
      <c r="E93" s="133"/>
      <c r="F93" s="136">
        <f>+'KY_Res by Plant Acct-P29 (Reg)'!F94</f>
        <v>0</v>
      </c>
      <c r="G93" s="133"/>
      <c r="H93" s="136">
        <f>+'KY_Res by Plant Acct-P29 (Reg)'!H94</f>
        <v>0</v>
      </c>
      <c r="I93" s="133"/>
      <c r="J93" s="136">
        <f>+'KY_Res by Plant Acct-P29 (Reg)'!J94</f>
        <v>0</v>
      </c>
      <c r="K93" s="133"/>
      <c r="L93" s="136">
        <f>+'KY_Res by Plant Acct-P29 (Reg)'!L94</f>
        <v>0</v>
      </c>
      <c r="M93" s="133"/>
      <c r="N93" s="136">
        <f>+'KY_Res by Plant Acct-P29 (Reg)'!N94</f>
        <v>0</v>
      </c>
      <c r="O93" s="133"/>
      <c r="P93" s="136">
        <f>+'KY_Res by Plant Acct-P29 (Reg)'!P94</f>
        <v>0</v>
      </c>
      <c r="Q93" s="133"/>
      <c r="R93" s="136">
        <f t="shared" si="6"/>
        <v>-159138.97</v>
      </c>
    </row>
    <row r="94" spans="1:18" outlineLevel="1" x14ac:dyDescent="0.2">
      <c r="A94" s="3" t="s">
        <v>3230</v>
      </c>
      <c r="B94" s="136">
        <f>+'KY_Res by Plant Acct-P29 (Reg)'!B95</f>
        <v>-150445.83999999997</v>
      </c>
      <c r="C94" s="133"/>
      <c r="D94" s="136">
        <f>+'KY_Res by Plant Acct-P29 (Reg)'!D95</f>
        <v>-12774.96</v>
      </c>
      <c r="E94" s="133"/>
      <c r="F94" s="136">
        <f>+'KY_Res by Plant Acct-P29 (Reg)'!F95</f>
        <v>0</v>
      </c>
      <c r="G94" s="133"/>
      <c r="H94" s="136">
        <f>+'KY_Res by Plant Acct-P29 (Reg)'!H95</f>
        <v>0</v>
      </c>
      <c r="I94" s="133"/>
      <c r="J94" s="136">
        <f>+'KY_Res by Plant Acct-P29 (Reg)'!J95</f>
        <v>0</v>
      </c>
      <c r="K94" s="133"/>
      <c r="L94" s="136">
        <f>+'KY_Res by Plant Acct-P29 (Reg)'!L95</f>
        <v>0</v>
      </c>
      <c r="M94" s="133"/>
      <c r="N94" s="136">
        <f>+'KY_Res by Plant Acct-P29 (Reg)'!N95</f>
        <v>0</v>
      </c>
      <c r="O94" s="133"/>
      <c r="P94" s="136">
        <f>+'KY_Res by Plant Acct-P29 (Reg)'!P95</f>
        <v>0</v>
      </c>
      <c r="Q94" s="133"/>
      <c r="R94" s="136">
        <f t="shared" si="6"/>
        <v>-163220.79999999996</v>
      </c>
    </row>
    <row r="95" spans="1:18" outlineLevel="1" x14ac:dyDescent="0.2">
      <c r="A95" s="3" t="s">
        <v>3231</v>
      </c>
      <c r="B95" s="136">
        <f>+'KY_Res by Plant Acct-P29 (Reg)'!B96</f>
        <v>-977537.09</v>
      </c>
      <c r="C95" s="133"/>
      <c r="D95" s="136">
        <f>+'KY_Res by Plant Acct-P29 (Reg)'!D96</f>
        <v>-73274.37</v>
      </c>
      <c r="E95" s="133"/>
      <c r="F95" s="136">
        <f>+'KY_Res by Plant Acct-P29 (Reg)'!F96</f>
        <v>0</v>
      </c>
      <c r="G95" s="133"/>
      <c r="H95" s="136">
        <f>+'KY_Res by Plant Acct-P29 (Reg)'!H96</f>
        <v>0</v>
      </c>
      <c r="I95" s="133"/>
      <c r="J95" s="136">
        <f>+'KY_Res by Plant Acct-P29 (Reg)'!J96</f>
        <v>0</v>
      </c>
      <c r="K95" s="133"/>
      <c r="L95" s="136">
        <f>+'KY_Res by Plant Acct-P29 (Reg)'!L96</f>
        <v>0</v>
      </c>
      <c r="M95" s="133"/>
      <c r="N95" s="136">
        <f>+'KY_Res by Plant Acct-P29 (Reg)'!N96</f>
        <v>0</v>
      </c>
      <c r="O95" s="133"/>
      <c r="P95" s="136">
        <f>+'KY_Res by Plant Acct-P29 (Reg)'!P96</f>
        <v>0</v>
      </c>
      <c r="Q95" s="133"/>
      <c r="R95" s="136">
        <f t="shared" si="6"/>
        <v>-1050811.46</v>
      </c>
    </row>
    <row r="96" spans="1:18" outlineLevel="1" x14ac:dyDescent="0.2">
      <c r="A96" s="3" t="s">
        <v>3232</v>
      </c>
      <c r="B96" s="136">
        <f>+'KY_Res by Plant Acct-P29 (Reg)'!B97</f>
        <v>0</v>
      </c>
      <c r="C96" s="133"/>
      <c r="D96" s="136">
        <f>+'KY_Res by Plant Acct-P29 (Reg)'!D97</f>
        <v>0</v>
      </c>
      <c r="E96" s="133"/>
      <c r="F96" s="136">
        <f>+'KY_Res by Plant Acct-P29 (Reg)'!F97</f>
        <v>0</v>
      </c>
      <c r="G96" s="133"/>
      <c r="H96" s="136">
        <f>+'KY_Res by Plant Acct-P29 (Reg)'!H97</f>
        <v>0</v>
      </c>
      <c r="I96" s="133"/>
      <c r="J96" s="136">
        <f>+'KY_Res by Plant Acct-P29 (Reg)'!J97</f>
        <v>0</v>
      </c>
      <c r="K96" s="133"/>
      <c r="L96" s="136">
        <f>+'KY_Res by Plant Acct-P29 (Reg)'!L97</f>
        <v>0</v>
      </c>
      <c r="M96" s="133"/>
      <c r="N96" s="136">
        <f>+'KY_Res by Plant Acct-P29 (Reg)'!N97</f>
        <v>0</v>
      </c>
      <c r="O96" s="133"/>
      <c r="P96" s="136">
        <f>+'KY_Res by Plant Acct-P29 (Reg)'!P97</f>
        <v>0</v>
      </c>
      <c r="Q96" s="133"/>
      <c r="R96" s="136">
        <f t="shared" si="6"/>
        <v>0</v>
      </c>
    </row>
    <row r="97" spans="1:18" outlineLevel="1" x14ac:dyDescent="0.2">
      <c r="A97" s="3" t="s">
        <v>3233</v>
      </c>
      <c r="B97" s="136">
        <f>+'KY_Res by Plant Acct-P29 (Reg)'!B98</f>
        <v>-16557.639999999996</v>
      </c>
      <c r="C97" s="133"/>
      <c r="D97" s="136">
        <f>+'KY_Res by Plant Acct-P29 (Reg)'!D98</f>
        <v>-1540.74</v>
      </c>
      <c r="E97" s="133"/>
      <c r="F97" s="136">
        <f>+'KY_Res by Plant Acct-P29 (Reg)'!F98</f>
        <v>0</v>
      </c>
      <c r="G97" s="133"/>
      <c r="H97" s="136">
        <f>+'KY_Res by Plant Acct-P29 (Reg)'!H98</f>
        <v>0</v>
      </c>
      <c r="I97" s="133"/>
      <c r="J97" s="136">
        <f>+'KY_Res by Plant Acct-P29 (Reg)'!J98</f>
        <v>0</v>
      </c>
      <c r="K97" s="133"/>
      <c r="L97" s="136">
        <f>+'KY_Res by Plant Acct-P29 (Reg)'!L98</f>
        <v>0</v>
      </c>
      <c r="M97" s="133"/>
      <c r="N97" s="136">
        <f>+'KY_Res by Plant Acct-P29 (Reg)'!N98</f>
        <v>0</v>
      </c>
      <c r="O97" s="133"/>
      <c r="P97" s="136">
        <f>+'KY_Res by Plant Acct-P29 (Reg)'!P98</f>
        <v>0</v>
      </c>
      <c r="Q97" s="133"/>
      <c r="R97" s="136">
        <f t="shared" si="6"/>
        <v>-18098.379999999997</v>
      </c>
    </row>
    <row r="98" spans="1:18" x14ac:dyDescent="0.2">
      <c r="A98" s="3" t="s">
        <v>3234</v>
      </c>
      <c r="B98" s="136">
        <f>SUM(B79:B97)</f>
        <v>-5023124.68</v>
      </c>
      <c r="C98" s="133"/>
      <c r="D98" s="136">
        <f>SUM(D79:D97)</f>
        <v>-847120.29999999993</v>
      </c>
      <c r="E98" s="133"/>
      <c r="F98" s="136">
        <f>SUM(F79:F97)</f>
        <v>21564.32</v>
      </c>
      <c r="G98" s="133"/>
      <c r="H98" s="136">
        <f t="shared" ref="H98:R98" si="8">SUM(H79:H97)</f>
        <v>0</v>
      </c>
      <c r="I98" s="133"/>
      <c r="J98" s="136">
        <f t="shared" si="8"/>
        <v>0</v>
      </c>
      <c r="K98" s="133"/>
      <c r="L98" s="136">
        <f t="shared" si="8"/>
        <v>15336.32</v>
      </c>
      <c r="M98" s="133"/>
      <c r="N98" s="136">
        <f t="shared" si="8"/>
        <v>0</v>
      </c>
      <c r="O98" s="133"/>
      <c r="P98" s="136">
        <f t="shared" si="8"/>
        <v>0</v>
      </c>
      <c r="Q98" s="133"/>
      <c r="R98" s="136">
        <f t="shared" si="8"/>
        <v>-5833344.3399999999</v>
      </c>
    </row>
    <row r="99" spans="1:18" outlineLevel="1" x14ac:dyDescent="0.2">
      <c r="A99" s="3" t="s">
        <v>3235</v>
      </c>
      <c r="B99" s="136">
        <f>+'KY_Res by Plant Acct-P29 (Reg)'!B100</f>
        <v>-1668777.27</v>
      </c>
      <c r="C99" s="136">
        <f>+'KY_Res by Plant Acct-P29 (Reg)'!C100</f>
        <v>0</v>
      </c>
      <c r="D99" s="136">
        <f>+'KY_Res by Plant Acct-P29 (Reg)'!D100</f>
        <v>-2189882.9</v>
      </c>
      <c r="E99" s="136">
        <f>+'KY_Res by Plant Acct-P29 (Reg)'!E100</f>
        <v>0</v>
      </c>
      <c r="F99" s="136">
        <f>+'KY_Res by Plant Acct-P29 (Reg)'!F100</f>
        <v>54987.73</v>
      </c>
      <c r="G99" s="136">
        <f>+'KY_Res by Plant Acct-P29 (Reg)'!G100</f>
        <v>0</v>
      </c>
      <c r="H99" s="136">
        <f>+'KY_Res by Plant Acct-P29 (Reg)'!H100</f>
        <v>0</v>
      </c>
      <c r="I99" s="136">
        <f>+'KY_Res by Plant Acct-P29 (Reg)'!I100</f>
        <v>0</v>
      </c>
      <c r="J99" s="136">
        <f>+'KY_Res by Plant Acct-P29 (Reg)'!J100</f>
        <v>0</v>
      </c>
      <c r="K99" s="136">
        <f>+'KY_Res by Plant Acct-P29 (Reg)'!K100</f>
        <v>0</v>
      </c>
      <c r="L99" s="136">
        <f>+'KY_Res by Plant Acct-P29 (Reg)'!L100</f>
        <v>8133.29</v>
      </c>
      <c r="M99" s="136">
        <f>+'KY_Res by Plant Acct-P29 (Reg)'!M100</f>
        <v>0</v>
      </c>
      <c r="N99" s="136">
        <f>+'KY_Res by Plant Acct-P29 (Reg)'!N100</f>
        <v>0</v>
      </c>
      <c r="O99" s="136">
        <f>+'KY_Res by Plant Acct-P29 (Reg)'!O100</f>
        <v>0</v>
      </c>
      <c r="P99" s="136">
        <f>+'KY_Res by Plant Acct-P29 (Reg)'!P100</f>
        <v>0</v>
      </c>
      <c r="Q99" s="133"/>
      <c r="R99" s="136">
        <f t="shared" si="6"/>
        <v>-3795539.15</v>
      </c>
    </row>
    <row r="100" spans="1:18" outlineLevel="1" x14ac:dyDescent="0.2">
      <c r="A100" s="3" t="s">
        <v>3236</v>
      </c>
      <c r="B100" s="136">
        <f>+'KY_Res by Plant Acct-P29 (Reg)'!B101</f>
        <v>-8321059.8800000008</v>
      </c>
      <c r="C100" s="133"/>
      <c r="D100" s="136">
        <f>+'KY_Res by Plant Acct-P29 (Reg)'!D101</f>
        <v>-702502.57</v>
      </c>
      <c r="E100" s="133"/>
      <c r="F100" s="136">
        <f>+'KY_Res by Plant Acct-P29 (Reg)'!F101</f>
        <v>0</v>
      </c>
      <c r="G100" s="133"/>
      <c r="H100" s="136">
        <f>+'KY_Res by Plant Acct-P29 (Reg)'!H101</f>
        <v>0</v>
      </c>
      <c r="I100" s="133"/>
      <c r="J100" s="136">
        <f>+'KY_Res by Plant Acct-P29 (Reg)'!J101</f>
        <v>0</v>
      </c>
      <c r="K100" s="133"/>
      <c r="L100" s="136">
        <f>+'KY_Res by Plant Acct-P29 (Reg)'!L101</f>
        <v>0</v>
      </c>
      <c r="M100" s="133"/>
      <c r="N100" s="136">
        <f>+'KY_Res by Plant Acct-P29 (Reg)'!N101</f>
        <v>0</v>
      </c>
      <c r="O100" s="133"/>
      <c r="P100" s="136">
        <f>+'KY_Res by Plant Acct-P29 (Reg)'!P101</f>
        <v>0</v>
      </c>
      <c r="Q100" s="133"/>
      <c r="R100" s="136">
        <f t="shared" si="6"/>
        <v>-9023562.4500000011</v>
      </c>
    </row>
    <row r="101" spans="1:18" outlineLevel="1" x14ac:dyDescent="0.2">
      <c r="A101" s="3" t="s">
        <v>3237</v>
      </c>
      <c r="B101" s="136">
        <f>+'KY_Res by Plant Acct-P29 (Reg)'!B102</f>
        <v>-7799210.0499999998</v>
      </c>
      <c r="C101" s="133"/>
      <c r="D101" s="136">
        <f>+'KY_Res by Plant Acct-P29 (Reg)'!D102</f>
        <v>-1225681.74</v>
      </c>
      <c r="E101" s="133"/>
      <c r="F101" s="136">
        <f>+'KY_Res by Plant Acct-P29 (Reg)'!F102</f>
        <v>0</v>
      </c>
      <c r="G101" s="133"/>
      <c r="H101" s="136">
        <f>+'KY_Res by Plant Acct-P29 (Reg)'!H102</f>
        <v>0</v>
      </c>
      <c r="I101" s="133"/>
      <c r="J101" s="136">
        <f>+'KY_Res by Plant Acct-P29 (Reg)'!J102</f>
        <v>0</v>
      </c>
      <c r="K101" s="133"/>
      <c r="L101" s="136">
        <f>+'KY_Res by Plant Acct-P29 (Reg)'!L102</f>
        <v>0</v>
      </c>
      <c r="M101" s="133"/>
      <c r="N101" s="136">
        <f>+'KY_Res by Plant Acct-P29 (Reg)'!N102</f>
        <v>0</v>
      </c>
      <c r="O101" s="133"/>
      <c r="P101" s="136">
        <f>+'KY_Res by Plant Acct-P29 (Reg)'!P102</f>
        <v>0</v>
      </c>
      <c r="Q101" s="133"/>
      <c r="R101" s="136">
        <f t="shared" si="6"/>
        <v>-9024891.7899999991</v>
      </c>
    </row>
    <row r="102" spans="1:18" outlineLevel="1" x14ac:dyDescent="0.2">
      <c r="A102" s="3" t="s">
        <v>3238</v>
      </c>
      <c r="B102" s="136">
        <f>+'KY_Res by Plant Acct-P29 (Reg)'!B103</f>
        <v>-9182047.7599999998</v>
      </c>
      <c r="C102" s="133"/>
      <c r="D102" s="136">
        <f>+'KY_Res by Plant Acct-P29 (Reg)'!D103</f>
        <v>-951574.37</v>
      </c>
      <c r="E102" s="133"/>
      <c r="F102" s="136">
        <f>+'KY_Res by Plant Acct-P29 (Reg)'!F103</f>
        <v>0</v>
      </c>
      <c r="G102" s="133"/>
      <c r="H102" s="136">
        <f>+'KY_Res by Plant Acct-P29 (Reg)'!H103</f>
        <v>0</v>
      </c>
      <c r="I102" s="133"/>
      <c r="J102" s="136">
        <f>+'KY_Res by Plant Acct-P29 (Reg)'!J103</f>
        <v>0</v>
      </c>
      <c r="K102" s="133"/>
      <c r="L102" s="136">
        <f>+'KY_Res by Plant Acct-P29 (Reg)'!L103</f>
        <v>0</v>
      </c>
      <c r="M102" s="133"/>
      <c r="N102" s="136">
        <f>+'KY_Res by Plant Acct-P29 (Reg)'!N103</f>
        <v>0</v>
      </c>
      <c r="O102" s="133"/>
      <c r="P102" s="136">
        <f>+'KY_Res by Plant Acct-P29 (Reg)'!P103</f>
        <v>0</v>
      </c>
      <c r="Q102" s="133"/>
      <c r="R102" s="136">
        <f t="shared" si="6"/>
        <v>-10133622.129999999</v>
      </c>
    </row>
    <row r="103" spans="1:18" outlineLevel="1" x14ac:dyDescent="0.2">
      <c r="A103" s="3" t="s">
        <v>3239</v>
      </c>
      <c r="B103" s="136">
        <f>+'KY_Res by Plant Acct-P29 (Reg)'!B104</f>
        <v>-7710566.3600000013</v>
      </c>
      <c r="C103" s="133"/>
      <c r="D103" s="136">
        <f>+'KY_Res by Plant Acct-P29 (Reg)'!D104</f>
        <v>-1125526.01</v>
      </c>
      <c r="E103" s="133"/>
      <c r="F103" s="136">
        <f>+'KY_Res by Plant Acct-P29 (Reg)'!F104</f>
        <v>0</v>
      </c>
      <c r="G103" s="133"/>
      <c r="H103" s="136">
        <f>+'KY_Res by Plant Acct-P29 (Reg)'!H104</f>
        <v>0</v>
      </c>
      <c r="I103" s="133"/>
      <c r="J103" s="136">
        <f>+'KY_Res by Plant Acct-P29 (Reg)'!J104</f>
        <v>0</v>
      </c>
      <c r="K103" s="133"/>
      <c r="L103" s="136">
        <f>+'KY_Res by Plant Acct-P29 (Reg)'!L104</f>
        <v>0</v>
      </c>
      <c r="M103" s="133"/>
      <c r="N103" s="136">
        <f>+'KY_Res by Plant Acct-P29 (Reg)'!N104</f>
        <v>0</v>
      </c>
      <c r="O103" s="133"/>
      <c r="P103" s="136">
        <f>+'KY_Res by Plant Acct-P29 (Reg)'!P104</f>
        <v>0</v>
      </c>
      <c r="Q103" s="133"/>
      <c r="R103" s="136">
        <f t="shared" si="6"/>
        <v>-8836092.370000001</v>
      </c>
    </row>
    <row r="104" spans="1:18" outlineLevel="1" x14ac:dyDescent="0.2">
      <c r="A104" s="3" t="s">
        <v>3240</v>
      </c>
      <c r="B104" s="136">
        <f>+'KY_Res by Plant Acct-P29 (Reg)'!B105</f>
        <v>-5523388.790000001</v>
      </c>
      <c r="C104" s="133"/>
      <c r="D104" s="136">
        <f>+'KY_Res by Plant Acct-P29 (Reg)'!D105</f>
        <v>-611017.55000000005</v>
      </c>
      <c r="E104" s="133"/>
      <c r="F104" s="136">
        <f>+'KY_Res by Plant Acct-P29 (Reg)'!F105</f>
        <v>14840.24</v>
      </c>
      <c r="G104" s="133"/>
      <c r="H104" s="136">
        <f>+'KY_Res by Plant Acct-P29 (Reg)'!H105</f>
        <v>0</v>
      </c>
      <c r="I104" s="133"/>
      <c r="J104" s="136">
        <f>+'KY_Res by Plant Acct-P29 (Reg)'!J105</f>
        <v>0</v>
      </c>
      <c r="K104" s="133"/>
      <c r="L104" s="136">
        <f>+'KY_Res by Plant Acct-P29 (Reg)'!L105</f>
        <v>0</v>
      </c>
      <c r="M104" s="133"/>
      <c r="N104" s="136">
        <f>+'KY_Res by Plant Acct-P29 (Reg)'!N105</f>
        <v>0</v>
      </c>
      <c r="O104" s="133"/>
      <c r="P104" s="136">
        <f>+'KY_Res by Plant Acct-P29 (Reg)'!P105</f>
        <v>0</v>
      </c>
      <c r="Q104" s="133"/>
      <c r="R104" s="136">
        <f t="shared" si="6"/>
        <v>-6119566.1000000006</v>
      </c>
    </row>
    <row r="105" spans="1:18" outlineLevel="1" x14ac:dyDescent="0.2">
      <c r="A105" s="3" t="s">
        <v>3241</v>
      </c>
      <c r="B105" s="136">
        <f>+'KY_Res by Plant Acct-P29 (Reg)'!B106</f>
        <v>-6273629.4800000014</v>
      </c>
      <c r="C105" s="133"/>
      <c r="D105" s="136">
        <f>+'KY_Res by Plant Acct-P29 (Reg)'!D106</f>
        <v>-624563.76</v>
      </c>
      <c r="E105" s="133"/>
      <c r="F105" s="136">
        <f>+'KY_Res by Plant Acct-P29 (Reg)'!F106</f>
        <v>331022.51</v>
      </c>
      <c r="G105" s="133"/>
      <c r="H105" s="136">
        <f>+'KY_Res by Plant Acct-P29 (Reg)'!H106</f>
        <v>0</v>
      </c>
      <c r="I105" s="133"/>
      <c r="J105" s="136">
        <f>+'KY_Res by Plant Acct-P29 (Reg)'!J106</f>
        <v>0</v>
      </c>
      <c r="K105" s="133"/>
      <c r="L105" s="136">
        <f>+'KY_Res by Plant Acct-P29 (Reg)'!L106</f>
        <v>0</v>
      </c>
      <c r="M105" s="133"/>
      <c r="N105" s="136">
        <f>+'KY_Res by Plant Acct-P29 (Reg)'!N106</f>
        <v>0</v>
      </c>
      <c r="O105" s="133"/>
      <c r="P105" s="136">
        <f>+'KY_Res by Plant Acct-P29 (Reg)'!P106</f>
        <v>0</v>
      </c>
      <c r="Q105" s="133"/>
      <c r="R105" s="136">
        <f t="shared" si="6"/>
        <v>-6567170.7300000014</v>
      </c>
    </row>
    <row r="106" spans="1:18" outlineLevel="1" x14ac:dyDescent="0.2">
      <c r="A106" s="3" t="s">
        <v>3242</v>
      </c>
      <c r="B106" s="136">
        <f>+'KY_Res by Plant Acct-P29 (Reg)'!B107</f>
        <v>-6230167.0900000008</v>
      </c>
      <c r="C106" s="133"/>
      <c r="D106" s="136">
        <f>+'KY_Res by Plant Acct-P29 (Reg)'!D107</f>
        <v>-609773.55000000005</v>
      </c>
      <c r="E106" s="133"/>
      <c r="F106" s="136">
        <f>+'KY_Res by Plant Acct-P29 (Reg)'!F107</f>
        <v>489484.19</v>
      </c>
      <c r="G106" s="133"/>
      <c r="H106" s="136">
        <f>+'KY_Res by Plant Acct-P29 (Reg)'!H107</f>
        <v>-93062.31</v>
      </c>
      <c r="I106" s="133"/>
      <c r="J106" s="136">
        <f>+'KY_Res by Plant Acct-P29 (Reg)'!J107</f>
        <v>0</v>
      </c>
      <c r="K106" s="133"/>
      <c r="L106" s="136">
        <f>+'KY_Res by Plant Acct-P29 (Reg)'!L107</f>
        <v>92291.13</v>
      </c>
      <c r="M106" s="133"/>
      <c r="N106" s="136">
        <f>+'KY_Res by Plant Acct-P29 (Reg)'!N107</f>
        <v>0</v>
      </c>
      <c r="O106" s="133"/>
      <c r="P106" s="136">
        <f>+'KY_Res by Plant Acct-P29 (Reg)'!P107</f>
        <v>0</v>
      </c>
      <c r="Q106" s="133"/>
      <c r="R106" s="136">
        <f t="shared" si="6"/>
        <v>-6351227.6299999999</v>
      </c>
    </row>
    <row r="107" spans="1:18" outlineLevel="1" x14ac:dyDescent="0.2">
      <c r="A107" s="3" t="s">
        <v>3243</v>
      </c>
      <c r="B107" s="136">
        <f>+'KY_Res by Plant Acct-P29 (Reg)'!B108</f>
        <v>-5784578.9100000001</v>
      </c>
      <c r="C107" s="133"/>
      <c r="D107" s="136">
        <f>+'KY_Res by Plant Acct-P29 (Reg)'!D108</f>
        <v>-645853.18999999994</v>
      </c>
      <c r="E107" s="133"/>
      <c r="F107" s="136">
        <f>+'KY_Res by Plant Acct-P29 (Reg)'!F108</f>
        <v>0</v>
      </c>
      <c r="G107" s="133"/>
      <c r="H107" s="136">
        <f>+'KY_Res by Plant Acct-P29 (Reg)'!H108</f>
        <v>93062.31</v>
      </c>
      <c r="I107" s="133"/>
      <c r="J107" s="136">
        <f>+'KY_Res by Plant Acct-P29 (Reg)'!J108</f>
        <v>0</v>
      </c>
      <c r="K107" s="133"/>
      <c r="L107" s="136">
        <f>+'KY_Res by Plant Acct-P29 (Reg)'!L108</f>
        <v>0</v>
      </c>
      <c r="M107" s="133"/>
      <c r="N107" s="136">
        <f>+'KY_Res by Plant Acct-P29 (Reg)'!N108</f>
        <v>0</v>
      </c>
      <c r="O107" s="133"/>
      <c r="P107" s="136">
        <f>+'KY_Res by Plant Acct-P29 (Reg)'!P108</f>
        <v>0</v>
      </c>
      <c r="Q107" s="133"/>
      <c r="R107" s="136">
        <f t="shared" si="6"/>
        <v>-6337369.79</v>
      </c>
    </row>
    <row r="108" spans="1:18" outlineLevel="1" x14ac:dyDescent="0.2">
      <c r="A108" s="3" t="s">
        <v>3244</v>
      </c>
      <c r="B108" s="136">
        <f>+'KY_Res by Plant Acct-P29 (Reg)'!B109</f>
        <v>-5432848.0200000014</v>
      </c>
      <c r="C108" s="133"/>
      <c r="D108" s="136">
        <f>+'KY_Res by Plant Acct-P29 (Reg)'!D109</f>
        <v>-622984.43999999994</v>
      </c>
      <c r="E108" s="133"/>
      <c r="F108" s="136">
        <f>+'KY_Res by Plant Acct-P29 (Reg)'!F109</f>
        <v>0</v>
      </c>
      <c r="G108" s="133"/>
      <c r="H108" s="136">
        <f>+'KY_Res by Plant Acct-P29 (Reg)'!H109</f>
        <v>0</v>
      </c>
      <c r="I108" s="133"/>
      <c r="J108" s="136">
        <f>+'KY_Res by Plant Acct-P29 (Reg)'!J109</f>
        <v>0</v>
      </c>
      <c r="K108" s="133"/>
      <c r="L108" s="136">
        <f>+'KY_Res by Plant Acct-P29 (Reg)'!L109</f>
        <v>0</v>
      </c>
      <c r="M108" s="133"/>
      <c r="N108" s="136">
        <f>+'KY_Res by Plant Acct-P29 (Reg)'!N109</f>
        <v>0</v>
      </c>
      <c r="O108" s="133"/>
      <c r="P108" s="136">
        <f>+'KY_Res by Plant Acct-P29 (Reg)'!P109</f>
        <v>0</v>
      </c>
      <c r="Q108" s="133"/>
      <c r="R108" s="136">
        <f t="shared" si="6"/>
        <v>-6055832.4600000009</v>
      </c>
    </row>
    <row r="109" spans="1:18" outlineLevel="1" x14ac:dyDescent="0.2">
      <c r="A109" s="3" t="s">
        <v>3245</v>
      </c>
      <c r="B109" s="136">
        <f>+'KY_Res by Plant Acct-P29 (Reg)'!B110</f>
        <v>-5562642.5200000005</v>
      </c>
      <c r="C109" s="133"/>
      <c r="D109" s="136">
        <f>+'KY_Res by Plant Acct-P29 (Reg)'!D110</f>
        <v>-611721</v>
      </c>
      <c r="E109" s="133"/>
      <c r="F109" s="136">
        <f>+'KY_Res by Plant Acct-P29 (Reg)'!F110</f>
        <v>0</v>
      </c>
      <c r="G109" s="133"/>
      <c r="H109" s="136">
        <f>+'KY_Res by Plant Acct-P29 (Reg)'!H110</f>
        <v>0</v>
      </c>
      <c r="I109" s="133"/>
      <c r="J109" s="136">
        <f>+'KY_Res by Plant Acct-P29 (Reg)'!J110</f>
        <v>0</v>
      </c>
      <c r="K109" s="133"/>
      <c r="L109" s="136">
        <f>+'KY_Res by Plant Acct-P29 (Reg)'!L110</f>
        <v>0</v>
      </c>
      <c r="M109" s="133"/>
      <c r="N109" s="136">
        <f>+'KY_Res by Plant Acct-P29 (Reg)'!N110</f>
        <v>0</v>
      </c>
      <c r="O109" s="133"/>
      <c r="P109" s="136">
        <f>+'KY_Res by Plant Acct-P29 (Reg)'!P110</f>
        <v>0</v>
      </c>
      <c r="Q109" s="133"/>
      <c r="R109" s="136">
        <f t="shared" si="6"/>
        <v>-6174363.5200000005</v>
      </c>
    </row>
    <row r="110" spans="1:18" outlineLevel="1" x14ac:dyDescent="0.2">
      <c r="A110" s="3" t="s">
        <v>3246</v>
      </c>
      <c r="B110" s="136">
        <f>+'KY_Res by Plant Acct-P29 (Reg)'!B111</f>
        <v>0</v>
      </c>
      <c r="C110" s="133"/>
      <c r="D110" s="136">
        <f>+'KY_Res by Plant Acct-P29 (Reg)'!D111</f>
        <v>0</v>
      </c>
      <c r="E110" s="133"/>
      <c r="F110" s="136">
        <f>+'KY_Res by Plant Acct-P29 (Reg)'!F111</f>
        <v>0</v>
      </c>
      <c r="G110" s="133"/>
      <c r="H110" s="136">
        <f>+'KY_Res by Plant Acct-P29 (Reg)'!H111</f>
        <v>0</v>
      </c>
      <c r="I110" s="133"/>
      <c r="J110" s="136">
        <f>+'KY_Res by Plant Acct-P29 (Reg)'!J111</f>
        <v>0</v>
      </c>
      <c r="K110" s="133"/>
      <c r="L110" s="136">
        <f>+'KY_Res by Plant Acct-P29 (Reg)'!L111</f>
        <v>0</v>
      </c>
      <c r="M110" s="133"/>
      <c r="N110" s="136">
        <f>+'KY_Res by Plant Acct-P29 (Reg)'!N111</f>
        <v>0</v>
      </c>
      <c r="O110" s="133"/>
      <c r="P110" s="136">
        <f>+'KY_Res by Plant Acct-P29 (Reg)'!P111</f>
        <v>0</v>
      </c>
      <c r="Q110" s="133"/>
      <c r="R110" s="136">
        <f t="shared" si="6"/>
        <v>0</v>
      </c>
    </row>
    <row r="111" spans="1:18" x14ac:dyDescent="0.2">
      <c r="A111" s="3" t="s">
        <v>3247</v>
      </c>
      <c r="B111" s="136">
        <f>SUM(B99:B110)</f>
        <v>-69488916.13000001</v>
      </c>
      <c r="C111" s="133"/>
      <c r="D111" s="136">
        <f>SUM(D99:D110)</f>
        <v>-9921081.0799999982</v>
      </c>
      <c r="E111" s="136">
        <f t="shared" ref="E111:O111" si="9">SUM(E99:E110)</f>
        <v>0</v>
      </c>
      <c r="F111" s="136">
        <f t="shared" si="9"/>
        <v>890334.66999999993</v>
      </c>
      <c r="G111" s="136">
        <f t="shared" si="9"/>
        <v>0</v>
      </c>
      <c r="H111" s="136">
        <f t="shared" si="9"/>
        <v>0</v>
      </c>
      <c r="I111" s="136">
        <f t="shared" si="9"/>
        <v>0</v>
      </c>
      <c r="J111" s="136">
        <f t="shared" si="9"/>
        <v>0</v>
      </c>
      <c r="K111" s="136">
        <f t="shared" si="9"/>
        <v>0</v>
      </c>
      <c r="L111" s="136">
        <f t="shared" si="9"/>
        <v>100424.42</v>
      </c>
      <c r="M111" s="136">
        <f t="shared" si="9"/>
        <v>0</v>
      </c>
      <c r="N111" s="136">
        <f t="shared" si="9"/>
        <v>0</v>
      </c>
      <c r="O111" s="136">
        <f t="shared" si="9"/>
        <v>0</v>
      </c>
      <c r="P111" s="136">
        <f>SUM(P99:P110)</f>
        <v>0</v>
      </c>
      <c r="Q111" s="133"/>
      <c r="R111" s="136">
        <f>SUM(R99:R110)</f>
        <v>-78419238.120000005</v>
      </c>
    </row>
    <row r="112" spans="1:18" outlineLevel="1" x14ac:dyDescent="0.2">
      <c r="A112" s="3" t="s">
        <v>3654</v>
      </c>
      <c r="B112" s="136">
        <f>+'KY_Res by Plant Acct-P29 (Reg)'!B113</f>
        <v>-2754531.7799999993</v>
      </c>
      <c r="C112" s="133"/>
      <c r="D112" s="136">
        <f>+'KY_Res by Plant Acct-P29 (Reg)'!D113</f>
        <v>-151908.35999999999</v>
      </c>
      <c r="E112" s="133"/>
      <c r="F112" s="136">
        <f>+'KY_Res by Plant Acct-P29 (Reg)'!F113</f>
        <v>0</v>
      </c>
      <c r="G112" s="133"/>
      <c r="H112" s="136">
        <f>+'KY_Res by Plant Acct-P29 (Reg)'!H113</f>
        <v>0</v>
      </c>
      <c r="I112" s="136"/>
      <c r="J112" s="136">
        <f>+'KY_Res by Plant Acct-P29 (Reg)'!J113</f>
        <v>0</v>
      </c>
      <c r="K112" s="133"/>
      <c r="L112" s="136">
        <f>+'KY_Res by Plant Acct-P29 (Reg)'!L113</f>
        <v>0</v>
      </c>
      <c r="M112" s="133"/>
      <c r="N112" s="136">
        <f>+'KY_Res by Plant Acct-P29 (Reg)'!N113</f>
        <v>0</v>
      </c>
      <c r="O112" s="133"/>
      <c r="P112" s="136">
        <f>+'KY_Res by Plant Acct-P29 (Reg)'!P113</f>
        <v>0</v>
      </c>
      <c r="Q112" s="133"/>
      <c r="R112" s="136">
        <f t="shared" si="6"/>
        <v>-2906440.1399999992</v>
      </c>
    </row>
    <row r="113" spans="1:18" outlineLevel="1" x14ac:dyDescent="0.2">
      <c r="A113" s="3" t="s">
        <v>3249</v>
      </c>
      <c r="B113" s="136">
        <f>+'KY_Res by Plant Acct-P29 (Reg)'!B114</f>
        <v>-1297094.6200000001</v>
      </c>
      <c r="C113" s="136">
        <f>+'KY_Res by Plant Acct-P29 (Reg)'!C114</f>
        <v>0</v>
      </c>
      <c r="D113" s="136">
        <f>+'KY_Res by Plant Acct-P29 (Reg)'!D114</f>
        <v>-469702.64</v>
      </c>
      <c r="E113" s="136">
        <f>+'KY_Res by Plant Acct-P29 (Reg)'!E114</f>
        <v>0</v>
      </c>
      <c r="F113" s="136">
        <f>+'KY_Res by Plant Acct-P29 (Reg)'!F114</f>
        <v>0</v>
      </c>
      <c r="G113" s="136">
        <f>+'KY_Res by Plant Acct-P29 (Reg)'!G114</f>
        <v>0</v>
      </c>
      <c r="H113" s="136">
        <f>+'KY_Res by Plant Acct-P29 (Reg)'!H114</f>
        <v>0</v>
      </c>
      <c r="I113" s="136">
        <f>+'KY_Res by Plant Acct-P29 (Reg)'!I114</f>
        <v>0</v>
      </c>
      <c r="J113" s="136">
        <f>+'KY_Res by Plant Acct-P29 (Reg)'!J114</f>
        <v>0</v>
      </c>
      <c r="K113" s="136">
        <f>+'KY_Res by Plant Acct-P29 (Reg)'!K114</f>
        <v>0</v>
      </c>
      <c r="L113" s="136">
        <f>+'KY_Res by Plant Acct-P29 (Reg)'!L114</f>
        <v>0</v>
      </c>
      <c r="M113" s="136">
        <f>+'KY_Res by Plant Acct-P29 (Reg)'!M114</f>
        <v>0</v>
      </c>
      <c r="N113" s="136">
        <f>+'KY_Res by Plant Acct-P29 (Reg)'!N114</f>
        <v>0</v>
      </c>
      <c r="O113" s="136">
        <f>+'KY_Res by Plant Acct-P29 (Reg)'!O114</f>
        <v>0</v>
      </c>
      <c r="P113" s="136">
        <f>+'KY_Res by Plant Acct-P29 (Reg)'!P114</f>
        <v>0</v>
      </c>
      <c r="Q113" s="136">
        <f>+'KY_Res by Plant Acct-P29 (Reg)'!Q114</f>
        <v>0</v>
      </c>
      <c r="R113" s="136">
        <f t="shared" si="6"/>
        <v>-1766797.2600000002</v>
      </c>
    </row>
    <row r="114" spans="1:18" outlineLevel="1" x14ac:dyDescent="0.2">
      <c r="A114" s="3" t="s">
        <v>3250</v>
      </c>
      <c r="B114" s="136">
        <f>+'KY_Res by Plant Acct-P29 (Reg)'!B115</f>
        <v>-1640519.14</v>
      </c>
      <c r="C114" s="133"/>
      <c r="D114" s="136">
        <f>+'KY_Res by Plant Acct-P29 (Reg)'!D115</f>
        <v>-126068.17</v>
      </c>
      <c r="E114" s="133"/>
      <c r="F114" s="136">
        <f>+'KY_Res by Plant Acct-P29 (Reg)'!F115</f>
        <v>0</v>
      </c>
      <c r="G114" s="133"/>
      <c r="H114" s="136">
        <f>+'KY_Res by Plant Acct-P29 (Reg)'!H115</f>
        <v>0</v>
      </c>
      <c r="I114" s="136"/>
      <c r="J114" s="136">
        <f>+'KY_Res by Plant Acct-P29 (Reg)'!J115</f>
        <v>0</v>
      </c>
      <c r="K114" s="133"/>
      <c r="L114" s="136">
        <f>+'KY_Res by Plant Acct-P29 (Reg)'!L115</f>
        <v>0</v>
      </c>
      <c r="M114" s="133"/>
      <c r="N114" s="136">
        <f>+'KY_Res by Plant Acct-P29 (Reg)'!N115</f>
        <v>0</v>
      </c>
      <c r="O114" s="133"/>
      <c r="P114" s="136">
        <f>+'KY_Res by Plant Acct-P29 (Reg)'!P115</f>
        <v>0</v>
      </c>
      <c r="Q114" s="133"/>
      <c r="R114" s="136">
        <f t="shared" si="6"/>
        <v>-1766587.3099999998</v>
      </c>
    </row>
    <row r="115" spans="1:18" outlineLevel="1" x14ac:dyDescent="0.2">
      <c r="A115" s="3" t="s">
        <v>3251</v>
      </c>
      <c r="B115" s="136">
        <f>+'KY_Res by Plant Acct-P29 (Reg)'!B116</f>
        <v>-1333747.51</v>
      </c>
      <c r="C115" s="133"/>
      <c r="D115" s="136">
        <f>+'KY_Res by Plant Acct-P29 (Reg)'!D116</f>
        <v>-99541.2</v>
      </c>
      <c r="E115" s="133"/>
      <c r="F115" s="136">
        <f>+'KY_Res by Plant Acct-P29 (Reg)'!F116</f>
        <v>0</v>
      </c>
      <c r="G115" s="133"/>
      <c r="H115" s="136">
        <f>+'KY_Res by Plant Acct-P29 (Reg)'!H116</f>
        <v>0</v>
      </c>
      <c r="I115" s="136"/>
      <c r="J115" s="136">
        <f>+'KY_Res by Plant Acct-P29 (Reg)'!J116</f>
        <v>0</v>
      </c>
      <c r="K115" s="133"/>
      <c r="L115" s="136">
        <f>+'KY_Res by Plant Acct-P29 (Reg)'!L116</f>
        <v>0</v>
      </c>
      <c r="M115" s="133"/>
      <c r="N115" s="136">
        <f>+'KY_Res by Plant Acct-P29 (Reg)'!N116</f>
        <v>0</v>
      </c>
      <c r="O115" s="133"/>
      <c r="P115" s="136">
        <f>+'KY_Res by Plant Acct-P29 (Reg)'!P116</f>
        <v>0</v>
      </c>
      <c r="Q115" s="133"/>
      <c r="R115" s="136">
        <f t="shared" si="6"/>
        <v>-1433288.71</v>
      </c>
    </row>
    <row r="116" spans="1:18" outlineLevel="1" x14ac:dyDescent="0.2">
      <c r="A116" s="3" t="s">
        <v>3252</v>
      </c>
      <c r="B116" s="136">
        <f>+'KY_Res by Plant Acct-P29 (Reg)'!B117</f>
        <v>-1317328.08</v>
      </c>
      <c r="C116" s="133"/>
      <c r="D116" s="136">
        <f>+'KY_Res by Plant Acct-P29 (Reg)'!D117</f>
        <v>-100989.29</v>
      </c>
      <c r="E116" s="133"/>
      <c r="F116" s="136">
        <f>+'KY_Res by Plant Acct-P29 (Reg)'!F117</f>
        <v>0</v>
      </c>
      <c r="G116" s="133"/>
      <c r="H116" s="136">
        <f>+'KY_Res by Plant Acct-P29 (Reg)'!H117</f>
        <v>0</v>
      </c>
      <c r="I116" s="136"/>
      <c r="J116" s="136">
        <f>+'KY_Res by Plant Acct-P29 (Reg)'!J117</f>
        <v>0</v>
      </c>
      <c r="K116" s="133"/>
      <c r="L116" s="136">
        <f>+'KY_Res by Plant Acct-P29 (Reg)'!L117</f>
        <v>0</v>
      </c>
      <c r="M116" s="133"/>
      <c r="N116" s="136">
        <f>+'KY_Res by Plant Acct-P29 (Reg)'!N117</f>
        <v>0</v>
      </c>
      <c r="O116" s="133"/>
      <c r="P116" s="136">
        <f>+'KY_Res by Plant Acct-P29 (Reg)'!P117</f>
        <v>0</v>
      </c>
      <c r="Q116" s="133"/>
      <c r="R116" s="136">
        <f t="shared" si="6"/>
        <v>-1418317.37</v>
      </c>
    </row>
    <row r="117" spans="1:18" outlineLevel="1" x14ac:dyDescent="0.2">
      <c r="A117" s="3" t="s">
        <v>3253</v>
      </c>
      <c r="B117" s="136">
        <f>+'KY_Res by Plant Acct-P29 (Reg)'!B118</f>
        <v>-209198.93999999997</v>
      </c>
      <c r="C117" s="133"/>
      <c r="D117" s="136">
        <f>+'KY_Res by Plant Acct-P29 (Reg)'!D118</f>
        <v>-397135.74</v>
      </c>
      <c r="E117" s="133"/>
      <c r="F117" s="136">
        <f>+'KY_Res by Plant Acct-P29 (Reg)'!F118</f>
        <v>0</v>
      </c>
      <c r="G117" s="133"/>
      <c r="H117" s="136">
        <f>+'KY_Res by Plant Acct-P29 (Reg)'!H118</f>
        <v>0</v>
      </c>
      <c r="I117" s="136"/>
      <c r="J117" s="136">
        <f>+'KY_Res by Plant Acct-P29 (Reg)'!J118</f>
        <v>0</v>
      </c>
      <c r="K117" s="133"/>
      <c r="L117" s="136">
        <f>+'KY_Res by Plant Acct-P29 (Reg)'!L118</f>
        <v>0</v>
      </c>
      <c r="M117" s="133"/>
      <c r="N117" s="136">
        <f>+'KY_Res by Plant Acct-P29 (Reg)'!N118</f>
        <v>0</v>
      </c>
      <c r="O117" s="133"/>
      <c r="P117" s="136">
        <f>+'KY_Res by Plant Acct-P29 (Reg)'!P118</f>
        <v>0</v>
      </c>
      <c r="Q117" s="133"/>
      <c r="R117" s="136">
        <f t="shared" si="6"/>
        <v>-606334.67999999993</v>
      </c>
    </row>
    <row r="118" spans="1:18" outlineLevel="1" x14ac:dyDescent="0.2">
      <c r="A118" s="3" t="s">
        <v>3254</v>
      </c>
      <c r="B118" s="136">
        <f>+'KY_Res by Plant Acct-P29 (Reg)'!B119</f>
        <v>-1694423.0200000003</v>
      </c>
      <c r="C118" s="133"/>
      <c r="D118" s="136">
        <f>+'KY_Res by Plant Acct-P29 (Reg)'!D119</f>
        <v>0</v>
      </c>
      <c r="E118" s="133"/>
      <c r="F118" s="136">
        <f>+'KY_Res by Plant Acct-P29 (Reg)'!F119</f>
        <v>0</v>
      </c>
      <c r="G118" s="133"/>
      <c r="H118" s="136">
        <f>+'KY_Res by Plant Acct-P29 (Reg)'!H119</f>
        <v>0</v>
      </c>
      <c r="I118" s="136"/>
      <c r="J118" s="136">
        <f>+'KY_Res by Plant Acct-P29 (Reg)'!J119</f>
        <v>0</v>
      </c>
      <c r="K118" s="133"/>
      <c r="L118" s="136">
        <f>+'KY_Res by Plant Acct-P29 (Reg)'!L119</f>
        <v>0</v>
      </c>
      <c r="M118" s="133"/>
      <c r="N118" s="136">
        <f>+'KY_Res by Plant Acct-P29 (Reg)'!N119</f>
        <v>0</v>
      </c>
      <c r="O118" s="133"/>
      <c r="P118" s="136">
        <f>+'KY_Res by Plant Acct-P29 (Reg)'!P119</f>
        <v>0</v>
      </c>
      <c r="Q118" s="133"/>
      <c r="R118" s="136">
        <f t="shared" si="6"/>
        <v>-1694423.0200000003</v>
      </c>
    </row>
    <row r="119" spans="1:18" outlineLevel="1" x14ac:dyDescent="0.2">
      <c r="A119" s="3" t="s">
        <v>3255</v>
      </c>
      <c r="B119" s="136">
        <f>+'KY_Res by Plant Acct-P29 (Reg)'!B120</f>
        <v>-3424975.0799999996</v>
      </c>
      <c r="C119" s="133"/>
      <c r="D119" s="136">
        <f>+'KY_Res by Plant Acct-P29 (Reg)'!D120</f>
        <v>0</v>
      </c>
      <c r="E119" s="133"/>
      <c r="F119" s="136">
        <f>+'KY_Res by Plant Acct-P29 (Reg)'!F120</f>
        <v>0</v>
      </c>
      <c r="G119" s="133"/>
      <c r="H119" s="136">
        <f>+'KY_Res by Plant Acct-P29 (Reg)'!H120</f>
        <v>0</v>
      </c>
      <c r="I119" s="136"/>
      <c r="J119" s="136">
        <f>+'KY_Res by Plant Acct-P29 (Reg)'!J120</f>
        <v>0</v>
      </c>
      <c r="K119" s="133"/>
      <c r="L119" s="136">
        <f>+'KY_Res by Plant Acct-P29 (Reg)'!L120</f>
        <v>0</v>
      </c>
      <c r="M119" s="133"/>
      <c r="N119" s="136">
        <f>+'KY_Res by Plant Acct-P29 (Reg)'!N120</f>
        <v>0</v>
      </c>
      <c r="O119" s="133"/>
      <c r="P119" s="136">
        <f>+'KY_Res by Plant Acct-P29 (Reg)'!P120</f>
        <v>0</v>
      </c>
      <c r="Q119" s="133"/>
      <c r="R119" s="136">
        <f t="shared" si="6"/>
        <v>-3424975.0799999996</v>
      </c>
    </row>
    <row r="120" spans="1:18" outlineLevel="1" x14ac:dyDescent="0.2">
      <c r="A120" s="3" t="s">
        <v>3256</v>
      </c>
      <c r="B120" s="136">
        <f>+'KY_Res by Plant Acct-P29 (Reg)'!B121</f>
        <v>-2757740.0500000003</v>
      </c>
      <c r="C120" s="133"/>
      <c r="D120" s="136">
        <f>+'KY_Res by Plant Acct-P29 (Reg)'!D121</f>
        <v>-234897.48</v>
      </c>
      <c r="E120" s="133"/>
      <c r="F120" s="136">
        <f>+'KY_Res by Plant Acct-P29 (Reg)'!F121</f>
        <v>0</v>
      </c>
      <c r="G120" s="133"/>
      <c r="H120" s="136">
        <f>+'KY_Res by Plant Acct-P29 (Reg)'!H121</f>
        <v>0</v>
      </c>
      <c r="I120" s="136"/>
      <c r="J120" s="136">
        <f>+'KY_Res by Plant Acct-P29 (Reg)'!J121</f>
        <v>0</v>
      </c>
      <c r="K120" s="133"/>
      <c r="L120" s="136">
        <f>+'KY_Res by Plant Acct-P29 (Reg)'!L121</f>
        <v>0</v>
      </c>
      <c r="M120" s="133"/>
      <c r="N120" s="136">
        <f>+'KY_Res by Plant Acct-P29 (Reg)'!N121</f>
        <v>0</v>
      </c>
      <c r="O120" s="133"/>
      <c r="P120" s="136">
        <f>+'KY_Res by Plant Acct-P29 (Reg)'!P121</f>
        <v>0</v>
      </c>
      <c r="Q120" s="133"/>
      <c r="R120" s="136">
        <f t="shared" si="6"/>
        <v>-2992637.5300000003</v>
      </c>
    </row>
    <row r="121" spans="1:18" outlineLevel="1" x14ac:dyDescent="0.2">
      <c r="A121" s="3" t="s">
        <v>3257</v>
      </c>
      <c r="B121" s="136">
        <f>+'KY_Res by Plant Acct-P29 (Reg)'!B122</f>
        <v>-731714.47000000009</v>
      </c>
      <c r="C121" s="133"/>
      <c r="D121" s="136">
        <f>+'KY_Res by Plant Acct-P29 (Reg)'!D122</f>
        <v>-62546.59</v>
      </c>
      <c r="E121" s="133"/>
      <c r="F121" s="136">
        <f>+'KY_Res by Plant Acct-P29 (Reg)'!F122</f>
        <v>3649.71</v>
      </c>
      <c r="G121" s="133"/>
      <c r="H121" s="136">
        <f>+'KY_Res by Plant Acct-P29 (Reg)'!H122</f>
        <v>0</v>
      </c>
      <c r="I121" s="136"/>
      <c r="J121" s="136">
        <f>+'KY_Res by Plant Acct-P29 (Reg)'!J122</f>
        <v>0</v>
      </c>
      <c r="K121" s="133"/>
      <c r="L121" s="136">
        <f>+'KY_Res by Plant Acct-P29 (Reg)'!L122</f>
        <v>0</v>
      </c>
      <c r="M121" s="133"/>
      <c r="N121" s="136">
        <f>+'KY_Res by Plant Acct-P29 (Reg)'!N122</f>
        <v>0</v>
      </c>
      <c r="O121" s="133"/>
      <c r="P121" s="136">
        <f>+'KY_Res by Plant Acct-P29 (Reg)'!P122</f>
        <v>0</v>
      </c>
      <c r="Q121" s="133"/>
      <c r="R121" s="136">
        <f t="shared" si="6"/>
        <v>-790611.35000000009</v>
      </c>
    </row>
    <row r="122" spans="1:18" outlineLevel="1" x14ac:dyDescent="0.2">
      <c r="A122" s="3" t="s">
        <v>3258</v>
      </c>
      <c r="B122" s="136">
        <f>+'KY_Res by Plant Acct-P29 (Reg)'!B123</f>
        <v>-748810.3899999999</v>
      </c>
      <c r="C122" s="133"/>
      <c r="D122" s="136">
        <f>+'KY_Res by Plant Acct-P29 (Reg)'!D123</f>
        <v>-59150.51</v>
      </c>
      <c r="E122" s="133"/>
      <c r="F122" s="136">
        <f>+'KY_Res by Plant Acct-P29 (Reg)'!F123</f>
        <v>3004.96</v>
      </c>
      <c r="G122" s="133"/>
      <c r="H122" s="136">
        <f>+'KY_Res by Plant Acct-P29 (Reg)'!H123</f>
        <v>0</v>
      </c>
      <c r="I122" s="136"/>
      <c r="J122" s="136">
        <f>+'KY_Res by Plant Acct-P29 (Reg)'!J123</f>
        <v>0</v>
      </c>
      <c r="K122" s="133"/>
      <c r="L122" s="136">
        <f>+'KY_Res by Plant Acct-P29 (Reg)'!L123</f>
        <v>0</v>
      </c>
      <c r="M122" s="133"/>
      <c r="N122" s="136">
        <f>+'KY_Res by Plant Acct-P29 (Reg)'!N123</f>
        <v>0</v>
      </c>
      <c r="O122" s="133"/>
      <c r="P122" s="136">
        <f>+'KY_Res by Plant Acct-P29 (Reg)'!P123</f>
        <v>0</v>
      </c>
      <c r="Q122" s="133"/>
      <c r="R122" s="136">
        <f t="shared" si="6"/>
        <v>-804955.94</v>
      </c>
    </row>
    <row r="123" spans="1:18" outlineLevel="1" x14ac:dyDescent="0.2">
      <c r="A123" s="3" t="s">
        <v>3259</v>
      </c>
      <c r="B123" s="136">
        <f>+'KY_Res by Plant Acct-P29 (Reg)'!B124</f>
        <v>-747849.91</v>
      </c>
      <c r="C123" s="133"/>
      <c r="D123" s="136">
        <f>+'KY_Res by Plant Acct-P29 (Reg)'!D124</f>
        <v>-58181.2</v>
      </c>
      <c r="E123" s="133"/>
      <c r="F123" s="136">
        <f>+'KY_Res by Plant Acct-P29 (Reg)'!F124</f>
        <v>35577.730000000003</v>
      </c>
      <c r="G123" s="133"/>
      <c r="H123" s="136">
        <f>+'KY_Res by Plant Acct-P29 (Reg)'!H124</f>
        <v>0</v>
      </c>
      <c r="I123" s="136"/>
      <c r="J123" s="136">
        <f>+'KY_Res by Plant Acct-P29 (Reg)'!J124</f>
        <v>0</v>
      </c>
      <c r="K123" s="133"/>
      <c r="L123" s="136">
        <f>+'KY_Res by Plant Acct-P29 (Reg)'!L124</f>
        <v>0</v>
      </c>
      <c r="M123" s="133"/>
      <c r="N123" s="136">
        <f>+'KY_Res by Plant Acct-P29 (Reg)'!N124</f>
        <v>0</v>
      </c>
      <c r="O123" s="133"/>
      <c r="P123" s="136">
        <f>+'KY_Res by Plant Acct-P29 (Reg)'!P124</f>
        <v>0</v>
      </c>
      <c r="Q123" s="133"/>
      <c r="R123" s="136">
        <f t="shared" si="6"/>
        <v>-770453.38</v>
      </c>
    </row>
    <row r="124" spans="1:18" outlineLevel="1" x14ac:dyDescent="0.2">
      <c r="A124" s="3" t="s">
        <v>3260</v>
      </c>
      <c r="B124" s="136">
        <f>+'KY_Res by Plant Acct-P29 (Reg)'!B125</f>
        <v>-737577.87</v>
      </c>
      <c r="C124" s="133"/>
      <c r="D124" s="136">
        <f>+'KY_Res by Plant Acct-P29 (Reg)'!D125</f>
        <v>-62427.27</v>
      </c>
      <c r="E124" s="133"/>
      <c r="F124" s="136">
        <f>+'KY_Res by Plant Acct-P29 (Reg)'!F125</f>
        <v>3226.13</v>
      </c>
      <c r="G124" s="133"/>
      <c r="H124" s="136">
        <f>+'KY_Res by Plant Acct-P29 (Reg)'!H125</f>
        <v>0</v>
      </c>
      <c r="I124" s="136"/>
      <c r="J124" s="136">
        <f>+'KY_Res by Plant Acct-P29 (Reg)'!J125</f>
        <v>0</v>
      </c>
      <c r="K124" s="133"/>
      <c r="L124" s="136">
        <f>+'KY_Res by Plant Acct-P29 (Reg)'!L125</f>
        <v>0</v>
      </c>
      <c r="M124" s="133"/>
      <c r="N124" s="136">
        <f>+'KY_Res by Plant Acct-P29 (Reg)'!N125</f>
        <v>0</v>
      </c>
      <c r="O124" s="133"/>
      <c r="P124" s="136">
        <f>+'KY_Res by Plant Acct-P29 (Reg)'!P125</f>
        <v>0</v>
      </c>
      <c r="Q124" s="133"/>
      <c r="R124" s="136">
        <f t="shared" si="6"/>
        <v>-796779.01</v>
      </c>
    </row>
    <row r="125" spans="1:18" outlineLevel="1" x14ac:dyDescent="0.2">
      <c r="A125" s="3" t="s">
        <v>3261</v>
      </c>
      <c r="B125" s="136">
        <f>+'KY_Res by Plant Acct-P29 (Reg)'!B126</f>
        <v>-733515.56</v>
      </c>
      <c r="C125" s="133"/>
      <c r="D125" s="136">
        <f>+'KY_Res by Plant Acct-P29 (Reg)'!D126</f>
        <v>-62087.97</v>
      </c>
      <c r="E125" s="133"/>
      <c r="F125" s="136">
        <f>+'KY_Res by Plant Acct-P29 (Reg)'!F126</f>
        <v>3209.69</v>
      </c>
      <c r="G125" s="133"/>
      <c r="H125" s="136">
        <f>+'KY_Res by Plant Acct-P29 (Reg)'!H126</f>
        <v>0</v>
      </c>
      <c r="I125" s="136"/>
      <c r="J125" s="136">
        <f>+'KY_Res by Plant Acct-P29 (Reg)'!J126</f>
        <v>0</v>
      </c>
      <c r="K125" s="133"/>
      <c r="L125" s="136">
        <f>+'KY_Res by Plant Acct-P29 (Reg)'!L126</f>
        <v>0</v>
      </c>
      <c r="M125" s="133"/>
      <c r="N125" s="136">
        <f>+'KY_Res by Plant Acct-P29 (Reg)'!N126</f>
        <v>0</v>
      </c>
      <c r="O125" s="133"/>
      <c r="P125" s="136">
        <f>+'KY_Res by Plant Acct-P29 (Reg)'!P126</f>
        <v>0</v>
      </c>
      <c r="Q125" s="133"/>
      <c r="R125" s="136">
        <f t="shared" si="6"/>
        <v>-792393.84000000008</v>
      </c>
    </row>
    <row r="126" spans="1:18" outlineLevel="1" x14ac:dyDescent="0.2">
      <c r="A126" s="3" t="s">
        <v>3262</v>
      </c>
      <c r="B126" s="136">
        <f>+'KY_Res by Plant Acct-P29 (Reg)'!B127</f>
        <v>-705405.65000000014</v>
      </c>
      <c r="C126" s="133"/>
      <c r="D126" s="136">
        <f>+'KY_Res by Plant Acct-P29 (Reg)'!D127</f>
        <v>-74592.69</v>
      </c>
      <c r="E126" s="133"/>
      <c r="F126" s="136">
        <f>+'KY_Res by Plant Acct-P29 (Reg)'!F127</f>
        <v>259348.13</v>
      </c>
      <c r="G126" s="133"/>
      <c r="H126" s="136">
        <f>+'KY_Res by Plant Acct-P29 (Reg)'!H127</f>
        <v>0</v>
      </c>
      <c r="I126" s="136"/>
      <c r="J126" s="136">
        <f>+'KY_Res by Plant Acct-P29 (Reg)'!J127</f>
        <v>0</v>
      </c>
      <c r="K126" s="133"/>
      <c r="L126" s="136">
        <f>+'KY_Res by Plant Acct-P29 (Reg)'!L127</f>
        <v>71189.86</v>
      </c>
      <c r="M126" s="133"/>
      <c r="N126" s="136">
        <f>+'KY_Res by Plant Acct-P29 (Reg)'!N127</f>
        <v>0</v>
      </c>
      <c r="O126" s="133"/>
      <c r="P126" s="136">
        <f>+'KY_Res by Plant Acct-P29 (Reg)'!P127</f>
        <v>0</v>
      </c>
      <c r="Q126" s="133"/>
      <c r="R126" s="136">
        <f t="shared" si="6"/>
        <v>-449460.35000000009</v>
      </c>
    </row>
    <row r="127" spans="1:18" outlineLevel="1" x14ac:dyDescent="0.2">
      <c r="A127" s="3" t="s">
        <v>3263</v>
      </c>
      <c r="B127" s="136">
        <f>+'KY_Res by Plant Acct-P29 (Reg)'!B128</f>
        <v>0</v>
      </c>
      <c r="C127" s="133"/>
      <c r="D127" s="136">
        <f>+'KY_Res by Plant Acct-P29 (Reg)'!D128</f>
        <v>0</v>
      </c>
      <c r="E127" s="133"/>
      <c r="F127" s="136">
        <f>+'KY_Res by Plant Acct-P29 (Reg)'!F128</f>
        <v>0</v>
      </c>
      <c r="G127" s="133"/>
      <c r="H127" s="136">
        <f>+'KY_Res by Plant Acct-P29 (Reg)'!H128</f>
        <v>0</v>
      </c>
      <c r="I127" s="136"/>
      <c r="J127" s="136">
        <f>+'KY_Res by Plant Acct-P29 (Reg)'!J128</f>
        <v>0</v>
      </c>
      <c r="K127" s="133"/>
      <c r="L127" s="136">
        <f>+'KY_Res by Plant Acct-P29 (Reg)'!L128</f>
        <v>0</v>
      </c>
      <c r="M127" s="133"/>
      <c r="N127" s="136">
        <f>+'KY_Res by Plant Acct-P29 (Reg)'!N128</f>
        <v>0</v>
      </c>
      <c r="O127" s="133"/>
      <c r="P127" s="136">
        <f>+'KY_Res by Plant Acct-P29 (Reg)'!P128</f>
        <v>0</v>
      </c>
      <c r="Q127" s="133"/>
      <c r="R127" s="136">
        <f t="shared" si="6"/>
        <v>0</v>
      </c>
    </row>
    <row r="128" spans="1:18" outlineLevel="1" x14ac:dyDescent="0.2">
      <c r="A128" s="3" t="s">
        <v>3264</v>
      </c>
      <c r="B128" s="136">
        <f>+'KY_Res by Plant Acct-P29 (Reg)'!B129</f>
        <v>-2007413.5399999998</v>
      </c>
      <c r="C128" s="133"/>
      <c r="D128" s="136">
        <f>+'KY_Res by Plant Acct-P29 (Reg)'!D129</f>
        <v>0</v>
      </c>
      <c r="E128" s="133"/>
      <c r="F128" s="136">
        <f>+'KY_Res by Plant Acct-P29 (Reg)'!F129</f>
        <v>0</v>
      </c>
      <c r="G128" s="133"/>
      <c r="H128" s="136">
        <f>+'KY_Res by Plant Acct-P29 (Reg)'!H129</f>
        <v>0</v>
      </c>
      <c r="I128" s="136"/>
      <c r="J128" s="136">
        <f>+'KY_Res by Plant Acct-P29 (Reg)'!J129</f>
        <v>0</v>
      </c>
      <c r="K128" s="133"/>
      <c r="L128" s="136">
        <f>+'KY_Res by Plant Acct-P29 (Reg)'!L129</f>
        <v>0</v>
      </c>
      <c r="M128" s="133"/>
      <c r="N128" s="136">
        <f>+'KY_Res by Plant Acct-P29 (Reg)'!N129</f>
        <v>0</v>
      </c>
      <c r="O128" s="133"/>
      <c r="P128" s="136">
        <f>+'KY_Res by Plant Acct-P29 (Reg)'!P129</f>
        <v>0</v>
      </c>
      <c r="Q128" s="133"/>
      <c r="R128" s="136">
        <f t="shared" si="6"/>
        <v>-2007413.5399999998</v>
      </c>
    </row>
    <row r="129" spans="1:18" x14ac:dyDescent="0.2">
      <c r="A129" s="3" t="s">
        <v>3265</v>
      </c>
      <c r="B129" s="136">
        <f>SUM(B112:B128)</f>
        <v>-22841845.609999996</v>
      </c>
      <c r="C129" s="133"/>
      <c r="D129" s="136">
        <f>SUM(D112:D128)</f>
        <v>-1959229.1099999999</v>
      </c>
      <c r="E129" s="133"/>
      <c r="F129" s="136">
        <f>SUM(F112:F128)</f>
        <v>308016.34999999998</v>
      </c>
      <c r="G129" s="133"/>
      <c r="H129" s="136">
        <f>SUM(H112:H128)</f>
        <v>0</v>
      </c>
      <c r="I129" s="133"/>
      <c r="J129" s="136">
        <f>SUM(J112:J128)</f>
        <v>0</v>
      </c>
      <c r="K129" s="133"/>
      <c r="L129" s="136">
        <f>SUM(L112:L128)</f>
        <v>71189.86</v>
      </c>
      <c r="M129" s="133"/>
      <c r="N129" s="136">
        <f>SUM(N112:N128)</f>
        <v>0</v>
      </c>
      <c r="O129" s="136"/>
      <c r="P129" s="136">
        <f>SUM(P112:P128)</f>
        <v>0</v>
      </c>
      <c r="Q129" s="133"/>
      <c r="R129" s="136">
        <f>SUM(R112:R128)</f>
        <v>-24421868.510000002</v>
      </c>
    </row>
    <row r="130" spans="1:18" outlineLevel="1" x14ac:dyDescent="0.2">
      <c r="A130" s="3" t="s">
        <v>3655</v>
      </c>
      <c r="B130" s="136">
        <f>+'KY_Res by Plant Acct-P29 (Reg)'!B131</f>
        <v>-130386.07</v>
      </c>
      <c r="C130" s="133"/>
      <c r="D130" s="136">
        <f>+'KY_Res by Plant Acct-P29 (Reg)'!D131</f>
        <v>-3858.78</v>
      </c>
      <c r="E130" s="133"/>
      <c r="F130" s="136">
        <f>+'KY_Res by Plant Acct-P29 (Reg)'!F131</f>
        <v>0</v>
      </c>
      <c r="G130" s="133"/>
      <c r="H130" s="136">
        <f>+'KY_Res by Plant Acct-P29 (Reg)'!H131</f>
        <v>0</v>
      </c>
      <c r="I130" s="133"/>
      <c r="J130" s="136">
        <f>+'KY_Res by Plant Acct-P29 (Reg)'!J131</f>
        <v>0</v>
      </c>
      <c r="K130" s="133"/>
      <c r="L130" s="136">
        <f>+'KY_Res by Plant Acct-P29 (Reg)'!L131</f>
        <v>0</v>
      </c>
      <c r="M130" s="133"/>
      <c r="N130" s="136">
        <f>+'KY_Res by Plant Acct-P29 (Reg)'!N131</f>
        <v>0</v>
      </c>
      <c r="O130" s="133"/>
      <c r="P130" s="136">
        <f>+'KY_Res by Plant Acct-P29 (Reg)'!P131</f>
        <v>0</v>
      </c>
      <c r="Q130" s="133"/>
      <c r="R130" s="136">
        <f t="shared" si="6"/>
        <v>-134244.85</v>
      </c>
    </row>
    <row r="131" spans="1:18" outlineLevel="1" x14ac:dyDescent="0.2">
      <c r="A131" s="3" t="s">
        <v>3267</v>
      </c>
      <c r="B131" s="136">
        <f>+'KY_Res by Plant Acct-P29 (Reg)'!B132</f>
        <v>-305086.33999999997</v>
      </c>
      <c r="C131" s="136">
        <f>+'KY_Res by Plant Acct-P29 (Reg)'!C132</f>
        <v>0</v>
      </c>
      <c r="D131" s="136">
        <f>+'KY_Res by Plant Acct-P29 (Reg)'!D132</f>
        <v>-151112.23000000001</v>
      </c>
      <c r="E131" s="136">
        <f>+'KY_Res by Plant Acct-P29 (Reg)'!E132</f>
        <v>0</v>
      </c>
      <c r="F131" s="136">
        <f>+'KY_Res by Plant Acct-P29 (Reg)'!F132</f>
        <v>0</v>
      </c>
      <c r="G131" s="136">
        <f>+'KY_Res by Plant Acct-P29 (Reg)'!G132</f>
        <v>0</v>
      </c>
      <c r="H131" s="136">
        <f>+'KY_Res by Plant Acct-P29 (Reg)'!H132</f>
        <v>0</v>
      </c>
      <c r="I131" s="136">
        <f>+'KY_Res by Plant Acct-P29 (Reg)'!I132</f>
        <v>0</v>
      </c>
      <c r="J131" s="136">
        <f>+'KY_Res by Plant Acct-P29 (Reg)'!J132</f>
        <v>0</v>
      </c>
      <c r="K131" s="136">
        <f>+'KY_Res by Plant Acct-P29 (Reg)'!K132</f>
        <v>0</v>
      </c>
      <c r="L131" s="136">
        <f>+'KY_Res by Plant Acct-P29 (Reg)'!L132</f>
        <v>0</v>
      </c>
      <c r="M131" s="136">
        <f>+'KY_Res by Plant Acct-P29 (Reg)'!M132</f>
        <v>0</v>
      </c>
      <c r="N131" s="136">
        <f>+'KY_Res by Plant Acct-P29 (Reg)'!N132</f>
        <v>0</v>
      </c>
      <c r="O131" s="136">
        <f>+'KY_Res by Plant Acct-P29 (Reg)'!O132</f>
        <v>0</v>
      </c>
      <c r="P131" s="136">
        <f>+'KY_Res by Plant Acct-P29 (Reg)'!P132</f>
        <v>0</v>
      </c>
      <c r="Q131" s="133"/>
      <c r="R131" s="136">
        <f t="shared" si="6"/>
        <v>-456198.56999999995</v>
      </c>
    </row>
    <row r="132" spans="1:18" outlineLevel="1" x14ac:dyDescent="0.2">
      <c r="A132" s="3" t="s">
        <v>3268</v>
      </c>
      <c r="B132" s="136">
        <f>+'KY_Res by Plant Acct-P29 (Reg)'!B133</f>
        <v>-1370932.2399999998</v>
      </c>
      <c r="C132" s="133"/>
      <c r="D132" s="136">
        <f>+'KY_Res by Plant Acct-P29 (Reg)'!D133</f>
        <v>-99150.42</v>
      </c>
      <c r="E132" s="133"/>
      <c r="F132" s="136">
        <f>+'KY_Res by Plant Acct-P29 (Reg)'!F133</f>
        <v>0</v>
      </c>
      <c r="G132" s="133"/>
      <c r="H132" s="136">
        <f>+'KY_Res by Plant Acct-P29 (Reg)'!H133</f>
        <v>0</v>
      </c>
      <c r="I132" s="133"/>
      <c r="J132" s="136">
        <f>+'KY_Res by Plant Acct-P29 (Reg)'!J133</f>
        <v>0</v>
      </c>
      <c r="K132" s="133"/>
      <c r="L132" s="136">
        <f>+'KY_Res by Plant Acct-P29 (Reg)'!L133</f>
        <v>0</v>
      </c>
      <c r="M132" s="133"/>
      <c r="N132" s="136">
        <f>+'KY_Res by Plant Acct-P29 (Reg)'!N133</f>
        <v>0</v>
      </c>
      <c r="O132" s="133"/>
      <c r="P132" s="136">
        <f>+'KY_Res by Plant Acct-P29 (Reg)'!P133</f>
        <v>0</v>
      </c>
      <c r="Q132" s="133"/>
      <c r="R132" s="136">
        <f t="shared" si="6"/>
        <v>-1470082.6599999997</v>
      </c>
    </row>
    <row r="133" spans="1:18" outlineLevel="1" x14ac:dyDescent="0.2">
      <c r="A133" s="3" t="s">
        <v>3656</v>
      </c>
      <c r="B133" s="136">
        <f>+'KY_Res by Plant Acct-P29 (Reg)'!B134</f>
        <v>-532385.38</v>
      </c>
      <c r="C133" s="133"/>
      <c r="D133" s="136">
        <f>+'KY_Res by Plant Acct-P29 (Reg)'!D134</f>
        <v>-41095.68</v>
      </c>
      <c r="E133" s="133"/>
      <c r="F133" s="136">
        <f>+'KY_Res by Plant Acct-P29 (Reg)'!F134</f>
        <v>0</v>
      </c>
      <c r="G133" s="133"/>
      <c r="H133" s="136">
        <f>+'KY_Res by Plant Acct-P29 (Reg)'!H134</f>
        <v>0</v>
      </c>
      <c r="I133" s="133"/>
      <c r="J133" s="136">
        <f>+'KY_Res by Plant Acct-P29 (Reg)'!J134</f>
        <v>0</v>
      </c>
      <c r="K133" s="133"/>
      <c r="L133" s="136">
        <f>+'KY_Res by Plant Acct-P29 (Reg)'!L134</f>
        <v>0</v>
      </c>
      <c r="M133" s="133"/>
      <c r="N133" s="136">
        <f>+'KY_Res by Plant Acct-P29 (Reg)'!N134</f>
        <v>0</v>
      </c>
      <c r="O133" s="133"/>
      <c r="P133" s="136">
        <f>+'KY_Res by Plant Acct-P29 (Reg)'!P134</f>
        <v>0</v>
      </c>
      <c r="Q133" s="133"/>
      <c r="R133" s="136">
        <f t="shared" si="6"/>
        <v>-573481.06000000006</v>
      </c>
    </row>
    <row r="134" spans="1:18" outlineLevel="1" x14ac:dyDescent="0.2">
      <c r="A134" s="3" t="s">
        <v>3657</v>
      </c>
      <c r="B134" s="136">
        <f>+'KY_Res by Plant Acct-P29 (Reg)'!B135</f>
        <v>-520873.88</v>
      </c>
      <c r="C134" s="133"/>
      <c r="D134" s="136">
        <f>+'KY_Res by Plant Acct-P29 (Reg)'!D135</f>
        <v>-40671.839999999997</v>
      </c>
      <c r="E134" s="133"/>
      <c r="F134" s="136">
        <f>+'KY_Res by Plant Acct-P29 (Reg)'!F135</f>
        <v>0</v>
      </c>
      <c r="G134" s="133"/>
      <c r="H134" s="136">
        <f>+'KY_Res by Plant Acct-P29 (Reg)'!H135</f>
        <v>0</v>
      </c>
      <c r="I134" s="133"/>
      <c r="J134" s="136">
        <f>+'KY_Res by Plant Acct-P29 (Reg)'!J135</f>
        <v>0</v>
      </c>
      <c r="K134" s="133"/>
      <c r="L134" s="136">
        <f>+'KY_Res by Plant Acct-P29 (Reg)'!L135</f>
        <v>0</v>
      </c>
      <c r="M134" s="133"/>
      <c r="N134" s="136">
        <f>+'KY_Res by Plant Acct-P29 (Reg)'!N135</f>
        <v>0</v>
      </c>
      <c r="O134" s="133"/>
      <c r="P134" s="136">
        <f>+'KY_Res by Plant Acct-P29 (Reg)'!P135</f>
        <v>0</v>
      </c>
      <c r="Q134" s="133"/>
      <c r="R134" s="136">
        <f t="shared" si="6"/>
        <v>-561545.72</v>
      </c>
    </row>
    <row r="135" spans="1:18" outlineLevel="1" x14ac:dyDescent="0.2">
      <c r="A135" s="3" t="s">
        <v>3271</v>
      </c>
      <c r="B135" s="136">
        <f>+'KY_Res by Plant Acct-P29 (Reg)'!B136</f>
        <v>-10218.790000000001</v>
      </c>
      <c r="C135" s="133"/>
      <c r="D135" s="136">
        <f>+'KY_Res by Plant Acct-P29 (Reg)'!D136</f>
        <v>-19124.150000000001</v>
      </c>
      <c r="E135" s="133"/>
      <c r="F135" s="136">
        <f>+'KY_Res by Plant Acct-P29 (Reg)'!F136</f>
        <v>0</v>
      </c>
      <c r="G135" s="133"/>
      <c r="H135" s="136">
        <f>+'KY_Res by Plant Acct-P29 (Reg)'!H136</f>
        <v>0</v>
      </c>
      <c r="I135" s="133"/>
      <c r="J135" s="136">
        <f>+'KY_Res by Plant Acct-P29 (Reg)'!J136</f>
        <v>0</v>
      </c>
      <c r="K135" s="133"/>
      <c r="L135" s="136">
        <f>+'KY_Res by Plant Acct-P29 (Reg)'!L136</f>
        <v>0</v>
      </c>
      <c r="M135" s="133"/>
      <c r="N135" s="136">
        <f>+'KY_Res by Plant Acct-P29 (Reg)'!N136</f>
        <v>0</v>
      </c>
      <c r="O135" s="133"/>
      <c r="P135" s="136">
        <f>+'KY_Res by Plant Acct-P29 (Reg)'!P136</f>
        <v>0</v>
      </c>
      <c r="Q135" s="133"/>
      <c r="R135" s="136">
        <f t="shared" si="6"/>
        <v>-29342.940000000002</v>
      </c>
    </row>
    <row r="136" spans="1:18" outlineLevel="1" x14ac:dyDescent="0.2">
      <c r="A136" s="3" t="s">
        <v>3272</v>
      </c>
      <c r="B136" s="136">
        <f>+'KY_Res by Plant Acct-P29 (Reg)'!B137</f>
        <v>-47921.320000000014</v>
      </c>
      <c r="C136" s="133"/>
      <c r="D136" s="136">
        <f>+'KY_Res by Plant Acct-P29 (Reg)'!D137</f>
        <v>-113378.1</v>
      </c>
      <c r="E136" s="133"/>
      <c r="F136" s="136">
        <f>+'KY_Res by Plant Acct-P29 (Reg)'!F137</f>
        <v>0</v>
      </c>
      <c r="G136" s="133"/>
      <c r="H136" s="136">
        <f>+'KY_Res by Plant Acct-P29 (Reg)'!H137</f>
        <v>0</v>
      </c>
      <c r="I136" s="133"/>
      <c r="J136" s="136">
        <f>+'KY_Res by Plant Acct-P29 (Reg)'!J137</f>
        <v>0</v>
      </c>
      <c r="K136" s="133"/>
      <c r="L136" s="136">
        <f>+'KY_Res by Plant Acct-P29 (Reg)'!L137</f>
        <v>0</v>
      </c>
      <c r="M136" s="133"/>
      <c r="N136" s="136">
        <f>+'KY_Res by Plant Acct-P29 (Reg)'!N137</f>
        <v>0</v>
      </c>
      <c r="O136" s="133"/>
      <c r="P136" s="136">
        <f>+'KY_Res by Plant Acct-P29 (Reg)'!P137</f>
        <v>0</v>
      </c>
      <c r="Q136" s="133"/>
      <c r="R136" s="136">
        <f t="shared" si="6"/>
        <v>-161299.42000000001</v>
      </c>
    </row>
    <row r="137" spans="1:18" outlineLevel="1" x14ac:dyDescent="0.2">
      <c r="A137" s="3" t="s">
        <v>3273</v>
      </c>
      <c r="B137" s="136">
        <f>+'KY_Res by Plant Acct-P29 (Reg)'!B138</f>
        <v>-609479.88</v>
      </c>
      <c r="C137" s="133"/>
      <c r="D137" s="136">
        <f>+'KY_Res by Plant Acct-P29 (Reg)'!D138</f>
        <v>-143855.46</v>
      </c>
      <c r="E137" s="133"/>
      <c r="F137" s="136">
        <f>+'KY_Res by Plant Acct-P29 (Reg)'!F138</f>
        <v>0</v>
      </c>
      <c r="G137" s="133"/>
      <c r="H137" s="136">
        <f>+'KY_Res by Plant Acct-P29 (Reg)'!H138</f>
        <v>0</v>
      </c>
      <c r="I137" s="133"/>
      <c r="J137" s="136">
        <f>+'KY_Res by Plant Acct-P29 (Reg)'!J138</f>
        <v>0</v>
      </c>
      <c r="K137" s="133"/>
      <c r="L137" s="136">
        <f>+'KY_Res by Plant Acct-P29 (Reg)'!L138</f>
        <v>0</v>
      </c>
      <c r="M137" s="133"/>
      <c r="N137" s="136">
        <f>+'KY_Res by Plant Acct-P29 (Reg)'!N138</f>
        <v>0</v>
      </c>
      <c r="O137" s="133"/>
      <c r="P137" s="136">
        <f>+'KY_Res by Plant Acct-P29 (Reg)'!P138</f>
        <v>0</v>
      </c>
      <c r="Q137" s="133"/>
      <c r="R137" s="136">
        <f t="shared" si="6"/>
        <v>-753335.34</v>
      </c>
    </row>
    <row r="138" spans="1:18" outlineLevel="1" x14ac:dyDescent="0.2">
      <c r="A138" s="3" t="s">
        <v>3274</v>
      </c>
      <c r="B138" s="136">
        <f>+'KY_Res by Plant Acct-P29 (Reg)'!B139</f>
        <v>-1461655.9599999997</v>
      </c>
      <c r="C138" s="133"/>
      <c r="D138" s="136">
        <f>+'KY_Res by Plant Acct-P29 (Reg)'!D139</f>
        <v>-109449.60000000001</v>
      </c>
      <c r="E138" s="133"/>
      <c r="F138" s="136">
        <f>+'KY_Res by Plant Acct-P29 (Reg)'!F139</f>
        <v>0</v>
      </c>
      <c r="G138" s="133"/>
      <c r="H138" s="136">
        <f>+'KY_Res by Plant Acct-P29 (Reg)'!H139</f>
        <v>0</v>
      </c>
      <c r="I138" s="133"/>
      <c r="J138" s="136">
        <f>+'KY_Res by Plant Acct-P29 (Reg)'!J139</f>
        <v>0</v>
      </c>
      <c r="K138" s="133"/>
      <c r="L138" s="136">
        <f>+'KY_Res by Plant Acct-P29 (Reg)'!L139</f>
        <v>0</v>
      </c>
      <c r="M138" s="133"/>
      <c r="N138" s="136">
        <f>+'KY_Res by Plant Acct-P29 (Reg)'!N139</f>
        <v>0</v>
      </c>
      <c r="O138" s="133"/>
      <c r="P138" s="136">
        <f>+'KY_Res by Plant Acct-P29 (Reg)'!P139</f>
        <v>0</v>
      </c>
      <c r="Q138" s="133"/>
      <c r="R138" s="136">
        <f t="shared" ref="R138:R165" si="10">SUM(B138:P138)</f>
        <v>-1571105.5599999998</v>
      </c>
    </row>
    <row r="139" spans="1:18" outlineLevel="1" x14ac:dyDescent="0.2">
      <c r="A139" s="3" t="s">
        <v>3275</v>
      </c>
      <c r="B139" s="136">
        <f>+'KY_Res by Plant Acct-P29 (Reg)'!B140</f>
        <v>-1794879.67</v>
      </c>
      <c r="C139" s="133"/>
      <c r="D139" s="136">
        <f>+'KY_Res by Plant Acct-P29 (Reg)'!D140</f>
        <v>-177395.01</v>
      </c>
      <c r="E139" s="133"/>
      <c r="F139" s="136">
        <f>+'KY_Res by Plant Acct-P29 (Reg)'!F140</f>
        <v>0</v>
      </c>
      <c r="G139" s="133"/>
      <c r="H139" s="136">
        <f>+'KY_Res by Plant Acct-P29 (Reg)'!H140</f>
        <v>0</v>
      </c>
      <c r="I139" s="133"/>
      <c r="J139" s="136">
        <f>+'KY_Res by Plant Acct-P29 (Reg)'!J140</f>
        <v>0</v>
      </c>
      <c r="K139" s="133"/>
      <c r="L139" s="136">
        <f>+'KY_Res by Plant Acct-P29 (Reg)'!L140</f>
        <v>0</v>
      </c>
      <c r="M139" s="133"/>
      <c r="N139" s="136">
        <f>+'KY_Res by Plant Acct-P29 (Reg)'!N140</f>
        <v>0</v>
      </c>
      <c r="O139" s="133"/>
      <c r="P139" s="136">
        <f>+'KY_Res by Plant Acct-P29 (Reg)'!P140</f>
        <v>0</v>
      </c>
      <c r="Q139" s="133"/>
      <c r="R139" s="136">
        <f t="shared" si="10"/>
        <v>-1972274.68</v>
      </c>
    </row>
    <row r="140" spans="1:18" outlineLevel="1" x14ac:dyDescent="0.2">
      <c r="A140" s="3" t="s">
        <v>3658</v>
      </c>
      <c r="B140" s="136">
        <f>+'KY_Res by Plant Acct-P29 (Reg)'!B141</f>
        <v>-320604.27999999997</v>
      </c>
      <c r="C140" s="133"/>
      <c r="D140" s="136">
        <f>+'KY_Res by Plant Acct-P29 (Reg)'!D141</f>
        <v>-29466</v>
      </c>
      <c r="E140" s="133"/>
      <c r="F140" s="136">
        <f>+'KY_Res by Plant Acct-P29 (Reg)'!F141</f>
        <v>0</v>
      </c>
      <c r="G140" s="133"/>
      <c r="H140" s="136">
        <f>+'KY_Res by Plant Acct-P29 (Reg)'!H141</f>
        <v>0</v>
      </c>
      <c r="I140" s="133"/>
      <c r="J140" s="136">
        <f>+'KY_Res by Plant Acct-P29 (Reg)'!J141</f>
        <v>0</v>
      </c>
      <c r="K140" s="133"/>
      <c r="L140" s="136">
        <f>+'KY_Res by Plant Acct-P29 (Reg)'!L141</f>
        <v>0</v>
      </c>
      <c r="M140" s="133"/>
      <c r="N140" s="136">
        <f>+'KY_Res by Plant Acct-P29 (Reg)'!N141</f>
        <v>0</v>
      </c>
      <c r="O140" s="133"/>
      <c r="P140" s="136">
        <f>+'KY_Res by Plant Acct-P29 (Reg)'!P141</f>
        <v>0</v>
      </c>
      <c r="Q140" s="133"/>
      <c r="R140" s="136">
        <f t="shared" si="10"/>
        <v>-350070.27999999997</v>
      </c>
    </row>
    <row r="141" spans="1:18" outlineLevel="1" x14ac:dyDescent="0.2">
      <c r="A141" s="3" t="s">
        <v>3659</v>
      </c>
      <c r="B141" s="136">
        <f>+'KY_Res by Plant Acct-P29 (Reg)'!B142</f>
        <v>-721016.1</v>
      </c>
      <c r="C141" s="133"/>
      <c r="D141" s="136">
        <f>+'KY_Res by Plant Acct-P29 (Reg)'!D142</f>
        <v>-66580.2</v>
      </c>
      <c r="E141" s="133"/>
      <c r="F141" s="136">
        <f>+'KY_Res by Plant Acct-P29 (Reg)'!F142</f>
        <v>0</v>
      </c>
      <c r="G141" s="133"/>
      <c r="H141" s="136">
        <f>+'KY_Res by Plant Acct-P29 (Reg)'!H142</f>
        <v>0</v>
      </c>
      <c r="I141" s="133"/>
      <c r="J141" s="136">
        <f>+'KY_Res by Plant Acct-P29 (Reg)'!J142</f>
        <v>0</v>
      </c>
      <c r="K141" s="133"/>
      <c r="L141" s="136">
        <f>+'KY_Res by Plant Acct-P29 (Reg)'!L142</f>
        <v>0</v>
      </c>
      <c r="M141" s="133"/>
      <c r="N141" s="136">
        <f>+'KY_Res by Plant Acct-P29 (Reg)'!N142</f>
        <v>0</v>
      </c>
      <c r="O141" s="133"/>
      <c r="P141" s="136">
        <f>+'KY_Res by Plant Acct-P29 (Reg)'!P142</f>
        <v>0</v>
      </c>
      <c r="Q141" s="133"/>
      <c r="R141" s="136">
        <f t="shared" si="10"/>
        <v>-787596.29999999993</v>
      </c>
    </row>
    <row r="142" spans="1:18" outlineLevel="1" x14ac:dyDescent="0.2">
      <c r="A142" s="3" t="s">
        <v>3660</v>
      </c>
      <c r="B142" s="136">
        <f>+'KY_Res by Plant Acct-P29 (Reg)'!B143</f>
        <v>-801261.5900000002</v>
      </c>
      <c r="C142" s="133"/>
      <c r="D142" s="136">
        <f>+'KY_Res by Plant Acct-P29 (Reg)'!D143</f>
        <v>-82630.080000000002</v>
      </c>
      <c r="E142" s="133"/>
      <c r="F142" s="136">
        <f>+'KY_Res by Plant Acct-P29 (Reg)'!F143</f>
        <v>0</v>
      </c>
      <c r="G142" s="133"/>
      <c r="H142" s="136">
        <f>+'KY_Res by Plant Acct-P29 (Reg)'!H143</f>
        <v>0</v>
      </c>
      <c r="I142" s="133"/>
      <c r="J142" s="136">
        <f>+'KY_Res by Plant Acct-P29 (Reg)'!J143</f>
        <v>0</v>
      </c>
      <c r="K142" s="133"/>
      <c r="L142" s="136">
        <f>+'KY_Res by Plant Acct-P29 (Reg)'!L143</f>
        <v>0</v>
      </c>
      <c r="M142" s="133"/>
      <c r="N142" s="136">
        <f>+'KY_Res by Plant Acct-P29 (Reg)'!N143</f>
        <v>0</v>
      </c>
      <c r="O142" s="133"/>
      <c r="P142" s="136">
        <f>+'KY_Res by Plant Acct-P29 (Reg)'!P143</f>
        <v>0</v>
      </c>
      <c r="Q142" s="133"/>
      <c r="R142" s="136">
        <f t="shared" si="10"/>
        <v>-883891.67000000016</v>
      </c>
    </row>
    <row r="143" spans="1:18" outlineLevel="1" x14ac:dyDescent="0.2">
      <c r="A143" s="3" t="s">
        <v>3661</v>
      </c>
      <c r="B143" s="136">
        <f>+'KY_Res by Plant Acct-P29 (Reg)'!B144</f>
        <v>-808319.99999999988</v>
      </c>
      <c r="C143" s="133"/>
      <c r="D143" s="136">
        <f>+'KY_Res by Plant Acct-P29 (Reg)'!D144</f>
        <v>-70363.679999999993</v>
      </c>
      <c r="E143" s="133"/>
      <c r="F143" s="136">
        <f>+'KY_Res by Plant Acct-P29 (Reg)'!F144</f>
        <v>0</v>
      </c>
      <c r="G143" s="133"/>
      <c r="H143" s="136">
        <f>+'KY_Res by Plant Acct-P29 (Reg)'!H144</f>
        <v>0</v>
      </c>
      <c r="I143" s="133"/>
      <c r="J143" s="136">
        <f>+'KY_Res by Plant Acct-P29 (Reg)'!J144</f>
        <v>0</v>
      </c>
      <c r="K143" s="133"/>
      <c r="L143" s="136">
        <f>+'KY_Res by Plant Acct-P29 (Reg)'!L144</f>
        <v>0</v>
      </c>
      <c r="M143" s="133"/>
      <c r="N143" s="136">
        <f>+'KY_Res by Plant Acct-P29 (Reg)'!N144</f>
        <v>0</v>
      </c>
      <c r="O143" s="133"/>
      <c r="P143" s="136">
        <f>+'KY_Res by Plant Acct-P29 (Reg)'!P144</f>
        <v>0</v>
      </c>
      <c r="Q143" s="133"/>
      <c r="R143" s="136">
        <f t="shared" si="10"/>
        <v>-878683.67999999993</v>
      </c>
    </row>
    <row r="144" spans="1:18" outlineLevel="1" x14ac:dyDescent="0.2">
      <c r="A144" s="3" t="s">
        <v>3280</v>
      </c>
      <c r="B144" s="136">
        <f>+'KY_Res by Plant Acct-P29 (Reg)'!B145</f>
        <v>-829288.86</v>
      </c>
      <c r="C144" s="133"/>
      <c r="D144" s="136">
        <f>+'KY_Res by Plant Acct-P29 (Reg)'!D145</f>
        <v>-70615.62</v>
      </c>
      <c r="E144" s="133"/>
      <c r="F144" s="136">
        <f>+'KY_Res by Plant Acct-P29 (Reg)'!F145</f>
        <v>0</v>
      </c>
      <c r="G144" s="133"/>
      <c r="H144" s="136">
        <f>+'KY_Res by Plant Acct-P29 (Reg)'!H145</f>
        <v>0</v>
      </c>
      <c r="I144" s="133"/>
      <c r="J144" s="136">
        <f>+'KY_Res by Plant Acct-P29 (Reg)'!J145</f>
        <v>0</v>
      </c>
      <c r="K144" s="133"/>
      <c r="L144" s="136">
        <f>+'KY_Res by Plant Acct-P29 (Reg)'!L145</f>
        <v>0</v>
      </c>
      <c r="M144" s="133"/>
      <c r="N144" s="136">
        <f>+'KY_Res by Plant Acct-P29 (Reg)'!N145</f>
        <v>0</v>
      </c>
      <c r="O144" s="133"/>
      <c r="P144" s="136">
        <f>+'KY_Res by Plant Acct-P29 (Reg)'!P145</f>
        <v>0</v>
      </c>
      <c r="Q144" s="133"/>
      <c r="R144" s="136">
        <f t="shared" si="10"/>
        <v>-899904.48</v>
      </c>
    </row>
    <row r="145" spans="1:18" outlineLevel="1" x14ac:dyDescent="0.2">
      <c r="A145" s="3" t="s">
        <v>3281</v>
      </c>
      <c r="B145" s="136">
        <f>+'KY_Res by Plant Acct-P29 (Reg)'!B146</f>
        <v>0</v>
      </c>
      <c r="C145" s="133"/>
      <c r="D145" s="136">
        <f>+'KY_Res by Plant Acct-P29 (Reg)'!D146</f>
        <v>0</v>
      </c>
      <c r="E145" s="133"/>
      <c r="F145" s="136">
        <f>+'KY_Res by Plant Acct-P29 (Reg)'!F146</f>
        <v>0</v>
      </c>
      <c r="G145" s="133"/>
      <c r="H145" s="136">
        <f>+'KY_Res by Plant Acct-P29 (Reg)'!H146</f>
        <v>0</v>
      </c>
      <c r="I145" s="133"/>
      <c r="J145" s="136">
        <f>+'KY_Res by Plant Acct-P29 (Reg)'!J146</f>
        <v>0</v>
      </c>
      <c r="K145" s="133"/>
      <c r="L145" s="136">
        <f>+'KY_Res by Plant Acct-P29 (Reg)'!L146</f>
        <v>0</v>
      </c>
      <c r="M145" s="133"/>
      <c r="N145" s="136">
        <f>+'KY_Res by Plant Acct-P29 (Reg)'!N146</f>
        <v>0</v>
      </c>
      <c r="O145" s="133"/>
      <c r="P145" s="136">
        <f>+'KY_Res by Plant Acct-P29 (Reg)'!P146</f>
        <v>0</v>
      </c>
      <c r="Q145" s="133"/>
      <c r="R145" s="136">
        <f t="shared" si="10"/>
        <v>0</v>
      </c>
    </row>
    <row r="146" spans="1:18" outlineLevel="1" x14ac:dyDescent="0.2">
      <c r="A146" s="3" t="s">
        <v>3282</v>
      </c>
      <c r="B146" s="136">
        <f>+'KY_Res by Plant Acct-P29 (Reg)'!B147</f>
        <v>-51945.78</v>
      </c>
      <c r="C146" s="133"/>
      <c r="D146" s="136">
        <f>+'KY_Res by Plant Acct-P29 (Reg)'!D147</f>
        <v>-6909.96</v>
      </c>
      <c r="E146" s="133"/>
      <c r="F146" s="136">
        <f>+'KY_Res by Plant Acct-P29 (Reg)'!F147</f>
        <v>0</v>
      </c>
      <c r="G146" s="133"/>
      <c r="H146" s="136">
        <f>+'KY_Res by Plant Acct-P29 (Reg)'!H147</f>
        <v>0</v>
      </c>
      <c r="I146" s="133"/>
      <c r="J146" s="136">
        <f>+'KY_Res by Plant Acct-P29 (Reg)'!J147</f>
        <v>0</v>
      </c>
      <c r="K146" s="133"/>
      <c r="L146" s="136">
        <f>+'KY_Res by Plant Acct-P29 (Reg)'!L147</f>
        <v>0</v>
      </c>
      <c r="M146" s="133"/>
      <c r="N146" s="136">
        <f>+'KY_Res by Plant Acct-P29 (Reg)'!N147</f>
        <v>0</v>
      </c>
      <c r="O146" s="133"/>
      <c r="P146" s="136">
        <f>+'KY_Res by Plant Acct-P29 (Reg)'!P147</f>
        <v>0</v>
      </c>
      <c r="Q146" s="133"/>
      <c r="R146" s="136">
        <f t="shared" si="10"/>
        <v>-58855.74</v>
      </c>
    </row>
    <row r="147" spans="1:18" x14ac:dyDescent="0.2">
      <c r="A147" s="3" t="s">
        <v>3283</v>
      </c>
      <c r="B147" s="136">
        <f>SUM(B130:B146)</f>
        <v>-10316256.139999999</v>
      </c>
      <c r="C147" s="133"/>
      <c r="D147" s="136">
        <f>SUM(D130:D146)</f>
        <v>-1225656.8099999996</v>
      </c>
      <c r="E147" s="133"/>
      <c r="F147" s="136">
        <f>SUM(F130:F146)</f>
        <v>0</v>
      </c>
      <c r="G147" s="133"/>
      <c r="H147" s="136">
        <f>SUM(H130:H146)</f>
        <v>0</v>
      </c>
      <c r="I147" s="133"/>
      <c r="J147" s="136">
        <f>SUM(J130:J146)</f>
        <v>0</v>
      </c>
      <c r="K147" s="136"/>
      <c r="L147" s="136">
        <f>SUM(L130:L146)</f>
        <v>0</v>
      </c>
      <c r="M147" s="133"/>
      <c r="N147" s="136">
        <f>SUM(N130:N146)</f>
        <v>0</v>
      </c>
      <c r="O147" s="133"/>
      <c r="P147" s="136">
        <f>SUM(P130:P146)</f>
        <v>0</v>
      </c>
      <c r="Q147" s="133"/>
      <c r="R147" s="136">
        <f>SUM(R130:R146)</f>
        <v>-11541912.949999999</v>
      </c>
    </row>
    <row r="148" spans="1:18" outlineLevel="1" x14ac:dyDescent="0.2">
      <c r="A148" s="3" t="s">
        <v>3284</v>
      </c>
      <c r="B148" s="136">
        <f>+'KY_Res by Plant Acct-P29 (Reg)'!B149</f>
        <v>-11448.2</v>
      </c>
      <c r="C148" s="136">
        <f>+'KY_Res by Plant Acct-P29 (Reg)'!C149</f>
        <v>0</v>
      </c>
      <c r="D148" s="136">
        <f>+'KY_Res by Plant Acct-P29 (Reg)'!D149</f>
        <v>-25157.96</v>
      </c>
      <c r="E148" s="136">
        <f>+'KY_Res by Plant Acct-P29 (Reg)'!E149</f>
        <v>0</v>
      </c>
      <c r="F148" s="136">
        <f>+'KY_Res by Plant Acct-P29 (Reg)'!F149</f>
        <v>0</v>
      </c>
      <c r="G148" s="136">
        <f>+'KY_Res by Plant Acct-P29 (Reg)'!G149</f>
        <v>0</v>
      </c>
      <c r="H148" s="136">
        <f>+'KY_Res by Plant Acct-P29 (Reg)'!H149</f>
        <v>0</v>
      </c>
      <c r="I148" s="136">
        <f>+'KY_Res by Plant Acct-P29 (Reg)'!I149</f>
        <v>0</v>
      </c>
      <c r="J148" s="136">
        <f>+'KY_Res by Plant Acct-P29 (Reg)'!J149</f>
        <v>0</v>
      </c>
      <c r="K148" s="136">
        <f>+'KY_Res by Plant Acct-P29 (Reg)'!K149</f>
        <v>0</v>
      </c>
      <c r="L148" s="136">
        <f>+'KY_Res by Plant Acct-P29 (Reg)'!L149</f>
        <v>0</v>
      </c>
      <c r="M148" s="136">
        <f>+'KY_Res by Plant Acct-P29 (Reg)'!M149</f>
        <v>0</v>
      </c>
      <c r="N148" s="136">
        <f>+'KY_Res by Plant Acct-P29 (Reg)'!N149</f>
        <v>0</v>
      </c>
      <c r="O148" s="136">
        <f>+'KY_Res by Plant Acct-P29 (Reg)'!O149</f>
        <v>0</v>
      </c>
      <c r="P148" s="136">
        <f>+'KY_Res by Plant Acct-P29 (Reg)'!P149</f>
        <v>0</v>
      </c>
      <c r="Q148" s="133"/>
      <c r="R148" s="136">
        <f t="shared" si="10"/>
        <v>-36606.160000000003</v>
      </c>
    </row>
    <row r="149" spans="1:18" outlineLevel="1" x14ac:dyDescent="0.2">
      <c r="A149" s="3" t="s">
        <v>3285</v>
      </c>
      <c r="B149" s="136">
        <f>+'KY_Res by Plant Acct-P29 (Reg)'!B150</f>
        <v>-1226178.3400000001</v>
      </c>
      <c r="C149" s="133"/>
      <c r="D149" s="136">
        <f>+'KY_Res by Plant Acct-P29 (Reg)'!D150</f>
        <v>-91661.87</v>
      </c>
      <c r="E149" s="133"/>
      <c r="F149" s="136">
        <f>+'KY_Res by Plant Acct-P29 (Reg)'!F150</f>
        <v>15317.22</v>
      </c>
      <c r="G149" s="133"/>
      <c r="H149" s="136">
        <f>+'KY_Res by Plant Acct-P29 (Reg)'!H150</f>
        <v>0</v>
      </c>
      <c r="I149" s="133"/>
      <c r="J149" s="136">
        <f>+'KY_Res by Plant Acct-P29 (Reg)'!J150</f>
        <v>0</v>
      </c>
      <c r="K149" s="133"/>
      <c r="L149" s="136">
        <f>+'KY_Res by Plant Acct-P29 (Reg)'!L150</f>
        <v>0</v>
      </c>
      <c r="M149" s="133"/>
      <c r="N149" s="136">
        <f>+'KY_Res by Plant Acct-P29 (Reg)'!N150</f>
        <v>0</v>
      </c>
      <c r="O149" s="133"/>
      <c r="P149" s="136">
        <f>+'KY_Res by Plant Acct-P29 (Reg)'!P150</f>
        <v>0</v>
      </c>
      <c r="Q149" s="133"/>
      <c r="R149" s="136">
        <f t="shared" si="10"/>
        <v>-1302522.99</v>
      </c>
    </row>
    <row r="150" spans="1:18" outlineLevel="1" x14ac:dyDescent="0.2">
      <c r="A150" s="3" t="s">
        <v>3286</v>
      </c>
      <c r="B150" s="136">
        <f>+'KY_Res by Plant Acct-P29 (Reg)'!B151</f>
        <v>-12240.779999999999</v>
      </c>
      <c r="C150" s="133"/>
      <c r="D150" s="136">
        <f>+'KY_Res by Plant Acct-P29 (Reg)'!D151</f>
        <v>-920.7</v>
      </c>
      <c r="E150" s="133"/>
      <c r="F150" s="136">
        <f>+'KY_Res by Plant Acct-P29 (Reg)'!F151</f>
        <v>0</v>
      </c>
      <c r="G150" s="133"/>
      <c r="H150" s="136">
        <f>+'KY_Res by Plant Acct-P29 (Reg)'!H151</f>
        <v>0</v>
      </c>
      <c r="I150" s="133"/>
      <c r="J150" s="136">
        <f>+'KY_Res by Plant Acct-P29 (Reg)'!J151</f>
        <v>0</v>
      </c>
      <c r="K150" s="133"/>
      <c r="L150" s="136">
        <f>+'KY_Res by Plant Acct-P29 (Reg)'!L151</f>
        <v>0</v>
      </c>
      <c r="M150" s="133"/>
      <c r="N150" s="136">
        <f>+'KY_Res by Plant Acct-P29 (Reg)'!N151</f>
        <v>0</v>
      </c>
      <c r="O150" s="133"/>
      <c r="P150" s="136">
        <f>+'KY_Res by Plant Acct-P29 (Reg)'!P151</f>
        <v>0</v>
      </c>
      <c r="Q150" s="133"/>
      <c r="R150" s="136">
        <f t="shared" si="10"/>
        <v>-13161.48</v>
      </c>
    </row>
    <row r="151" spans="1:18" outlineLevel="1" x14ac:dyDescent="0.2">
      <c r="A151" s="3" t="s">
        <v>3287</v>
      </c>
      <c r="B151" s="136">
        <f>+'KY_Res by Plant Acct-P29 (Reg)'!B152</f>
        <v>-12396.399999999998</v>
      </c>
      <c r="C151" s="133"/>
      <c r="D151" s="136">
        <f>+'KY_Res by Plant Acct-P29 (Reg)'!D152</f>
        <v>-958.74</v>
      </c>
      <c r="E151" s="133"/>
      <c r="F151" s="136">
        <f>+'KY_Res by Plant Acct-P29 (Reg)'!F152</f>
        <v>0</v>
      </c>
      <c r="G151" s="133"/>
      <c r="H151" s="136">
        <f>+'KY_Res by Plant Acct-P29 (Reg)'!H152</f>
        <v>0</v>
      </c>
      <c r="I151" s="133"/>
      <c r="J151" s="136">
        <f>+'KY_Res by Plant Acct-P29 (Reg)'!J152</f>
        <v>0</v>
      </c>
      <c r="K151" s="133"/>
      <c r="L151" s="136">
        <f>+'KY_Res by Plant Acct-P29 (Reg)'!L152</f>
        <v>0</v>
      </c>
      <c r="M151" s="133"/>
      <c r="N151" s="136">
        <f>+'KY_Res by Plant Acct-P29 (Reg)'!N152</f>
        <v>0</v>
      </c>
      <c r="O151" s="133"/>
      <c r="P151" s="136">
        <f>+'KY_Res by Plant Acct-P29 (Reg)'!P152</f>
        <v>0</v>
      </c>
      <c r="Q151" s="133"/>
      <c r="R151" s="136">
        <f t="shared" si="10"/>
        <v>-13355.139999999998</v>
      </c>
    </row>
    <row r="152" spans="1:18" outlineLevel="1" x14ac:dyDescent="0.2">
      <c r="A152" s="3" t="s">
        <v>3288</v>
      </c>
      <c r="B152" s="136">
        <f>+'KY_Res by Plant Acct-P29 (Reg)'!B153</f>
        <v>-4072.86</v>
      </c>
      <c r="C152" s="133"/>
      <c r="D152" s="136">
        <f>+'KY_Res by Plant Acct-P29 (Reg)'!D153</f>
        <v>-8489.91</v>
      </c>
      <c r="E152" s="133"/>
      <c r="F152" s="136">
        <f>+'KY_Res by Plant Acct-P29 (Reg)'!F153</f>
        <v>0</v>
      </c>
      <c r="G152" s="133"/>
      <c r="H152" s="136">
        <f>+'KY_Res by Plant Acct-P29 (Reg)'!H153</f>
        <v>0</v>
      </c>
      <c r="I152" s="133"/>
      <c r="J152" s="136">
        <f>+'KY_Res by Plant Acct-P29 (Reg)'!J153</f>
        <v>0</v>
      </c>
      <c r="K152" s="133"/>
      <c r="L152" s="136">
        <f>+'KY_Res by Plant Acct-P29 (Reg)'!L153</f>
        <v>0</v>
      </c>
      <c r="M152" s="133"/>
      <c r="N152" s="136">
        <f>+'KY_Res by Plant Acct-P29 (Reg)'!N153</f>
        <v>0</v>
      </c>
      <c r="O152" s="133"/>
      <c r="P152" s="136">
        <f>+'KY_Res by Plant Acct-P29 (Reg)'!P153</f>
        <v>0</v>
      </c>
      <c r="Q152" s="133"/>
      <c r="R152" s="136">
        <f t="shared" si="10"/>
        <v>-12562.77</v>
      </c>
    </row>
    <row r="153" spans="1:18" outlineLevel="1" x14ac:dyDescent="0.2">
      <c r="A153" s="3" t="s">
        <v>3289</v>
      </c>
      <c r="B153" s="136">
        <f>+'KY_Res by Plant Acct-P29 (Reg)'!B154</f>
        <v>-6161.71</v>
      </c>
      <c r="C153" s="133"/>
      <c r="D153" s="136">
        <f>+'KY_Res by Plant Acct-P29 (Reg)'!D154</f>
        <v>-1850.46</v>
      </c>
      <c r="E153" s="133"/>
      <c r="F153" s="136">
        <f>+'KY_Res by Plant Acct-P29 (Reg)'!F154</f>
        <v>0</v>
      </c>
      <c r="G153" s="133"/>
      <c r="H153" s="136">
        <f>+'KY_Res by Plant Acct-P29 (Reg)'!H154</f>
        <v>0</v>
      </c>
      <c r="I153" s="133"/>
      <c r="J153" s="136">
        <f>+'KY_Res by Plant Acct-P29 (Reg)'!J154</f>
        <v>0</v>
      </c>
      <c r="K153" s="133"/>
      <c r="L153" s="136">
        <f>+'KY_Res by Plant Acct-P29 (Reg)'!L154</f>
        <v>0</v>
      </c>
      <c r="M153" s="133"/>
      <c r="N153" s="136">
        <f>+'KY_Res by Plant Acct-P29 (Reg)'!N154</f>
        <v>0</v>
      </c>
      <c r="O153" s="133"/>
      <c r="P153" s="136">
        <f>+'KY_Res by Plant Acct-P29 (Reg)'!P154</f>
        <v>0</v>
      </c>
      <c r="Q153" s="133"/>
      <c r="R153" s="136">
        <f t="shared" si="10"/>
        <v>-8012.17</v>
      </c>
    </row>
    <row r="154" spans="1:18" outlineLevel="1" x14ac:dyDescent="0.2">
      <c r="A154" s="3" t="s">
        <v>3290</v>
      </c>
      <c r="B154" s="136">
        <f>+'KY_Res by Plant Acct-P29 (Reg)'!B155</f>
        <v>0</v>
      </c>
      <c r="C154" s="133"/>
      <c r="D154" s="136">
        <f>+'KY_Res by Plant Acct-P29 (Reg)'!D155</f>
        <v>0</v>
      </c>
      <c r="E154" s="133"/>
      <c r="F154" s="136">
        <f>+'KY_Res by Plant Acct-P29 (Reg)'!F155</f>
        <v>0</v>
      </c>
      <c r="G154" s="133"/>
      <c r="H154" s="136">
        <f>+'KY_Res by Plant Acct-P29 (Reg)'!H155</f>
        <v>0</v>
      </c>
      <c r="I154" s="133"/>
      <c r="J154" s="136">
        <f>+'KY_Res by Plant Acct-P29 (Reg)'!J155</f>
        <v>0</v>
      </c>
      <c r="K154" s="133"/>
      <c r="L154" s="136">
        <f>+'KY_Res by Plant Acct-P29 (Reg)'!L155</f>
        <v>0</v>
      </c>
      <c r="M154" s="133"/>
      <c r="N154" s="136">
        <f>+'KY_Res by Plant Acct-P29 (Reg)'!N155</f>
        <v>0</v>
      </c>
      <c r="O154" s="133"/>
      <c r="P154" s="136">
        <f>+'KY_Res by Plant Acct-P29 (Reg)'!P155</f>
        <v>0</v>
      </c>
      <c r="Q154" s="133"/>
      <c r="R154" s="136">
        <f t="shared" si="10"/>
        <v>0</v>
      </c>
    </row>
    <row r="155" spans="1:18" outlineLevel="1" x14ac:dyDescent="0.2">
      <c r="A155" s="3" t="s">
        <v>3291</v>
      </c>
      <c r="B155" s="136">
        <f>+'KY_Res by Plant Acct-P29 (Reg)'!B156</f>
        <v>-661402.08000000007</v>
      </c>
      <c r="C155" s="133"/>
      <c r="D155" s="136">
        <f>+'KY_Res by Plant Acct-P29 (Reg)'!D156</f>
        <v>-49902.39</v>
      </c>
      <c r="E155" s="133"/>
      <c r="F155" s="136">
        <f>+'KY_Res by Plant Acct-P29 (Reg)'!F156</f>
        <v>7567.58</v>
      </c>
      <c r="G155" s="133"/>
      <c r="H155" s="136">
        <f>+'KY_Res by Plant Acct-P29 (Reg)'!H156</f>
        <v>0</v>
      </c>
      <c r="I155" s="133"/>
      <c r="J155" s="136">
        <f>+'KY_Res by Plant Acct-P29 (Reg)'!J156</f>
        <v>0</v>
      </c>
      <c r="K155" s="133"/>
      <c r="L155" s="136">
        <f>+'KY_Res by Plant Acct-P29 (Reg)'!L156</f>
        <v>0</v>
      </c>
      <c r="M155" s="133"/>
      <c r="N155" s="136">
        <f>+'KY_Res by Plant Acct-P29 (Reg)'!N156</f>
        <v>0</v>
      </c>
      <c r="O155" s="133"/>
      <c r="P155" s="136">
        <f>+'KY_Res by Plant Acct-P29 (Reg)'!P156</f>
        <v>0</v>
      </c>
      <c r="Q155" s="133"/>
      <c r="R155" s="136">
        <f t="shared" si="10"/>
        <v>-703736.89000000013</v>
      </c>
    </row>
    <row r="156" spans="1:18" outlineLevel="1" x14ac:dyDescent="0.2">
      <c r="A156" s="3" t="s">
        <v>3662</v>
      </c>
      <c r="B156" s="136">
        <f>+'KY_Res by Plant Acct-P29 (Reg)'!B157</f>
        <v>-7420.5199999999995</v>
      </c>
      <c r="C156" s="133"/>
      <c r="D156" s="136">
        <f>+'KY_Res by Plant Acct-P29 (Reg)'!D157</f>
        <v>-1085.52</v>
      </c>
      <c r="E156" s="133"/>
      <c r="F156" s="136">
        <f>+'KY_Res by Plant Acct-P29 (Reg)'!F157</f>
        <v>0</v>
      </c>
      <c r="G156" s="133"/>
      <c r="H156" s="136">
        <f>+'KY_Res by Plant Acct-P29 (Reg)'!H157</f>
        <v>0</v>
      </c>
      <c r="I156" s="133"/>
      <c r="J156" s="136">
        <f>+'KY_Res by Plant Acct-P29 (Reg)'!J157</f>
        <v>0</v>
      </c>
      <c r="K156" s="133"/>
      <c r="L156" s="136">
        <f>+'KY_Res by Plant Acct-P29 (Reg)'!L157</f>
        <v>0</v>
      </c>
      <c r="M156" s="133"/>
      <c r="N156" s="136">
        <f>+'KY_Res by Plant Acct-P29 (Reg)'!N157</f>
        <v>0</v>
      </c>
      <c r="O156" s="133"/>
      <c r="P156" s="136">
        <f>+'KY_Res by Plant Acct-P29 (Reg)'!P157</f>
        <v>0</v>
      </c>
      <c r="Q156" s="133"/>
      <c r="R156" s="136">
        <f t="shared" si="10"/>
        <v>-8506.0399999999991</v>
      </c>
    </row>
    <row r="157" spans="1:18" outlineLevel="1" x14ac:dyDescent="0.2">
      <c r="A157" s="3" t="s">
        <v>3293</v>
      </c>
      <c r="B157" s="136">
        <f>+'KY_Res by Plant Acct-P29 (Reg)'!B158</f>
        <v>-6564.6100000000006</v>
      </c>
      <c r="C157" s="133"/>
      <c r="D157" s="136">
        <f>+'KY_Res by Plant Acct-P29 (Reg)'!D158</f>
        <v>-556.44000000000005</v>
      </c>
      <c r="E157" s="133"/>
      <c r="F157" s="136">
        <f>+'KY_Res by Plant Acct-P29 (Reg)'!F158</f>
        <v>0</v>
      </c>
      <c r="G157" s="133"/>
      <c r="H157" s="136">
        <f>+'KY_Res by Plant Acct-P29 (Reg)'!H158</f>
        <v>0</v>
      </c>
      <c r="I157" s="133"/>
      <c r="J157" s="136">
        <f>+'KY_Res by Plant Acct-P29 (Reg)'!J158</f>
        <v>0</v>
      </c>
      <c r="K157" s="133"/>
      <c r="L157" s="136">
        <f>+'KY_Res by Plant Acct-P29 (Reg)'!L158</f>
        <v>0</v>
      </c>
      <c r="M157" s="133"/>
      <c r="N157" s="136">
        <f>+'KY_Res by Plant Acct-P29 (Reg)'!N158</f>
        <v>0</v>
      </c>
      <c r="O157" s="133"/>
      <c r="P157" s="136">
        <f>+'KY_Res by Plant Acct-P29 (Reg)'!P158</f>
        <v>0</v>
      </c>
      <c r="Q157" s="133"/>
      <c r="R157" s="136">
        <f t="shared" si="10"/>
        <v>-7121.0500000000011</v>
      </c>
    </row>
    <row r="158" spans="1:18" outlineLevel="1" x14ac:dyDescent="0.2">
      <c r="A158" s="3" t="s">
        <v>3294</v>
      </c>
      <c r="B158" s="136">
        <f>+'KY_Res by Plant Acct-P29 (Reg)'!B159</f>
        <v>-2188.5100000000007</v>
      </c>
      <c r="C158" s="133"/>
      <c r="D158" s="136">
        <f>+'KY_Res by Plant Acct-P29 (Reg)'!D159</f>
        <v>-187.08</v>
      </c>
      <c r="E158" s="133"/>
      <c r="F158" s="136">
        <f>+'KY_Res by Plant Acct-P29 (Reg)'!F159</f>
        <v>0</v>
      </c>
      <c r="G158" s="133"/>
      <c r="H158" s="136">
        <f>+'KY_Res by Plant Acct-P29 (Reg)'!H159</f>
        <v>0</v>
      </c>
      <c r="I158" s="133"/>
      <c r="J158" s="136">
        <f>+'KY_Res by Plant Acct-P29 (Reg)'!J159</f>
        <v>0</v>
      </c>
      <c r="K158" s="133"/>
      <c r="L158" s="136">
        <f>+'KY_Res by Plant Acct-P29 (Reg)'!L159</f>
        <v>0</v>
      </c>
      <c r="M158" s="133"/>
      <c r="N158" s="136">
        <f>+'KY_Res by Plant Acct-P29 (Reg)'!N159</f>
        <v>0</v>
      </c>
      <c r="O158" s="133"/>
      <c r="P158" s="136">
        <f>+'KY_Res by Plant Acct-P29 (Reg)'!P159</f>
        <v>0</v>
      </c>
      <c r="Q158" s="133"/>
      <c r="R158" s="136">
        <f t="shared" si="10"/>
        <v>-2375.5900000000006</v>
      </c>
    </row>
    <row r="159" spans="1:18" outlineLevel="1" x14ac:dyDescent="0.2">
      <c r="A159" s="3" t="s">
        <v>3295</v>
      </c>
      <c r="B159" s="136">
        <f>+'KY_Res by Plant Acct-P29 (Reg)'!B160</f>
        <v>-2180.8500000000004</v>
      </c>
      <c r="C159" s="133"/>
      <c r="D159" s="136">
        <f>+'KY_Res by Plant Acct-P29 (Reg)'!D160</f>
        <v>-186.6</v>
      </c>
      <c r="E159" s="133"/>
      <c r="F159" s="136">
        <f>+'KY_Res by Plant Acct-P29 (Reg)'!F160</f>
        <v>0</v>
      </c>
      <c r="G159" s="133"/>
      <c r="H159" s="136">
        <f>+'KY_Res by Plant Acct-P29 (Reg)'!H160</f>
        <v>0</v>
      </c>
      <c r="I159" s="133"/>
      <c r="J159" s="136">
        <f>+'KY_Res by Plant Acct-P29 (Reg)'!J160</f>
        <v>0</v>
      </c>
      <c r="K159" s="133"/>
      <c r="L159" s="136">
        <f>+'KY_Res by Plant Acct-P29 (Reg)'!L160</f>
        <v>0</v>
      </c>
      <c r="M159" s="133"/>
      <c r="N159" s="136">
        <f>+'KY_Res by Plant Acct-P29 (Reg)'!N160</f>
        <v>0</v>
      </c>
      <c r="O159" s="133"/>
      <c r="P159" s="136">
        <f>+'KY_Res by Plant Acct-P29 (Reg)'!P160</f>
        <v>0</v>
      </c>
      <c r="Q159" s="133"/>
      <c r="R159" s="136">
        <f t="shared" si="10"/>
        <v>-2367.4500000000003</v>
      </c>
    </row>
    <row r="160" spans="1:18" outlineLevel="1" x14ac:dyDescent="0.2">
      <c r="A160" s="3" t="s">
        <v>3296</v>
      </c>
      <c r="B160" s="136">
        <f>+'KY_Res by Plant Acct-P29 (Reg)'!B161</f>
        <v>-2228.83</v>
      </c>
      <c r="C160" s="133"/>
      <c r="D160" s="136">
        <f>+'KY_Res by Plant Acct-P29 (Reg)'!D161</f>
        <v>-192.06</v>
      </c>
      <c r="E160" s="133"/>
      <c r="F160" s="136">
        <f>+'KY_Res by Plant Acct-P29 (Reg)'!F161</f>
        <v>0</v>
      </c>
      <c r="G160" s="133"/>
      <c r="H160" s="136">
        <f>+'KY_Res by Plant Acct-P29 (Reg)'!H161</f>
        <v>0</v>
      </c>
      <c r="I160" s="133"/>
      <c r="J160" s="136">
        <f>+'KY_Res by Plant Acct-P29 (Reg)'!J161</f>
        <v>0</v>
      </c>
      <c r="K160" s="133"/>
      <c r="L160" s="136">
        <f>+'KY_Res by Plant Acct-P29 (Reg)'!L161</f>
        <v>0</v>
      </c>
      <c r="M160" s="133"/>
      <c r="N160" s="136">
        <f>+'KY_Res by Plant Acct-P29 (Reg)'!N161</f>
        <v>0</v>
      </c>
      <c r="O160" s="133"/>
      <c r="P160" s="136">
        <f>+'KY_Res by Plant Acct-P29 (Reg)'!P161</f>
        <v>0</v>
      </c>
      <c r="Q160" s="133"/>
      <c r="R160" s="136">
        <f t="shared" si="10"/>
        <v>-2420.89</v>
      </c>
    </row>
    <row r="161" spans="1:18" outlineLevel="1" x14ac:dyDescent="0.2">
      <c r="A161" s="3" t="s">
        <v>3663</v>
      </c>
      <c r="B161" s="136">
        <f>+'KY_Res by Plant Acct-P29 (Reg)'!B162</f>
        <v>0</v>
      </c>
      <c r="C161" s="133"/>
      <c r="D161" s="136">
        <f>+'KY_Res by Plant Acct-P29 (Reg)'!D162</f>
        <v>0</v>
      </c>
      <c r="E161" s="133"/>
      <c r="F161" s="136">
        <f>+'KY_Res by Plant Acct-P29 (Reg)'!F162</f>
        <v>0</v>
      </c>
      <c r="G161" s="133"/>
      <c r="H161" s="136">
        <f>+'KY_Res by Plant Acct-P29 (Reg)'!H162</f>
        <v>0</v>
      </c>
      <c r="I161" s="133"/>
      <c r="J161" s="136">
        <f>+'KY_Res by Plant Acct-P29 (Reg)'!J162</f>
        <v>0</v>
      </c>
      <c r="K161" s="133"/>
      <c r="L161" s="136">
        <f>+'KY_Res by Plant Acct-P29 (Reg)'!L162</f>
        <v>0</v>
      </c>
      <c r="M161" s="133"/>
      <c r="N161" s="136">
        <f>+'KY_Res by Plant Acct-P29 (Reg)'!N162</f>
        <v>0</v>
      </c>
      <c r="O161" s="133"/>
      <c r="P161" s="136">
        <f>+'KY_Res by Plant Acct-P29 (Reg)'!P162</f>
        <v>0</v>
      </c>
      <c r="Q161" s="133"/>
      <c r="R161" s="136">
        <f t="shared" si="10"/>
        <v>0</v>
      </c>
    </row>
    <row r="162" spans="1:18" outlineLevel="1" x14ac:dyDescent="0.2">
      <c r="A162" s="3" t="s">
        <v>3298</v>
      </c>
      <c r="B162" s="136">
        <f>+'KY_Res by Plant Acct-P29 (Reg)'!B163</f>
        <v>-5384.94</v>
      </c>
      <c r="C162" s="133"/>
      <c r="D162" s="136">
        <f>+'KY_Res by Plant Acct-P29 (Reg)'!D163</f>
        <v>-1460.22</v>
      </c>
      <c r="E162" s="133"/>
      <c r="F162" s="136">
        <f>+'KY_Res by Plant Acct-P29 (Reg)'!F163</f>
        <v>0</v>
      </c>
      <c r="G162" s="133"/>
      <c r="H162" s="136">
        <f>+'KY_Res by Plant Acct-P29 (Reg)'!H163</f>
        <v>0</v>
      </c>
      <c r="I162" s="133"/>
      <c r="J162" s="136">
        <f>+'KY_Res by Plant Acct-P29 (Reg)'!J163</f>
        <v>0</v>
      </c>
      <c r="K162" s="133"/>
      <c r="L162" s="136">
        <f>+'KY_Res by Plant Acct-P29 (Reg)'!L163</f>
        <v>0</v>
      </c>
      <c r="M162" s="133"/>
      <c r="N162" s="136">
        <f>+'KY_Res by Plant Acct-P29 (Reg)'!N163</f>
        <v>0</v>
      </c>
      <c r="O162" s="133"/>
      <c r="P162" s="136">
        <f>+'KY_Res by Plant Acct-P29 (Reg)'!P163</f>
        <v>0</v>
      </c>
      <c r="Q162" s="133"/>
      <c r="R162" s="136">
        <f t="shared" si="10"/>
        <v>-6845.16</v>
      </c>
    </row>
    <row r="163" spans="1:18" x14ac:dyDescent="0.2">
      <c r="A163" s="3" t="s">
        <v>3299</v>
      </c>
      <c r="B163" s="136">
        <f>SUM(B148:B162)</f>
        <v>-1959868.6300000004</v>
      </c>
      <c r="C163" s="133"/>
      <c r="D163" s="136">
        <f>SUM(D148:D162)</f>
        <v>-182609.94999999998</v>
      </c>
      <c r="E163" s="133"/>
      <c r="F163" s="136">
        <f>SUM(F148:F162)</f>
        <v>22884.799999999999</v>
      </c>
      <c r="G163" s="133"/>
      <c r="H163" s="136">
        <f>SUM(H148:H162)</f>
        <v>0</v>
      </c>
      <c r="I163" s="133"/>
      <c r="J163" s="136">
        <f>SUM(J148:J162)</f>
        <v>0</v>
      </c>
      <c r="K163" s="133"/>
      <c r="L163" s="136">
        <f>SUM(L148:L162)</f>
        <v>0</v>
      </c>
      <c r="M163" s="133"/>
      <c r="N163" s="136">
        <f>SUM(N148:N162)</f>
        <v>0</v>
      </c>
      <c r="O163" s="133"/>
      <c r="P163" s="136">
        <f>SUM(P148:P162)</f>
        <v>0</v>
      </c>
      <c r="Q163" s="133"/>
      <c r="R163" s="136">
        <f>SUM(R148:R162)</f>
        <v>-2119593.7799999998</v>
      </c>
    </row>
    <row r="164" spans="1:18" x14ac:dyDescent="0.2">
      <c r="A164" s="3" t="s">
        <v>3300</v>
      </c>
      <c r="B164" s="136">
        <f>+'KY_Res by Plant Acct-P29 (Reg)'!B165</f>
        <v>-4781.9999999999973</v>
      </c>
      <c r="C164" s="133"/>
      <c r="D164" s="136">
        <f>+'KY_Res by Plant Acct-P29 (Reg)'!D165</f>
        <v>-828.72</v>
      </c>
      <c r="E164" s="133"/>
      <c r="F164" s="136">
        <f>+'KY_Res by Plant Acct-P29 (Reg)'!F165</f>
        <v>0</v>
      </c>
      <c r="G164" s="133"/>
      <c r="H164" s="136">
        <f>+'KY_Res by Plant Acct-P29 (Reg)'!H165</f>
        <v>0</v>
      </c>
      <c r="I164" s="133"/>
      <c r="J164" s="136">
        <f>+'KY_Res by Plant Acct-P29 (Reg)'!J165</f>
        <v>0</v>
      </c>
      <c r="K164" s="133"/>
      <c r="L164" s="136">
        <f>+'KY_Res by Plant Acct-P29 (Reg)'!L165</f>
        <v>0</v>
      </c>
      <c r="M164" s="133"/>
      <c r="N164" s="136">
        <f>+'KY_Res by Plant Acct-P29 (Reg)'!N165</f>
        <v>0</v>
      </c>
      <c r="O164" s="133"/>
      <c r="P164" s="136">
        <f>+'KY_Res by Plant Acct-P29 (Reg)'!P165</f>
        <v>0</v>
      </c>
      <c r="Q164" s="133"/>
      <c r="R164" s="136">
        <f t="shared" si="10"/>
        <v>-5610.7199999999975</v>
      </c>
    </row>
    <row r="165" spans="1:18" x14ac:dyDescent="0.2">
      <c r="A165" s="3" t="s">
        <v>3301</v>
      </c>
      <c r="B165" s="151">
        <f>+'KY_Res by Plant Acct-P29 (Reg)'!B166</f>
        <v>-4195.01</v>
      </c>
      <c r="C165" s="133"/>
      <c r="D165" s="151">
        <f>+'KY_Res by Plant Acct-P29 (Reg)'!D166</f>
        <v>-3813.08</v>
      </c>
      <c r="E165" s="133"/>
      <c r="F165" s="151">
        <f>+'KY_Res by Plant Acct-P29 (Reg)'!F166</f>
        <v>0</v>
      </c>
      <c r="G165" s="133"/>
      <c r="H165" s="151">
        <f>+'KY_Res by Plant Acct-P29 (Reg)'!H166</f>
        <v>0</v>
      </c>
      <c r="I165" s="133"/>
      <c r="J165" s="151">
        <f>+'KY_Res by Plant Acct-P29 (Reg)'!J166</f>
        <v>0</v>
      </c>
      <c r="K165" s="133"/>
      <c r="L165" s="151">
        <f>+'KY_Res by Plant Acct-P29 (Reg)'!L166</f>
        <v>0</v>
      </c>
      <c r="M165" s="133"/>
      <c r="N165" s="151">
        <f>+'KY_Res by Plant Acct-P29 (Reg)'!N166</f>
        <v>0</v>
      </c>
      <c r="O165" s="133"/>
      <c r="P165" s="151">
        <f>+'KY_Res by Plant Acct-P29 (Reg)'!P166</f>
        <v>0</v>
      </c>
      <c r="Q165" s="133"/>
      <c r="R165" s="151">
        <f t="shared" si="10"/>
        <v>-8008.09</v>
      </c>
    </row>
    <row r="166" spans="1:18" x14ac:dyDescent="0.2">
      <c r="B166" s="133">
        <f>B165+B164+B163+B147+B129+B111+B98+B78+B60+B59</f>
        <v>-120963004.84000002</v>
      </c>
      <c r="C166" s="133"/>
      <c r="D166" s="133">
        <f>D165+D164+D163+D147+D129+D111+D98+D78+D60+D59</f>
        <v>-15188179.139999999</v>
      </c>
      <c r="E166" s="133"/>
      <c r="F166" s="133">
        <f>F165+F164+F163+F147+F129+F111+F98+F78+F60+F59</f>
        <v>1242800.1399999999</v>
      </c>
      <c r="G166" s="133"/>
      <c r="H166" s="133">
        <f>H165+H164+H163+H147+H129+H111+H98+H78+H60+H59</f>
        <v>0</v>
      </c>
      <c r="I166" s="133"/>
      <c r="J166" s="133">
        <f>J165+J164+J163+J147+J129+J111+J98+J78+J60+J59</f>
        <v>0</v>
      </c>
      <c r="K166" s="133"/>
      <c r="L166" s="133">
        <f>L165+L164+L163+L147+L129+L111+L98+L78+L60+L59</f>
        <v>186950.6</v>
      </c>
      <c r="M166" s="133"/>
      <c r="N166" s="133">
        <f>N165+N164+N163+N147+N129+N111+N98+N78+N60+N59</f>
        <v>0</v>
      </c>
      <c r="O166" s="133"/>
      <c r="P166" s="133">
        <f>P165+P164+P163+P147+P129+P111+P98+P78+P60+P59</f>
        <v>0</v>
      </c>
      <c r="Q166" s="133"/>
      <c r="R166" s="133">
        <f>R165+R164+R163+R147+R129+R111+R98+R78+R60+R59</f>
        <v>-134721433.24000001</v>
      </c>
    </row>
    <row r="167" spans="1:18" ht="6" customHeight="1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</row>
    <row r="168" spans="1:18" x14ac:dyDescent="0.2">
      <c r="A168" s="9" t="s">
        <v>23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</row>
    <row r="169" spans="1:18" outlineLevel="1" x14ac:dyDescent="0.2">
      <c r="A169" s="3" t="s">
        <v>3664</v>
      </c>
      <c r="B169" s="133">
        <f>+'KY_Res by Plant Acct-P29 (Reg)'!B170</f>
        <v>0</v>
      </c>
      <c r="C169" s="133"/>
      <c r="D169" s="133">
        <f>+'KY_Res by Plant Acct-P29 (Reg)'!D170</f>
        <v>0</v>
      </c>
      <c r="E169" s="133"/>
      <c r="F169" s="133">
        <f>+'KY_Res by Plant Acct-P29 (Reg)'!F170</f>
        <v>0</v>
      </c>
      <c r="G169" s="133"/>
      <c r="H169" s="133">
        <f>+'KY_Res by Plant Acct-P29 (Reg)'!H170</f>
        <v>0</v>
      </c>
      <c r="I169" s="133"/>
      <c r="J169" s="133">
        <f>+'KY_Res by Plant Acct-P29 (Reg)'!J170</f>
        <v>0</v>
      </c>
      <c r="K169" s="133"/>
      <c r="L169" s="133">
        <f>+'KY_Res by Plant Acct-P29 (Reg)'!L170</f>
        <v>0</v>
      </c>
      <c r="M169" s="133"/>
      <c r="N169" s="133">
        <f>+'KY_Res by Plant Acct-P29 (Reg)'!N170</f>
        <v>0</v>
      </c>
      <c r="O169" s="133"/>
      <c r="P169" s="133">
        <f>+'KY_Res by Plant Acct-P29 (Reg)'!P170</f>
        <v>0</v>
      </c>
      <c r="Q169" s="133"/>
      <c r="R169" s="133">
        <f>SUM(B169:P169)</f>
        <v>0</v>
      </c>
    </row>
    <row r="170" spans="1:18" outlineLevel="1" x14ac:dyDescent="0.2">
      <c r="A170" s="3" t="s">
        <v>3303</v>
      </c>
      <c r="B170" s="133">
        <f>+'KY_Res by Plant Acct-P29 (Reg)'!B171</f>
        <v>0</v>
      </c>
      <c r="C170" s="133"/>
      <c r="D170" s="133">
        <f>+'KY_Res by Plant Acct-P29 (Reg)'!D171</f>
        <v>0</v>
      </c>
      <c r="E170" s="133"/>
      <c r="F170" s="133">
        <f>+'KY_Res by Plant Acct-P29 (Reg)'!F171</f>
        <v>0</v>
      </c>
      <c r="G170" s="133"/>
      <c r="H170" s="133">
        <f>+'KY_Res by Plant Acct-P29 (Reg)'!H171</f>
        <v>0</v>
      </c>
      <c r="I170" s="133"/>
      <c r="J170" s="133">
        <f>+'KY_Res by Plant Acct-P29 (Reg)'!J171</f>
        <v>0</v>
      </c>
      <c r="K170" s="133"/>
      <c r="L170" s="133">
        <f>+'KY_Res by Plant Acct-P29 (Reg)'!L171</f>
        <v>0</v>
      </c>
      <c r="M170" s="133"/>
      <c r="N170" s="133">
        <f>+'KY_Res by Plant Acct-P29 (Reg)'!N171</f>
        <v>0</v>
      </c>
      <c r="O170" s="133"/>
      <c r="P170" s="133">
        <f>+'KY_Res by Plant Acct-P29 (Reg)'!P171</f>
        <v>0</v>
      </c>
      <c r="Q170" s="133"/>
      <c r="R170" s="133">
        <f>SUM(B170:P170)</f>
        <v>0</v>
      </c>
    </row>
    <row r="171" spans="1:18" outlineLevel="1" x14ac:dyDescent="0.2">
      <c r="A171" s="3" t="s">
        <v>3665</v>
      </c>
      <c r="B171" s="133">
        <f>+'KY_Res by Plant Acct-P29 (Reg)'!B172</f>
        <v>0</v>
      </c>
      <c r="C171" s="133"/>
      <c r="D171" s="133">
        <f>+'KY_Res by Plant Acct-P29 (Reg)'!D172</f>
        <v>0</v>
      </c>
      <c r="E171" s="133"/>
      <c r="F171" s="133">
        <f>+'KY_Res by Plant Acct-P29 (Reg)'!F172</f>
        <v>0</v>
      </c>
      <c r="G171" s="133"/>
      <c r="H171" s="133">
        <f>+'KY_Res by Plant Acct-P29 (Reg)'!H172</f>
        <v>0</v>
      </c>
      <c r="I171" s="133"/>
      <c r="J171" s="133">
        <f>+'KY_Res by Plant Acct-P29 (Reg)'!J172</f>
        <v>0</v>
      </c>
      <c r="K171" s="133"/>
      <c r="L171" s="133">
        <f>+'KY_Res by Plant Acct-P29 (Reg)'!L172</f>
        <v>0</v>
      </c>
      <c r="M171" s="133"/>
      <c r="N171" s="133">
        <f>+'KY_Res by Plant Acct-P29 (Reg)'!N172</f>
        <v>0</v>
      </c>
      <c r="O171" s="133"/>
      <c r="P171" s="133">
        <f>+'KY_Res by Plant Acct-P29 (Reg)'!P172</f>
        <v>0</v>
      </c>
      <c r="Q171" s="133"/>
      <c r="R171" s="133">
        <f>SUM(B171:P171)</f>
        <v>0</v>
      </c>
    </row>
    <row r="172" spans="1:18" x14ac:dyDescent="0.2">
      <c r="A172" s="3" t="s">
        <v>3305</v>
      </c>
      <c r="B172" s="133">
        <f>SUM(B169:B171)</f>
        <v>0</v>
      </c>
      <c r="C172" s="133"/>
      <c r="D172" s="133">
        <f>SUM(D169:D171)</f>
        <v>0</v>
      </c>
      <c r="E172" s="133"/>
      <c r="F172" s="133">
        <f>SUM(F169:F171)</f>
        <v>0</v>
      </c>
      <c r="G172" s="133"/>
      <c r="H172" s="133">
        <f>SUM(H169:H171)</f>
        <v>0</v>
      </c>
      <c r="I172" s="133"/>
      <c r="J172" s="133">
        <f>SUM(J169:J171)</f>
        <v>0</v>
      </c>
      <c r="K172" s="133"/>
      <c r="L172" s="133">
        <f>SUM(L169:L171)</f>
        <v>0</v>
      </c>
      <c r="M172" s="133"/>
      <c r="N172" s="133">
        <f>SUM(N169:N171)</f>
        <v>0</v>
      </c>
      <c r="O172" s="133"/>
      <c r="P172" s="133">
        <f>SUM(P169:P171)</f>
        <v>0</v>
      </c>
      <c r="Q172" s="133"/>
      <c r="R172" s="133">
        <f>SUM(R169:R171)</f>
        <v>0</v>
      </c>
    </row>
    <row r="173" spans="1:18" outlineLevel="1" x14ac:dyDescent="0.2">
      <c r="A173" s="3" t="s">
        <v>3306</v>
      </c>
      <c r="B173" s="133">
        <f>+'KY_Res by Plant Acct-P29 (Reg)'!B174</f>
        <v>-2326955.8200000003</v>
      </c>
      <c r="C173" s="133"/>
      <c r="D173" s="133">
        <f>+'KY_Res by Plant Acct-P29 (Reg)'!D174</f>
        <v>0</v>
      </c>
      <c r="E173" s="133"/>
      <c r="F173" s="133">
        <f>+'KY_Res by Plant Acct-P29 (Reg)'!F174</f>
        <v>0</v>
      </c>
      <c r="G173" s="133"/>
      <c r="H173" s="133">
        <f>+'KY_Res by Plant Acct-P29 (Reg)'!H174</f>
        <v>0</v>
      </c>
      <c r="I173" s="133"/>
      <c r="J173" s="133">
        <f>+'KY_Res by Plant Acct-P29 (Reg)'!J174</f>
        <v>0</v>
      </c>
      <c r="K173" s="133"/>
      <c r="L173" s="133">
        <f>+'KY_Res by Plant Acct-P29 (Reg)'!L174</f>
        <v>0</v>
      </c>
      <c r="M173" s="133"/>
      <c r="N173" s="133">
        <f>+'KY_Res by Plant Acct-P29 (Reg)'!N174</f>
        <v>0</v>
      </c>
      <c r="O173" s="133"/>
      <c r="P173" s="133">
        <f>+'KY_Res by Plant Acct-P29 (Reg)'!P174</f>
        <v>0</v>
      </c>
      <c r="Q173" s="133"/>
      <c r="R173" s="133">
        <f t="shared" ref="R173:R208" si="11">SUM(B173:P173)</f>
        <v>-2326955.8200000003</v>
      </c>
    </row>
    <row r="174" spans="1:18" outlineLevel="1" x14ac:dyDescent="0.2">
      <c r="A174" s="3" t="s">
        <v>3307</v>
      </c>
      <c r="B174" s="133">
        <f>+'KY_Res by Plant Acct-P29 (Reg)'!B175</f>
        <v>-1331745.3999999999</v>
      </c>
      <c r="C174" s="133"/>
      <c r="D174" s="133">
        <f>+'KY_Res by Plant Acct-P29 (Reg)'!D175</f>
        <v>0</v>
      </c>
      <c r="E174" s="133"/>
      <c r="F174" s="133">
        <f>+'KY_Res by Plant Acct-P29 (Reg)'!F175</f>
        <v>0</v>
      </c>
      <c r="G174" s="133"/>
      <c r="H174" s="133">
        <f>+'KY_Res by Plant Acct-P29 (Reg)'!H175</f>
        <v>0</v>
      </c>
      <c r="I174" s="133"/>
      <c r="J174" s="133">
        <f>+'KY_Res by Plant Acct-P29 (Reg)'!J175</f>
        <v>0</v>
      </c>
      <c r="K174" s="133"/>
      <c r="L174" s="133">
        <f>+'KY_Res by Plant Acct-P29 (Reg)'!L175</f>
        <v>0</v>
      </c>
      <c r="M174" s="133"/>
      <c r="N174" s="133">
        <f>+'KY_Res by Plant Acct-P29 (Reg)'!N175</f>
        <v>0</v>
      </c>
      <c r="O174" s="133"/>
      <c r="P174" s="133">
        <f>+'KY_Res by Plant Acct-P29 (Reg)'!P175</f>
        <v>0</v>
      </c>
      <c r="Q174" s="133"/>
      <c r="R174" s="133">
        <f t="shared" si="11"/>
        <v>-1331745.3999999999</v>
      </c>
    </row>
    <row r="175" spans="1:18" outlineLevel="1" x14ac:dyDescent="0.2">
      <c r="A175" s="3" t="s">
        <v>3308</v>
      </c>
      <c r="B175" s="133">
        <f>+'KY_Res by Plant Acct-P29 (Reg)'!B176</f>
        <v>-2300122.89</v>
      </c>
      <c r="C175" s="133"/>
      <c r="D175" s="133">
        <f>+'KY_Res by Plant Acct-P29 (Reg)'!D176</f>
        <v>0</v>
      </c>
      <c r="E175" s="133"/>
      <c r="F175" s="133">
        <f>+'KY_Res by Plant Acct-P29 (Reg)'!F176</f>
        <v>0</v>
      </c>
      <c r="G175" s="133"/>
      <c r="H175" s="133">
        <f>+'KY_Res by Plant Acct-P29 (Reg)'!H176</f>
        <v>0</v>
      </c>
      <c r="I175" s="133"/>
      <c r="J175" s="133">
        <f>+'KY_Res by Plant Acct-P29 (Reg)'!J176</f>
        <v>0</v>
      </c>
      <c r="K175" s="133"/>
      <c r="L175" s="133">
        <f>+'KY_Res by Plant Acct-P29 (Reg)'!L176</f>
        <v>0</v>
      </c>
      <c r="M175" s="133"/>
      <c r="N175" s="133">
        <f>+'KY_Res by Plant Acct-P29 (Reg)'!N176</f>
        <v>0</v>
      </c>
      <c r="O175" s="133"/>
      <c r="P175" s="133">
        <f>+'KY_Res by Plant Acct-P29 (Reg)'!P176</f>
        <v>0</v>
      </c>
      <c r="Q175" s="133"/>
      <c r="R175" s="133">
        <f t="shared" si="11"/>
        <v>-2300122.89</v>
      </c>
    </row>
    <row r="176" spans="1:18" outlineLevel="1" x14ac:dyDescent="0.2">
      <c r="A176" s="3" t="s">
        <v>3309</v>
      </c>
      <c r="B176" s="133">
        <f>+'KY_Res by Plant Acct-P29 (Reg)'!B177</f>
        <v>-62890.009999999886</v>
      </c>
      <c r="C176" s="133"/>
      <c r="D176" s="133">
        <f>+'KY_Res by Plant Acct-P29 (Reg)'!D177</f>
        <v>0</v>
      </c>
      <c r="E176" s="133"/>
      <c r="F176" s="133">
        <f>+'KY_Res by Plant Acct-P29 (Reg)'!F177</f>
        <v>0</v>
      </c>
      <c r="G176" s="133"/>
      <c r="H176" s="133">
        <f>+'KY_Res by Plant Acct-P29 (Reg)'!H177</f>
        <v>0</v>
      </c>
      <c r="I176" s="133"/>
      <c r="J176" s="133">
        <f>+'KY_Res by Plant Acct-P29 (Reg)'!J177</f>
        <v>0</v>
      </c>
      <c r="K176" s="133"/>
      <c r="L176" s="133">
        <f>+'KY_Res by Plant Acct-P29 (Reg)'!L177</f>
        <v>0</v>
      </c>
      <c r="M176" s="133"/>
      <c r="N176" s="133">
        <f>+'KY_Res by Plant Acct-P29 (Reg)'!N177</f>
        <v>0</v>
      </c>
      <c r="O176" s="133"/>
      <c r="P176" s="133">
        <f>+'KY_Res by Plant Acct-P29 (Reg)'!P177</f>
        <v>0</v>
      </c>
      <c r="Q176" s="133"/>
      <c r="R176" s="133">
        <f t="shared" si="11"/>
        <v>-62890.009999999886</v>
      </c>
    </row>
    <row r="177" spans="1:18" outlineLevel="1" x14ac:dyDescent="0.2">
      <c r="A177" s="3" t="s">
        <v>3310</v>
      </c>
      <c r="B177" s="133">
        <f>+'KY_Res by Plant Acct-P29 (Reg)'!B178</f>
        <v>-2128830.3500000015</v>
      </c>
      <c r="C177" s="133"/>
      <c r="D177" s="133">
        <f>+'KY_Res by Plant Acct-P29 (Reg)'!D178</f>
        <v>0</v>
      </c>
      <c r="E177" s="133"/>
      <c r="F177" s="133">
        <f>+'KY_Res by Plant Acct-P29 (Reg)'!F178</f>
        <v>0</v>
      </c>
      <c r="G177" s="137"/>
      <c r="H177" s="133">
        <f>+'KY_Res by Plant Acct-P29 (Reg)'!H178</f>
        <v>0</v>
      </c>
      <c r="I177" s="137"/>
      <c r="J177" s="133">
        <f>+'KY_Res by Plant Acct-P29 (Reg)'!J178</f>
        <v>0</v>
      </c>
      <c r="K177" s="137"/>
      <c r="L177" s="133">
        <f>+'KY_Res by Plant Acct-P29 (Reg)'!L178</f>
        <v>0</v>
      </c>
      <c r="M177" s="133"/>
      <c r="N177" s="133">
        <f>+'KY_Res by Plant Acct-P29 (Reg)'!N178</f>
        <v>0</v>
      </c>
      <c r="O177" s="133"/>
      <c r="P177" s="133">
        <f>+'KY_Res by Plant Acct-P29 (Reg)'!P178</f>
        <v>0</v>
      </c>
      <c r="Q177" s="133"/>
      <c r="R177" s="133">
        <f t="shared" si="11"/>
        <v>-2128830.3500000015</v>
      </c>
    </row>
    <row r="178" spans="1:18" outlineLevel="1" x14ac:dyDescent="0.2">
      <c r="A178" s="3" t="s">
        <v>3311</v>
      </c>
      <c r="B178" s="133">
        <f>+'KY_Res by Plant Acct-P29 (Reg)'!B179</f>
        <v>-174556.22999999975</v>
      </c>
      <c r="C178" s="133"/>
      <c r="D178" s="133">
        <f>+'KY_Res by Plant Acct-P29 (Reg)'!D179</f>
        <v>0</v>
      </c>
      <c r="E178" s="133"/>
      <c r="F178" s="133">
        <f>+'KY_Res by Plant Acct-P29 (Reg)'!F179</f>
        <v>0</v>
      </c>
      <c r="G178" s="137"/>
      <c r="H178" s="133">
        <f>+'KY_Res by Plant Acct-P29 (Reg)'!H179</f>
        <v>0</v>
      </c>
      <c r="I178" s="137"/>
      <c r="J178" s="133">
        <f>+'KY_Res by Plant Acct-P29 (Reg)'!J179</f>
        <v>0</v>
      </c>
      <c r="K178" s="137"/>
      <c r="L178" s="133">
        <f>+'KY_Res by Plant Acct-P29 (Reg)'!L179</f>
        <v>0</v>
      </c>
      <c r="M178" s="133"/>
      <c r="N178" s="133">
        <f>+'KY_Res by Plant Acct-P29 (Reg)'!N179</f>
        <v>0</v>
      </c>
      <c r="O178" s="133"/>
      <c r="P178" s="133">
        <f>+'KY_Res by Plant Acct-P29 (Reg)'!P179</f>
        <v>0</v>
      </c>
      <c r="Q178" s="133"/>
      <c r="R178" s="133">
        <f t="shared" si="11"/>
        <v>-174556.22999999975</v>
      </c>
    </row>
    <row r="179" spans="1:18" outlineLevel="1" x14ac:dyDescent="0.2">
      <c r="A179" s="3" t="s">
        <v>3312</v>
      </c>
      <c r="B179" s="133">
        <f>+'KY_Res by Plant Acct-P29 (Reg)'!B180</f>
        <v>-3540604.9900000012</v>
      </c>
      <c r="C179" s="133"/>
      <c r="D179" s="133">
        <f>+'KY_Res by Plant Acct-P29 (Reg)'!D180</f>
        <v>-6662.52</v>
      </c>
      <c r="E179" s="133"/>
      <c r="F179" s="133">
        <f>+'KY_Res by Plant Acct-P29 (Reg)'!F180</f>
        <v>0</v>
      </c>
      <c r="G179" s="137"/>
      <c r="H179" s="133">
        <f>+'KY_Res by Plant Acct-P29 (Reg)'!H180</f>
        <v>0</v>
      </c>
      <c r="I179" s="137"/>
      <c r="J179" s="133">
        <f>+'KY_Res by Plant Acct-P29 (Reg)'!J180</f>
        <v>0</v>
      </c>
      <c r="K179" s="137"/>
      <c r="L179" s="133">
        <f>+'KY_Res by Plant Acct-P29 (Reg)'!L180</f>
        <v>0</v>
      </c>
      <c r="M179" s="133"/>
      <c r="N179" s="133">
        <f>+'KY_Res by Plant Acct-P29 (Reg)'!N180</f>
        <v>0</v>
      </c>
      <c r="O179" s="133"/>
      <c r="P179" s="133">
        <f>+'KY_Res by Plant Acct-P29 (Reg)'!P180</f>
        <v>0</v>
      </c>
      <c r="Q179" s="133"/>
      <c r="R179" s="133">
        <f t="shared" si="11"/>
        <v>-3547267.5100000012</v>
      </c>
    </row>
    <row r="180" spans="1:18" outlineLevel="1" x14ac:dyDescent="0.2">
      <c r="A180" s="3" t="s">
        <v>3313</v>
      </c>
      <c r="B180" s="133">
        <f>+'KY_Res by Plant Acct-P29 (Reg)'!B181</f>
        <v>-134572.90999999968</v>
      </c>
      <c r="C180" s="133"/>
      <c r="D180" s="133">
        <f>+'KY_Res by Plant Acct-P29 (Reg)'!D181</f>
        <v>0</v>
      </c>
      <c r="E180" s="133"/>
      <c r="F180" s="133">
        <f>+'KY_Res by Plant Acct-P29 (Reg)'!F181</f>
        <v>0</v>
      </c>
      <c r="G180" s="137"/>
      <c r="H180" s="133">
        <f>+'KY_Res by Plant Acct-P29 (Reg)'!H181</f>
        <v>0</v>
      </c>
      <c r="I180" s="137"/>
      <c r="J180" s="133">
        <f>+'KY_Res by Plant Acct-P29 (Reg)'!J181</f>
        <v>0</v>
      </c>
      <c r="K180" s="137"/>
      <c r="L180" s="133">
        <f>+'KY_Res by Plant Acct-P29 (Reg)'!L181</f>
        <v>0</v>
      </c>
      <c r="M180" s="133"/>
      <c r="N180" s="133">
        <f>+'KY_Res by Plant Acct-P29 (Reg)'!N181</f>
        <v>0</v>
      </c>
      <c r="O180" s="133"/>
      <c r="P180" s="133">
        <f>+'KY_Res by Plant Acct-P29 (Reg)'!P181</f>
        <v>0</v>
      </c>
      <c r="Q180" s="133"/>
      <c r="R180" s="133">
        <f t="shared" si="11"/>
        <v>-134572.90999999968</v>
      </c>
    </row>
    <row r="181" spans="1:18" outlineLevel="1" x14ac:dyDescent="0.2">
      <c r="A181" s="3" t="s">
        <v>3314</v>
      </c>
      <c r="B181" s="133">
        <f>+'KY_Res by Plant Acct-P29 (Reg)'!B182</f>
        <v>-8465740.3800000008</v>
      </c>
      <c r="C181" s="133"/>
      <c r="D181" s="133">
        <f>+'KY_Res by Plant Acct-P29 (Reg)'!D182</f>
        <v>-246601.08</v>
      </c>
      <c r="E181" s="133"/>
      <c r="F181" s="133">
        <f>+'KY_Res by Plant Acct-P29 (Reg)'!F182</f>
        <v>0</v>
      </c>
      <c r="G181" s="137"/>
      <c r="H181" s="133">
        <f>+'KY_Res by Plant Acct-P29 (Reg)'!H182</f>
        <v>0</v>
      </c>
      <c r="I181" s="137"/>
      <c r="J181" s="133">
        <f>+'KY_Res by Plant Acct-P29 (Reg)'!J182</f>
        <v>0</v>
      </c>
      <c r="K181" s="137"/>
      <c r="L181" s="133">
        <f>+'KY_Res by Plant Acct-P29 (Reg)'!L182</f>
        <v>0</v>
      </c>
      <c r="M181" s="133"/>
      <c r="N181" s="133">
        <f>+'KY_Res by Plant Acct-P29 (Reg)'!N182</f>
        <v>0</v>
      </c>
      <c r="O181" s="133"/>
      <c r="P181" s="133">
        <f>+'KY_Res by Plant Acct-P29 (Reg)'!P182</f>
        <v>0</v>
      </c>
      <c r="Q181" s="133"/>
      <c r="R181" s="133">
        <f t="shared" si="11"/>
        <v>-8712341.4600000009</v>
      </c>
    </row>
    <row r="182" spans="1:18" outlineLevel="1" x14ac:dyDescent="0.2">
      <c r="A182" s="3" t="s">
        <v>3315</v>
      </c>
      <c r="B182" s="133">
        <f>+'KY_Res by Plant Acct-P29 (Reg)'!B183</f>
        <v>-1.4551915228366852E-11</v>
      </c>
      <c r="C182" s="133"/>
      <c r="D182" s="133">
        <f>+'KY_Res by Plant Acct-P29 (Reg)'!D183</f>
        <v>0</v>
      </c>
      <c r="E182" s="133"/>
      <c r="F182" s="133">
        <f>+'KY_Res by Plant Acct-P29 (Reg)'!F183</f>
        <v>0</v>
      </c>
      <c r="G182" s="137"/>
      <c r="H182" s="133">
        <f>+'KY_Res by Plant Acct-P29 (Reg)'!H183</f>
        <v>0</v>
      </c>
      <c r="I182" s="137"/>
      <c r="J182" s="133">
        <f>+'KY_Res by Plant Acct-P29 (Reg)'!J183</f>
        <v>0</v>
      </c>
      <c r="K182" s="137"/>
      <c r="L182" s="133">
        <f>+'KY_Res by Plant Acct-P29 (Reg)'!L183</f>
        <v>0</v>
      </c>
      <c r="M182" s="133"/>
      <c r="N182" s="133">
        <f>+'KY_Res by Plant Acct-P29 (Reg)'!N183</f>
        <v>0</v>
      </c>
      <c r="O182" s="133"/>
      <c r="P182" s="133">
        <f>+'KY_Res by Plant Acct-P29 (Reg)'!P183</f>
        <v>0</v>
      </c>
      <c r="Q182" s="133"/>
      <c r="R182" s="133">
        <f t="shared" si="11"/>
        <v>-1.4551915228366852E-11</v>
      </c>
    </row>
    <row r="183" spans="1:18" outlineLevel="1" x14ac:dyDescent="0.2">
      <c r="A183" s="21" t="s">
        <v>3316</v>
      </c>
      <c r="B183" s="133">
        <f>+'KY_Res by Plant Acct-P29 (Reg)'!B184</f>
        <v>-143890.54999999999</v>
      </c>
      <c r="C183" s="133"/>
      <c r="D183" s="133">
        <f>+'KY_Res by Plant Acct-P29 (Reg)'!D184</f>
        <v>-41016.18</v>
      </c>
      <c r="E183" s="133"/>
      <c r="F183" s="133">
        <f>+'KY_Res by Plant Acct-P29 (Reg)'!F184</f>
        <v>0</v>
      </c>
      <c r="G183" s="137"/>
      <c r="H183" s="133">
        <f>+'KY_Res by Plant Acct-P29 (Reg)'!H184</f>
        <v>0</v>
      </c>
      <c r="I183" s="137"/>
      <c r="J183" s="133">
        <f>+'KY_Res by Plant Acct-P29 (Reg)'!J184</f>
        <v>0</v>
      </c>
      <c r="K183" s="137"/>
      <c r="L183" s="133">
        <f>+'KY_Res by Plant Acct-P29 (Reg)'!L184</f>
        <v>0</v>
      </c>
      <c r="M183" s="133"/>
      <c r="N183" s="133">
        <f>+'KY_Res by Plant Acct-P29 (Reg)'!N184</f>
        <v>0</v>
      </c>
      <c r="O183" s="133"/>
      <c r="P183" s="133">
        <f>+'KY_Res by Plant Acct-P29 (Reg)'!P184</f>
        <v>0</v>
      </c>
      <c r="Q183" s="133"/>
      <c r="R183" s="133">
        <f t="shared" si="11"/>
        <v>-184906.72999999998</v>
      </c>
    </row>
    <row r="184" spans="1:18" outlineLevel="1" x14ac:dyDescent="0.2">
      <c r="A184" s="21" t="s">
        <v>3317</v>
      </c>
      <c r="B184" s="133">
        <f>+'KY_Res by Plant Acct-P29 (Reg)'!B185</f>
        <v>-170635.62999999998</v>
      </c>
      <c r="C184" s="133"/>
      <c r="D184" s="133">
        <f>+'KY_Res by Plant Acct-P29 (Reg)'!D185</f>
        <v>-51025.59</v>
      </c>
      <c r="E184" s="133"/>
      <c r="F184" s="133">
        <f>+'KY_Res by Plant Acct-P29 (Reg)'!F185</f>
        <v>0</v>
      </c>
      <c r="G184" s="137"/>
      <c r="H184" s="133">
        <f>+'KY_Res by Plant Acct-P29 (Reg)'!H185</f>
        <v>0</v>
      </c>
      <c r="I184" s="137"/>
      <c r="J184" s="133">
        <f>+'KY_Res by Plant Acct-P29 (Reg)'!J185</f>
        <v>0</v>
      </c>
      <c r="K184" s="137"/>
      <c r="L184" s="133">
        <f>+'KY_Res by Plant Acct-P29 (Reg)'!L185</f>
        <v>0</v>
      </c>
      <c r="M184" s="133"/>
      <c r="N184" s="133">
        <f>+'KY_Res by Plant Acct-P29 (Reg)'!N185</f>
        <v>0</v>
      </c>
      <c r="O184" s="133"/>
      <c r="P184" s="133">
        <f>+'KY_Res by Plant Acct-P29 (Reg)'!P185</f>
        <v>0</v>
      </c>
      <c r="Q184" s="133"/>
      <c r="R184" s="133">
        <f t="shared" si="11"/>
        <v>-221661.21999999997</v>
      </c>
    </row>
    <row r="185" spans="1:18" outlineLevel="1" x14ac:dyDescent="0.2">
      <c r="A185" s="21" t="s">
        <v>3318</v>
      </c>
      <c r="B185" s="133">
        <f>+'KY_Res by Plant Acct-P29 (Reg)'!B186</f>
        <v>-33182.699999999997</v>
      </c>
      <c r="C185" s="133"/>
      <c r="D185" s="133">
        <f>+'KY_Res by Plant Acct-P29 (Reg)'!D186</f>
        <v>-22018.44</v>
      </c>
      <c r="E185" s="133"/>
      <c r="F185" s="133">
        <f>+'KY_Res by Plant Acct-P29 (Reg)'!F186</f>
        <v>0</v>
      </c>
      <c r="G185" s="137"/>
      <c r="H185" s="133">
        <f>+'KY_Res by Plant Acct-P29 (Reg)'!H186</f>
        <v>0</v>
      </c>
      <c r="I185" s="137"/>
      <c r="J185" s="133">
        <f>+'KY_Res by Plant Acct-P29 (Reg)'!J186</f>
        <v>0</v>
      </c>
      <c r="K185" s="137"/>
      <c r="L185" s="133">
        <f>+'KY_Res by Plant Acct-P29 (Reg)'!L186</f>
        <v>0</v>
      </c>
      <c r="M185" s="133"/>
      <c r="N185" s="133">
        <f>+'KY_Res by Plant Acct-P29 (Reg)'!N186</f>
        <v>0</v>
      </c>
      <c r="O185" s="133"/>
      <c r="P185" s="133">
        <f>+'KY_Res by Plant Acct-P29 (Reg)'!P186</f>
        <v>0</v>
      </c>
      <c r="Q185" s="133"/>
      <c r="R185" s="133">
        <f>SUM(B185:P185)</f>
        <v>-55201.14</v>
      </c>
    </row>
    <row r="186" spans="1:18" outlineLevel="1" x14ac:dyDescent="0.2">
      <c r="A186" s="21" t="s">
        <v>3319</v>
      </c>
      <c r="B186" s="133">
        <f>+'KY_Res by Plant Acct-P29 (Reg)'!B187</f>
        <v>0</v>
      </c>
      <c r="C186" s="133"/>
      <c r="D186" s="133">
        <f>+'KY_Res by Plant Acct-P29 (Reg)'!D187</f>
        <v>0</v>
      </c>
      <c r="E186" s="133"/>
      <c r="F186" s="133">
        <f>+'KY_Res by Plant Acct-P29 (Reg)'!F187</f>
        <v>0</v>
      </c>
      <c r="G186" s="137"/>
      <c r="H186" s="133">
        <f>+'KY_Res by Plant Acct-P29 (Reg)'!H187</f>
        <v>0</v>
      </c>
      <c r="I186" s="137"/>
      <c r="J186" s="133">
        <f>+'KY_Res by Plant Acct-P29 (Reg)'!J187</f>
        <v>0</v>
      </c>
      <c r="K186" s="137"/>
      <c r="L186" s="133">
        <f>+'KY_Res by Plant Acct-P29 (Reg)'!L187</f>
        <v>0</v>
      </c>
      <c r="M186" s="133"/>
      <c r="N186" s="133">
        <f>+'KY_Res by Plant Acct-P29 (Reg)'!N187</f>
        <v>0</v>
      </c>
      <c r="O186" s="133"/>
      <c r="P186" s="133">
        <f>+'KY_Res by Plant Acct-P29 (Reg)'!P187</f>
        <v>0</v>
      </c>
      <c r="Q186" s="133"/>
      <c r="R186" s="133">
        <f>SUM(B186:P186)</f>
        <v>0</v>
      </c>
    </row>
    <row r="187" spans="1:18" outlineLevel="1" x14ac:dyDescent="0.2">
      <c r="A187" s="21" t="s">
        <v>3320</v>
      </c>
      <c r="B187" s="133">
        <f>+'KY_Res by Plant Acct-P29 (Reg)'!B188</f>
        <v>-37440.39</v>
      </c>
      <c r="C187" s="133"/>
      <c r="D187" s="133">
        <f>+'KY_Res by Plant Acct-P29 (Reg)'!D188</f>
        <v>-24816.66</v>
      </c>
      <c r="E187" s="133"/>
      <c r="F187" s="133">
        <f>+'KY_Res by Plant Acct-P29 (Reg)'!F188</f>
        <v>0</v>
      </c>
      <c r="G187" s="137"/>
      <c r="H187" s="133">
        <f>+'KY_Res by Plant Acct-P29 (Reg)'!H188</f>
        <v>0</v>
      </c>
      <c r="I187" s="137"/>
      <c r="J187" s="133">
        <f>+'KY_Res by Plant Acct-P29 (Reg)'!J188</f>
        <v>0</v>
      </c>
      <c r="K187" s="137"/>
      <c r="L187" s="133">
        <f>+'KY_Res by Plant Acct-P29 (Reg)'!L188</f>
        <v>0</v>
      </c>
      <c r="M187" s="133"/>
      <c r="N187" s="133">
        <f>+'KY_Res by Plant Acct-P29 (Reg)'!N188</f>
        <v>0</v>
      </c>
      <c r="O187" s="133"/>
      <c r="P187" s="133">
        <f>+'KY_Res by Plant Acct-P29 (Reg)'!P188</f>
        <v>0</v>
      </c>
      <c r="Q187" s="133"/>
      <c r="R187" s="133">
        <f>SUM(B187:P187)</f>
        <v>-62257.05</v>
      </c>
    </row>
    <row r="188" spans="1:18" outlineLevel="1" x14ac:dyDescent="0.2">
      <c r="A188" s="21" t="s">
        <v>3666</v>
      </c>
      <c r="B188" s="133">
        <f>+'KY_Res by Plant Acct-P29 (Reg)'!B189</f>
        <v>-40615081.829999983</v>
      </c>
      <c r="C188" s="133"/>
      <c r="D188" s="133">
        <f>+'KY_Res by Plant Acct-P29 (Reg)'!D189</f>
        <v>-1166130.6299999999</v>
      </c>
      <c r="E188" s="133"/>
      <c r="F188" s="133">
        <f>+'KY_Res by Plant Acct-P29 (Reg)'!F189</f>
        <v>51641.45</v>
      </c>
      <c r="G188" s="137"/>
      <c r="H188" s="133">
        <f>+'KY_Res by Plant Acct-P29 (Reg)'!H189</f>
        <v>0</v>
      </c>
      <c r="I188" s="137"/>
      <c r="J188" s="133">
        <f>+'KY_Res by Plant Acct-P29 (Reg)'!J189</f>
        <v>0</v>
      </c>
      <c r="K188" s="137"/>
      <c r="L188" s="133">
        <f>+'KY_Res by Plant Acct-P29 (Reg)'!L189</f>
        <v>36377.699999999997</v>
      </c>
      <c r="M188" s="133"/>
      <c r="N188" s="133">
        <f>+'KY_Res by Plant Acct-P29 (Reg)'!N189</f>
        <v>0</v>
      </c>
      <c r="O188" s="133"/>
      <c r="P188" s="133">
        <f>+'KY_Res by Plant Acct-P29 (Reg)'!P189</f>
        <v>0</v>
      </c>
      <c r="Q188" s="133"/>
      <c r="R188" s="133">
        <f t="shared" si="11"/>
        <v>-41693193.30999998</v>
      </c>
    </row>
    <row r="189" spans="1:18" outlineLevel="1" x14ac:dyDescent="0.2">
      <c r="A189" s="21" t="s">
        <v>3322</v>
      </c>
      <c r="B189" s="133">
        <f>+'KY_Res by Plant Acct-P29 (Reg)'!B190</f>
        <v>0</v>
      </c>
      <c r="C189" s="133"/>
      <c r="D189" s="133">
        <f>+'KY_Res by Plant Acct-P29 (Reg)'!D190</f>
        <v>0</v>
      </c>
      <c r="E189" s="133"/>
      <c r="F189" s="133">
        <f>+'KY_Res by Plant Acct-P29 (Reg)'!F190</f>
        <v>0</v>
      </c>
      <c r="G189" s="137"/>
      <c r="H189" s="133">
        <f>+'KY_Res by Plant Acct-P29 (Reg)'!H190</f>
        <v>0</v>
      </c>
      <c r="I189" s="137"/>
      <c r="J189" s="133">
        <f>+'KY_Res by Plant Acct-P29 (Reg)'!J190</f>
        <v>0</v>
      </c>
      <c r="K189" s="137"/>
      <c r="L189" s="133">
        <f>+'KY_Res by Plant Acct-P29 (Reg)'!L190</f>
        <v>0</v>
      </c>
      <c r="M189" s="133"/>
      <c r="N189" s="133">
        <f>+'KY_Res by Plant Acct-P29 (Reg)'!N190</f>
        <v>0</v>
      </c>
      <c r="O189" s="133"/>
      <c r="P189" s="133">
        <f>+'KY_Res by Plant Acct-P29 (Reg)'!P190</f>
        <v>0</v>
      </c>
      <c r="Q189" s="133"/>
      <c r="R189" s="133">
        <f t="shared" si="11"/>
        <v>0</v>
      </c>
    </row>
    <row r="190" spans="1:18" outlineLevel="1" x14ac:dyDescent="0.2">
      <c r="A190" s="120" t="s">
        <v>3323</v>
      </c>
      <c r="B190" s="133">
        <f>+'KY_Res by Plant Acct-P29 (Reg)'!B191</f>
        <v>-174497.19</v>
      </c>
      <c r="C190" s="133"/>
      <c r="D190" s="133">
        <f>+'KY_Res by Plant Acct-P29 (Reg)'!D191</f>
        <v>-90041.04</v>
      </c>
      <c r="E190" s="133"/>
      <c r="F190" s="133">
        <f>+'KY_Res by Plant Acct-P29 (Reg)'!F191</f>
        <v>0</v>
      </c>
      <c r="G190" s="137"/>
      <c r="H190" s="133">
        <f>+'KY_Res by Plant Acct-P29 (Reg)'!H191</f>
        <v>0</v>
      </c>
      <c r="I190" s="137"/>
      <c r="J190" s="133">
        <f>+'KY_Res by Plant Acct-P29 (Reg)'!J191</f>
        <v>0</v>
      </c>
      <c r="K190" s="137"/>
      <c r="L190" s="133">
        <f>+'KY_Res by Plant Acct-P29 (Reg)'!L191</f>
        <v>0</v>
      </c>
      <c r="M190" s="133"/>
      <c r="N190" s="133">
        <f>+'KY_Res by Plant Acct-P29 (Reg)'!N191</f>
        <v>0</v>
      </c>
      <c r="O190" s="133"/>
      <c r="P190" s="133">
        <f>+'KY_Res by Plant Acct-P29 (Reg)'!P191</f>
        <v>0</v>
      </c>
      <c r="Q190" s="133"/>
      <c r="R190" s="133">
        <f>SUM(B190:P190)</f>
        <v>-264538.23</v>
      </c>
    </row>
    <row r="191" spans="1:18" outlineLevel="1" x14ac:dyDescent="0.2">
      <c r="A191" s="120" t="s">
        <v>3324</v>
      </c>
      <c r="B191" s="133">
        <f>+'KY_Res by Plant Acct-P29 (Reg)'!B192</f>
        <v>-32583.78</v>
      </c>
      <c r="C191" s="133"/>
      <c r="D191" s="133">
        <f>+'KY_Res by Plant Acct-P29 (Reg)'!D192</f>
        <v>-59524.02</v>
      </c>
      <c r="E191" s="133"/>
      <c r="F191" s="133">
        <f>+'KY_Res by Plant Acct-P29 (Reg)'!F192</f>
        <v>0</v>
      </c>
      <c r="G191" s="137"/>
      <c r="H191" s="133">
        <f>+'KY_Res by Plant Acct-P29 (Reg)'!H192</f>
        <v>0</v>
      </c>
      <c r="I191" s="137"/>
      <c r="J191" s="133">
        <f>+'KY_Res by Plant Acct-P29 (Reg)'!J192</f>
        <v>0</v>
      </c>
      <c r="K191" s="137"/>
      <c r="L191" s="133">
        <f>+'KY_Res by Plant Acct-P29 (Reg)'!L192</f>
        <v>0</v>
      </c>
      <c r="M191" s="133"/>
      <c r="N191" s="133">
        <f>+'KY_Res by Plant Acct-P29 (Reg)'!N192</f>
        <v>0</v>
      </c>
      <c r="O191" s="133"/>
      <c r="P191" s="133">
        <f>+'KY_Res by Plant Acct-P29 (Reg)'!P192</f>
        <v>0</v>
      </c>
      <c r="Q191" s="133"/>
      <c r="R191" s="133">
        <f>SUM(B191:P191)</f>
        <v>-92107.799999999988</v>
      </c>
    </row>
    <row r="192" spans="1:18" outlineLevel="1" x14ac:dyDescent="0.2">
      <c r="A192" s="3" t="s">
        <v>3325</v>
      </c>
      <c r="B192" s="133">
        <f>+'KY_Res by Plant Acct-P29 (Reg)'!B193</f>
        <v>-122980.1799999997</v>
      </c>
      <c r="C192" s="133"/>
      <c r="D192" s="133">
        <f>+'KY_Res by Plant Acct-P29 (Reg)'!D193</f>
        <v>0</v>
      </c>
      <c r="E192" s="133"/>
      <c r="F192" s="133">
        <f>+'KY_Res by Plant Acct-P29 (Reg)'!F193</f>
        <v>0</v>
      </c>
      <c r="G192" s="137"/>
      <c r="H192" s="133">
        <f>+'KY_Res by Plant Acct-P29 (Reg)'!H193</f>
        <v>0</v>
      </c>
      <c r="I192" s="137"/>
      <c r="J192" s="133">
        <f>+'KY_Res by Plant Acct-P29 (Reg)'!J193</f>
        <v>0</v>
      </c>
      <c r="K192" s="137"/>
      <c r="L192" s="133">
        <f>+'KY_Res by Plant Acct-P29 (Reg)'!L193</f>
        <v>0</v>
      </c>
      <c r="M192" s="133"/>
      <c r="N192" s="133">
        <f>+'KY_Res by Plant Acct-P29 (Reg)'!N193</f>
        <v>0</v>
      </c>
      <c r="O192" s="133"/>
      <c r="P192" s="133">
        <f>+'KY_Res by Plant Acct-P29 (Reg)'!P193</f>
        <v>0</v>
      </c>
      <c r="Q192" s="133"/>
      <c r="R192" s="133">
        <f t="shared" si="11"/>
        <v>-122980.1799999997</v>
      </c>
    </row>
    <row r="193" spans="1:21" outlineLevel="1" x14ac:dyDescent="0.2">
      <c r="A193" s="3" t="s">
        <v>3326</v>
      </c>
      <c r="B193" s="133">
        <f>+'KY_Res by Plant Acct-P29 (Reg)'!B194</f>
        <v>-17703755.189999998</v>
      </c>
      <c r="C193" s="133"/>
      <c r="D193" s="133">
        <f>+'KY_Res by Plant Acct-P29 (Reg)'!D194</f>
        <v>-195722.5</v>
      </c>
      <c r="E193" s="133"/>
      <c r="F193" s="133">
        <f>+'KY_Res by Plant Acct-P29 (Reg)'!F194</f>
        <v>34661.339999999997</v>
      </c>
      <c r="G193" s="137"/>
      <c r="H193" s="133">
        <f>+'KY_Res by Plant Acct-P29 (Reg)'!H194</f>
        <v>0</v>
      </c>
      <c r="I193" s="137"/>
      <c r="J193" s="133">
        <f>+'KY_Res by Plant Acct-P29 (Reg)'!J194</f>
        <v>0</v>
      </c>
      <c r="K193" s="137"/>
      <c r="L193" s="133">
        <f>+'KY_Res by Plant Acct-P29 (Reg)'!L194</f>
        <v>12539.6</v>
      </c>
      <c r="M193" s="133"/>
      <c r="N193" s="133">
        <f>+'KY_Res by Plant Acct-P29 (Reg)'!N194</f>
        <v>0</v>
      </c>
      <c r="O193" s="133"/>
      <c r="P193" s="133">
        <f>+'KY_Res by Plant Acct-P29 (Reg)'!P194</f>
        <v>0</v>
      </c>
      <c r="Q193" s="133"/>
      <c r="R193" s="133">
        <f t="shared" si="11"/>
        <v>-17852276.749999996</v>
      </c>
    </row>
    <row r="194" spans="1:21" outlineLevel="1" x14ac:dyDescent="0.2">
      <c r="A194" s="3" t="s">
        <v>3327</v>
      </c>
      <c r="B194" s="133">
        <f>+'KY_Res by Plant Acct-P29 (Reg)'!B195</f>
        <v>-908753.60999999987</v>
      </c>
      <c r="C194" s="133"/>
      <c r="D194" s="133">
        <f>+'KY_Res by Plant Acct-P29 (Reg)'!D195</f>
        <v>0</v>
      </c>
      <c r="E194" s="133"/>
      <c r="F194" s="133">
        <f>+'KY_Res by Plant Acct-P29 (Reg)'!F195</f>
        <v>0</v>
      </c>
      <c r="G194" s="137"/>
      <c r="H194" s="133">
        <f>+'KY_Res by Plant Acct-P29 (Reg)'!H195</f>
        <v>0</v>
      </c>
      <c r="I194" s="137"/>
      <c r="J194" s="133">
        <f>+'KY_Res by Plant Acct-P29 (Reg)'!J195</f>
        <v>0</v>
      </c>
      <c r="K194" s="137"/>
      <c r="L194" s="133">
        <f>+'KY_Res by Plant Acct-P29 (Reg)'!L195</f>
        <v>0</v>
      </c>
      <c r="M194" s="133"/>
      <c r="N194" s="133">
        <f>+'KY_Res by Plant Acct-P29 (Reg)'!N195</f>
        <v>0</v>
      </c>
      <c r="O194" s="133"/>
      <c r="P194" s="133">
        <f>+'KY_Res by Plant Acct-P29 (Reg)'!P195</f>
        <v>0</v>
      </c>
      <c r="Q194" s="133"/>
      <c r="R194" s="133">
        <f t="shared" si="11"/>
        <v>-908753.60999999987</v>
      </c>
    </row>
    <row r="195" spans="1:21" outlineLevel="1" x14ac:dyDescent="0.2">
      <c r="A195" s="3" t="s">
        <v>3328</v>
      </c>
      <c r="B195" s="133">
        <f>+'KY_Res by Plant Acct-P29 (Reg)'!B196</f>
        <v>-10137381.540000001</v>
      </c>
      <c r="C195" s="133"/>
      <c r="D195" s="133">
        <f>+'KY_Res by Plant Acct-P29 (Reg)'!D196</f>
        <v>-121328.18</v>
      </c>
      <c r="E195" s="133"/>
      <c r="F195" s="133">
        <f>+'KY_Res by Plant Acct-P29 (Reg)'!F196</f>
        <v>47438.17</v>
      </c>
      <c r="G195" s="137"/>
      <c r="H195" s="133">
        <f>+'KY_Res by Plant Acct-P29 (Reg)'!H196</f>
        <v>0</v>
      </c>
      <c r="I195" s="137"/>
      <c r="J195" s="133">
        <f>+'KY_Res by Plant Acct-P29 (Reg)'!J196</f>
        <v>0</v>
      </c>
      <c r="K195" s="137"/>
      <c r="L195" s="133">
        <f>+'KY_Res by Plant Acct-P29 (Reg)'!L196</f>
        <v>15574.35</v>
      </c>
      <c r="M195" s="133"/>
      <c r="N195" s="133">
        <f>+'KY_Res by Plant Acct-P29 (Reg)'!N196</f>
        <v>0</v>
      </c>
      <c r="O195" s="133"/>
      <c r="P195" s="133">
        <f>+'KY_Res by Plant Acct-P29 (Reg)'!P196</f>
        <v>0</v>
      </c>
      <c r="Q195" s="133"/>
      <c r="R195" s="133">
        <f t="shared" si="11"/>
        <v>-10195697.200000001</v>
      </c>
    </row>
    <row r="196" spans="1:21" outlineLevel="1" x14ac:dyDescent="0.2">
      <c r="A196" s="3" t="s">
        <v>3329</v>
      </c>
      <c r="B196" s="133">
        <f>+'KY_Res by Plant Acct-P29 (Reg)'!B197</f>
        <v>-143001.41</v>
      </c>
      <c r="C196" s="133"/>
      <c r="D196" s="133">
        <f>+'KY_Res by Plant Acct-P29 (Reg)'!D197</f>
        <v>0</v>
      </c>
      <c r="E196" s="133"/>
      <c r="F196" s="133">
        <f>+'KY_Res by Plant Acct-P29 (Reg)'!F197</f>
        <v>0</v>
      </c>
      <c r="G196" s="137"/>
      <c r="H196" s="133">
        <f>+'KY_Res by Plant Acct-P29 (Reg)'!H197</f>
        <v>0</v>
      </c>
      <c r="I196" s="137"/>
      <c r="J196" s="133">
        <f>+'KY_Res by Plant Acct-P29 (Reg)'!J197</f>
        <v>0</v>
      </c>
      <c r="K196" s="137"/>
      <c r="L196" s="133">
        <f>+'KY_Res by Plant Acct-P29 (Reg)'!L197</f>
        <v>0</v>
      </c>
      <c r="M196" s="133"/>
      <c r="N196" s="133">
        <f>+'KY_Res by Plant Acct-P29 (Reg)'!N197</f>
        <v>0</v>
      </c>
      <c r="O196" s="133"/>
      <c r="P196" s="133">
        <f>+'KY_Res by Plant Acct-P29 (Reg)'!P197</f>
        <v>0</v>
      </c>
      <c r="Q196" s="133"/>
      <c r="R196" s="133">
        <f t="shared" si="11"/>
        <v>-143001.41</v>
      </c>
    </row>
    <row r="197" spans="1:21" outlineLevel="1" x14ac:dyDescent="0.2">
      <c r="A197" s="3" t="s">
        <v>3330</v>
      </c>
      <c r="B197" s="133">
        <f>+'KY_Res by Plant Acct-P29 (Reg)'!B198</f>
        <v>-20988188.429999996</v>
      </c>
      <c r="C197" s="133"/>
      <c r="D197" s="133">
        <f>+'KY_Res by Plant Acct-P29 (Reg)'!D198</f>
        <v>-233165.04</v>
      </c>
      <c r="E197" s="133"/>
      <c r="F197" s="133">
        <f>+'KY_Res by Plant Acct-P29 (Reg)'!F198</f>
        <v>0</v>
      </c>
      <c r="G197" s="137"/>
      <c r="H197" s="133">
        <f>+'KY_Res by Plant Acct-P29 (Reg)'!H198</f>
        <v>0</v>
      </c>
      <c r="I197" s="137"/>
      <c r="J197" s="133">
        <f>+'KY_Res by Plant Acct-P29 (Reg)'!J198</f>
        <v>0</v>
      </c>
      <c r="K197" s="137"/>
      <c r="L197" s="133">
        <f>+'KY_Res by Plant Acct-P29 (Reg)'!L198</f>
        <v>0</v>
      </c>
      <c r="M197" s="133"/>
      <c r="N197" s="133">
        <f>+'KY_Res by Plant Acct-P29 (Reg)'!N198</f>
        <v>0</v>
      </c>
      <c r="O197" s="133"/>
      <c r="P197" s="133">
        <f>+'KY_Res by Plant Acct-P29 (Reg)'!P198</f>
        <v>0</v>
      </c>
      <c r="Q197" s="133"/>
      <c r="R197" s="133">
        <f t="shared" si="11"/>
        <v>-21221353.469999995</v>
      </c>
    </row>
    <row r="198" spans="1:21" outlineLevel="1" x14ac:dyDescent="0.2">
      <c r="A198" s="3" t="s">
        <v>3331</v>
      </c>
      <c r="B198" s="133">
        <f>+'KY_Res by Plant Acct-P29 (Reg)'!B199</f>
        <v>-2397798.59</v>
      </c>
      <c r="C198" s="133"/>
      <c r="D198" s="133">
        <f>+'KY_Res by Plant Acct-P29 (Reg)'!D199</f>
        <v>-13185.42</v>
      </c>
      <c r="E198" s="133"/>
      <c r="F198" s="133">
        <f>+'KY_Res by Plant Acct-P29 (Reg)'!F199</f>
        <v>0</v>
      </c>
      <c r="G198" s="137"/>
      <c r="H198" s="133">
        <f>+'KY_Res by Plant Acct-P29 (Reg)'!H199</f>
        <v>0</v>
      </c>
      <c r="I198" s="137"/>
      <c r="J198" s="133">
        <f>+'KY_Res by Plant Acct-P29 (Reg)'!J199</f>
        <v>0</v>
      </c>
      <c r="K198" s="137"/>
      <c r="L198" s="133">
        <f>+'KY_Res by Plant Acct-P29 (Reg)'!L199</f>
        <v>0</v>
      </c>
      <c r="M198" s="133"/>
      <c r="N198" s="133">
        <f>+'KY_Res by Plant Acct-P29 (Reg)'!N199</f>
        <v>0</v>
      </c>
      <c r="O198" s="133"/>
      <c r="P198" s="133">
        <f>+'KY_Res by Plant Acct-P29 (Reg)'!P199</f>
        <v>0</v>
      </c>
      <c r="Q198" s="133"/>
      <c r="R198" s="133">
        <f t="shared" si="11"/>
        <v>-2410984.0099999998</v>
      </c>
    </row>
    <row r="199" spans="1:21" outlineLevel="1" x14ac:dyDescent="0.2">
      <c r="A199" s="21" t="s">
        <v>3332</v>
      </c>
      <c r="B199" s="133">
        <f>+'KY_Res by Plant Acct-P29 (Reg)'!B200</f>
        <v>-2067.42</v>
      </c>
      <c r="C199" s="133"/>
      <c r="D199" s="133">
        <f>+'KY_Res by Plant Acct-P29 (Reg)'!D200</f>
        <v>-28454.9</v>
      </c>
      <c r="E199" s="133"/>
      <c r="F199" s="133">
        <f>+'KY_Res by Plant Acct-P29 (Reg)'!F200</f>
        <v>0</v>
      </c>
      <c r="G199" s="137"/>
      <c r="H199" s="133">
        <f>+'KY_Res by Plant Acct-P29 (Reg)'!H200</f>
        <v>0</v>
      </c>
      <c r="I199" s="137"/>
      <c r="J199" s="133">
        <f>+'KY_Res by Plant Acct-P29 (Reg)'!J200</f>
        <v>0</v>
      </c>
      <c r="K199" s="137"/>
      <c r="L199" s="133">
        <f>+'KY_Res by Plant Acct-P29 (Reg)'!L200</f>
        <v>0</v>
      </c>
      <c r="M199" s="133"/>
      <c r="N199" s="133">
        <f>+'KY_Res by Plant Acct-P29 (Reg)'!N200</f>
        <v>0</v>
      </c>
      <c r="O199" s="133"/>
      <c r="P199" s="133">
        <f>+'KY_Res by Plant Acct-P29 (Reg)'!P200</f>
        <v>0</v>
      </c>
      <c r="Q199" s="133"/>
      <c r="R199" s="133">
        <f t="shared" si="11"/>
        <v>-30522.32</v>
      </c>
    </row>
    <row r="200" spans="1:21" outlineLevel="1" x14ac:dyDescent="0.2">
      <c r="A200" s="3" t="s">
        <v>3333</v>
      </c>
      <c r="B200" s="133">
        <f>+'KY_Res by Plant Acct-P29 (Reg)'!B201</f>
        <v>-33185.240000000005</v>
      </c>
      <c r="C200" s="133"/>
      <c r="D200" s="133">
        <f>+'KY_Res by Plant Acct-P29 (Reg)'!D201</f>
        <v>-17463.990000000002</v>
      </c>
      <c r="E200" s="133"/>
      <c r="F200" s="133">
        <f>+'KY_Res by Plant Acct-P29 (Reg)'!F201</f>
        <v>0</v>
      </c>
      <c r="G200" s="137"/>
      <c r="H200" s="133">
        <f>+'KY_Res by Plant Acct-P29 (Reg)'!H201</f>
        <v>0</v>
      </c>
      <c r="I200" s="137"/>
      <c r="J200" s="133">
        <f>+'KY_Res by Plant Acct-P29 (Reg)'!J201</f>
        <v>0</v>
      </c>
      <c r="K200" s="137"/>
      <c r="L200" s="133">
        <f>+'KY_Res by Plant Acct-P29 (Reg)'!L201</f>
        <v>0</v>
      </c>
      <c r="M200" s="133"/>
      <c r="N200" s="133">
        <f>+'KY_Res by Plant Acct-P29 (Reg)'!N201</f>
        <v>0</v>
      </c>
      <c r="O200" s="133"/>
      <c r="P200" s="133">
        <f>+'KY_Res by Plant Acct-P29 (Reg)'!P201</f>
        <v>0</v>
      </c>
      <c r="Q200" s="133"/>
      <c r="R200" s="133">
        <f>SUM(B200:P200)</f>
        <v>-50649.23000000001</v>
      </c>
    </row>
    <row r="201" spans="1:21" outlineLevel="1" x14ac:dyDescent="0.2">
      <c r="A201" s="3" t="s">
        <v>3334</v>
      </c>
      <c r="B201" s="133">
        <f>+'KY_Res by Plant Acct-P29 (Reg)'!B202</f>
        <v>0</v>
      </c>
      <c r="C201" s="133"/>
      <c r="D201" s="133">
        <f>+'KY_Res by Plant Acct-P29 (Reg)'!D202</f>
        <v>0</v>
      </c>
      <c r="E201" s="133"/>
      <c r="F201" s="133">
        <f>+'KY_Res by Plant Acct-P29 (Reg)'!F202</f>
        <v>0</v>
      </c>
      <c r="G201" s="137"/>
      <c r="H201" s="133">
        <f>+'KY_Res by Plant Acct-P29 (Reg)'!H202</f>
        <v>0</v>
      </c>
      <c r="I201" s="137"/>
      <c r="J201" s="133">
        <f>+'KY_Res by Plant Acct-P29 (Reg)'!J202</f>
        <v>0</v>
      </c>
      <c r="K201" s="137"/>
      <c r="L201" s="133">
        <f>+'KY_Res by Plant Acct-P29 (Reg)'!L202</f>
        <v>0</v>
      </c>
      <c r="M201" s="133"/>
      <c r="N201" s="133">
        <f>+'KY_Res by Plant Acct-P29 (Reg)'!N202</f>
        <v>0</v>
      </c>
      <c r="O201" s="133"/>
      <c r="P201" s="133">
        <f>+'KY_Res by Plant Acct-P29 (Reg)'!P202</f>
        <v>0</v>
      </c>
      <c r="Q201" s="133"/>
      <c r="R201" s="133">
        <f t="shared" si="11"/>
        <v>0</v>
      </c>
    </row>
    <row r="202" spans="1:21" outlineLevel="1" x14ac:dyDescent="0.2">
      <c r="A202" s="3" t="s">
        <v>3335</v>
      </c>
      <c r="B202" s="133">
        <f>+'KY_Res by Plant Acct-P29 (Reg)'!B203</f>
        <v>-64602025.000000015</v>
      </c>
      <c r="C202" s="133"/>
      <c r="D202" s="133">
        <f>+'KY_Res by Plant Acct-P29 (Reg)'!D203</f>
        <v>-1804326.3</v>
      </c>
      <c r="E202" s="133"/>
      <c r="F202" s="133">
        <f>+'KY_Res by Plant Acct-P29 (Reg)'!F203</f>
        <v>66982.14</v>
      </c>
      <c r="G202" s="137"/>
      <c r="H202" s="133">
        <f>+'KY_Res by Plant Acct-P29 (Reg)'!H203</f>
        <v>0</v>
      </c>
      <c r="I202" s="137"/>
      <c r="J202" s="133">
        <f>+'KY_Res by Plant Acct-P29 (Reg)'!J203</f>
        <v>0</v>
      </c>
      <c r="K202" s="137"/>
      <c r="L202" s="133">
        <f>+'KY_Res by Plant Acct-P29 (Reg)'!L203</f>
        <v>5630.53</v>
      </c>
      <c r="M202" s="133"/>
      <c r="N202" s="133">
        <f>+'KY_Res by Plant Acct-P29 (Reg)'!N203</f>
        <v>0</v>
      </c>
      <c r="O202" s="133"/>
      <c r="P202" s="133">
        <f>+'KY_Res by Plant Acct-P29 (Reg)'!P203</f>
        <v>-1391.62</v>
      </c>
      <c r="Q202" s="133"/>
      <c r="R202" s="133">
        <f t="shared" si="11"/>
        <v>-66335130.250000007</v>
      </c>
    </row>
    <row r="203" spans="1:21" outlineLevel="1" x14ac:dyDescent="0.2">
      <c r="A203" s="3" t="s">
        <v>3336</v>
      </c>
      <c r="B203" s="133">
        <f>+'KY_Res by Plant Acct-P29 (Reg)'!B204</f>
        <v>-3.637978807091713E-12</v>
      </c>
      <c r="C203" s="133"/>
      <c r="D203" s="133">
        <f>+'KY_Res by Plant Acct-P29 (Reg)'!D204</f>
        <v>0</v>
      </c>
      <c r="E203" s="133"/>
      <c r="F203" s="133">
        <f>+'KY_Res by Plant Acct-P29 (Reg)'!F204</f>
        <v>0</v>
      </c>
      <c r="G203" s="137"/>
      <c r="H203" s="133">
        <f>+'KY_Res by Plant Acct-P29 (Reg)'!H204</f>
        <v>0</v>
      </c>
      <c r="I203" s="137"/>
      <c r="J203" s="133">
        <f>+'KY_Res by Plant Acct-P29 (Reg)'!J204</f>
        <v>0</v>
      </c>
      <c r="K203" s="137"/>
      <c r="L203" s="133">
        <f>+'KY_Res by Plant Acct-P29 (Reg)'!L204</f>
        <v>0</v>
      </c>
      <c r="M203" s="133"/>
      <c r="N203" s="133">
        <f>+'KY_Res by Plant Acct-P29 (Reg)'!N204</f>
        <v>0</v>
      </c>
      <c r="O203" s="133"/>
      <c r="P203" s="133">
        <f>+'KY_Res by Plant Acct-P29 (Reg)'!P204</f>
        <v>0</v>
      </c>
      <c r="Q203" s="133"/>
      <c r="R203" s="133">
        <f t="shared" si="11"/>
        <v>-3.637978807091713E-12</v>
      </c>
    </row>
    <row r="204" spans="1:21" outlineLevel="1" x14ac:dyDescent="0.2">
      <c r="A204" s="3" t="s">
        <v>3337</v>
      </c>
      <c r="B204" s="133">
        <f>+'KY_Res by Plant Acct-P29 (Reg)'!B205</f>
        <v>-1925391.47</v>
      </c>
      <c r="C204" s="133"/>
      <c r="D204" s="133">
        <f>+'KY_Res by Plant Acct-P29 (Reg)'!D205</f>
        <v>-352512.96</v>
      </c>
      <c r="E204" s="133"/>
      <c r="F204" s="133">
        <f>+'KY_Res by Plant Acct-P29 (Reg)'!F205</f>
        <v>8599.35</v>
      </c>
      <c r="G204" s="137"/>
      <c r="H204" s="133">
        <f>+'KY_Res by Plant Acct-P29 (Reg)'!H205</f>
        <v>0</v>
      </c>
      <c r="I204" s="137"/>
      <c r="J204" s="133">
        <f>+'KY_Res by Plant Acct-P29 (Reg)'!J205</f>
        <v>0</v>
      </c>
      <c r="K204" s="137"/>
      <c r="L204" s="133">
        <f>+'KY_Res by Plant Acct-P29 (Reg)'!L205</f>
        <v>0</v>
      </c>
      <c r="M204" s="133"/>
      <c r="N204" s="133">
        <f>+'KY_Res by Plant Acct-P29 (Reg)'!N205</f>
        <v>0</v>
      </c>
      <c r="O204" s="133"/>
      <c r="P204" s="133">
        <f>+'KY_Res by Plant Acct-P29 (Reg)'!P205</f>
        <v>0</v>
      </c>
      <c r="Q204" s="133"/>
      <c r="R204" s="133">
        <f t="shared" si="11"/>
        <v>-2269305.08</v>
      </c>
    </row>
    <row r="205" spans="1:21" outlineLevel="1" x14ac:dyDescent="0.2">
      <c r="A205" s="3" t="s">
        <v>3338</v>
      </c>
      <c r="B205" s="133">
        <f>+'KY_Res by Plant Acct-P29 (Reg)'!B206</f>
        <v>0</v>
      </c>
      <c r="C205" s="133"/>
      <c r="D205" s="133">
        <f>+'KY_Res by Plant Acct-P29 (Reg)'!D206</f>
        <v>0</v>
      </c>
      <c r="E205" s="133"/>
      <c r="F205" s="133">
        <f>+'KY_Res by Plant Acct-P29 (Reg)'!F206</f>
        <v>0</v>
      </c>
      <c r="G205" s="137"/>
      <c r="H205" s="133">
        <f>+'KY_Res by Plant Acct-P29 (Reg)'!H206</f>
        <v>0</v>
      </c>
      <c r="I205" s="137"/>
      <c r="J205" s="133">
        <f>+'KY_Res by Plant Acct-P29 (Reg)'!J206</f>
        <v>0</v>
      </c>
      <c r="K205" s="137"/>
      <c r="L205" s="133">
        <f>+'KY_Res by Plant Acct-P29 (Reg)'!L206</f>
        <v>0</v>
      </c>
      <c r="M205" s="133"/>
      <c r="N205" s="133">
        <f>+'KY_Res by Plant Acct-P29 (Reg)'!N206</f>
        <v>0</v>
      </c>
      <c r="O205" s="133"/>
      <c r="P205" s="133">
        <f>+'KY_Res by Plant Acct-P29 (Reg)'!P206</f>
        <v>0</v>
      </c>
      <c r="Q205" s="133"/>
      <c r="R205" s="133">
        <f t="shared" si="11"/>
        <v>0</v>
      </c>
    </row>
    <row r="206" spans="1:21" outlineLevel="1" x14ac:dyDescent="0.2">
      <c r="A206" s="139" t="s">
        <v>3339</v>
      </c>
      <c r="B206" s="133">
        <f>+'KY_Res by Plant Acct-P29 (Reg)'!B207</f>
        <v>-38783.17</v>
      </c>
      <c r="C206" s="133"/>
      <c r="D206" s="133">
        <f>+'KY_Res by Plant Acct-P29 (Reg)'!D207</f>
        <v>-11340.18</v>
      </c>
      <c r="E206" s="133"/>
      <c r="F206" s="133">
        <f>+'KY_Res by Plant Acct-P29 (Reg)'!F207</f>
        <v>0</v>
      </c>
      <c r="G206" s="137"/>
      <c r="H206" s="133">
        <f>+'KY_Res by Plant Acct-P29 (Reg)'!H207</f>
        <v>0</v>
      </c>
      <c r="I206" s="137"/>
      <c r="J206" s="133">
        <f>+'KY_Res by Plant Acct-P29 (Reg)'!J207</f>
        <v>0</v>
      </c>
      <c r="K206" s="137"/>
      <c r="L206" s="133">
        <f>+'KY_Res by Plant Acct-P29 (Reg)'!L207</f>
        <v>0</v>
      </c>
      <c r="M206" s="133"/>
      <c r="N206" s="133">
        <f>+'KY_Res by Plant Acct-P29 (Reg)'!N207</f>
        <v>0</v>
      </c>
      <c r="O206" s="133"/>
      <c r="P206" s="133">
        <f>+'KY_Res by Plant Acct-P29 (Reg)'!P207</f>
        <v>0</v>
      </c>
      <c r="Q206" s="133"/>
      <c r="R206" s="133">
        <f t="shared" si="11"/>
        <v>-50123.35</v>
      </c>
      <c r="S206" s="16"/>
      <c r="T206" s="14"/>
      <c r="U206" s="14"/>
    </row>
    <row r="207" spans="1:21" outlineLevel="1" x14ac:dyDescent="0.2">
      <c r="A207" s="3" t="s">
        <v>3340</v>
      </c>
      <c r="B207" s="133">
        <f>+'KY_Res by Plant Acct-P29 (Reg)'!B208</f>
        <v>2841.8700000000463</v>
      </c>
      <c r="C207" s="133"/>
      <c r="D207" s="133">
        <f>+'KY_Res by Plant Acct-P29 (Reg)'!D208</f>
        <v>-9512.4599999999991</v>
      </c>
      <c r="E207" s="133"/>
      <c r="F207" s="133">
        <f>+'KY_Res by Plant Acct-P29 (Reg)'!F208</f>
        <v>0</v>
      </c>
      <c r="G207" s="137"/>
      <c r="H207" s="133">
        <f>+'KY_Res by Plant Acct-P29 (Reg)'!H208</f>
        <v>0</v>
      </c>
      <c r="I207" s="137"/>
      <c r="J207" s="133">
        <f>+'KY_Res by Plant Acct-P29 (Reg)'!J208</f>
        <v>0</v>
      </c>
      <c r="K207" s="137"/>
      <c r="L207" s="133">
        <f>+'KY_Res by Plant Acct-P29 (Reg)'!L208</f>
        <v>0</v>
      </c>
      <c r="M207" s="133"/>
      <c r="N207" s="133">
        <f>+'KY_Res by Plant Acct-P29 (Reg)'!N208</f>
        <v>0</v>
      </c>
      <c r="O207" s="133"/>
      <c r="P207" s="133">
        <f>+'KY_Res by Plant Acct-P29 (Reg)'!P208</f>
        <v>0</v>
      </c>
      <c r="Q207" s="133"/>
      <c r="R207" s="133">
        <f t="shared" si="11"/>
        <v>-6670.5899999999529</v>
      </c>
    </row>
    <row r="208" spans="1:21" outlineLevel="1" x14ac:dyDescent="0.2">
      <c r="A208" s="3" t="s">
        <v>3341</v>
      </c>
      <c r="B208" s="133">
        <f>+'KY_Res by Plant Acct-P29 (Reg)'!B209</f>
        <v>-6043.170000000001</v>
      </c>
      <c r="C208" s="133"/>
      <c r="D208" s="133">
        <f>+'KY_Res by Plant Acct-P29 (Reg)'!D209</f>
        <v>-1566.86</v>
      </c>
      <c r="E208" s="133"/>
      <c r="F208" s="133">
        <f>+'KY_Res by Plant Acct-P29 (Reg)'!F209</f>
        <v>0</v>
      </c>
      <c r="G208" s="137"/>
      <c r="H208" s="133">
        <f>+'KY_Res by Plant Acct-P29 (Reg)'!H209</f>
        <v>0</v>
      </c>
      <c r="I208" s="137"/>
      <c r="J208" s="133">
        <f>+'KY_Res by Plant Acct-P29 (Reg)'!J209</f>
        <v>0</v>
      </c>
      <c r="K208" s="137"/>
      <c r="L208" s="133">
        <f>+'KY_Res by Plant Acct-P29 (Reg)'!L209</f>
        <v>0</v>
      </c>
      <c r="M208" s="133"/>
      <c r="N208" s="133">
        <f>+'KY_Res by Plant Acct-P29 (Reg)'!N209</f>
        <v>0</v>
      </c>
      <c r="O208" s="133"/>
      <c r="P208" s="133">
        <f>+'KY_Res by Plant Acct-P29 (Reg)'!P209</f>
        <v>0</v>
      </c>
      <c r="Q208" s="133"/>
      <c r="R208" s="133">
        <f t="shared" si="11"/>
        <v>-7610.0300000000007</v>
      </c>
    </row>
    <row r="209" spans="1:21" x14ac:dyDescent="0.2">
      <c r="A209" s="3" t="s">
        <v>3342</v>
      </c>
      <c r="B209" s="133">
        <f>SUM(B172:B208)</f>
        <v>-180679843.59999996</v>
      </c>
      <c r="C209" s="133"/>
      <c r="D209" s="133">
        <f>SUM(D172:D208)</f>
        <v>-4496414.95</v>
      </c>
      <c r="E209" s="133"/>
      <c r="F209" s="133">
        <f>SUM(F172:F208)</f>
        <v>209322.44999999998</v>
      </c>
      <c r="G209" s="137"/>
      <c r="H209" s="133">
        <f>SUM(H172:H208)</f>
        <v>0</v>
      </c>
      <c r="I209" s="137"/>
      <c r="J209" s="133">
        <f>SUM(J172:J208)</f>
        <v>0</v>
      </c>
      <c r="K209" s="137"/>
      <c r="L209" s="133">
        <f>SUM(L172:L208)</f>
        <v>70122.179999999993</v>
      </c>
      <c r="M209" s="133"/>
      <c r="N209" s="133">
        <f>SUM(N172:N208)</f>
        <v>0</v>
      </c>
      <c r="O209" s="133"/>
      <c r="P209" s="133">
        <f>SUM(P172:P208)</f>
        <v>-1391.62</v>
      </c>
      <c r="Q209" s="133"/>
      <c r="R209" s="133">
        <f>SUM(R172:R208)</f>
        <v>-184898205.53999999</v>
      </c>
    </row>
    <row r="210" spans="1:21" outlineLevel="1" x14ac:dyDescent="0.2">
      <c r="A210" s="3" t="s">
        <v>3343</v>
      </c>
      <c r="B210" s="133">
        <f>+'KY_Res by Plant Acct-P29 (Reg)'!B211</f>
        <v>0</v>
      </c>
      <c r="C210" s="133"/>
      <c r="D210" s="133">
        <f>+'KY_Res by Plant Acct-P29 (Reg)'!D211</f>
        <v>0</v>
      </c>
      <c r="E210" s="133"/>
      <c r="F210" s="133">
        <f>+'KY_Res by Plant Acct-P29 (Reg)'!F211</f>
        <v>0</v>
      </c>
      <c r="G210" s="137"/>
      <c r="H210" s="133">
        <f>+'KY_Res by Plant Acct-P29 (Reg)'!H211</f>
        <v>0</v>
      </c>
      <c r="I210" s="137"/>
      <c r="J210" s="133">
        <f>+'KY_Res by Plant Acct-P29 (Reg)'!J211</f>
        <v>0</v>
      </c>
      <c r="K210" s="137"/>
      <c r="L210" s="133">
        <f>+'KY_Res by Plant Acct-P29 (Reg)'!L211</f>
        <v>0</v>
      </c>
      <c r="M210" s="133"/>
      <c r="N210" s="133">
        <f>+'KY_Res by Plant Acct-P29 (Reg)'!N211</f>
        <v>0</v>
      </c>
      <c r="O210" s="133"/>
      <c r="P210" s="133">
        <f>+'KY_Res by Plant Acct-P29 (Reg)'!P211</f>
        <v>0</v>
      </c>
      <c r="Q210" s="133"/>
      <c r="R210" s="133">
        <f t="shared" ref="R210:R217" si="12">SUM(B210:P210)</f>
        <v>0</v>
      </c>
    </row>
    <row r="211" spans="1:21" outlineLevel="1" x14ac:dyDescent="0.2">
      <c r="A211" s="3" t="s">
        <v>3344</v>
      </c>
      <c r="B211" s="133">
        <f>+'KY_Res by Plant Acct-P29 (Reg)'!B212</f>
        <v>-5.8207660913467407E-11</v>
      </c>
      <c r="C211" s="133"/>
      <c r="D211" s="133">
        <f>+'KY_Res by Plant Acct-P29 (Reg)'!D212</f>
        <v>0</v>
      </c>
      <c r="E211" s="133"/>
      <c r="F211" s="133">
        <f>+'KY_Res by Plant Acct-P29 (Reg)'!F212</f>
        <v>0</v>
      </c>
      <c r="G211" s="137"/>
      <c r="H211" s="133">
        <f>+'KY_Res by Plant Acct-P29 (Reg)'!H212</f>
        <v>0</v>
      </c>
      <c r="I211" s="137"/>
      <c r="J211" s="133">
        <f>+'KY_Res by Plant Acct-P29 (Reg)'!J212</f>
        <v>0</v>
      </c>
      <c r="K211" s="137"/>
      <c r="L211" s="133">
        <f>+'KY_Res by Plant Acct-P29 (Reg)'!L212</f>
        <v>0</v>
      </c>
      <c r="M211" s="133"/>
      <c r="N211" s="133">
        <f>+'KY_Res by Plant Acct-P29 (Reg)'!N212</f>
        <v>0</v>
      </c>
      <c r="O211" s="133"/>
      <c r="P211" s="133">
        <f>+'KY_Res by Plant Acct-P29 (Reg)'!P212</f>
        <v>0</v>
      </c>
      <c r="Q211" s="133"/>
      <c r="R211" s="133">
        <f t="shared" si="12"/>
        <v>-5.8207660913467407E-11</v>
      </c>
    </row>
    <row r="212" spans="1:21" outlineLevel="1" x14ac:dyDescent="0.2">
      <c r="A212" s="3" t="s">
        <v>3345</v>
      </c>
      <c r="B212" s="133">
        <f>+'KY_Res by Plant Acct-P29 (Reg)'!B213</f>
        <v>4.6566128730773926E-10</v>
      </c>
      <c r="C212" s="133"/>
      <c r="D212" s="133">
        <f>+'KY_Res by Plant Acct-P29 (Reg)'!D213</f>
        <v>0</v>
      </c>
      <c r="E212" s="133"/>
      <c r="F212" s="133">
        <f>+'KY_Res by Plant Acct-P29 (Reg)'!F213</f>
        <v>0</v>
      </c>
      <c r="G212" s="137"/>
      <c r="H212" s="133">
        <f>+'KY_Res by Plant Acct-P29 (Reg)'!H213</f>
        <v>0</v>
      </c>
      <c r="I212" s="137"/>
      <c r="J212" s="133">
        <f>+'KY_Res by Plant Acct-P29 (Reg)'!J213</f>
        <v>0</v>
      </c>
      <c r="K212" s="137"/>
      <c r="L212" s="133">
        <f>+'KY_Res by Plant Acct-P29 (Reg)'!L213</f>
        <v>0</v>
      </c>
      <c r="M212" s="133"/>
      <c r="N212" s="133">
        <f>+'KY_Res by Plant Acct-P29 (Reg)'!N213</f>
        <v>0</v>
      </c>
      <c r="O212" s="133"/>
      <c r="P212" s="133">
        <f>+'KY_Res by Plant Acct-P29 (Reg)'!P213</f>
        <v>0</v>
      </c>
      <c r="Q212" s="133"/>
      <c r="R212" s="133">
        <f t="shared" si="12"/>
        <v>4.6566128730773926E-10</v>
      </c>
    </row>
    <row r="213" spans="1:21" outlineLevel="1" x14ac:dyDescent="0.2">
      <c r="A213" s="3" t="s">
        <v>3346</v>
      </c>
      <c r="B213" s="133">
        <f>+'KY_Res by Plant Acct-P29 (Reg)'!B214</f>
        <v>2.9103830456733704E-11</v>
      </c>
      <c r="C213" s="133"/>
      <c r="D213" s="133">
        <f>+'KY_Res by Plant Acct-P29 (Reg)'!D214</f>
        <v>0</v>
      </c>
      <c r="E213" s="133"/>
      <c r="F213" s="133">
        <f>+'KY_Res by Plant Acct-P29 (Reg)'!F214</f>
        <v>0</v>
      </c>
      <c r="G213" s="137"/>
      <c r="H213" s="133">
        <f>+'KY_Res by Plant Acct-P29 (Reg)'!H214</f>
        <v>0</v>
      </c>
      <c r="I213" s="137"/>
      <c r="J213" s="133">
        <f>+'KY_Res by Plant Acct-P29 (Reg)'!J214</f>
        <v>0</v>
      </c>
      <c r="K213" s="137"/>
      <c r="L213" s="133">
        <f>+'KY_Res by Plant Acct-P29 (Reg)'!L214</f>
        <v>0</v>
      </c>
      <c r="M213" s="133"/>
      <c r="N213" s="133">
        <f>+'KY_Res by Plant Acct-P29 (Reg)'!N214</f>
        <v>0</v>
      </c>
      <c r="O213" s="133"/>
      <c r="P213" s="133">
        <f>+'KY_Res by Plant Acct-P29 (Reg)'!P214</f>
        <v>0</v>
      </c>
      <c r="Q213" s="133"/>
      <c r="R213" s="133">
        <f t="shared" si="12"/>
        <v>2.9103830456733704E-11</v>
      </c>
    </row>
    <row r="214" spans="1:21" outlineLevel="1" x14ac:dyDescent="0.2">
      <c r="A214" s="3" t="s">
        <v>3347</v>
      </c>
      <c r="B214" s="133">
        <f>+'KY_Res by Plant Acct-P29 (Reg)'!B215</f>
        <v>0</v>
      </c>
      <c r="C214" s="133"/>
      <c r="D214" s="133">
        <f>+'KY_Res by Plant Acct-P29 (Reg)'!D215</f>
        <v>0</v>
      </c>
      <c r="E214" s="133"/>
      <c r="F214" s="133">
        <f>+'KY_Res by Plant Acct-P29 (Reg)'!F215</f>
        <v>0</v>
      </c>
      <c r="G214" s="133"/>
      <c r="H214" s="133">
        <f>+'KY_Res by Plant Acct-P29 (Reg)'!H215</f>
        <v>0</v>
      </c>
      <c r="I214" s="133"/>
      <c r="J214" s="133">
        <f>+'KY_Res by Plant Acct-P29 (Reg)'!J215</f>
        <v>0</v>
      </c>
      <c r="K214" s="133"/>
      <c r="L214" s="133">
        <f>+'KY_Res by Plant Acct-P29 (Reg)'!L215</f>
        <v>0</v>
      </c>
      <c r="M214" s="133"/>
      <c r="N214" s="133">
        <f>+'KY_Res by Plant Acct-P29 (Reg)'!N215</f>
        <v>0</v>
      </c>
      <c r="O214" s="133"/>
      <c r="P214" s="133">
        <f>+'KY_Res by Plant Acct-P29 (Reg)'!P215</f>
        <v>0</v>
      </c>
      <c r="Q214" s="133"/>
      <c r="R214" s="133">
        <f t="shared" si="12"/>
        <v>0</v>
      </c>
    </row>
    <row r="215" spans="1:21" outlineLevel="1" x14ac:dyDescent="0.2">
      <c r="A215" s="3" t="s">
        <v>3348</v>
      </c>
      <c r="B215" s="133">
        <f>+'KY_Res by Plant Acct-P29 (Reg)'!B216</f>
        <v>4.6566128730773926E-10</v>
      </c>
      <c r="C215" s="133"/>
      <c r="D215" s="133">
        <f>+'KY_Res by Plant Acct-P29 (Reg)'!D216</f>
        <v>0</v>
      </c>
      <c r="E215" s="133"/>
      <c r="F215" s="133">
        <f>+'KY_Res by Plant Acct-P29 (Reg)'!F216</f>
        <v>0</v>
      </c>
      <c r="G215" s="133"/>
      <c r="H215" s="133">
        <f>+'KY_Res by Plant Acct-P29 (Reg)'!H216</f>
        <v>0</v>
      </c>
      <c r="I215" s="133"/>
      <c r="J215" s="133">
        <f>+'KY_Res by Plant Acct-P29 (Reg)'!J216</f>
        <v>0</v>
      </c>
      <c r="K215" s="133"/>
      <c r="L215" s="133">
        <f>+'KY_Res by Plant Acct-P29 (Reg)'!L216</f>
        <v>0</v>
      </c>
      <c r="M215" s="133"/>
      <c r="N215" s="133">
        <f>+'KY_Res by Plant Acct-P29 (Reg)'!N216</f>
        <v>0</v>
      </c>
      <c r="O215" s="133"/>
      <c r="P215" s="133">
        <f>+'KY_Res by Plant Acct-P29 (Reg)'!P216</f>
        <v>0</v>
      </c>
      <c r="Q215" s="133"/>
      <c r="R215" s="133">
        <f t="shared" si="12"/>
        <v>4.6566128730773926E-10</v>
      </c>
    </row>
    <row r="216" spans="1:21" outlineLevel="1" x14ac:dyDescent="0.2">
      <c r="A216" s="3" t="s">
        <v>3349</v>
      </c>
      <c r="B216" s="133">
        <f>+'KY_Res by Plant Acct-P29 (Reg)'!B217</f>
        <v>0</v>
      </c>
      <c r="C216" s="133"/>
      <c r="D216" s="133">
        <f>+'KY_Res by Plant Acct-P29 (Reg)'!D217</f>
        <v>0</v>
      </c>
      <c r="E216" s="133"/>
      <c r="F216" s="133">
        <f>+'KY_Res by Plant Acct-P29 (Reg)'!F217</f>
        <v>0</v>
      </c>
      <c r="G216" s="133"/>
      <c r="H216" s="133">
        <f>+'KY_Res by Plant Acct-P29 (Reg)'!H217</f>
        <v>0</v>
      </c>
      <c r="I216" s="133"/>
      <c r="J216" s="133">
        <f>+'KY_Res by Plant Acct-P29 (Reg)'!J217</f>
        <v>0</v>
      </c>
      <c r="K216" s="133"/>
      <c r="L216" s="133">
        <f>+'KY_Res by Plant Acct-P29 (Reg)'!L217</f>
        <v>0</v>
      </c>
      <c r="M216" s="133"/>
      <c r="N216" s="133">
        <f>+'KY_Res by Plant Acct-P29 (Reg)'!N217</f>
        <v>0</v>
      </c>
      <c r="O216" s="133"/>
      <c r="P216" s="133">
        <f>+'KY_Res by Plant Acct-P29 (Reg)'!P217</f>
        <v>0</v>
      </c>
      <c r="Q216" s="133"/>
      <c r="R216" s="133">
        <f t="shared" si="12"/>
        <v>0</v>
      </c>
    </row>
    <row r="217" spans="1:21" outlineLevel="1" x14ac:dyDescent="0.2">
      <c r="A217" s="139" t="s">
        <v>3667</v>
      </c>
      <c r="B217" s="133">
        <f>+'KY_Res by Plant Acct-P29 (Reg)'!B218</f>
        <v>-1.1641532182693481E-10</v>
      </c>
      <c r="C217" s="133"/>
      <c r="D217" s="133">
        <f>+'KY_Res by Plant Acct-P29 (Reg)'!D218</f>
        <v>0</v>
      </c>
      <c r="E217" s="133"/>
      <c r="F217" s="133">
        <f>+'KY_Res by Plant Acct-P29 (Reg)'!F218</f>
        <v>0</v>
      </c>
      <c r="G217" s="133"/>
      <c r="H217" s="133">
        <f>+'KY_Res by Plant Acct-P29 (Reg)'!H218</f>
        <v>0</v>
      </c>
      <c r="I217" s="133"/>
      <c r="J217" s="133">
        <f>+'KY_Res by Plant Acct-P29 (Reg)'!J218</f>
        <v>0</v>
      </c>
      <c r="K217" s="133"/>
      <c r="L217" s="133">
        <f>+'KY_Res by Plant Acct-P29 (Reg)'!L218</f>
        <v>0</v>
      </c>
      <c r="M217" s="133"/>
      <c r="N217" s="133">
        <f>+'KY_Res by Plant Acct-P29 (Reg)'!N218</f>
        <v>0</v>
      </c>
      <c r="O217" s="133"/>
      <c r="P217" s="133">
        <f>+'KY_Res by Plant Acct-P29 (Reg)'!P218</f>
        <v>0</v>
      </c>
      <c r="Q217" s="133"/>
      <c r="R217" s="133">
        <f t="shared" si="12"/>
        <v>-1.1641532182693481E-10</v>
      </c>
      <c r="S217" s="16"/>
      <c r="T217" s="14"/>
      <c r="U217" s="14"/>
    </row>
    <row r="218" spans="1:21" x14ac:dyDescent="0.2">
      <c r="A218" s="3" t="s">
        <v>3351</v>
      </c>
      <c r="B218" s="133">
        <f>SUM(B210:B217)</f>
        <v>7.8580342233181E-10</v>
      </c>
      <c r="C218" s="133"/>
      <c r="D218" s="133">
        <f>SUM(D210:D217)</f>
        <v>0</v>
      </c>
      <c r="E218" s="133"/>
      <c r="F218" s="133">
        <f>SUM(F210:F217)</f>
        <v>0</v>
      </c>
      <c r="G218" s="133"/>
      <c r="H218" s="133">
        <f>SUM(H210:H217)</f>
        <v>0</v>
      </c>
      <c r="I218" s="133"/>
      <c r="J218" s="133">
        <f>SUM(J210:J217)</f>
        <v>0</v>
      </c>
      <c r="K218" s="133"/>
      <c r="L218" s="133">
        <f>SUM(L210:L217)</f>
        <v>0</v>
      </c>
      <c r="M218" s="133"/>
      <c r="N218" s="133">
        <f>SUM(N210:N217)</f>
        <v>0</v>
      </c>
      <c r="O218" s="133"/>
      <c r="P218" s="133">
        <f>SUM(P210:P217)</f>
        <v>0</v>
      </c>
      <c r="Q218" s="133"/>
      <c r="R218" s="133">
        <f>SUM(R210:R217)</f>
        <v>7.8580342233181E-10</v>
      </c>
    </row>
    <row r="219" spans="1:21" x14ac:dyDescent="0.2">
      <c r="A219" s="107" t="s">
        <v>3668</v>
      </c>
      <c r="B219" s="133">
        <f>+'KY_Res by Plant Acct-P29 (Reg)'!B220</f>
        <v>0</v>
      </c>
      <c r="C219" s="133"/>
      <c r="D219" s="133">
        <f>+'KY_Res by Plant Acct-P29 (Reg)'!D220</f>
        <v>0</v>
      </c>
      <c r="E219" s="133"/>
      <c r="F219" s="133">
        <f>+'KY_Res by Plant Acct-P29 (Reg)'!F220</f>
        <v>0</v>
      </c>
      <c r="G219" s="133"/>
      <c r="H219" s="133">
        <f>+'KY_Res by Plant Acct-P29 (Reg)'!H220</f>
        <v>0</v>
      </c>
      <c r="I219" s="133"/>
      <c r="J219" s="133">
        <f>+'KY_Res by Plant Acct-P29 (Reg)'!J220</f>
        <v>0</v>
      </c>
      <c r="K219" s="133"/>
      <c r="L219" s="133">
        <f>+'KY_Res by Plant Acct-P29 (Reg)'!L220</f>
        <v>0</v>
      </c>
      <c r="M219" s="133"/>
      <c r="N219" s="133">
        <f>+'KY_Res by Plant Acct-P29 (Reg)'!N220</f>
        <v>0</v>
      </c>
      <c r="O219" s="133"/>
      <c r="P219" s="133">
        <f>+'KY_Res by Plant Acct-P29 (Reg)'!P220</f>
        <v>0</v>
      </c>
      <c r="Q219" s="133"/>
      <c r="R219" s="133">
        <f>SUM(B219:P219)</f>
        <v>0</v>
      </c>
    </row>
    <row r="220" spans="1:21" outlineLevel="1" x14ac:dyDescent="0.2">
      <c r="A220" s="3" t="s">
        <v>3353</v>
      </c>
      <c r="B220" s="133">
        <f>+'KY_Res by Plant Acct-P29 (Reg)'!B221</f>
        <v>0</v>
      </c>
      <c r="C220" s="133"/>
      <c r="D220" s="133">
        <f>+'KY_Res by Plant Acct-P29 (Reg)'!D221</f>
        <v>0</v>
      </c>
      <c r="E220" s="133"/>
      <c r="F220" s="133">
        <f>+'KY_Res by Plant Acct-P29 (Reg)'!F221</f>
        <v>0</v>
      </c>
      <c r="G220" s="133"/>
      <c r="H220" s="133">
        <f>+'KY_Res by Plant Acct-P29 (Reg)'!H221</f>
        <v>0</v>
      </c>
      <c r="I220" s="133"/>
      <c r="J220" s="133">
        <f>+'KY_Res by Plant Acct-P29 (Reg)'!J221</f>
        <v>0</v>
      </c>
      <c r="K220" s="133"/>
      <c r="L220" s="133">
        <f>+'KY_Res by Plant Acct-P29 (Reg)'!L221</f>
        <v>0</v>
      </c>
      <c r="M220" s="133"/>
      <c r="N220" s="133">
        <f>+'KY_Res by Plant Acct-P29 (Reg)'!N221</f>
        <v>0</v>
      </c>
      <c r="O220" s="133"/>
      <c r="P220" s="133">
        <f>+'KY_Res by Plant Acct-P29 (Reg)'!P221</f>
        <v>0</v>
      </c>
      <c r="Q220" s="133"/>
      <c r="R220" s="133">
        <f>SUM(B220:P220)</f>
        <v>0</v>
      </c>
    </row>
    <row r="221" spans="1:21" outlineLevel="1" x14ac:dyDescent="0.2">
      <c r="A221" s="3" t="s">
        <v>3354</v>
      </c>
      <c r="B221" s="133">
        <f>+'KY_Res by Plant Acct-P29 (Reg)'!B222</f>
        <v>0</v>
      </c>
      <c r="C221" s="133"/>
      <c r="D221" s="133">
        <f>+'KY_Res by Plant Acct-P29 (Reg)'!D222</f>
        <v>0</v>
      </c>
      <c r="E221" s="133"/>
      <c r="F221" s="133">
        <f>+'KY_Res by Plant Acct-P29 (Reg)'!F222</f>
        <v>0</v>
      </c>
      <c r="G221" s="133"/>
      <c r="H221" s="133">
        <f>+'KY_Res by Plant Acct-P29 (Reg)'!H222</f>
        <v>0</v>
      </c>
      <c r="I221" s="133"/>
      <c r="J221" s="133">
        <f>+'KY_Res by Plant Acct-P29 (Reg)'!J222</f>
        <v>0</v>
      </c>
      <c r="K221" s="133"/>
      <c r="L221" s="133">
        <f>+'KY_Res by Plant Acct-P29 (Reg)'!L222</f>
        <v>0</v>
      </c>
      <c r="M221" s="133"/>
      <c r="N221" s="133">
        <f>+'KY_Res by Plant Acct-P29 (Reg)'!N222</f>
        <v>0</v>
      </c>
      <c r="O221" s="133"/>
      <c r="P221" s="133">
        <f>+'KY_Res by Plant Acct-P29 (Reg)'!P222</f>
        <v>0</v>
      </c>
      <c r="Q221" s="133"/>
      <c r="R221" s="133">
        <f>SUM(B221:P221)</f>
        <v>0</v>
      </c>
    </row>
    <row r="222" spans="1:21" x14ac:dyDescent="0.2">
      <c r="A222" s="3" t="s">
        <v>3355</v>
      </c>
      <c r="B222" s="133">
        <f>SUM(B220:B221)</f>
        <v>0</v>
      </c>
      <c r="C222" s="133"/>
      <c r="D222" s="133">
        <f>SUM(D220:D221)</f>
        <v>0</v>
      </c>
      <c r="E222" s="133"/>
      <c r="F222" s="133">
        <f>SUM(F220:F221)</f>
        <v>0</v>
      </c>
      <c r="G222" s="133"/>
      <c r="H222" s="133">
        <f>SUM(H220:H221)</f>
        <v>0</v>
      </c>
      <c r="I222" s="133"/>
      <c r="J222" s="133">
        <f>SUM(J220:J221)</f>
        <v>0</v>
      </c>
      <c r="K222" s="133"/>
      <c r="L222" s="133">
        <f>SUM(L220:L221)</f>
        <v>0</v>
      </c>
      <c r="M222" s="133"/>
      <c r="N222" s="133">
        <f>SUM(N220:N221)</f>
        <v>0</v>
      </c>
      <c r="O222" s="133"/>
      <c r="P222" s="133">
        <f>SUM(P220:P221)</f>
        <v>0</v>
      </c>
      <c r="Q222" s="133"/>
      <c r="R222" s="133">
        <f>SUM(R220:R221)</f>
        <v>0</v>
      </c>
    </row>
    <row r="223" spans="1:21" outlineLevel="1" x14ac:dyDescent="0.2">
      <c r="A223" s="3" t="s">
        <v>3356</v>
      </c>
      <c r="B223" s="133">
        <f>+'KY_Res by Plant Acct-P29 (Reg)'!B224</f>
        <v>-7.2759576141834259E-12</v>
      </c>
      <c r="C223" s="133"/>
      <c r="D223" s="133">
        <f>+'KY_Res by Plant Acct-P29 (Reg)'!D224</f>
        <v>0</v>
      </c>
      <c r="E223" s="133"/>
      <c r="F223" s="133">
        <f>+'KY_Res by Plant Acct-P29 (Reg)'!F224</f>
        <v>0</v>
      </c>
      <c r="G223" s="133"/>
      <c r="H223" s="133">
        <f>+'KY_Res by Plant Acct-P29 (Reg)'!H224</f>
        <v>0</v>
      </c>
      <c r="I223" s="133"/>
      <c r="J223" s="133">
        <f>+'KY_Res by Plant Acct-P29 (Reg)'!J224</f>
        <v>0</v>
      </c>
      <c r="K223" s="133"/>
      <c r="L223" s="133">
        <f>+'KY_Res by Plant Acct-P29 (Reg)'!L224</f>
        <v>0</v>
      </c>
      <c r="M223" s="133"/>
      <c r="N223" s="133">
        <f>+'KY_Res by Plant Acct-P29 (Reg)'!N224</f>
        <v>0</v>
      </c>
      <c r="O223" s="133"/>
      <c r="P223" s="133">
        <f>+'KY_Res by Plant Acct-P29 (Reg)'!P224</f>
        <v>0</v>
      </c>
      <c r="Q223" s="133"/>
      <c r="R223" s="133">
        <f t="shared" ref="R223:R283" si="13">SUM(B223:P223)</f>
        <v>-7.2759576141834259E-12</v>
      </c>
    </row>
    <row r="224" spans="1:21" outlineLevel="1" x14ac:dyDescent="0.2">
      <c r="A224" s="3" t="s">
        <v>3357</v>
      </c>
      <c r="B224" s="133">
        <f>+'KY_Res by Plant Acct-P29 (Reg)'!B225</f>
        <v>-2.9999999271240085E-2</v>
      </c>
      <c r="C224" s="133"/>
      <c r="D224" s="133">
        <f>+'KY_Res by Plant Acct-P29 (Reg)'!D225</f>
        <v>0</v>
      </c>
      <c r="E224" s="133"/>
      <c r="F224" s="133">
        <f>+'KY_Res by Plant Acct-P29 (Reg)'!F225</f>
        <v>0</v>
      </c>
      <c r="G224" s="133"/>
      <c r="H224" s="133">
        <f>+'KY_Res by Plant Acct-P29 (Reg)'!H225</f>
        <v>0</v>
      </c>
      <c r="I224" s="133"/>
      <c r="J224" s="133">
        <f>+'KY_Res by Plant Acct-P29 (Reg)'!J225</f>
        <v>0</v>
      </c>
      <c r="K224" s="133"/>
      <c r="L224" s="133">
        <f>+'KY_Res by Plant Acct-P29 (Reg)'!L225</f>
        <v>0</v>
      </c>
      <c r="M224" s="133"/>
      <c r="N224" s="133">
        <f>+'KY_Res by Plant Acct-P29 (Reg)'!N225</f>
        <v>0</v>
      </c>
      <c r="O224" s="133"/>
      <c r="P224" s="133">
        <f>+'KY_Res by Plant Acct-P29 (Reg)'!P225</f>
        <v>0</v>
      </c>
      <c r="Q224" s="133"/>
      <c r="R224" s="133">
        <f t="shared" si="13"/>
        <v>-2.9999999271240085E-2</v>
      </c>
    </row>
    <row r="225" spans="1:18" outlineLevel="1" x14ac:dyDescent="0.2">
      <c r="A225" s="3" t="s">
        <v>3358</v>
      </c>
      <c r="B225" s="133">
        <f>+'KY_Res by Plant Acct-P29 (Reg)'!B226</f>
        <v>-87688.839999999851</v>
      </c>
      <c r="C225" s="133"/>
      <c r="D225" s="133">
        <f>+'KY_Res by Plant Acct-P29 (Reg)'!D226</f>
        <v>0</v>
      </c>
      <c r="E225" s="133"/>
      <c r="F225" s="133">
        <f>+'KY_Res by Plant Acct-P29 (Reg)'!F226</f>
        <v>0</v>
      </c>
      <c r="G225" s="133"/>
      <c r="H225" s="133">
        <f>+'KY_Res by Plant Acct-P29 (Reg)'!H226</f>
        <v>0</v>
      </c>
      <c r="I225" s="133"/>
      <c r="J225" s="133">
        <f>+'KY_Res by Plant Acct-P29 (Reg)'!J226</f>
        <v>0</v>
      </c>
      <c r="K225" s="133"/>
      <c r="L225" s="133">
        <f>+'KY_Res by Plant Acct-P29 (Reg)'!L226</f>
        <v>0</v>
      </c>
      <c r="M225" s="133"/>
      <c r="N225" s="133">
        <f>+'KY_Res by Plant Acct-P29 (Reg)'!N226</f>
        <v>0</v>
      </c>
      <c r="O225" s="133"/>
      <c r="P225" s="133">
        <f>+'KY_Res by Plant Acct-P29 (Reg)'!P226</f>
        <v>0</v>
      </c>
      <c r="Q225" s="133"/>
      <c r="R225" s="133">
        <f t="shared" si="13"/>
        <v>-87688.839999999851</v>
      </c>
    </row>
    <row r="226" spans="1:18" outlineLevel="1" x14ac:dyDescent="0.2">
      <c r="A226" s="3" t="s">
        <v>3359</v>
      </c>
      <c r="B226" s="133">
        <f>+'KY_Res by Plant Acct-P29 (Reg)'!B227</f>
        <v>-15455.420000000013</v>
      </c>
      <c r="C226" s="133"/>
      <c r="D226" s="133">
        <f>+'KY_Res by Plant Acct-P29 (Reg)'!D227</f>
        <v>0</v>
      </c>
      <c r="E226" s="133"/>
      <c r="F226" s="133">
        <f>+'KY_Res by Plant Acct-P29 (Reg)'!F227</f>
        <v>0</v>
      </c>
      <c r="G226" s="137"/>
      <c r="H226" s="133">
        <f>+'KY_Res by Plant Acct-P29 (Reg)'!H227</f>
        <v>0</v>
      </c>
      <c r="I226" s="137"/>
      <c r="J226" s="133">
        <f>+'KY_Res by Plant Acct-P29 (Reg)'!J227</f>
        <v>0</v>
      </c>
      <c r="K226" s="137"/>
      <c r="L226" s="133">
        <f>+'KY_Res by Plant Acct-P29 (Reg)'!L227</f>
        <v>0</v>
      </c>
      <c r="M226" s="133"/>
      <c r="N226" s="133">
        <f>+'KY_Res by Plant Acct-P29 (Reg)'!N227</f>
        <v>0</v>
      </c>
      <c r="O226" s="133"/>
      <c r="P226" s="133">
        <f>+'KY_Res by Plant Acct-P29 (Reg)'!P227</f>
        <v>0</v>
      </c>
      <c r="Q226" s="133"/>
      <c r="R226" s="133">
        <f t="shared" si="13"/>
        <v>-15455.420000000013</v>
      </c>
    </row>
    <row r="227" spans="1:18" outlineLevel="1" x14ac:dyDescent="0.2">
      <c r="A227" s="3" t="s">
        <v>3360</v>
      </c>
      <c r="B227" s="133">
        <f>+'KY_Res by Plant Acct-P29 (Reg)'!B228</f>
        <v>-72310.980000000098</v>
      </c>
      <c r="C227" s="133"/>
      <c r="D227" s="133">
        <f>+'KY_Res by Plant Acct-P29 (Reg)'!D228</f>
        <v>0</v>
      </c>
      <c r="E227" s="133"/>
      <c r="F227" s="133">
        <f>+'KY_Res by Plant Acct-P29 (Reg)'!F228</f>
        <v>0</v>
      </c>
      <c r="G227" s="137"/>
      <c r="H227" s="133">
        <f>+'KY_Res by Plant Acct-P29 (Reg)'!H228</f>
        <v>0</v>
      </c>
      <c r="I227" s="137"/>
      <c r="J227" s="133">
        <f>+'KY_Res by Plant Acct-P29 (Reg)'!J228</f>
        <v>0</v>
      </c>
      <c r="K227" s="137"/>
      <c r="L227" s="133">
        <f>+'KY_Res by Plant Acct-P29 (Reg)'!L228</f>
        <v>0</v>
      </c>
      <c r="M227" s="133"/>
      <c r="N227" s="133">
        <f>+'KY_Res by Plant Acct-P29 (Reg)'!N228</f>
        <v>0</v>
      </c>
      <c r="O227" s="133"/>
      <c r="P227" s="133">
        <f>+'KY_Res by Plant Acct-P29 (Reg)'!P228</f>
        <v>0</v>
      </c>
      <c r="Q227" s="133"/>
      <c r="R227" s="133">
        <f t="shared" si="13"/>
        <v>-72310.980000000098</v>
      </c>
    </row>
    <row r="228" spans="1:18" outlineLevel="1" x14ac:dyDescent="0.2">
      <c r="A228" s="3" t="s">
        <v>3361</v>
      </c>
      <c r="B228" s="133">
        <f>+'KY_Res by Plant Acct-P29 (Reg)'!B229</f>
        <v>-1281485.5100000016</v>
      </c>
      <c r="C228" s="133"/>
      <c r="D228" s="133">
        <f>+'KY_Res by Plant Acct-P29 (Reg)'!D229</f>
        <v>0</v>
      </c>
      <c r="E228" s="133"/>
      <c r="F228" s="133">
        <f>+'KY_Res by Plant Acct-P29 (Reg)'!F229</f>
        <v>0</v>
      </c>
      <c r="G228" s="137"/>
      <c r="H228" s="133">
        <f>+'KY_Res by Plant Acct-P29 (Reg)'!H229</f>
        <v>0</v>
      </c>
      <c r="I228" s="137"/>
      <c r="J228" s="133">
        <f>+'KY_Res by Plant Acct-P29 (Reg)'!J229</f>
        <v>0</v>
      </c>
      <c r="K228" s="137"/>
      <c r="L228" s="133">
        <f>+'KY_Res by Plant Acct-P29 (Reg)'!L229</f>
        <v>0</v>
      </c>
      <c r="M228" s="133"/>
      <c r="N228" s="133">
        <f>+'KY_Res by Plant Acct-P29 (Reg)'!N229</f>
        <v>0</v>
      </c>
      <c r="O228" s="133"/>
      <c r="P228" s="133">
        <f>+'KY_Res by Plant Acct-P29 (Reg)'!P229</f>
        <v>0</v>
      </c>
      <c r="Q228" s="133"/>
      <c r="R228" s="133">
        <f t="shared" si="13"/>
        <v>-1281485.5100000016</v>
      </c>
    </row>
    <row r="229" spans="1:18" outlineLevel="1" x14ac:dyDescent="0.2">
      <c r="A229" s="3" t="s">
        <v>3362</v>
      </c>
      <c r="B229" s="133">
        <f>+'KY_Res by Plant Acct-P29 (Reg)'!B230</f>
        <v>-2770382.3999999985</v>
      </c>
      <c r="C229" s="133"/>
      <c r="D229" s="133">
        <f>+'KY_Res by Plant Acct-P29 (Reg)'!D230</f>
        <v>0</v>
      </c>
      <c r="E229" s="133"/>
      <c r="F229" s="133">
        <f>+'KY_Res by Plant Acct-P29 (Reg)'!F230</f>
        <v>35966.629999999997</v>
      </c>
      <c r="G229" s="137"/>
      <c r="H229" s="133">
        <f>+'KY_Res by Plant Acct-P29 (Reg)'!H230</f>
        <v>0</v>
      </c>
      <c r="I229" s="137"/>
      <c r="J229" s="133">
        <f>+'KY_Res by Plant Acct-P29 (Reg)'!J230</f>
        <v>0</v>
      </c>
      <c r="K229" s="137"/>
      <c r="L229" s="133">
        <f>+'KY_Res by Plant Acct-P29 (Reg)'!L230</f>
        <v>500014.81</v>
      </c>
      <c r="M229" s="133"/>
      <c r="N229" s="133">
        <f>+'KY_Res by Plant Acct-P29 (Reg)'!N230</f>
        <v>-13288.4</v>
      </c>
      <c r="O229" s="133"/>
      <c r="P229" s="133">
        <f>+'KY_Res by Plant Acct-P29 (Reg)'!P230</f>
        <v>0</v>
      </c>
      <c r="Q229" s="133"/>
      <c r="R229" s="133">
        <f t="shared" si="13"/>
        <v>-2247689.3599999985</v>
      </c>
    </row>
    <row r="230" spans="1:18" outlineLevel="1" x14ac:dyDescent="0.2">
      <c r="A230" s="3" t="s">
        <v>3363</v>
      </c>
      <c r="B230" s="133">
        <f>+'KY_Res by Plant Acct-P29 (Reg)'!B231</f>
        <v>-2657566.0800000075</v>
      </c>
      <c r="C230" s="133"/>
      <c r="D230" s="133">
        <f>+'KY_Res by Plant Acct-P29 (Reg)'!D231</f>
        <v>-5948.7</v>
      </c>
      <c r="E230" s="133"/>
      <c r="F230" s="133">
        <f>+'KY_Res by Plant Acct-P29 (Reg)'!F231</f>
        <v>35966.629999999997</v>
      </c>
      <c r="G230" s="137"/>
      <c r="H230" s="133">
        <f>+'KY_Res by Plant Acct-P29 (Reg)'!H231</f>
        <v>0</v>
      </c>
      <c r="I230" s="137"/>
      <c r="J230" s="133">
        <f>+'KY_Res by Plant Acct-P29 (Reg)'!J231</f>
        <v>0</v>
      </c>
      <c r="K230" s="137"/>
      <c r="L230" s="133">
        <f>+'KY_Res by Plant Acct-P29 (Reg)'!L231</f>
        <v>500014.81</v>
      </c>
      <c r="M230" s="133"/>
      <c r="N230" s="133">
        <f>+'KY_Res by Plant Acct-P29 (Reg)'!N231</f>
        <v>-13288.4</v>
      </c>
      <c r="O230" s="133"/>
      <c r="P230" s="133">
        <f>+'KY_Res by Plant Acct-P29 (Reg)'!P231</f>
        <v>0</v>
      </c>
      <c r="Q230" s="133"/>
      <c r="R230" s="133">
        <f t="shared" si="13"/>
        <v>-2140821.7400000077</v>
      </c>
    </row>
    <row r="231" spans="1:18" outlineLevel="1" x14ac:dyDescent="0.2">
      <c r="A231" s="3" t="s">
        <v>3364</v>
      </c>
      <c r="B231" s="133">
        <f>+'KY_Res by Plant Acct-P29 (Reg)'!B232</f>
        <v>0</v>
      </c>
      <c r="C231" s="133"/>
      <c r="D231" s="133">
        <f>+'KY_Res by Plant Acct-P29 (Reg)'!D232</f>
        <v>0</v>
      </c>
      <c r="E231" s="133"/>
      <c r="F231" s="133">
        <f>+'KY_Res by Plant Acct-P29 (Reg)'!F232</f>
        <v>0</v>
      </c>
      <c r="G231" s="137"/>
      <c r="H231" s="133">
        <f>+'KY_Res by Plant Acct-P29 (Reg)'!H232</f>
        <v>0</v>
      </c>
      <c r="I231" s="137"/>
      <c r="J231" s="133">
        <f>+'KY_Res by Plant Acct-P29 (Reg)'!J232</f>
        <v>0</v>
      </c>
      <c r="K231" s="137"/>
      <c r="L231" s="133">
        <f>+'KY_Res by Plant Acct-P29 (Reg)'!L232</f>
        <v>0</v>
      </c>
      <c r="M231" s="133"/>
      <c r="N231" s="133">
        <f>+'KY_Res by Plant Acct-P29 (Reg)'!N232</f>
        <v>0</v>
      </c>
      <c r="O231" s="133"/>
      <c r="P231" s="133">
        <f>+'KY_Res by Plant Acct-P29 (Reg)'!P232</f>
        <v>0</v>
      </c>
      <c r="Q231" s="133"/>
      <c r="R231" s="133">
        <f t="shared" si="13"/>
        <v>0</v>
      </c>
    </row>
    <row r="232" spans="1:18" outlineLevel="1" x14ac:dyDescent="0.2">
      <c r="A232" s="3" t="s">
        <v>3365</v>
      </c>
      <c r="B232" s="133">
        <f>+'KY_Res by Plant Acct-P29 (Reg)'!B233</f>
        <v>-2435570.0099999872</v>
      </c>
      <c r="C232" s="133"/>
      <c r="D232" s="133">
        <f>+'KY_Res by Plant Acct-P29 (Reg)'!D233</f>
        <v>-12986.1</v>
      </c>
      <c r="E232" s="133"/>
      <c r="F232" s="133">
        <f>+'KY_Res by Plant Acct-P29 (Reg)'!F233</f>
        <v>35966.629999999997</v>
      </c>
      <c r="G232" s="137"/>
      <c r="H232" s="133">
        <f>+'KY_Res by Plant Acct-P29 (Reg)'!H233</f>
        <v>0</v>
      </c>
      <c r="I232" s="137"/>
      <c r="J232" s="133">
        <f>+'KY_Res by Plant Acct-P29 (Reg)'!J233</f>
        <v>0</v>
      </c>
      <c r="K232" s="137"/>
      <c r="L232" s="133">
        <f>+'KY_Res by Plant Acct-P29 (Reg)'!L233</f>
        <v>500014.81</v>
      </c>
      <c r="M232" s="133"/>
      <c r="N232" s="133">
        <f>+'KY_Res by Plant Acct-P29 (Reg)'!N233</f>
        <v>-13288.4</v>
      </c>
      <c r="O232" s="133"/>
      <c r="P232" s="133">
        <f>+'KY_Res by Plant Acct-P29 (Reg)'!P233</f>
        <v>0</v>
      </c>
      <c r="Q232" s="133"/>
      <c r="R232" s="133">
        <f t="shared" si="13"/>
        <v>-1925863.0699999873</v>
      </c>
    </row>
    <row r="233" spans="1:18" outlineLevel="1" x14ac:dyDescent="0.2">
      <c r="A233" s="3" t="s">
        <v>3366</v>
      </c>
      <c r="B233" s="133">
        <f>+'KY_Res by Plant Acct-P29 (Reg)'!B234</f>
        <v>0</v>
      </c>
      <c r="C233" s="133"/>
      <c r="D233" s="133">
        <f>+'KY_Res by Plant Acct-P29 (Reg)'!D234</f>
        <v>0</v>
      </c>
      <c r="E233" s="133"/>
      <c r="F233" s="133">
        <f>+'KY_Res by Plant Acct-P29 (Reg)'!F234</f>
        <v>0</v>
      </c>
      <c r="G233" s="137"/>
      <c r="H233" s="133">
        <f>+'KY_Res by Plant Acct-P29 (Reg)'!H234</f>
        <v>0</v>
      </c>
      <c r="I233" s="137"/>
      <c r="J233" s="133">
        <f>+'KY_Res by Plant Acct-P29 (Reg)'!J234</f>
        <v>0</v>
      </c>
      <c r="K233" s="137"/>
      <c r="L233" s="133">
        <f>+'KY_Res by Plant Acct-P29 (Reg)'!L234</f>
        <v>0</v>
      </c>
      <c r="M233" s="133"/>
      <c r="N233" s="133">
        <f>+'KY_Res by Plant Acct-P29 (Reg)'!N234</f>
        <v>0</v>
      </c>
      <c r="O233" s="133"/>
      <c r="P233" s="133">
        <f>+'KY_Res by Plant Acct-P29 (Reg)'!P234</f>
        <v>0</v>
      </c>
      <c r="Q233" s="133"/>
      <c r="R233" s="133">
        <f t="shared" si="13"/>
        <v>0</v>
      </c>
    </row>
    <row r="234" spans="1:18" outlineLevel="1" x14ac:dyDescent="0.2">
      <c r="A234" s="3" t="s">
        <v>3669</v>
      </c>
      <c r="B234" s="133">
        <f>+'KY_Res by Plant Acct-P29 (Reg)'!B235</f>
        <v>-1583534.0999999917</v>
      </c>
      <c r="C234" s="133"/>
      <c r="D234" s="133">
        <f>+'KY_Res by Plant Acct-P29 (Reg)'!D235</f>
        <v>-715134.18</v>
      </c>
      <c r="E234" s="133"/>
      <c r="F234" s="133">
        <f>+'KY_Res by Plant Acct-P29 (Reg)'!F235</f>
        <v>4873757.2300000004</v>
      </c>
      <c r="G234" s="137"/>
      <c r="H234" s="133">
        <f>+'KY_Res by Plant Acct-P29 (Reg)'!H235</f>
        <v>0</v>
      </c>
      <c r="I234" s="137"/>
      <c r="J234" s="133">
        <f>+'KY_Res by Plant Acct-P29 (Reg)'!J235</f>
        <v>0</v>
      </c>
      <c r="K234" s="137"/>
      <c r="L234" s="133">
        <f>+'KY_Res by Plant Acct-P29 (Reg)'!L235</f>
        <v>18113073.210000001</v>
      </c>
      <c r="M234" s="133"/>
      <c r="N234" s="133">
        <f>+'KY_Res by Plant Acct-P29 (Reg)'!N235</f>
        <v>-13288.4</v>
      </c>
      <c r="O234" s="133"/>
      <c r="P234" s="133">
        <f>+'KY_Res by Plant Acct-P29 (Reg)'!P235</f>
        <v>0</v>
      </c>
      <c r="Q234" s="133"/>
      <c r="R234" s="133">
        <f t="shared" si="13"/>
        <v>20674873.760000013</v>
      </c>
    </row>
    <row r="235" spans="1:18" outlineLevel="1" x14ac:dyDescent="0.2">
      <c r="A235" s="3" t="s">
        <v>3368</v>
      </c>
      <c r="B235" s="133">
        <f>+'KY_Res by Plant Acct-P29 (Reg)'!B236</f>
        <v>0</v>
      </c>
      <c r="C235" s="133"/>
      <c r="D235" s="133">
        <f>+'KY_Res by Plant Acct-P29 (Reg)'!D236</f>
        <v>0</v>
      </c>
      <c r="E235" s="133"/>
      <c r="F235" s="133">
        <f>+'KY_Res by Plant Acct-P29 (Reg)'!F236</f>
        <v>0</v>
      </c>
      <c r="G235" s="137"/>
      <c r="H235" s="133">
        <f>+'KY_Res by Plant Acct-P29 (Reg)'!H236</f>
        <v>0</v>
      </c>
      <c r="I235" s="137"/>
      <c r="J235" s="133">
        <f>+'KY_Res by Plant Acct-P29 (Reg)'!J236</f>
        <v>0</v>
      </c>
      <c r="K235" s="137"/>
      <c r="L235" s="133">
        <f>+'KY_Res by Plant Acct-P29 (Reg)'!L236</f>
        <v>0</v>
      </c>
      <c r="M235" s="133"/>
      <c r="N235" s="133">
        <f>+'KY_Res by Plant Acct-P29 (Reg)'!N236</f>
        <v>0</v>
      </c>
      <c r="O235" s="133"/>
      <c r="P235" s="133">
        <f>+'KY_Res by Plant Acct-P29 (Reg)'!P236</f>
        <v>0</v>
      </c>
      <c r="Q235" s="133"/>
      <c r="R235" s="133">
        <f t="shared" si="13"/>
        <v>0</v>
      </c>
    </row>
    <row r="236" spans="1:18" outlineLevel="1" x14ac:dyDescent="0.2">
      <c r="A236" s="21" t="s">
        <v>3670</v>
      </c>
      <c r="B236" s="133">
        <f>+'KY_Res by Plant Acct-P29 (Reg)'!B237</f>
        <v>-2454357.3200000036</v>
      </c>
      <c r="C236" s="133"/>
      <c r="D236" s="133">
        <f>+'KY_Res by Plant Acct-P29 (Reg)'!D237</f>
        <v>-2248.14</v>
      </c>
      <c r="E236" s="133"/>
      <c r="F236" s="133">
        <f>+'KY_Res by Plant Acct-P29 (Reg)'!F237</f>
        <v>35966.629999999997</v>
      </c>
      <c r="G236" s="137"/>
      <c r="H236" s="133">
        <f>+'KY_Res by Plant Acct-P29 (Reg)'!H237</f>
        <v>0</v>
      </c>
      <c r="I236" s="137"/>
      <c r="J236" s="133">
        <f>+'KY_Res by Plant Acct-P29 (Reg)'!J237</f>
        <v>0</v>
      </c>
      <c r="K236" s="137"/>
      <c r="L236" s="133">
        <f>+'KY_Res by Plant Acct-P29 (Reg)'!L237</f>
        <v>500014.81</v>
      </c>
      <c r="M236" s="133"/>
      <c r="N236" s="133">
        <f>+'KY_Res by Plant Acct-P29 (Reg)'!N237</f>
        <v>-13288.4</v>
      </c>
      <c r="O236" s="133"/>
      <c r="P236" s="133">
        <f>+'KY_Res by Plant Acct-P29 (Reg)'!P237</f>
        <v>0</v>
      </c>
      <c r="Q236" s="133"/>
      <c r="R236" s="133">
        <f t="shared" si="13"/>
        <v>-1933912.4200000037</v>
      </c>
    </row>
    <row r="237" spans="1:18" outlineLevel="1" x14ac:dyDescent="0.2">
      <c r="A237" s="21" t="s">
        <v>3370</v>
      </c>
      <c r="B237" s="133">
        <f>+'KY_Res by Plant Acct-P29 (Reg)'!B238</f>
        <v>0</v>
      </c>
      <c r="C237" s="133"/>
      <c r="D237" s="133">
        <f>+'KY_Res by Plant Acct-P29 (Reg)'!D238</f>
        <v>0</v>
      </c>
      <c r="E237" s="133"/>
      <c r="F237" s="133">
        <f>+'KY_Res by Plant Acct-P29 (Reg)'!F238</f>
        <v>0</v>
      </c>
      <c r="G237" s="137"/>
      <c r="H237" s="133">
        <f>+'KY_Res by Plant Acct-P29 (Reg)'!H238</f>
        <v>0</v>
      </c>
      <c r="I237" s="137">
        <v>0</v>
      </c>
      <c r="J237" s="133">
        <f>+'KY_Res by Plant Acct-P29 (Reg)'!J238</f>
        <v>0</v>
      </c>
      <c r="K237" s="137"/>
      <c r="L237" s="133">
        <f>+'KY_Res by Plant Acct-P29 (Reg)'!L238</f>
        <v>0</v>
      </c>
      <c r="M237" s="133"/>
      <c r="N237" s="133">
        <f>+'KY_Res by Plant Acct-P29 (Reg)'!N238</f>
        <v>0</v>
      </c>
      <c r="O237" s="133"/>
      <c r="P237" s="133">
        <f>+'KY_Res by Plant Acct-P29 (Reg)'!P238</f>
        <v>0</v>
      </c>
      <c r="Q237" s="133"/>
      <c r="R237" s="133">
        <f t="shared" si="13"/>
        <v>0</v>
      </c>
    </row>
    <row r="238" spans="1:18" outlineLevel="1" x14ac:dyDescent="0.2">
      <c r="A238" s="3" t="s">
        <v>3371</v>
      </c>
      <c r="B238" s="133">
        <f>+'KY_Res by Plant Acct-P29 (Reg)'!B239</f>
        <v>0</v>
      </c>
      <c r="C238" s="133"/>
      <c r="D238" s="133">
        <f>+'KY_Res by Plant Acct-P29 (Reg)'!D239</f>
        <v>0</v>
      </c>
      <c r="E238" s="133"/>
      <c r="F238" s="133">
        <f>+'KY_Res by Plant Acct-P29 (Reg)'!F239</f>
        <v>0</v>
      </c>
      <c r="G238" s="137"/>
      <c r="H238" s="133">
        <f>+'KY_Res by Plant Acct-P29 (Reg)'!H239</f>
        <v>0</v>
      </c>
      <c r="I238" s="137"/>
      <c r="J238" s="133">
        <f>+'KY_Res by Plant Acct-P29 (Reg)'!J239</f>
        <v>0</v>
      </c>
      <c r="K238" s="137"/>
      <c r="L238" s="133">
        <f>+'KY_Res by Plant Acct-P29 (Reg)'!L239</f>
        <v>0</v>
      </c>
      <c r="M238" s="133"/>
      <c r="N238" s="133">
        <f>+'KY_Res by Plant Acct-P29 (Reg)'!N239</f>
        <v>0</v>
      </c>
      <c r="O238" s="133"/>
      <c r="P238" s="133">
        <f>+'KY_Res by Plant Acct-P29 (Reg)'!P239</f>
        <v>0</v>
      </c>
      <c r="Q238" s="133"/>
      <c r="R238" s="133">
        <f t="shared" si="13"/>
        <v>0</v>
      </c>
    </row>
    <row r="239" spans="1:18" outlineLevel="1" x14ac:dyDescent="0.2">
      <c r="A239" s="3" t="s">
        <v>3372</v>
      </c>
      <c r="B239" s="133">
        <f>+'KY_Res by Plant Acct-P29 (Reg)'!B240</f>
        <v>-36311121.929999992</v>
      </c>
      <c r="C239" s="133"/>
      <c r="D239" s="133">
        <f>+'KY_Res by Plant Acct-P29 (Reg)'!D240</f>
        <v>-1767797.69</v>
      </c>
      <c r="E239" s="133"/>
      <c r="F239" s="133">
        <f>+'KY_Res by Plant Acct-P29 (Reg)'!F240</f>
        <v>65702.42</v>
      </c>
      <c r="G239" s="137"/>
      <c r="H239" s="133">
        <f>+'KY_Res by Plant Acct-P29 (Reg)'!H240</f>
        <v>231545.55</v>
      </c>
      <c r="I239" s="137"/>
      <c r="J239" s="133">
        <f>+'KY_Res by Plant Acct-P29 (Reg)'!J240</f>
        <v>0</v>
      </c>
      <c r="K239" s="137"/>
      <c r="L239" s="133">
        <f>+'KY_Res by Plant Acct-P29 (Reg)'!L240</f>
        <v>650043.68000000005</v>
      </c>
      <c r="M239" s="133"/>
      <c r="N239" s="133">
        <f>+'KY_Res by Plant Acct-P29 (Reg)'!N240</f>
        <v>0</v>
      </c>
      <c r="O239" s="133"/>
      <c r="P239" s="133">
        <f>+'KY_Res by Plant Acct-P29 (Reg)'!P240</f>
        <v>0</v>
      </c>
      <c r="Q239" s="133"/>
      <c r="R239" s="133">
        <f t="shared" si="13"/>
        <v>-37131627.969999991</v>
      </c>
    </row>
    <row r="240" spans="1:18" outlineLevel="1" x14ac:dyDescent="0.2">
      <c r="A240" s="3" t="s">
        <v>3373</v>
      </c>
      <c r="B240" s="133">
        <f>+'KY_Res by Plant Acct-P29 (Reg)'!B241</f>
        <v>0</v>
      </c>
      <c r="C240" s="133"/>
      <c r="D240" s="133">
        <f>+'KY_Res by Plant Acct-P29 (Reg)'!D241</f>
        <v>0</v>
      </c>
      <c r="E240" s="133"/>
      <c r="F240" s="133">
        <f>+'KY_Res by Plant Acct-P29 (Reg)'!F241</f>
        <v>0</v>
      </c>
      <c r="G240" s="137"/>
      <c r="H240" s="133">
        <f>+'KY_Res by Plant Acct-P29 (Reg)'!H241</f>
        <v>0</v>
      </c>
      <c r="I240" s="137"/>
      <c r="J240" s="133">
        <f>+'KY_Res by Plant Acct-P29 (Reg)'!J241</f>
        <v>0</v>
      </c>
      <c r="K240" s="137"/>
      <c r="L240" s="133">
        <f>+'KY_Res by Plant Acct-P29 (Reg)'!L241</f>
        <v>0</v>
      </c>
      <c r="M240" s="133"/>
      <c r="N240" s="133">
        <f>+'KY_Res by Plant Acct-P29 (Reg)'!N241</f>
        <v>0</v>
      </c>
      <c r="O240" s="133"/>
      <c r="P240" s="133">
        <f>+'KY_Res by Plant Acct-P29 (Reg)'!P241</f>
        <v>0</v>
      </c>
      <c r="Q240" s="133"/>
      <c r="R240" s="133">
        <f t="shared" si="13"/>
        <v>0</v>
      </c>
    </row>
    <row r="241" spans="1:18" outlineLevel="1" x14ac:dyDescent="0.2">
      <c r="A241" s="3" t="s">
        <v>3374</v>
      </c>
      <c r="B241" s="133">
        <f>+'KY_Res by Plant Acct-P29 (Reg)'!B242</f>
        <v>-4670417</v>
      </c>
      <c r="C241" s="133"/>
      <c r="D241" s="133">
        <f>+'KY_Res by Plant Acct-P29 (Reg)'!D242</f>
        <v>-3102164.88</v>
      </c>
      <c r="E241" s="133"/>
      <c r="F241" s="133">
        <f>+'KY_Res by Plant Acct-P29 (Reg)'!F242</f>
        <v>0</v>
      </c>
      <c r="G241" s="137"/>
      <c r="H241" s="133">
        <f>+'KY_Res by Plant Acct-P29 (Reg)'!H242</f>
        <v>0</v>
      </c>
      <c r="I241" s="137"/>
      <c r="J241" s="133">
        <f>+'KY_Res by Plant Acct-P29 (Reg)'!J242</f>
        <v>0</v>
      </c>
      <c r="K241" s="137"/>
      <c r="L241" s="133">
        <f>+'KY_Res by Plant Acct-P29 (Reg)'!L242</f>
        <v>0</v>
      </c>
      <c r="M241" s="133"/>
      <c r="N241" s="133">
        <f>+'KY_Res by Plant Acct-P29 (Reg)'!N242</f>
        <v>0</v>
      </c>
      <c r="O241" s="133"/>
      <c r="P241" s="133">
        <f>+'KY_Res by Plant Acct-P29 (Reg)'!P242</f>
        <v>0</v>
      </c>
      <c r="Q241" s="133"/>
      <c r="R241" s="133">
        <f>SUM(B241:P241)</f>
        <v>-7772581.8799999999</v>
      </c>
    </row>
    <row r="242" spans="1:18" outlineLevel="1" x14ac:dyDescent="0.2">
      <c r="A242" s="3" t="s">
        <v>3375</v>
      </c>
      <c r="B242" s="133">
        <f>+'KY_Res by Plant Acct-P29 (Reg)'!B243</f>
        <v>0</v>
      </c>
      <c r="C242" s="133"/>
      <c r="D242" s="133">
        <f>+'KY_Res by Plant Acct-P29 (Reg)'!D243</f>
        <v>0</v>
      </c>
      <c r="E242" s="133"/>
      <c r="F242" s="133">
        <f>+'KY_Res by Plant Acct-P29 (Reg)'!F243</f>
        <v>0</v>
      </c>
      <c r="G242" s="137"/>
      <c r="H242" s="133">
        <f>+'KY_Res by Plant Acct-P29 (Reg)'!H243</f>
        <v>-231545.55</v>
      </c>
      <c r="I242" s="137"/>
      <c r="J242" s="133">
        <f>+'KY_Res by Plant Acct-P29 (Reg)'!J243</f>
        <v>0</v>
      </c>
      <c r="K242" s="137"/>
      <c r="L242" s="133">
        <f>+'KY_Res by Plant Acct-P29 (Reg)'!L243</f>
        <v>0</v>
      </c>
      <c r="M242" s="133"/>
      <c r="N242" s="133">
        <f>+'KY_Res by Plant Acct-P29 (Reg)'!N243</f>
        <v>0</v>
      </c>
      <c r="O242" s="133"/>
      <c r="P242" s="133">
        <f>+'KY_Res by Plant Acct-P29 (Reg)'!P243</f>
        <v>0</v>
      </c>
      <c r="Q242" s="133"/>
      <c r="R242" s="133">
        <f>SUM(B242:P242)</f>
        <v>-231545.55</v>
      </c>
    </row>
    <row r="243" spans="1:18" outlineLevel="1" x14ac:dyDescent="0.2">
      <c r="A243" s="3" t="s">
        <v>3376</v>
      </c>
      <c r="B243" s="133">
        <f>+'KY_Res by Plant Acct-P29 (Reg)'!B244</f>
        <v>-27310595.490000002</v>
      </c>
      <c r="C243" s="133"/>
      <c r="D243" s="133">
        <f>+'KY_Res by Plant Acct-P29 (Reg)'!D244</f>
        <v>-1860842.95</v>
      </c>
      <c r="E243" s="133"/>
      <c r="F243" s="133">
        <f>+'KY_Res by Plant Acct-P29 (Reg)'!F244</f>
        <v>2085251.06</v>
      </c>
      <c r="G243" s="137"/>
      <c r="H243" s="133">
        <f>+'KY_Res by Plant Acct-P29 (Reg)'!H244</f>
        <v>0</v>
      </c>
      <c r="I243" s="137"/>
      <c r="J243" s="133">
        <f>+'KY_Res by Plant Acct-P29 (Reg)'!J244</f>
        <v>0</v>
      </c>
      <c r="K243" s="137"/>
      <c r="L243" s="133">
        <f>+'KY_Res by Plant Acct-P29 (Reg)'!L244</f>
        <v>871246.2</v>
      </c>
      <c r="M243" s="133"/>
      <c r="N243" s="133">
        <f>+'KY_Res by Plant Acct-P29 (Reg)'!N244</f>
        <v>0</v>
      </c>
      <c r="O243" s="133"/>
      <c r="P243" s="133">
        <f>+'KY_Res by Plant Acct-P29 (Reg)'!P244</f>
        <v>0</v>
      </c>
      <c r="Q243" s="133"/>
      <c r="R243" s="133">
        <f t="shared" si="13"/>
        <v>-26214941.180000003</v>
      </c>
    </row>
    <row r="244" spans="1:18" outlineLevel="1" x14ac:dyDescent="0.2">
      <c r="A244" s="3" t="s">
        <v>3377</v>
      </c>
      <c r="B244" s="133">
        <f>+'KY_Res by Plant Acct-P29 (Reg)'!B245</f>
        <v>0</v>
      </c>
      <c r="C244" s="133"/>
      <c r="D244" s="133">
        <f>+'KY_Res by Plant Acct-P29 (Reg)'!D245</f>
        <v>0</v>
      </c>
      <c r="E244" s="133"/>
      <c r="F244" s="133">
        <f>+'KY_Res by Plant Acct-P29 (Reg)'!F245</f>
        <v>0</v>
      </c>
      <c r="G244" s="137"/>
      <c r="H244" s="133">
        <f>+'KY_Res by Plant Acct-P29 (Reg)'!H245</f>
        <v>0</v>
      </c>
      <c r="I244" s="137"/>
      <c r="J244" s="133">
        <f>+'KY_Res by Plant Acct-P29 (Reg)'!J245</f>
        <v>0</v>
      </c>
      <c r="K244" s="137"/>
      <c r="L244" s="133">
        <f>+'KY_Res by Plant Acct-P29 (Reg)'!L245</f>
        <v>0</v>
      </c>
      <c r="M244" s="133"/>
      <c r="N244" s="133">
        <f>+'KY_Res by Plant Acct-P29 (Reg)'!N245</f>
        <v>0</v>
      </c>
      <c r="O244" s="133"/>
      <c r="P244" s="133">
        <f>+'KY_Res by Plant Acct-P29 (Reg)'!P245</f>
        <v>0</v>
      </c>
      <c r="Q244" s="133"/>
      <c r="R244" s="133">
        <f t="shared" si="13"/>
        <v>0</v>
      </c>
    </row>
    <row r="245" spans="1:18" outlineLevel="1" x14ac:dyDescent="0.2">
      <c r="A245" s="3" t="s">
        <v>3378</v>
      </c>
      <c r="B245" s="133">
        <f>+'KY_Res by Plant Acct-P29 (Reg)'!B246</f>
        <v>-6169557.0899999999</v>
      </c>
      <c r="C245" s="133"/>
      <c r="D245" s="133">
        <f>+'KY_Res by Plant Acct-P29 (Reg)'!D246</f>
        <v>-4095611.58</v>
      </c>
      <c r="E245" s="133"/>
      <c r="F245" s="133">
        <f>+'KY_Res by Plant Acct-P29 (Reg)'!F246</f>
        <v>0</v>
      </c>
      <c r="G245" s="137"/>
      <c r="H245" s="133">
        <f>+'KY_Res by Plant Acct-P29 (Reg)'!H246</f>
        <v>0</v>
      </c>
      <c r="I245" s="137"/>
      <c r="J245" s="133">
        <f>+'KY_Res by Plant Acct-P29 (Reg)'!J246</f>
        <v>0</v>
      </c>
      <c r="K245" s="137"/>
      <c r="L245" s="133">
        <f>+'KY_Res by Plant Acct-P29 (Reg)'!L246</f>
        <v>0</v>
      </c>
      <c r="M245" s="133"/>
      <c r="N245" s="133">
        <f>+'KY_Res by Plant Acct-P29 (Reg)'!N246</f>
        <v>0</v>
      </c>
      <c r="O245" s="133"/>
      <c r="P245" s="133">
        <f>+'KY_Res by Plant Acct-P29 (Reg)'!P246</f>
        <v>0</v>
      </c>
      <c r="Q245" s="133"/>
      <c r="R245" s="133">
        <f>SUM(B245:P245)</f>
        <v>-10265168.67</v>
      </c>
    </row>
    <row r="246" spans="1:18" outlineLevel="1" x14ac:dyDescent="0.2">
      <c r="A246" s="3" t="s">
        <v>3379</v>
      </c>
      <c r="B246" s="133">
        <f>+'KY_Res by Plant Acct-P29 (Reg)'!B247</f>
        <v>-2489122.5</v>
      </c>
      <c r="C246" s="133"/>
      <c r="D246" s="133">
        <f>+'KY_Res by Plant Acct-P29 (Reg)'!D247</f>
        <v>-1657936.9</v>
      </c>
      <c r="E246" s="133"/>
      <c r="F246" s="133">
        <f>+'KY_Res by Plant Acct-P29 (Reg)'!F247</f>
        <v>0</v>
      </c>
      <c r="G246" s="137"/>
      <c r="H246" s="133">
        <f>+'KY_Res by Plant Acct-P29 (Reg)'!H247</f>
        <v>0</v>
      </c>
      <c r="I246" s="137"/>
      <c r="J246" s="133">
        <f>+'KY_Res by Plant Acct-P29 (Reg)'!J247</f>
        <v>0</v>
      </c>
      <c r="K246" s="137"/>
      <c r="L246" s="133">
        <f>+'KY_Res by Plant Acct-P29 (Reg)'!L247</f>
        <v>0</v>
      </c>
      <c r="M246" s="133"/>
      <c r="N246" s="133">
        <f>+'KY_Res by Plant Acct-P29 (Reg)'!N247</f>
        <v>0</v>
      </c>
      <c r="O246" s="133"/>
      <c r="P246" s="133">
        <f>+'KY_Res by Plant Acct-P29 (Reg)'!P247</f>
        <v>0</v>
      </c>
      <c r="Q246" s="133"/>
      <c r="R246" s="133">
        <f>SUM(B246:P246)</f>
        <v>-4147059.4</v>
      </c>
    </row>
    <row r="247" spans="1:18" outlineLevel="1" x14ac:dyDescent="0.2">
      <c r="A247" s="21" t="s">
        <v>3380</v>
      </c>
      <c r="B247" s="133">
        <f>+'KY_Res by Plant Acct-P29 (Reg)'!B248</f>
        <v>0</v>
      </c>
      <c r="C247" s="133"/>
      <c r="D247" s="133">
        <f>+'KY_Res by Plant Acct-P29 (Reg)'!D248</f>
        <v>-8272.07</v>
      </c>
      <c r="E247" s="133"/>
      <c r="F247" s="133">
        <f>+'KY_Res by Plant Acct-P29 (Reg)'!F248</f>
        <v>0</v>
      </c>
      <c r="G247" s="137"/>
      <c r="H247" s="133">
        <f>+'KY_Res by Plant Acct-P29 (Reg)'!H248</f>
        <v>0</v>
      </c>
      <c r="I247" s="137"/>
      <c r="J247" s="133">
        <f>+'KY_Res by Plant Acct-P29 (Reg)'!J248</f>
        <v>0</v>
      </c>
      <c r="K247" s="137"/>
      <c r="L247" s="133">
        <f>+'KY_Res by Plant Acct-P29 (Reg)'!L248</f>
        <v>0</v>
      </c>
      <c r="M247" s="133"/>
      <c r="N247" s="133">
        <f>+'KY_Res by Plant Acct-P29 (Reg)'!N248</f>
        <v>0</v>
      </c>
      <c r="O247" s="133"/>
      <c r="P247" s="133">
        <f>+'KY_Res by Plant Acct-P29 (Reg)'!P248</f>
        <v>0</v>
      </c>
      <c r="Q247" s="133"/>
      <c r="R247" s="133">
        <f>SUM(B247:P247)</f>
        <v>-8272.07</v>
      </c>
    </row>
    <row r="248" spans="1:18" outlineLevel="1" x14ac:dyDescent="0.2">
      <c r="A248" s="3" t="s">
        <v>3381</v>
      </c>
      <c r="B248" s="133">
        <f>+'KY_Res by Plant Acct-P29 (Reg)'!B249</f>
        <v>-79252358.75</v>
      </c>
      <c r="C248" s="133"/>
      <c r="D248" s="133">
        <f>+'KY_Res by Plant Acct-P29 (Reg)'!D249</f>
        <v>-4471215.42</v>
      </c>
      <c r="E248" s="133"/>
      <c r="F248" s="133">
        <f>+'KY_Res by Plant Acct-P29 (Reg)'!F249</f>
        <v>399417.65</v>
      </c>
      <c r="G248" s="137"/>
      <c r="H248" s="133">
        <f>+'KY_Res by Plant Acct-P29 (Reg)'!H249</f>
        <v>635948.15</v>
      </c>
      <c r="I248" s="137"/>
      <c r="J248" s="133">
        <f>+'KY_Res by Plant Acct-P29 (Reg)'!J249</f>
        <v>0</v>
      </c>
      <c r="K248" s="137"/>
      <c r="L248" s="133">
        <f>+'KY_Res by Plant Acct-P29 (Reg)'!L249</f>
        <v>3426645.23</v>
      </c>
      <c r="M248" s="133"/>
      <c r="N248" s="133">
        <f>+'KY_Res by Plant Acct-P29 (Reg)'!N249</f>
        <v>0</v>
      </c>
      <c r="O248" s="133"/>
      <c r="P248" s="133">
        <f>+'KY_Res by Plant Acct-P29 (Reg)'!P249</f>
        <v>0</v>
      </c>
      <c r="Q248" s="133"/>
      <c r="R248" s="133">
        <f t="shared" si="13"/>
        <v>-79261563.139999986</v>
      </c>
    </row>
    <row r="249" spans="1:18" outlineLevel="1" x14ac:dyDescent="0.2">
      <c r="A249" s="3" t="s">
        <v>3382</v>
      </c>
      <c r="B249" s="133">
        <f>+'KY_Res by Plant Acct-P29 (Reg)'!B250</f>
        <v>0</v>
      </c>
      <c r="C249" s="133"/>
      <c r="D249" s="133">
        <f>+'KY_Res by Plant Acct-P29 (Reg)'!D250</f>
        <v>0</v>
      </c>
      <c r="E249" s="133"/>
      <c r="F249" s="133">
        <f>+'KY_Res by Plant Acct-P29 (Reg)'!F250</f>
        <v>0</v>
      </c>
      <c r="G249" s="137"/>
      <c r="H249" s="133">
        <f>+'KY_Res by Plant Acct-P29 (Reg)'!H250</f>
        <v>0</v>
      </c>
      <c r="I249" s="137"/>
      <c r="J249" s="133">
        <f>+'KY_Res by Plant Acct-P29 (Reg)'!J250</f>
        <v>0</v>
      </c>
      <c r="K249" s="137"/>
      <c r="L249" s="133">
        <f>+'KY_Res by Plant Acct-P29 (Reg)'!L250</f>
        <v>0</v>
      </c>
      <c r="M249" s="133"/>
      <c r="N249" s="133">
        <f>+'KY_Res by Plant Acct-P29 (Reg)'!N250</f>
        <v>0</v>
      </c>
      <c r="O249" s="133"/>
      <c r="P249" s="133">
        <f>+'KY_Res by Plant Acct-P29 (Reg)'!P250</f>
        <v>0</v>
      </c>
      <c r="Q249" s="133"/>
      <c r="R249" s="133">
        <f t="shared" si="13"/>
        <v>0</v>
      </c>
    </row>
    <row r="250" spans="1:18" outlineLevel="1" x14ac:dyDescent="0.2">
      <c r="A250" s="21" t="s">
        <v>3383</v>
      </c>
      <c r="B250" s="133">
        <f>+'KY_Res by Plant Acct-P29 (Reg)'!B251</f>
        <v>-1786723.53</v>
      </c>
      <c r="C250" s="133"/>
      <c r="D250" s="133">
        <f>+'KY_Res by Plant Acct-P29 (Reg)'!D251</f>
        <v>-3262518.25</v>
      </c>
      <c r="E250" s="133"/>
      <c r="F250" s="133">
        <f>+'KY_Res by Plant Acct-P29 (Reg)'!F251</f>
        <v>0</v>
      </c>
      <c r="G250" s="137"/>
      <c r="H250" s="133">
        <f>+'KY_Res by Plant Acct-P29 (Reg)'!H251</f>
        <v>0</v>
      </c>
      <c r="I250" s="137"/>
      <c r="J250" s="133">
        <f>+'KY_Res by Plant Acct-P29 (Reg)'!J251</f>
        <v>0</v>
      </c>
      <c r="K250" s="137"/>
      <c r="L250" s="133">
        <f>+'KY_Res by Plant Acct-P29 (Reg)'!L251</f>
        <v>0</v>
      </c>
      <c r="M250" s="133"/>
      <c r="N250" s="133">
        <f>+'KY_Res by Plant Acct-P29 (Reg)'!N251</f>
        <v>0</v>
      </c>
      <c r="O250" s="133"/>
      <c r="P250" s="133">
        <f>+'KY_Res by Plant Acct-P29 (Reg)'!P251</f>
        <v>0</v>
      </c>
      <c r="Q250" s="133"/>
      <c r="R250" s="133">
        <f t="shared" si="13"/>
        <v>-5049241.78</v>
      </c>
    </row>
    <row r="251" spans="1:18" outlineLevel="1" x14ac:dyDescent="0.2">
      <c r="A251" s="21" t="s">
        <v>3384</v>
      </c>
      <c r="B251" s="133">
        <f>+'KY_Res by Plant Acct-P29 (Reg)'!B252</f>
        <v>0</v>
      </c>
      <c r="C251" s="133"/>
      <c r="D251" s="133">
        <f>+'KY_Res by Plant Acct-P29 (Reg)'!D252</f>
        <v>0</v>
      </c>
      <c r="E251" s="133"/>
      <c r="F251" s="133">
        <f>+'KY_Res by Plant Acct-P29 (Reg)'!F252</f>
        <v>0</v>
      </c>
      <c r="G251" s="137"/>
      <c r="H251" s="133">
        <f>+'KY_Res by Plant Acct-P29 (Reg)'!H252</f>
        <v>-635948.15</v>
      </c>
      <c r="I251" s="137"/>
      <c r="J251" s="133">
        <f>+'KY_Res by Plant Acct-P29 (Reg)'!J252</f>
        <v>0</v>
      </c>
      <c r="K251" s="137"/>
      <c r="L251" s="133">
        <f>+'KY_Res by Plant Acct-P29 (Reg)'!L252</f>
        <v>0</v>
      </c>
      <c r="M251" s="133"/>
      <c r="N251" s="133">
        <f>+'KY_Res by Plant Acct-P29 (Reg)'!N252</f>
        <v>0</v>
      </c>
      <c r="O251" s="133"/>
      <c r="P251" s="133">
        <f>+'KY_Res by Plant Acct-P29 (Reg)'!P252</f>
        <v>0</v>
      </c>
      <c r="Q251" s="133"/>
      <c r="R251" s="133">
        <f t="shared" si="13"/>
        <v>-635948.15</v>
      </c>
    </row>
    <row r="252" spans="1:18" outlineLevel="1" x14ac:dyDescent="0.2">
      <c r="A252" s="21" t="s">
        <v>3385</v>
      </c>
      <c r="B252" s="133">
        <f>+'KY_Res by Plant Acct-P29 (Reg)'!B253</f>
        <v>-1673674.31</v>
      </c>
      <c r="C252" s="133"/>
      <c r="D252" s="133">
        <f>+'KY_Res by Plant Acct-P29 (Reg)'!D253</f>
        <v>-3299662.83</v>
      </c>
      <c r="E252" s="133"/>
      <c r="F252" s="133">
        <f>+'KY_Res by Plant Acct-P29 (Reg)'!F253</f>
        <v>0</v>
      </c>
      <c r="G252" s="137"/>
      <c r="H252" s="133">
        <f>+'KY_Res by Plant Acct-P29 (Reg)'!H253</f>
        <v>0</v>
      </c>
      <c r="I252" s="137"/>
      <c r="J252" s="133">
        <f>+'KY_Res by Plant Acct-P29 (Reg)'!J253</f>
        <v>0</v>
      </c>
      <c r="K252" s="137"/>
      <c r="L252" s="133">
        <f>+'KY_Res by Plant Acct-P29 (Reg)'!L253</f>
        <v>0</v>
      </c>
      <c r="M252" s="133"/>
      <c r="N252" s="133">
        <f>+'KY_Res by Plant Acct-P29 (Reg)'!N253</f>
        <v>0</v>
      </c>
      <c r="O252" s="133"/>
      <c r="P252" s="133">
        <f>+'KY_Res by Plant Acct-P29 (Reg)'!P253</f>
        <v>0</v>
      </c>
      <c r="Q252" s="133"/>
      <c r="R252" s="133">
        <f>SUM(B252:P252)</f>
        <v>-4973337.1400000006</v>
      </c>
    </row>
    <row r="253" spans="1:18" outlineLevel="1" x14ac:dyDescent="0.2">
      <c r="A253" s="21" t="s">
        <v>3386</v>
      </c>
      <c r="B253" s="133">
        <f>+'KY_Res by Plant Acct-P29 (Reg)'!B254</f>
        <v>-5302.04</v>
      </c>
      <c r="C253" s="133"/>
      <c r="D253" s="133">
        <f>+'KY_Res by Plant Acct-P29 (Reg)'!D254</f>
        <v>-27095.47</v>
      </c>
      <c r="E253" s="133"/>
      <c r="F253" s="133">
        <f>+'KY_Res by Plant Acct-P29 (Reg)'!F254</f>
        <v>0</v>
      </c>
      <c r="G253" s="137"/>
      <c r="H253" s="133">
        <f>+'KY_Res by Plant Acct-P29 (Reg)'!H254</f>
        <v>0</v>
      </c>
      <c r="I253" s="137"/>
      <c r="J253" s="133">
        <f>+'KY_Res by Plant Acct-P29 (Reg)'!J254</f>
        <v>0</v>
      </c>
      <c r="K253" s="137"/>
      <c r="L253" s="133">
        <f>+'KY_Res by Plant Acct-P29 (Reg)'!L254</f>
        <v>0</v>
      </c>
      <c r="M253" s="133"/>
      <c r="N253" s="133">
        <f>+'KY_Res by Plant Acct-P29 (Reg)'!N254</f>
        <v>0</v>
      </c>
      <c r="O253" s="133"/>
      <c r="P253" s="133">
        <f>+'KY_Res by Plant Acct-P29 (Reg)'!P254</f>
        <v>0</v>
      </c>
      <c r="Q253" s="133"/>
      <c r="R253" s="133">
        <f>SUM(B253:P253)</f>
        <v>-32397.510000000002</v>
      </c>
    </row>
    <row r="254" spans="1:18" outlineLevel="1" x14ac:dyDescent="0.2">
      <c r="A254" s="21" t="s">
        <v>3387</v>
      </c>
      <c r="B254" s="133">
        <f>+'KY_Res by Plant Acct-P29 (Reg)'!B255</f>
        <v>-120802830.48</v>
      </c>
      <c r="C254" s="133"/>
      <c r="D254" s="133">
        <f>+'KY_Res by Plant Acct-P29 (Reg)'!D255</f>
        <v>-7313356.5899999999</v>
      </c>
      <c r="E254" s="133"/>
      <c r="F254" s="133">
        <f>+'KY_Res by Plant Acct-P29 (Reg)'!F255</f>
        <v>3139385.98</v>
      </c>
      <c r="G254" s="137"/>
      <c r="H254" s="133">
        <f>+'KY_Res by Plant Acct-P29 (Reg)'!H255</f>
        <v>0</v>
      </c>
      <c r="I254" s="137"/>
      <c r="J254" s="133">
        <f>+'KY_Res by Plant Acct-P29 (Reg)'!J255</f>
        <v>0</v>
      </c>
      <c r="K254" s="137"/>
      <c r="L254" s="133">
        <f>+'KY_Res by Plant Acct-P29 (Reg)'!L255</f>
        <v>4171498.6799999997</v>
      </c>
      <c r="M254" s="133"/>
      <c r="N254" s="133">
        <f>+'KY_Res by Plant Acct-P29 (Reg)'!N255</f>
        <v>0</v>
      </c>
      <c r="O254" s="133"/>
      <c r="P254" s="133">
        <f>+'KY_Res by Plant Acct-P29 (Reg)'!P255</f>
        <v>0</v>
      </c>
      <c r="Q254" s="133"/>
      <c r="R254" s="133">
        <f t="shared" si="13"/>
        <v>-120805302.41</v>
      </c>
    </row>
    <row r="255" spans="1:18" outlineLevel="1" x14ac:dyDescent="0.2">
      <c r="A255" s="21" t="s">
        <v>3388</v>
      </c>
      <c r="B255" s="133">
        <f>+'KY_Res by Plant Acct-P29 (Reg)'!B256</f>
        <v>0</v>
      </c>
      <c r="C255" s="133"/>
      <c r="D255" s="133">
        <f>+'KY_Res by Plant Acct-P29 (Reg)'!D256</f>
        <v>0</v>
      </c>
      <c r="E255" s="133"/>
      <c r="F255" s="133">
        <f>+'KY_Res by Plant Acct-P29 (Reg)'!F256</f>
        <v>0</v>
      </c>
      <c r="G255" s="137"/>
      <c r="H255" s="133">
        <f>+'KY_Res by Plant Acct-P29 (Reg)'!H256</f>
        <v>0</v>
      </c>
      <c r="I255" s="137"/>
      <c r="J255" s="133">
        <f>+'KY_Res by Plant Acct-P29 (Reg)'!J256</f>
        <v>0</v>
      </c>
      <c r="K255" s="137"/>
      <c r="L255" s="133">
        <f>+'KY_Res by Plant Acct-P29 (Reg)'!L256</f>
        <v>0</v>
      </c>
      <c r="M255" s="133"/>
      <c r="N255" s="133">
        <f>+'KY_Res by Plant Acct-P29 (Reg)'!N256</f>
        <v>0</v>
      </c>
      <c r="O255" s="133"/>
      <c r="P255" s="133">
        <f>+'KY_Res by Plant Acct-P29 (Reg)'!P256</f>
        <v>0</v>
      </c>
      <c r="Q255" s="133"/>
      <c r="R255" s="133">
        <f t="shared" si="13"/>
        <v>0</v>
      </c>
    </row>
    <row r="256" spans="1:18" outlineLevel="1" x14ac:dyDescent="0.2">
      <c r="A256" s="21" t="s">
        <v>3389</v>
      </c>
      <c r="B256" s="133">
        <f>+'KY_Res by Plant Acct-P29 (Reg)'!B257</f>
        <v>0</v>
      </c>
      <c r="C256" s="133"/>
      <c r="D256" s="133">
        <f>+'KY_Res by Plant Acct-P29 (Reg)'!D257</f>
        <v>0</v>
      </c>
      <c r="E256" s="133"/>
      <c r="F256" s="133">
        <f>+'KY_Res by Plant Acct-P29 (Reg)'!F257</f>
        <v>0</v>
      </c>
      <c r="G256" s="137"/>
      <c r="H256" s="133">
        <f>+'KY_Res by Plant Acct-P29 (Reg)'!H257</f>
        <v>0</v>
      </c>
      <c r="I256" s="137"/>
      <c r="J256" s="133">
        <f>+'KY_Res by Plant Acct-P29 (Reg)'!J257</f>
        <v>0</v>
      </c>
      <c r="K256" s="137"/>
      <c r="L256" s="133">
        <f>+'KY_Res by Plant Acct-P29 (Reg)'!L257</f>
        <v>0</v>
      </c>
      <c r="M256" s="133"/>
      <c r="N256" s="133">
        <f>+'KY_Res by Plant Acct-P29 (Reg)'!N257</f>
        <v>0</v>
      </c>
      <c r="O256" s="133"/>
      <c r="P256" s="133">
        <f>+'KY_Res by Plant Acct-P29 (Reg)'!P257</f>
        <v>0</v>
      </c>
      <c r="Q256" s="133"/>
      <c r="R256" s="133">
        <f t="shared" si="13"/>
        <v>0</v>
      </c>
    </row>
    <row r="257" spans="1:18" outlineLevel="1" x14ac:dyDescent="0.2">
      <c r="A257" s="21" t="s">
        <v>3390</v>
      </c>
      <c r="B257" s="133">
        <f>+'KY_Res by Plant Acct-P29 (Reg)'!B258</f>
        <v>-9834514.4600000009</v>
      </c>
      <c r="C257" s="133"/>
      <c r="D257" s="133">
        <f>+'KY_Res by Plant Acct-P29 (Reg)'!D258</f>
        <v>-5076559.8499999996</v>
      </c>
      <c r="E257" s="133"/>
      <c r="F257" s="133">
        <f>+'KY_Res by Plant Acct-P29 (Reg)'!F258</f>
        <v>0</v>
      </c>
      <c r="G257" s="137"/>
      <c r="H257" s="133">
        <f>+'KY_Res by Plant Acct-P29 (Reg)'!H258</f>
        <v>0</v>
      </c>
      <c r="I257" s="137"/>
      <c r="J257" s="133">
        <f>+'KY_Res by Plant Acct-P29 (Reg)'!J258</f>
        <v>0</v>
      </c>
      <c r="K257" s="137"/>
      <c r="L257" s="133">
        <f>+'KY_Res by Plant Acct-P29 (Reg)'!L258</f>
        <v>0</v>
      </c>
      <c r="M257" s="133"/>
      <c r="N257" s="133">
        <f>+'KY_Res by Plant Acct-P29 (Reg)'!N258</f>
        <v>0</v>
      </c>
      <c r="O257" s="133"/>
      <c r="P257" s="133">
        <f>+'KY_Res by Plant Acct-P29 (Reg)'!P258</f>
        <v>0</v>
      </c>
      <c r="Q257" s="133"/>
      <c r="R257" s="133">
        <f>SUM(B257:P257)</f>
        <v>-14911074.310000001</v>
      </c>
    </row>
    <row r="258" spans="1:18" outlineLevel="1" x14ac:dyDescent="0.2">
      <c r="A258" s="21" t="s">
        <v>3391</v>
      </c>
      <c r="B258" s="133">
        <f>+'KY_Res by Plant Acct-P29 (Reg)'!B259</f>
        <v>0</v>
      </c>
      <c r="C258" s="133"/>
      <c r="D258" s="133">
        <f>+'KY_Res by Plant Acct-P29 (Reg)'!D259</f>
        <v>-10532.66</v>
      </c>
      <c r="E258" s="133">
        <f>+'KY_Res by Plant Acct-P29 (Reg)'!E259</f>
        <v>0</v>
      </c>
      <c r="F258" s="133">
        <f>+'KY_Res by Plant Acct-P29 (Reg)'!F259</f>
        <v>0</v>
      </c>
      <c r="G258" s="137"/>
      <c r="H258" s="133">
        <f>+'KY_Res by Plant Acct-P29 (Reg)'!H259</f>
        <v>0</v>
      </c>
      <c r="I258" s="137"/>
      <c r="J258" s="133">
        <f>+'KY_Res by Plant Acct-P29 (Reg)'!J259</f>
        <v>0</v>
      </c>
      <c r="K258" s="137"/>
      <c r="L258" s="133">
        <f>+'KY_Res by Plant Acct-P29 (Reg)'!L259</f>
        <v>0</v>
      </c>
      <c r="M258" s="133"/>
      <c r="N258" s="133">
        <f>+'KY_Res by Plant Acct-P29 (Reg)'!N259</f>
        <v>0</v>
      </c>
      <c r="O258" s="133"/>
      <c r="P258" s="133">
        <f>+'KY_Res by Plant Acct-P29 (Reg)'!P259</f>
        <v>0</v>
      </c>
      <c r="Q258" s="133"/>
      <c r="R258" s="133">
        <f>+'KY_Res by Plant Acct-P29 (Reg)'!R259</f>
        <v>-10532.66</v>
      </c>
    </row>
    <row r="259" spans="1:18" outlineLevel="1" x14ac:dyDescent="0.2">
      <c r="A259" s="21" t="s">
        <v>3392</v>
      </c>
      <c r="B259" s="133">
        <f>+'KY_Res by Plant Acct-P29 (Reg)'!B260</f>
        <v>-9792416.1400000174</v>
      </c>
      <c r="C259" s="133"/>
      <c r="D259" s="133">
        <f>+'KY_Res by Plant Acct-P29 (Reg)'!D260</f>
        <v>-855186.18</v>
      </c>
      <c r="E259" s="133"/>
      <c r="F259" s="133">
        <f>+'KY_Res by Plant Acct-P29 (Reg)'!F260</f>
        <v>4551.09</v>
      </c>
      <c r="G259" s="137"/>
      <c r="H259" s="133">
        <f>+'KY_Res by Plant Acct-P29 (Reg)'!H260</f>
        <v>0</v>
      </c>
      <c r="I259" s="137"/>
      <c r="J259" s="133">
        <f>+'KY_Res by Plant Acct-P29 (Reg)'!J260</f>
        <v>0</v>
      </c>
      <c r="K259" s="137"/>
      <c r="L259" s="133">
        <f>+'KY_Res by Plant Acct-P29 (Reg)'!L260</f>
        <v>1049.3499999999999</v>
      </c>
      <c r="M259" s="133"/>
      <c r="N259" s="133">
        <f>+'KY_Res by Plant Acct-P29 (Reg)'!N260</f>
        <v>0</v>
      </c>
      <c r="O259" s="133"/>
      <c r="P259" s="133">
        <f>+'KY_Res by Plant Acct-P29 (Reg)'!P260</f>
        <v>0</v>
      </c>
      <c r="Q259" s="133"/>
      <c r="R259" s="133">
        <f t="shared" si="13"/>
        <v>-10642001.880000018</v>
      </c>
    </row>
    <row r="260" spans="1:18" outlineLevel="1" x14ac:dyDescent="0.2">
      <c r="A260" s="21" t="s">
        <v>3393</v>
      </c>
      <c r="B260" s="133">
        <f>+'KY_Res by Plant Acct-P29 (Reg)'!B261</f>
        <v>0</v>
      </c>
      <c r="C260" s="133"/>
      <c r="D260" s="133">
        <f>+'KY_Res by Plant Acct-P29 (Reg)'!D261</f>
        <v>0</v>
      </c>
      <c r="E260" s="133"/>
      <c r="F260" s="133">
        <f>+'KY_Res by Plant Acct-P29 (Reg)'!F261</f>
        <v>0</v>
      </c>
      <c r="G260" s="137"/>
      <c r="H260" s="133">
        <f>+'KY_Res by Plant Acct-P29 (Reg)'!H261</f>
        <v>0</v>
      </c>
      <c r="I260" s="137"/>
      <c r="J260" s="133">
        <f>+'KY_Res by Plant Acct-P29 (Reg)'!J261</f>
        <v>0</v>
      </c>
      <c r="K260" s="137"/>
      <c r="L260" s="133">
        <f>+'KY_Res by Plant Acct-P29 (Reg)'!L261</f>
        <v>0</v>
      </c>
      <c r="M260" s="133"/>
      <c r="N260" s="133">
        <f>+'KY_Res by Plant Acct-P29 (Reg)'!N261</f>
        <v>0</v>
      </c>
      <c r="O260" s="133"/>
      <c r="P260" s="133">
        <f>+'KY_Res by Plant Acct-P29 (Reg)'!P261</f>
        <v>0</v>
      </c>
      <c r="Q260" s="133"/>
      <c r="R260" s="133">
        <f t="shared" si="13"/>
        <v>0</v>
      </c>
    </row>
    <row r="261" spans="1:18" outlineLevel="1" x14ac:dyDescent="0.2">
      <c r="A261" s="21" t="s">
        <v>3394</v>
      </c>
      <c r="B261" s="133">
        <v>0</v>
      </c>
      <c r="C261" s="133"/>
      <c r="D261" s="133">
        <f>+'KY_Res by Plant Acct-P29 (Reg)'!D262</f>
        <v>-26713.21</v>
      </c>
      <c r="E261" s="133"/>
      <c r="F261" s="133">
        <f>+'KY_Res by Plant Acct-P29 (Reg)'!F262</f>
        <v>0</v>
      </c>
      <c r="G261" s="137"/>
      <c r="H261" s="133">
        <f>+'KY_Res by Plant Acct-P29 (Reg)'!H262</f>
        <v>0</v>
      </c>
      <c r="I261" s="137"/>
      <c r="J261" s="133">
        <f>+'KY_Res by Plant Acct-P29 (Reg)'!J262</f>
        <v>0</v>
      </c>
      <c r="K261" s="137"/>
      <c r="L261" s="133">
        <f>+'KY_Res by Plant Acct-P29 (Reg)'!L262</f>
        <v>0</v>
      </c>
      <c r="M261" s="133"/>
      <c r="N261" s="133">
        <f>+'KY_Res by Plant Acct-P29 (Reg)'!N262</f>
        <v>0</v>
      </c>
      <c r="O261" s="133"/>
      <c r="P261" s="133">
        <f>+'KY_Res by Plant Acct-P29 (Reg)'!P262</f>
        <v>0</v>
      </c>
      <c r="Q261" s="133"/>
      <c r="R261" s="133">
        <f t="shared" si="13"/>
        <v>-26713.21</v>
      </c>
    </row>
    <row r="262" spans="1:18" outlineLevel="1" x14ac:dyDescent="0.2">
      <c r="A262" s="120" t="s">
        <v>3395</v>
      </c>
      <c r="B262" s="133">
        <f>+'KY_Res by Plant Acct-P29 (Reg)'!B263</f>
        <v>-4540609.0999999996</v>
      </c>
      <c r="C262" s="133"/>
      <c r="D262" s="133">
        <f>+'KY_Res by Plant Acct-P29 (Reg)'!D263</f>
        <v>-2338566.6</v>
      </c>
      <c r="E262" s="133"/>
      <c r="F262" s="133">
        <f>+'KY_Res by Plant Acct-P29 (Reg)'!F263</f>
        <v>0</v>
      </c>
      <c r="G262" s="137"/>
      <c r="H262" s="133">
        <f>+'KY_Res by Plant Acct-P29 (Reg)'!H263</f>
        <v>0</v>
      </c>
      <c r="I262" s="137"/>
      <c r="J262" s="133">
        <f>+'KY_Res by Plant Acct-P29 (Reg)'!J263</f>
        <v>0</v>
      </c>
      <c r="K262" s="137"/>
      <c r="L262" s="133">
        <f>+'KY_Res by Plant Acct-P29 (Reg)'!L263</f>
        <v>0</v>
      </c>
      <c r="M262" s="133"/>
      <c r="N262" s="133">
        <f>+'KY_Res by Plant Acct-P29 (Reg)'!N263</f>
        <v>0</v>
      </c>
      <c r="O262" s="133"/>
      <c r="P262" s="133">
        <f>+'KY_Res by Plant Acct-P29 (Reg)'!P263</f>
        <v>0</v>
      </c>
      <c r="Q262" s="133"/>
      <c r="R262" s="133">
        <f>SUM(B262:P262)</f>
        <v>-6879175.6999999993</v>
      </c>
    </row>
    <row r="263" spans="1:18" outlineLevel="1" x14ac:dyDescent="0.2">
      <c r="A263" s="120" t="s">
        <v>3396</v>
      </c>
      <c r="B263" s="133">
        <f>+'KY_Res by Plant Acct-P29 (Reg)'!B264</f>
        <v>0</v>
      </c>
      <c r="C263" s="133"/>
      <c r="D263" s="133">
        <f>+'KY_Res by Plant Acct-P29 (Reg)'!D264</f>
        <v>-119879.49</v>
      </c>
      <c r="E263" s="133"/>
      <c r="F263" s="133">
        <f>+'KY_Res by Plant Acct-P29 (Reg)'!F264</f>
        <v>0</v>
      </c>
      <c r="G263" s="137"/>
      <c r="H263" s="133">
        <f>+'KY_Res by Plant Acct-P29 (Reg)'!H264</f>
        <v>0</v>
      </c>
      <c r="I263" s="137"/>
      <c r="J263" s="133">
        <f>+'KY_Res by Plant Acct-P29 (Reg)'!J264</f>
        <v>0</v>
      </c>
      <c r="K263" s="137"/>
      <c r="L263" s="133">
        <f>+'KY_Res by Plant Acct-P29 (Reg)'!L264</f>
        <v>0</v>
      </c>
      <c r="M263" s="133"/>
      <c r="N263" s="133">
        <f>+'KY_Res by Plant Acct-P29 (Reg)'!N264</f>
        <v>0</v>
      </c>
      <c r="O263" s="133"/>
      <c r="P263" s="133">
        <f>+'KY_Res by Plant Acct-P29 (Reg)'!P264</f>
        <v>0</v>
      </c>
      <c r="Q263" s="133"/>
      <c r="R263" s="133">
        <f>SUM(B263:P263)</f>
        <v>-119879.49</v>
      </c>
    </row>
    <row r="264" spans="1:18" outlineLevel="1" x14ac:dyDescent="0.2">
      <c r="A264" s="3" t="s">
        <v>3397</v>
      </c>
      <c r="B264" s="133">
        <f>+'KY_Res by Plant Acct-P29 (Reg)'!B265</f>
        <v>0</v>
      </c>
      <c r="C264" s="133"/>
      <c r="D264" s="133">
        <f>+'KY_Res by Plant Acct-P29 (Reg)'!D265</f>
        <v>0</v>
      </c>
      <c r="E264" s="133"/>
      <c r="F264" s="133">
        <f>+'KY_Res by Plant Acct-P29 (Reg)'!F265</f>
        <v>0</v>
      </c>
      <c r="G264" s="137"/>
      <c r="H264" s="133">
        <f>+'KY_Res by Plant Acct-P29 (Reg)'!H265</f>
        <v>0</v>
      </c>
      <c r="I264" s="137"/>
      <c r="J264" s="133">
        <f>+'KY_Res by Plant Acct-P29 (Reg)'!J265</f>
        <v>0</v>
      </c>
      <c r="K264" s="137"/>
      <c r="L264" s="133">
        <f>+'KY_Res by Plant Acct-P29 (Reg)'!L265</f>
        <v>0</v>
      </c>
      <c r="M264" s="133"/>
      <c r="N264" s="133">
        <f>+'KY_Res by Plant Acct-P29 (Reg)'!N265</f>
        <v>0</v>
      </c>
      <c r="O264" s="133"/>
      <c r="P264" s="133">
        <f>+'KY_Res by Plant Acct-P29 (Reg)'!P265</f>
        <v>0</v>
      </c>
      <c r="Q264" s="133"/>
      <c r="R264" s="133">
        <f t="shared" si="13"/>
        <v>0</v>
      </c>
    </row>
    <row r="265" spans="1:18" outlineLevel="1" x14ac:dyDescent="0.2">
      <c r="A265" s="3" t="s">
        <v>3398</v>
      </c>
      <c r="B265" s="133">
        <f>+'KY_Res by Plant Acct-P29 (Reg)'!B266</f>
        <v>-9.9999997764825821E-3</v>
      </c>
      <c r="C265" s="133"/>
      <c r="D265" s="133">
        <f>+'KY_Res by Plant Acct-P29 (Reg)'!D266</f>
        <v>0</v>
      </c>
      <c r="E265" s="133"/>
      <c r="F265" s="133">
        <f>+'KY_Res by Plant Acct-P29 (Reg)'!F266</f>
        <v>0</v>
      </c>
      <c r="G265" s="137"/>
      <c r="H265" s="133">
        <f>+'KY_Res by Plant Acct-P29 (Reg)'!H266</f>
        <v>0</v>
      </c>
      <c r="I265" s="137"/>
      <c r="J265" s="133">
        <f>+'KY_Res by Plant Acct-P29 (Reg)'!J266</f>
        <v>0</v>
      </c>
      <c r="K265" s="137"/>
      <c r="L265" s="133">
        <f>+'KY_Res by Plant Acct-P29 (Reg)'!L266</f>
        <v>0</v>
      </c>
      <c r="M265" s="133"/>
      <c r="N265" s="133">
        <f>+'KY_Res by Plant Acct-P29 (Reg)'!N266</f>
        <v>0</v>
      </c>
      <c r="O265" s="133"/>
      <c r="P265" s="133">
        <f>+'KY_Res by Plant Acct-P29 (Reg)'!P266</f>
        <v>0</v>
      </c>
      <c r="Q265" s="133"/>
      <c r="R265" s="133">
        <f t="shared" si="13"/>
        <v>-9.9999997764825821E-3</v>
      </c>
    </row>
    <row r="266" spans="1:18" outlineLevel="1" x14ac:dyDescent="0.2">
      <c r="A266" s="3" t="s">
        <v>3399</v>
      </c>
      <c r="B266" s="133">
        <f>+'KY_Res by Plant Acct-P29 (Reg)'!B267</f>
        <v>-9781281.900000006</v>
      </c>
      <c r="C266" s="133"/>
      <c r="D266" s="133">
        <f>+'KY_Res by Plant Acct-P29 (Reg)'!D267</f>
        <v>-314887.44</v>
      </c>
      <c r="E266" s="133"/>
      <c r="F266" s="133">
        <f>+'KY_Res by Plant Acct-P29 (Reg)'!F267</f>
        <v>0</v>
      </c>
      <c r="G266" s="137"/>
      <c r="H266" s="133">
        <f>+'KY_Res by Plant Acct-P29 (Reg)'!H267</f>
        <v>0</v>
      </c>
      <c r="I266" s="137"/>
      <c r="J266" s="133">
        <f>+'KY_Res by Plant Acct-P29 (Reg)'!J267</f>
        <v>0</v>
      </c>
      <c r="K266" s="137"/>
      <c r="L266" s="133">
        <f>+'KY_Res by Plant Acct-P29 (Reg)'!L267</f>
        <v>0</v>
      </c>
      <c r="M266" s="133"/>
      <c r="N266" s="133">
        <f>+'KY_Res by Plant Acct-P29 (Reg)'!N267</f>
        <v>0</v>
      </c>
      <c r="O266" s="133"/>
      <c r="P266" s="133">
        <f>+'KY_Res by Plant Acct-P29 (Reg)'!P267</f>
        <v>0</v>
      </c>
      <c r="Q266" s="133"/>
      <c r="R266" s="133">
        <f t="shared" si="13"/>
        <v>-10096169.340000005</v>
      </c>
    </row>
    <row r="267" spans="1:18" outlineLevel="1" x14ac:dyDescent="0.2">
      <c r="A267" s="3" t="s">
        <v>3400</v>
      </c>
      <c r="B267" s="133">
        <f>+'KY_Res by Plant Acct-P29 (Reg)'!B268</f>
        <v>14021004.180000003</v>
      </c>
      <c r="C267" s="133"/>
      <c r="D267" s="133">
        <f>+'KY_Res by Plant Acct-P29 (Reg)'!D268</f>
        <v>-8543.34</v>
      </c>
      <c r="E267" s="133"/>
      <c r="F267" s="133">
        <f>+'KY_Res by Plant Acct-P29 (Reg)'!F268</f>
        <v>0</v>
      </c>
      <c r="G267" s="137"/>
      <c r="H267" s="133">
        <f>+'KY_Res by Plant Acct-P29 (Reg)'!H268</f>
        <v>0</v>
      </c>
      <c r="I267" s="137"/>
      <c r="J267" s="133">
        <f>+'KY_Res by Plant Acct-P29 (Reg)'!J268</f>
        <v>0</v>
      </c>
      <c r="K267" s="137"/>
      <c r="L267" s="133">
        <f>+'KY_Res by Plant Acct-P29 (Reg)'!L268</f>
        <v>0</v>
      </c>
      <c r="M267" s="133"/>
      <c r="N267" s="133">
        <f>+'KY_Res by Plant Acct-P29 (Reg)'!N268</f>
        <v>0</v>
      </c>
      <c r="O267" s="133"/>
      <c r="P267" s="133">
        <f>+'KY_Res by Plant Acct-P29 (Reg)'!P268</f>
        <v>0</v>
      </c>
      <c r="Q267" s="133"/>
      <c r="R267" s="133">
        <f t="shared" si="13"/>
        <v>14012460.840000004</v>
      </c>
    </row>
    <row r="268" spans="1:18" outlineLevel="1" x14ac:dyDescent="0.2">
      <c r="A268" s="3" t="s">
        <v>3401</v>
      </c>
      <c r="B268" s="133">
        <f>+'KY_Res by Plant Acct-P29 (Reg)'!B269</f>
        <v>17610528.829999991</v>
      </c>
      <c r="C268" s="133"/>
      <c r="D268" s="133">
        <f>+'KY_Res by Plant Acct-P29 (Reg)'!D269</f>
        <v>-116855.58</v>
      </c>
      <c r="E268" s="133"/>
      <c r="F268" s="133">
        <f>+'KY_Res by Plant Acct-P29 (Reg)'!F269</f>
        <v>0</v>
      </c>
      <c r="G268" s="137"/>
      <c r="H268" s="133">
        <f>+'KY_Res by Plant Acct-P29 (Reg)'!H269</f>
        <v>0</v>
      </c>
      <c r="I268" s="137"/>
      <c r="J268" s="133">
        <f>+'KY_Res by Plant Acct-P29 (Reg)'!J269</f>
        <v>0</v>
      </c>
      <c r="K268" s="137"/>
      <c r="L268" s="133">
        <f>+'KY_Res by Plant Acct-P29 (Reg)'!L269</f>
        <v>0</v>
      </c>
      <c r="M268" s="133"/>
      <c r="N268" s="133">
        <f>+'KY_Res by Plant Acct-P29 (Reg)'!N269</f>
        <v>0</v>
      </c>
      <c r="O268" s="133"/>
      <c r="P268" s="133">
        <f>+'KY_Res by Plant Acct-P29 (Reg)'!P269</f>
        <v>0</v>
      </c>
      <c r="Q268" s="133"/>
      <c r="R268" s="133">
        <f t="shared" si="13"/>
        <v>17493673.249999993</v>
      </c>
    </row>
    <row r="269" spans="1:18" outlineLevel="1" x14ac:dyDescent="0.2">
      <c r="A269" s="3" t="s">
        <v>3671</v>
      </c>
      <c r="B269" s="133">
        <f>+'KY_Res by Plant Acct-P29 (Reg)'!B270</f>
        <v>10.010000000000005</v>
      </c>
      <c r="C269" s="133"/>
      <c r="D269" s="133">
        <f>+'KY_Res by Plant Acct-P29 (Reg)'!D270</f>
        <v>0</v>
      </c>
      <c r="E269" s="133"/>
      <c r="F269" s="133">
        <f>+'KY_Res by Plant Acct-P29 (Reg)'!F270</f>
        <v>0</v>
      </c>
      <c r="G269" s="137"/>
      <c r="H269" s="133">
        <f>+'KY_Res by Plant Acct-P29 (Reg)'!H270</f>
        <v>0</v>
      </c>
      <c r="I269" s="137"/>
      <c r="J269" s="133">
        <f>+'KY_Res by Plant Acct-P29 (Reg)'!J270</f>
        <v>0</v>
      </c>
      <c r="K269" s="137"/>
      <c r="L269" s="133">
        <f>+'KY_Res by Plant Acct-P29 (Reg)'!L270</f>
        <v>0</v>
      </c>
      <c r="M269" s="133"/>
      <c r="N269" s="133">
        <f>+'KY_Res by Plant Acct-P29 (Reg)'!N270</f>
        <v>0</v>
      </c>
      <c r="O269" s="133"/>
      <c r="P269" s="133">
        <f>+'KY_Res by Plant Acct-P29 (Reg)'!P270</f>
        <v>0</v>
      </c>
      <c r="Q269" s="133"/>
      <c r="R269" s="133">
        <f t="shared" si="13"/>
        <v>10.010000000000005</v>
      </c>
    </row>
    <row r="270" spans="1:18" outlineLevel="1" x14ac:dyDescent="0.2">
      <c r="A270" s="3" t="s">
        <v>3403</v>
      </c>
      <c r="B270" s="133">
        <f>+'KY_Res by Plant Acct-P29 (Reg)'!B271</f>
        <v>-2640654.9299999997</v>
      </c>
      <c r="C270" s="133"/>
      <c r="D270" s="133">
        <f>+'KY_Res by Plant Acct-P29 (Reg)'!D271</f>
        <v>-395474.1</v>
      </c>
      <c r="E270" s="133"/>
      <c r="F270" s="133">
        <f>+'KY_Res by Plant Acct-P29 (Reg)'!F271</f>
        <v>0</v>
      </c>
      <c r="G270" s="137"/>
      <c r="H270" s="133">
        <f>+'KY_Res by Plant Acct-P29 (Reg)'!H271</f>
        <v>0</v>
      </c>
      <c r="I270" s="137"/>
      <c r="J270" s="133">
        <f>+'KY_Res by Plant Acct-P29 (Reg)'!J271</f>
        <v>0</v>
      </c>
      <c r="K270" s="137"/>
      <c r="L270" s="133">
        <f>+'KY_Res by Plant Acct-P29 (Reg)'!L271</f>
        <v>0</v>
      </c>
      <c r="M270" s="133"/>
      <c r="N270" s="133">
        <f>+'KY_Res by Plant Acct-P29 (Reg)'!N271</f>
        <v>0</v>
      </c>
      <c r="O270" s="133"/>
      <c r="P270" s="133">
        <f>+'KY_Res by Plant Acct-P29 (Reg)'!P271</f>
        <v>0</v>
      </c>
      <c r="Q270" s="133"/>
      <c r="R270" s="133">
        <f t="shared" si="13"/>
        <v>-3036129.03</v>
      </c>
    </row>
    <row r="271" spans="1:18" outlineLevel="1" x14ac:dyDescent="0.2">
      <c r="A271" s="3" t="s">
        <v>3404</v>
      </c>
      <c r="B271" s="133">
        <f>+'KY_Res by Plant Acct-P29 (Reg)'!B272</f>
        <v>0</v>
      </c>
      <c r="C271" s="133"/>
      <c r="D271" s="133">
        <f>+'KY_Res by Plant Acct-P29 (Reg)'!D272</f>
        <v>0</v>
      </c>
      <c r="E271" s="133"/>
      <c r="F271" s="133">
        <f>+'KY_Res by Plant Acct-P29 (Reg)'!F272</f>
        <v>0</v>
      </c>
      <c r="G271" s="137"/>
      <c r="H271" s="133">
        <f>+'KY_Res by Plant Acct-P29 (Reg)'!H272</f>
        <v>0</v>
      </c>
      <c r="I271" s="137"/>
      <c r="J271" s="133">
        <f>+'KY_Res by Plant Acct-P29 (Reg)'!J272</f>
        <v>0</v>
      </c>
      <c r="K271" s="137"/>
      <c r="L271" s="133">
        <f>+'KY_Res by Plant Acct-P29 (Reg)'!L272</f>
        <v>0</v>
      </c>
      <c r="M271" s="133"/>
      <c r="N271" s="133">
        <f>+'KY_Res by Plant Acct-P29 (Reg)'!N272</f>
        <v>0</v>
      </c>
      <c r="O271" s="133"/>
      <c r="P271" s="133">
        <f>+'KY_Res by Plant Acct-P29 (Reg)'!P272</f>
        <v>0</v>
      </c>
      <c r="Q271" s="133"/>
      <c r="R271" s="133">
        <f t="shared" si="13"/>
        <v>0</v>
      </c>
    </row>
    <row r="272" spans="1:18" outlineLevel="1" x14ac:dyDescent="0.2">
      <c r="A272" s="3" t="s">
        <v>3405</v>
      </c>
      <c r="B272" s="133">
        <f>+'KY_Res by Plant Acct-P29 (Reg)'!B273</f>
        <v>-83800063.919999972</v>
      </c>
      <c r="C272" s="133"/>
      <c r="D272" s="133">
        <f>+'KY_Res by Plant Acct-P29 (Reg)'!D273</f>
        <v>-5979754.5599999996</v>
      </c>
      <c r="E272" s="133"/>
      <c r="F272" s="133">
        <f>+'KY_Res by Plant Acct-P29 (Reg)'!F273</f>
        <v>1603270.7</v>
      </c>
      <c r="G272" s="137"/>
      <c r="H272" s="133">
        <f>+'KY_Res by Plant Acct-P29 (Reg)'!H273</f>
        <v>1858074.13</v>
      </c>
      <c r="I272" s="137"/>
      <c r="J272" s="133">
        <f>+'KY_Res by Plant Acct-P29 (Reg)'!J273</f>
        <v>0</v>
      </c>
      <c r="K272" s="137"/>
      <c r="L272" s="133">
        <f>+'KY_Res by Plant Acct-P29 (Reg)'!L273</f>
        <v>1070545.9100000001</v>
      </c>
      <c r="M272" s="133"/>
      <c r="N272" s="133">
        <f>+'KY_Res by Plant Acct-P29 (Reg)'!N273</f>
        <v>0</v>
      </c>
      <c r="O272" s="133"/>
      <c r="P272" s="133">
        <f>+'KY_Res by Plant Acct-P29 (Reg)'!P273</f>
        <v>-267612.63</v>
      </c>
      <c r="Q272" s="133"/>
      <c r="R272" s="133">
        <f t="shared" si="13"/>
        <v>-85515540.369999975</v>
      </c>
    </row>
    <row r="273" spans="1:21" outlineLevel="1" x14ac:dyDescent="0.2">
      <c r="A273" s="3" t="s">
        <v>3406</v>
      </c>
      <c r="B273" s="133">
        <f>+'KY_Res by Plant Acct-P29 (Reg)'!B274</f>
        <v>0</v>
      </c>
      <c r="C273" s="133"/>
      <c r="D273" s="133">
        <f>+'KY_Res by Plant Acct-P29 (Reg)'!D274</f>
        <v>0</v>
      </c>
      <c r="E273" s="133"/>
      <c r="F273" s="133">
        <f>+'KY_Res by Plant Acct-P29 (Reg)'!F274</f>
        <v>0</v>
      </c>
      <c r="G273" s="137"/>
      <c r="H273" s="133">
        <f>+'KY_Res by Plant Acct-P29 (Reg)'!H274</f>
        <v>0</v>
      </c>
      <c r="I273" s="137"/>
      <c r="J273" s="133">
        <f>+'KY_Res by Plant Acct-P29 (Reg)'!J274</f>
        <v>0</v>
      </c>
      <c r="K273" s="137"/>
      <c r="L273" s="133">
        <f>+'KY_Res by Plant Acct-P29 (Reg)'!L274</f>
        <v>0</v>
      </c>
      <c r="M273" s="133"/>
      <c r="N273" s="133">
        <f>+'KY_Res by Plant Acct-P29 (Reg)'!N274</f>
        <v>0</v>
      </c>
      <c r="O273" s="133"/>
      <c r="P273" s="133">
        <f>+'KY_Res by Plant Acct-P29 (Reg)'!P274</f>
        <v>0</v>
      </c>
      <c r="Q273" s="133"/>
      <c r="R273" s="133">
        <f t="shared" si="13"/>
        <v>0</v>
      </c>
    </row>
    <row r="274" spans="1:21" outlineLevel="1" x14ac:dyDescent="0.2">
      <c r="A274" s="3" t="s">
        <v>3407</v>
      </c>
      <c r="B274" s="133">
        <f>+'KY_Res by Plant Acct-P29 (Reg)'!B275</f>
        <v>0</v>
      </c>
      <c r="C274" s="133"/>
      <c r="D274" s="133">
        <f>+'KY_Res by Plant Acct-P29 (Reg)'!D275</f>
        <v>-9530.7000000000007</v>
      </c>
      <c r="E274" s="133"/>
      <c r="F274" s="133">
        <f>+'KY_Res by Plant Acct-P29 (Reg)'!F275</f>
        <v>0</v>
      </c>
      <c r="G274" s="137"/>
      <c r="H274" s="133">
        <f>+'KY_Res by Plant Acct-P29 (Reg)'!H275</f>
        <v>-58750.41</v>
      </c>
      <c r="I274" s="137"/>
      <c r="J274" s="133">
        <f>+'KY_Res by Plant Acct-P29 (Reg)'!J275</f>
        <v>0</v>
      </c>
      <c r="K274" s="137"/>
      <c r="L274" s="133">
        <f>+'KY_Res by Plant Acct-P29 (Reg)'!L275</f>
        <v>0</v>
      </c>
      <c r="M274" s="133"/>
      <c r="N274" s="133">
        <f>+'KY_Res by Plant Acct-P29 (Reg)'!N275</f>
        <v>0</v>
      </c>
      <c r="O274" s="133"/>
      <c r="P274" s="133">
        <f>+'KY_Res by Plant Acct-P29 (Reg)'!P275</f>
        <v>0</v>
      </c>
      <c r="Q274" s="133"/>
      <c r="R274" s="133">
        <f t="shared" si="13"/>
        <v>-68281.11</v>
      </c>
    </row>
    <row r="275" spans="1:21" outlineLevel="1" x14ac:dyDescent="0.2">
      <c r="A275" s="3" t="s">
        <v>3408</v>
      </c>
      <c r="B275" s="133">
        <f>+'KY_Res by Plant Acct-P29 (Reg)'!B276</f>
        <v>-2596269.09</v>
      </c>
      <c r="C275" s="133">
        <f>+'KY_Res by Plant Acct-P29 (Reg)'!C276</f>
        <v>0</v>
      </c>
      <c r="D275" s="133">
        <f>+'KY_Res by Plant Acct-P29 (Reg)'!D276</f>
        <v>-2461239.88</v>
      </c>
      <c r="E275" s="133">
        <f>+'KY_Res by Plant Acct-P29 (Reg)'!E276</f>
        <v>0</v>
      </c>
      <c r="F275" s="133">
        <f>+'KY_Res by Plant Acct-P29 (Reg)'!F276</f>
        <v>0</v>
      </c>
      <c r="G275" s="133">
        <f>+'KY_Res by Plant Acct-P29 (Reg)'!G276</f>
        <v>0</v>
      </c>
      <c r="H275" s="133">
        <f>+'KY_Res by Plant Acct-P29 (Reg)'!H276</f>
        <v>0</v>
      </c>
      <c r="I275" s="133">
        <f>+'KY_Res by Plant Acct-P29 (Reg)'!I276</f>
        <v>0</v>
      </c>
      <c r="J275" s="133">
        <f>+'KY_Res by Plant Acct-P29 (Reg)'!J276</f>
        <v>0</v>
      </c>
      <c r="K275" s="133">
        <f>+'KY_Res by Plant Acct-P29 (Reg)'!K276</f>
        <v>0</v>
      </c>
      <c r="L275" s="133">
        <f>+'KY_Res by Plant Acct-P29 (Reg)'!L276</f>
        <v>0</v>
      </c>
      <c r="M275" s="133">
        <f>+'KY_Res by Plant Acct-P29 (Reg)'!M276</f>
        <v>0</v>
      </c>
      <c r="N275" s="133">
        <f>+'KY_Res by Plant Acct-P29 (Reg)'!N276</f>
        <v>0</v>
      </c>
      <c r="O275" s="133">
        <f>+'KY_Res by Plant Acct-P29 (Reg)'!O276</f>
        <v>0</v>
      </c>
      <c r="P275" s="133">
        <f>+'KY_Res by Plant Acct-P29 (Reg)'!P276</f>
        <v>0</v>
      </c>
      <c r="Q275" s="133">
        <f>+'KY_Res by Plant Acct-P29 (Reg)'!Q276</f>
        <v>0</v>
      </c>
      <c r="R275" s="133">
        <f t="shared" si="13"/>
        <v>-5057508.97</v>
      </c>
    </row>
    <row r="276" spans="1:21" outlineLevel="1" x14ac:dyDescent="0.2">
      <c r="A276" s="3" t="s">
        <v>3409</v>
      </c>
      <c r="B276" s="133">
        <f>+'KY_Res by Plant Acct-P29 (Reg)'!B277</f>
        <v>0</v>
      </c>
      <c r="C276" s="133">
        <f>+'KY_Res by Plant Acct-P29 (Reg)'!C277</f>
        <v>0</v>
      </c>
      <c r="D276" s="133">
        <f>+'KY_Res by Plant Acct-P29 (Reg)'!D277</f>
        <v>0</v>
      </c>
      <c r="E276" s="133">
        <f>+'KY_Res by Plant Acct-P29 (Reg)'!E277</f>
        <v>0</v>
      </c>
      <c r="F276" s="133">
        <f>+'KY_Res by Plant Acct-P29 (Reg)'!F277</f>
        <v>0</v>
      </c>
      <c r="G276" s="133">
        <f>+'KY_Res by Plant Acct-P29 (Reg)'!G277</f>
        <v>0</v>
      </c>
      <c r="H276" s="133">
        <f>+'KY_Res by Plant Acct-P29 (Reg)'!H277</f>
        <v>-1858074.13</v>
      </c>
      <c r="I276" s="133">
        <f>+'KY_Res by Plant Acct-P29 (Reg)'!I277</f>
        <v>0</v>
      </c>
      <c r="J276" s="133">
        <f>+'KY_Res by Plant Acct-P29 (Reg)'!J277</f>
        <v>0</v>
      </c>
      <c r="K276" s="133">
        <f>+'KY_Res by Plant Acct-P29 (Reg)'!K277</f>
        <v>0</v>
      </c>
      <c r="L276" s="133">
        <f>+'KY_Res by Plant Acct-P29 (Reg)'!L277</f>
        <v>0</v>
      </c>
      <c r="M276" s="133">
        <f>+'KY_Res by Plant Acct-P29 (Reg)'!M277</f>
        <v>0</v>
      </c>
      <c r="N276" s="133">
        <f>+'KY_Res by Plant Acct-P29 (Reg)'!N277</f>
        <v>0</v>
      </c>
      <c r="O276" s="133">
        <f>+'KY_Res by Plant Acct-P29 (Reg)'!O277</f>
        <v>0</v>
      </c>
      <c r="P276" s="133">
        <f>+'KY_Res by Plant Acct-P29 (Reg)'!P277</f>
        <v>0</v>
      </c>
      <c r="Q276" s="133">
        <f>+'KY_Res by Plant Acct-P29 (Reg)'!Q277</f>
        <v>0</v>
      </c>
      <c r="R276" s="133">
        <f t="shared" si="13"/>
        <v>-1858074.13</v>
      </c>
    </row>
    <row r="277" spans="1:21" outlineLevel="1" x14ac:dyDescent="0.2">
      <c r="A277" s="3" t="s">
        <v>3410</v>
      </c>
      <c r="B277" s="133">
        <f>+'KY_Res by Plant Acct-P29 (Reg)'!B278</f>
        <v>-20782934.880000003</v>
      </c>
      <c r="C277" s="133"/>
      <c r="D277" s="133">
        <f>+'KY_Res by Plant Acct-P29 (Reg)'!D278</f>
        <v>-3341624.38</v>
      </c>
      <c r="E277" s="133"/>
      <c r="F277" s="133">
        <f>+'KY_Res by Plant Acct-P29 (Reg)'!F278</f>
        <v>775922.03</v>
      </c>
      <c r="G277" s="137"/>
      <c r="H277" s="133">
        <f>+'KY_Res by Plant Acct-P29 (Reg)'!H278</f>
        <v>0</v>
      </c>
      <c r="I277" s="137"/>
      <c r="J277" s="133">
        <f>+'KY_Res by Plant Acct-P29 (Reg)'!J278</f>
        <v>0</v>
      </c>
      <c r="K277" s="137"/>
      <c r="L277" s="133">
        <f>+'KY_Res by Plant Acct-P29 (Reg)'!L278</f>
        <v>133550.99</v>
      </c>
      <c r="M277" s="133"/>
      <c r="N277" s="133">
        <f>+'KY_Res by Plant Acct-P29 (Reg)'!N278</f>
        <v>0</v>
      </c>
      <c r="O277" s="133"/>
      <c r="P277" s="133">
        <f>+'KY_Res by Plant Acct-P29 (Reg)'!P278</f>
        <v>-50156.14</v>
      </c>
      <c r="Q277" s="133"/>
      <c r="R277" s="133">
        <f t="shared" si="13"/>
        <v>-23265242.380000003</v>
      </c>
    </row>
    <row r="278" spans="1:21" outlineLevel="1" x14ac:dyDescent="0.2">
      <c r="A278" s="3" t="s">
        <v>3411</v>
      </c>
      <c r="B278" s="133">
        <f>+'KY_Res by Plant Acct-P29 (Reg)'!B279</f>
        <v>0</v>
      </c>
      <c r="C278" s="133"/>
      <c r="D278" s="133">
        <f>+'KY_Res by Plant Acct-P29 (Reg)'!D279</f>
        <v>0</v>
      </c>
      <c r="E278" s="133"/>
      <c r="F278" s="133">
        <f>+'KY_Res by Plant Acct-P29 (Reg)'!F279</f>
        <v>0</v>
      </c>
      <c r="G278" s="137"/>
      <c r="H278" s="133">
        <f>+'KY_Res by Plant Acct-P29 (Reg)'!H279</f>
        <v>0</v>
      </c>
      <c r="I278" s="137"/>
      <c r="J278" s="133">
        <f>+'KY_Res by Plant Acct-P29 (Reg)'!J279</f>
        <v>0</v>
      </c>
      <c r="K278" s="137"/>
      <c r="L278" s="133">
        <f>+'KY_Res by Plant Acct-P29 (Reg)'!L279</f>
        <v>0</v>
      </c>
      <c r="M278" s="133"/>
      <c r="N278" s="133">
        <f>+'KY_Res by Plant Acct-P29 (Reg)'!N279</f>
        <v>0</v>
      </c>
      <c r="O278" s="133"/>
      <c r="P278" s="133">
        <f>+'KY_Res by Plant Acct-P29 (Reg)'!P279</f>
        <v>0</v>
      </c>
      <c r="Q278" s="133"/>
      <c r="R278" s="133">
        <f t="shared" si="13"/>
        <v>0</v>
      </c>
    </row>
    <row r="279" spans="1:21" outlineLevel="1" x14ac:dyDescent="0.2">
      <c r="A279" s="139" t="s">
        <v>3412</v>
      </c>
      <c r="B279" s="133">
        <f>+'KY_Res by Plant Acct-P29 (Reg)'!B280</f>
        <v>-2336424.16</v>
      </c>
      <c r="C279" s="133"/>
      <c r="D279" s="133">
        <f>+'KY_Res by Plant Acct-P29 (Reg)'!D280</f>
        <v>-511430.86</v>
      </c>
      <c r="E279" s="133"/>
      <c r="F279" s="133">
        <f>+'KY_Res by Plant Acct-P29 (Reg)'!F280</f>
        <v>0</v>
      </c>
      <c r="G279" s="137"/>
      <c r="H279" s="133">
        <f>+'KY_Res by Plant Acct-P29 (Reg)'!H280</f>
        <v>673012.19</v>
      </c>
      <c r="I279" s="137"/>
      <c r="J279" s="133">
        <f>+'KY_Res by Plant Acct-P29 (Reg)'!J280</f>
        <v>0</v>
      </c>
      <c r="K279" s="137"/>
      <c r="L279" s="133">
        <f>+'KY_Res by Plant Acct-P29 (Reg)'!L280</f>
        <v>0</v>
      </c>
      <c r="M279" s="133"/>
      <c r="N279" s="133">
        <f>+'KY_Res by Plant Acct-P29 (Reg)'!N280</f>
        <v>0</v>
      </c>
      <c r="O279" s="133"/>
      <c r="P279" s="133">
        <f>+'KY_Res by Plant Acct-P29 (Reg)'!P280</f>
        <v>0</v>
      </c>
      <c r="Q279" s="133"/>
      <c r="R279" s="133">
        <f t="shared" si="13"/>
        <v>-2174842.83</v>
      </c>
      <c r="S279" s="16"/>
      <c r="T279" s="14"/>
      <c r="U279" s="14"/>
    </row>
    <row r="280" spans="1:21" outlineLevel="1" x14ac:dyDescent="0.2">
      <c r="A280" s="139" t="s">
        <v>3413</v>
      </c>
      <c r="B280" s="133">
        <f>+'KY_Res by Plant Acct-P29 (Reg)'!B281</f>
        <v>0</v>
      </c>
      <c r="C280" s="133"/>
      <c r="D280" s="133">
        <f>+'KY_Res by Plant Acct-P29 (Reg)'!D281</f>
        <v>-9470.81</v>
      </c>
      <c r="E280" s="133"/>
      <c r="F280" s="133">
        <f>+'KY_Res by Plant Acct-P29 (Reg)'!F281</f>
        <v>0</v>
      </c>
      <c r="G280" s="137"/>
      <c r="H280" s="133">
        <f>+'KY_Res by Plant Acct-P29 (Reg)'!H281</f>
        <v>0</v>
      </c>
      <c r="I280" s="137"/>
      <c r="J280" s="133">
        <f>+'KY_Res by Plant Acct-P29 (Reg)'!J281</f>
        <v>0</v>
      </c>
      <c r="K280" s="137"/>
      <c r="L280" s="133">
        <f>+'KY_Res by Plant Acct-P29 (Reg)'!L281</f>
        <v>0</v>
      </c>
      <c r="M280" s="133"/>
      <c r="N280" s="133">
        <f>+'KY_Res by Plant Acct-P29 (Reg)'!N281</f>
        <v>0</v>
      </c>
      <c r="O280" s="133"/>
      <c r="P280" s="133">
        <f>+'KY_Res by Plant Acct-P29 (Reg)'!P281</f>
        <v>0</v>
      </c>
      <c r="Q280" s="133"/>
      <c r="R280" s="133">
        <f t="shared" si="13"/>
        <v>-9470.81</v>
      </c>
      <c r="S280" s="16"/>
      <c r="T280" s="14"/>
      <c r="U280" s="14"/>
    </row>
    <row r="281" spans="1:21" outlineLevel="1" x14ac:dyDescent="0.2">
      <c r="A281" s="21" t="s">
        <v>3414</v>
      </c>
      <c r="B281" s="133">
        <f>+'KY_Res by Plant Acct-P29 (Reg)'!B282</f>
        <v>-50909163.269999988</v>
      </c>
      <c r="C281" s="133"/>
      <c r="D281" s="133">
        <f>+'KY_Res by Plant Acct-P29 (Reg)'!D282</f>
        <v>-882255.9</v>
      </c>
      <c r="E281" s="133"/>
      <c r="F281" s="133">
        <f>+'KY_Res by Plant Acct-P29 (Reg)'!F282</f>
        <v>0</v>
      </c>
      <c r="G281" s="137"/>
      <c r="H281" s="133">
        <f>+'KY_Res by Plant Acct-P29 (Reg)'!H282</f>
        <v>0</v>
      </c>
      <c r="I281" s="137"/>
      <c r="J281" s="133">
        <f>+'KY_Res by Plant Acct-P29 (Reg)'!J282</f>
        <v>0</v>
      </c>
      <c r="K281" s="137"/>
      <c r="L281" s="133">
        <f>+'KY_Res by Plant Acct-P29 (Reg)'!L282</f>
        <v>13790.89</v>
      </c>
      <c r="M281" s="133"/>
      <c r="N281" s="133">
        <f>+'KY_Res by Plant Acct-P29 (Reg)'!N282</f>
        <v>0</v>
      </c>
      <c r="O281" s="133"/>
      <c r="P281" s="133">
        <f>+'KY_Res by Plant Acct-P29 (Reg)'!P282</f>
        <v>-3447.68</v>
      </c>
      <c r="Q281" s="133"/>
      <c r="R281" s="133">
        <f t="shared" si="13"/>
        <v>-51781075.959999986</v>
      </c>
    </row>
    <row r="282" spans="1:21" outlineLevel="1" x14ac:dyDescent="0.2">
      <c r="A282" s="21" t="s">
        <v>3415</v>
      </c>
      <c r="B282" s="133">
        <f>+'KY_Res by Plant Acct-P29 (Reg)'!B283</f>
        <v>0</v>
      </c>
      <c r="C282" s="133"/>
      <c r="D282" s="133">
        <f>+'KY_Res by Plant Acct-P29 (Reg)'!D283</f>
        <v>0</v>
      </c>
      <c r="E282" s="133"/>
      <c r="F282" s="133">
        <f>+'KY_Res by Plant Acct-P29 (Reg)'!F283</f>
        <v>0</v>
      </c>
      <c r="G282" s="137"/>
      <c r="H282" s="133">
        <f>+'KY_Res by Plant Acct-P29 (Reg)'!H283</f>
        <v>0</v>
      </c>
      <c r="I282" s="137"/>
      <c r="J282" s="133">
        <f>+'KY_Res by Plant Acct-P29 (Reg)'!J283</f>
        <v>0</v>
      </c>
      <c r="K282" s="137"/>
      <c r="L282" s="133">
        <f>+'KY_Res by Plant Acct-P29 (Reg)'!L283</f>
        <v>0</v>
      </c>
      <c r="M282" s="133"/>
      <c r="N282" s="133">
        <f>+'KY_Res by Plant Acct-P29 (Reg)'!N283</f>
        <v>0</v>
      </c>
      <c r="O282" s="133"/>
      <c r="P282" s="133">
        <f>+'KY_Res by Plant Acct-P29 (Reg)'!P283</f>
        <v>0</v>
      </c>
      <c r="Q282" s="133"/>
      <c r="R282" s="133">
        <f t="shared" si="13"/>
        <v>0</v>
      </c>
    </row>
    <row r="283" spans="1:21" outlineLevel="1" x14ac:dyDescent="0.2">
      <c r="A283" s="21" t="s">
        <v>3416</v>
      </c>
      <c r="B283" s="133">
        <f>+'KY_Res by Plant Acct-P29 (Reg)'!B284</f>
        <v>0</v>
      </c>
      <c r="C283" s="133"/>
      <c r="D283" s="133">
        <f>+'KY_Res by Plant Acct-P29 (Reg)'!D284</f>
        <v>0</v>
      </c>
      <c r="E283" s="133"/>
      <c r="F283" s="133">
        <f>+'KY_Res by Plant Acct-P29 (Reg)'!F284</f>
        <v>0</v>
      </c>
      <c r="G283" s="137"/>
      <c r="H283" s="133">
        <f>+'KY_Res by Plant Acct-P29 (Reg)'!H284</f>
        <v>-614261.78</v>
      </c>
      <c r="I283" s="137"/>
      <c r="J283" s="133">
        <f>+'KY_Res by Plant Acct-P29 (Reg)'!J284</f>
        <v>0</v>
      </c>
      <c r="K283" s="137"/>
      <c r="L283" s="133">
        <f>+'KY_Res by Plant Acct-P29 (Reg)'!L284</f>
        <v>0</v>
      </c>
      <c r="M283" s="133"/>
      <c r="N283" s="133">
        <f>+'KY_Res by Plant Acct-P29 (Reg)'!N284</f>
        <v>0</v>
      </c>
      <c r="O283" s="133"/>
      <c r="P283" s="133">
        <f>+'KY_Res by Plant Acct-P29 (Reg)'!P284</f>
        <v>0</v>
      </c>
      <c r="Q283" s="133"/>
      <c r="R283" s="133">
        <f t="shared" si="13"/>
        <v>-614261.78</v>
      </c>
    </row>
    <row r="284" spans="1:21" x14ac:dyDescent="0.2">
      <c r="A284" s="3" t="s">
        <v>3417</v>
      </c>
      <c r="B284" s="133">
        <f>SUM(B223:B283)</f>
        <v>-459212842.65000004</v>
      </c>
      <c r="C284" s="133"/>
      <c r="D284" s="133">
        <f>SUM(D223:D283)</f>
        <v>-54061297.290000007</v>
      </c>
      <c r="E284" s="133">
        <f t="shared" ref="E284:R284" si="14">SUM(E223:E283)</f>
        <v>0</v>
      </c>
      <c r="F284" s="133">
        <f t="shared" si="14"/>
        <v>13091124.68</v>
      </c>
      <c r="G284" s="133">
        <f t="shared" si="14"/>
        <v>0</v>
      </c>
      <c r="H284" s="133">
        <f t="shared" si="14"/>
        <v>0</v>
      </c>
      <c r="I284" s="133">
        <f t="shared" si="14"/>
        <v>0</v>
      </c>
      <c r="J284" s="133">
        <f t="shared" si="14"/>
        <v>0</v>
      </c>
      <c r="K284" s="133">
        <f t="shared" si="14"/>
        <v>0</v>
      </c>
      <c r="L284" s="133">
        <f t="shared" si="14"/>
        <v>30451503.379999999</v>
      </c>
      <c r="M284" s="133">
        <f t="shared" si="14"/>
        <v>0</v>
      </c>
      <c r="N284" s="133">
        <f t="shared" si="14"/>
        <v>-66442</v>
      </c>
      <c r="O284" s="133">
        <f t="shared" si="14"/>
        <v>0</v>
      </c>
      <c r="P284" s="133">
        <f t="shared" si="14"/>
        <v>-321216.45</v>
      </c>
      <c r="Q284" s="133">
        <f t="shared" si="14"/>
        <v>0</v>
      </c>
      <c r="R284" s="133">
        <f t="shared" si="14"/>
        <v>-470119170.32999986</v>
      </c>
    </row>
    <row r="285" spans="1:21" outlineLevel="1" x14ac:dyDescent="0.2">
      <c r="A285" s="3" t="s">
        <v>3418</v>
      </c>
      <c r="B285" s="133">
        <f>+'KY_Res by Plant Acct-P29 (Reg)'!B286</f>
        <v>0</v>
      </c>
      <c r="C285" s="133"/>
      <c r="D285" s="133">
        <f>+'KY_Res by Plant Acct-P29 (Reg)'!D286</f>
        <v>0</v>
      </c>
      <c r="E285" s="133"/>
      <c r="F285" s="133">
        <f>+'KY_Res by Plant Acct-P29 (Reg)'!F286</f>
        <v>0</v>
      </c>
      <c r="G285" s="137"/>
      <c r="H285" s="133">
        <f>+'KY_Res by Plant Acct-P29 (Reg)'!H286</f>
        <v>0</v>
      </c>
      <c r="I285" s="137"/>
      <c r="J285" s="133">
        <f>+'KY_Res by Plant Acct-P29 (Reg)'!J286</f>
        <v>0</v>
      </c>
      <c r="K285" s="137"/>
      <c r="L285" s="133">
        <f>+'KY_Res by Plant Acct-P29 (Reg)'!L286</f>
        <v>0</v>
      </c>
      <c r="M285" s="133"/>
      <c r="N285" s="133">
        <f>+'KY_Res by Plant Acct-P29 (Reg)'!N286</f>
        <v>0</v>
      </c>
      <c r="O285" s="133"/>
      <c r="P285" s="133">
        <f>+'KY_Res by Plant Acct-P29 (Reg)'!P286</f>
        <v>0</v>
      </c>
      <c r="Q285" s="133"/>
      <c r="R285" s="133">
        <f>SUM(B285:P285)</f>
        <v>0</v>
      </c>
    </row>
    <row r="286" spans="1:21" outlineLevel="1" x14ac:dyDescent="0.2">
      <c r="A286" s="3" t="s">
        <v>3419</v>
      </c>
      <c r="B286" s="133">
        <f>+'KY_Res by Plant Acct-P29 (Reg)'!B287</f>
        <v>0</v>
      </c>
      <c r="C286" s="133"/>
      <c r="D286" s="133">
        <f>+'KY_Res by Plant Acct-P29 (Reg)'!D287</f>
        <v>0</v>
      </c>
      <c r="E286" s="133"/>
      <c r="F286" s="133">
        <f>+'KY_Res by Plant Acct-P29 (Reg)'!F287</f>
        <v>0</v>
      </c>
      <c r="G286" s="137"/>
      <c r="H286" s="133">
        <f>+'KY_Res by Plant Acct-P29 (Reg)'!H287</f>
        <v>0</v>
      </c>
      <c r="I286" s="137"/>
      <c r="J286" s="133">
        <f>+'KY_Res by Plant Acct-P29 (Reg)'!J287</f>
        <v>0</v>
      </c>
      <c r="K286" s="137"/>
      <c r="L286" s="133">
        <f>+'KY_Res by Plant Acct-P29 (Reg)'!L287</f>
        <v>0</v>
      </c>
      <c r="M286" s="133"/>
      <c r="N286" s="133">
        <f>+'KY_Res by Plant Acct-P29 (Reg)'!N287</f>
        <v>0</v>
      </c>
      <c r="O286" s="133"/>
      <c r="P286" s="133">
        <f>+'KY_Res by Plant Acct-P29 (Reg)'!P287</f>
        <v>0</v>
      </c>
      <c r="Q286" s="133"/>
      <c r="R286" s="133">
        <f>SUM(B286:P286)</f>
        <v>0</v>
      </c>
    </row>
    <row r="287" spans="1:21" x14ac:dyDescent="0.2">
      <c r="A287" s="3" t="s">
        <v>3420</v>
      </c>
      <c r="B287" s="133">
        <f>SUM(B285:B286)</f>
        <v>0</v>
      </c>
      <c r="C287" s="133"/>
      <c r="D287" s="133">
        <f>SUM(D285:D286)</f>
        <v>0</v>
      </c>
      <c r="E287" s="133"/>
      <c r="F287" s="137">
        <f>SUM(F285:F286)</f>
        <v>0</v>
      </c>
      <c r="G287" s="137"/>
      <c r="H287" s="137">
        <f>SUM(H285:H286)</f>
        <v>0</v>
      </c>
      <c r="I287" s="137"/>
      <c r="J287" s="137">
        <f>SUM(J285:J286)</f>
        <v>0</v>
      </c>
      <c r="K287" s="137"/>
      <c r="L287" s="137">
        <f>SUM(L285:L286)</f>
        <v>0</v>
      </c>
      <c r="M287" s="133"/>
      <c r="N287" s="133">
        <f>SUM(N285:N286)</f>
        <v>0</v>
      </c>
      <c r="O287" s="133"/>
      <c r="P287" s="133">
        <f>SUM(P285:P286)</f>
        <v>0</v>
      </c>
      <c r="Q287" s="133"/>
      <c r="R287" s="133">
        <f>SUM(R285:R286)</f>
        <v>0</v>
      </c>
    </row>
    <row r="288" spans="1:21" outlineLevel="1" x14ac:dyDescent="0.2">
      <c r="A288" s="3" t="s">
        <v>3421</v>
      </c>
      <c r="B288" s="133">
        <f>+'KY_Res by Plant Acct-P29 (Reg)'!B289</f>
        <v>-7068.3199999999924</v>
      </c>
      <c r="C288" s="133"/>
      <c r="D288" s="133">
        <f>+'KY_Res by Plant Acct-P29 (Reg)'!D289</f>
        <v>0</v>
      </c>
      <c r="E288" s="133"/>
      <c r="F288" s="133">
        <f>+'KY_Res by Plant Acct-P29 (Reg)'!F289</f>
        <v>0</v>
      </c>
      <c r="G288" s="137"/>
      <c r="H288" s="133">
        <f>+'KY_Res by Plant Acct-P29 (Reg)'!H289</f>
        <v>0</v>
      </c>
      <c r="I288" s="137"/>
      <c r="J288" s="133">
        <f>+'KY_Res by Plant Acct-P29 (Reg)'!J289</f>
        <v>0</v>
      </c>
      <c r="K288" s="137"/>
      <c r="L288" s="133">
        <f>+'KY_Res by Plant Acct-P29 (Reg)'!L289</f>
        <v>0</v>
      </c>
      <c r="M288" s="133"/>
      <c r="N288" s="133">
        <f>+'KY_Res by Plant Acct-P29 (Reg)'!N289</f>
        <v>0</v>
      </c>
      <c r="O288" s="133"/>
      <c r="P288" s="133">
        <f>+'KY_Res by Plant Acct-P29 (Reg)'!P289</f>
        <v>0</v>
      </c>
      <c r="Q288" s="133"/>
      <c r="R288" s="133">
        <f t="shared" ref="R288:R300" si="15">SUM(B288:P288)</f>
        <v>-7068.3199999999924</v>
      </c>
    </row>
    <row r="289" spans="1:18" outlineLevel="1" x14ac:dyDescent="0.2">
      <c r="A289" s="3" t="s">
        <v>3422</v>
      </c>
      <c r="B289" s="133">
        <f>+'KY_Res by Plant Acct-P29 (Reg)'!B290</f>
        <v>-547.34000000000015</v>
      </c>
      <c r="C289" s="133"/>
      <c r="D289" s="133">
        <f>+'KY_Res by Plant Acct-P29 (Reg)'!D290</f>
        <v>0</v>
      </c>
      <c r="E289" s="133"/>
      <c r="F289" s="133">
        <f>+'KY_Res by Plant Acct-P29 (Reg)'!F290</f>
        <v>0</v>
      </c>
      <c r="G289" s="133"/>
      <c r="H289" s="133">
        <f>+'KY_Res by Plant Acct-P29 (Reg)'!H290</f>
        <v>0</v>
      </c>
      <c r="I289" s="133"/>
      <c r="J289" s="133">
        <f>+'KY_Res by Plant Acct-P29 (Reg)'!J290</f>
        <v>0</v>
      </c>
      <c r="K289" s="133"/>
      <c r="L289" s="133">
        <f>+'KY_Res by Plant Acct-P29 (Reg)'!L290</f>
        <v>0</v>
      </c>
      <c r="M289" s="133"/>
      <c r="N289" s="133">
        <f>+'KY_Res by Plant Acct-P29 (Reg)'!N290</f>
        <v>0</v>
      </c>
      <c r="O289" s="133"/>
      <c r="P289" s="133">
        <f>+'KY_Res by Plant Acct-P29 (Reg)'!P290</f>
        <v>0</v>
      </c>
      <c r="Q289" s="133"/>
      <c r="R289" s="133">
        <f t="shared" si="15"/>
        <v>-547.34000000000015</v>
      </c>
    </row>
    <row r="290" spans="1:18" outlineLevel="1" x14ac:dyDescent="0.2">
      <c r="A290" s="3" t="s">
        <v>3423</v>
      </c>
      <c r="B290" s="133">
        <f>+'KY_Res by Plant Acct-P29 (Reg)'!B291</f>
        <v>-32811.970000000059</v>
      </c>
      <c r="C290" s="133"/>
      <c r="D290" s="133">
        <f>+'KY_Res by Plant Acct-P29 (Reg)'!D291</f>
        <v>0</v>
      </c>
      <c r="E290" s="133"/>
      <c r="F290" s="133">
        <f>+'KY_Res by Plant Acct-P29 (Reg)'!F291</f>
        <v>0</v>
      </c>
      <c r="G290" s="133"/>
      <c r="H290" s="133">
        <f>+'KY_Res by Plant Acct-P29 (Reg)'!H291</f>
        <v>0</v>
      </c>
      <c r="I290" s="133"/>
      <c r="J290" s="133">
        <f>+'KY_Res by Plant Acct-P29 (Reg)'!J291</f>
        <v>0</v>
      </c>
      <c r="K290" s="133"/>
      <c r="L290" s="133">
        <f>+'KY_Res by Plant Acct-P29 (Reg)'!L291</f>
        <v>0</v>
      </c>
      <c r="M290" s="133"/>
      <c r="N290" s="133">
        <f>+'KY_Res by Plant Acct-P29 (Reg)'!N291</f>
        <v>0</v>
      </c>
      <c r="O290" s="133"/>
      <c r="P290" s="133">
        <f>+'KY_Res by Plant Acct-P29 (Reg)'!P291</f>
        <v>0</v>
      </c>
      <c r="Q290" s="133"/>
      <c r="R290" s="133">
        <f t="shared" si="15"/>
        <v>-32811.970000000059</v>
      </c>
    </row>
    <row r="291" spans="1:18" outlineLevel="1" x14ac:dyDescent="0.2">
      <c r="A291" s="3" t="s">
        <v>3424</v>
      </c>
      <c r="B291" s="133">
        <f>+'KY_Res by Plant Acct-P29 (Reg)'!B292</f>
        <v>-353878.95999999886</v>
      </c>
      <c r="C291" s="133"/>
      <c r="D291" s="133">
        <f>+'KY_Res by Plant Acct-P29 (Reg)'!D292</f>
        <v>-8080.08</v>
      </c>
      <c r="E291" s="133"/>
      <c r="F291" s="133">
        <f>+'KY_Res by Plant Acct-P29 (Reg)'!F292</f>
        <v>0</v>
      </c>
      <c r="G291" s="133"/>
      <c r="H291" s="133">
        <f>+'KY_Res by Plant Acct-P29 (Reg)'!H292</f>
        <v>0</v>
      </c>
      <c r="I291" s="133"/>
      <c r="J291" s="133">
        <f>+'KY_Res by Plant Acct-P29 (Reg)'!J292</f>
        <v>0</v>
      </c>
      <c r="K291" s="133"/>
      <c r="L291" s="133">
        <f>+'KY_Res by Plant Acct-P29 (Reg)'!L292</f>
        <v>0</v>
      </c>
      <c r="M291" s="133"/>
      <c r="N291" s="133">
        <f>+'KY_Res by Plant Acct-P29 (Reg)'!N292</f>
        <v>0</v>
      </c>
      <c r="O291" s="133"/>
      <c r="P291" s="133">
        <f>+'KY_Res by Plant Acct-P29 (Reg)'!P292</f>
        <v>0</v>
      </c>
      <c r="Q291" s="133"/>
      <c r="R291" s="133">
        <f t="shared" si="15"/>
        <v>-361959.03999999887</v>
      </c>
    </row>
    <row r="292" spans="1:18" outlineLevel="1" x14ac:dyDescent="0.2">
      <c r="A292" s="3" t="s">
        <v>3425</v>
      </c>
      <c r="B292" s="133">
        <f>+'KY_Res by Plant Acct-P29 (Reg)'!B293</f>
        <v>-625157.14999999991</v>
      </c>
      <c r="C292" s="133"/>
      <c r="D292" s="133">
        <f>+'KY_Res by Plant Acct-P29 (Reg)'!D293</f>
        <v>-334.62</v>
      </c>
      <c r="E292" s="133"/>
      <c r="F292" s="133">
        <f>+'KY_Res by Plant Acct-P29 (Reg)'!F293</f>
        <v>0</v>
      </c>
      <c r="G292" s="133"/>
      <c r="H292" s="133">
        <f>+'KY_Res by Plant Acct-P29 (Reg)'!H293</f>
        <v>0</v>
      </c>
      <c r="I292" s="133"/>
      <c r="J292" s="133">
        <f>+'KY_Res by Plant Acct-P29 (Reg)'!J293</f>
        <v>0</v>
      </c>
      <c r="K292" s="133"/>
      <c r="L292" s="133">
        <f>+'KY_Res by Plant Acct-P29 (Reg)'!L293</f>
        <v>0</v>
      </c>
      <c r="M292" s="133"/>
      <c r="N292" s="133">
        <f>+'KY_Res by Plant Acct-P29 (Reg)'!N293</f>
        <v>0</v>
      </c>
      <c r="O292" s="133"/>
      <c r="P292" s="133">
        <f>+'KY_Res by Plant Acct-P29 (Reg)'!P293</f>
        <v>0</v>
      </c>
      <c r="Q292" s="133"/>
      <c r="R292" s="133">
        <f t="shared" si="15"/>
        <v>-625491.7699999999</v>
      </c>
    </row>
    <row r="293" spans="1:18" outlineLevel="1" x14ac:dyDescent="0.2">
      <c r="A293" s="3" t="s">
        <v>3426</v>
      </c>
      <c r="B293" s="133">
        <f>+'KY_Res by Plant Acct-P29 (Reg)'!B294</f>
        <v>950801.37000000104</v>
      </c>
      <c r="C293" s="133"/>
      <c r="D293" s="133">
        <f>+'KY_Res by Plant Acct-P29 (Reg)'!D294</f>
        <v>0</v>
      </c>
      <c r="E293" s="133"/>
      <c r="F293" s="133">
        <f>+'KY_Res by Plant Acct-P29 (Reg)'!F294</f>
        <v>0</v>
      </c>
      <c r="G293" s="133"/>
      <c r="H293" s="133">
        <f>+'KY_Res by Plant Acct-P29 (Reg)'!H294</f>
        <v>0</v>
      </c>
      <c r="I293" s="133"/>
      <c r="J293" s="133">
        <f>+'KY_Res by Plant Acct-P29 (Reg)'!J294</f>
        <v>0</v>
      </c>
      <c r="K293" s="133"/>
      <c r="L293" s="133">
        <f>+'KY_Res by Plant Acct-P29 (Reg)'!L294</f>
        <v>0</v>
      </c>
      <c r="M293" s="133"/>
      <c r="N293" s="133">
        <f>+'KY_Res by Plant Acct-P29 (Reg)'!N294</f>
        <v>0</v>
      </c>
      <c r="O293" s="133"/>
      <c r="P293" s="133">
        <f>+'KY_Res by Plant Acct-P29 (Reg)'!P294</f>
        <v>0</v>
      </c>
      <c r="Q293" s="133"/>
      <c r="R293" s="133">
        <f t="shared" si="15"/>
        <v>950801.37000000104</v>
      </c>
    </row>
    <row r="294" spans="1:18" outlineLevel="1" x14ac:dyDescent="0.2">
      <c r="A294" s="3" t="s">
        <v>3427</v>
      </c>
      <c r="B294" s="133">
        <f>+'KY_Res by Plant Acct-P29 (Reg)'!B295</f>
        <v>-11407816.939999999</v>
      </c>
      <c r="C294" s="133"/>
      <c r="D294" s="133">
        <f>+'KY_Res by Plant Acct-P29 (Reg)'!D295</f>
        <v>-282335.2</v>
      </c>
      <c r="E294" s="133"/>
      <c r="F294" s="133">
        <f>+'KY_Res by Plant Acct-P29 (Reg)'!F295</f>
        <v>377326.28</v>
      </c>
      <c r="G294" s="133"/>
      <c r="H294" s="133">
        <f>+'KY_Res by Plant Acct-P29 (Reg)'!H295</f>
        <v>0</v>
      </c>
      <c r="I294" s="133"/>
      <c r="J294" s="133">
        <f>+'KY_Res by Plant Acct-P29 (Reg)'!J295</f>
        <v>0</v>
      </c>
      <c r="K294" s="133"/>
      <c r="L294" s="133">
        <f>+'KY_Res by Plant Acct-P29 (Reg)'!L295</f>
        <v>128610.06</v>
      </c>
      <c r="M294" s="133"/>
      <c r="N294" s="133">
        <f>+'KY_Res by Plant Acct-P29 (Reg)'!N295</f>
        <v>-210207.1</v>
      </c>
      <c r="O294" s="133"/>
      <c r="P294" s="133">
        <f>+'KY_Res by Plant Acct-P29 (Reg)'!P295</f>
        <v>0</v>
      </c>
      <c r="Q294" s="133"/>
      <c r="R294" s="133">
        <f t="shared" si="15"/>
        <v>-11394422.899999999</v>
      </c>
    </row>
    <row r="295" spans="1:18" outlineLevel="1" x14ac:dyDescent="0.2">
      <c r="A295" s="3" t="s">
        <v>3428</v>
      </c>
      <c r="B295" s="133">
        <f>+'KY_Res by Plant Acct-P29 (Reg)'!B296</f>
        <v>-11959626.590000002</v>
      </c>
      <c r="C295" s="133"/>
      <c r="D295" s="133">
        <f>+'KY_Res by Plant Acct-P29 (Reg)'!D296</f>
        <v>-444780.9</v>
      </c>
      <c r="E295" s="133"/>
      <c r="F295" s="133">
        <f>+'KY_Res by Plant Acct-P29 (Reg)'!F296</f>
        <v>80612.990000000005</v>
      </c>
      <c r="G295" s="133"/>
      <c r="H295" s="133">
        <f>+'KY_Res by Plant Acct-P29 (Reg)'!H296</f>
        <v>0</v>
      </c>
      <c r="I295" s="133"/>
      <c r="J295" s="133">
        <f>+'KY_Res by Plant Acct-P29 (Reg)'!J296</f>
        <v>0</v>
      </c>
      <c r="K295" s="133"/>
      <c r="L295" s="133">
        <f>+'KY_Res by Plant Acct-P29 (Reg)'!L296</f>
        <v>58554.52</v>
      </c>
      <c r="M295" s="133"/>
      <c r="N295" s="133">
        <f>+'KY_Res by Plant Acct-P29 (Reg)'!N296</f>
        <v>0</v>
      </c>
      <c r="O295" s="133"/>
      <c r="P295" s="133">
        <f>+'KY_Res by Plant Acct-P29 (Reg)'!P296</f>
        <v>0</v>
      </c>
      <c r="Q295" s="133"/>
      <c r="R295" s="133">
        <f t="shared" si="15"/>
        <v>-12265239.980000002</v>
      </c>
    </row>
    <row r="296" spans="1:18" outlineLevel="1" x14ac:dyDescent="0.2">
      <c r="A296" s="3" t="s">
        <v>3429</v>
      </c>
      <c r="B296" s="133">
        <f>+'KY_Res by Plant Acct-P29 (Reg)'!B297</f>
        <v>-19789009.23</v>
      </c>
      <c r="C296" s="133"/>
      <c r="D296" s="133">
        <f>+'KY_Res by Plant Acct-P29 (Reg)'!D297</f>
        <v>-704183.24</v>
      </c>
      <c r="E296" s="133"/>
      <c r="F296" s="133">
        <f>+'KY_Res by Plant Acct-P29 (Reg)'!F297</f>
        <v>0</v>
      </c>
      <c r="G296" s="133"/>
      <c r="H296" s="133">
        <f>+'KY_Res by Plant Acct-P29 (Reg)'!H297</f>
        <v>0</v>
      </c>
      <c r="I296" s="133"/>
      <c r="J296" s="133">
        <f>+'KY_Res by Plant Acct-P29 (Reg)'!J297</f>
        <v>0</v>
      </c>
      <c r="K296" s="133"/>
      <c r="L296" s="133">
        <f>+'KY_Res by Plant Acct-P29 (Reg)'!L297</f>
        <v>56388.58</v>
      </c>
      <c r="M296" s="133"/>
      <c r="N296" s="133">
        <f>+'KY_Res by Plant Acct-P29 (Reg)'!N297</f>
        <v>-406338.26</v>
      </c>
      <c r="O296" s="133"/>
      <c r="P296" s="133">
        <f>+'KY_Res by Plant Acct-P29 (Reg)'!P297</f>
        <v>0</v>
      </c>
      <c r="Q296" s="133"/>
      <c r="R296" s="133">
        <f t="shared" si="15"/>
        <v>-20843142.150000002</v>
      </c>
    </row>
    <row r="297" spans="1:18" outlineLevel="1" x14ac:dyDescent="0.2">
      <c r="A297" s="3" t="s">
        <v>3430</v>
      </c>
      <c r="B297" s="133">
        <f>+'KY_Res by Plant Acct-P29 (Reg)'!B298</f>
        <v>-23901990.100000005</v>
      </c>
      <c r="C297" s="133"/>
      <c r="D297" s="133">
        <f>+'KY_Res by Plant Acct-P29 (Reg)'!D298</f>
        <v>-908339.68</v>
      </c>
      <c r="E297" s="133"/>
      <c r="F297" s="133">
        <f>+'KY_Res by Plant Acct-P29 (Reg)'!F298</f>
        <v>227891.27</v>
      </c>
      <c r="G297" s="133"/>
      <c r="H297" s="133">
        <f>+'KY_Res by Plant Acct-P29 (Reg)'!H298</f>
        <v>0</v>
      </c>
      <c r="I297" s="133"/>
      <c r="J297" s="133">
        <f>+'KY_Res by Plant Acct-P29 (Reg)'!J298</f>
        <v>0</v>
      </c>
      <c r="K297" s="133"/>
      <c r="L297" s="133">
        <f>+'KY_Res by Plant Acct-P29 (Reg)'!L298</f>
        <v>18377.72</v>
      </c>
      <c r="M297" s="133"/>
      <c r="N297" s="133">
        <f>+'KY_Res by Plant Acct-P29 (Reg)'!N298</f>
        <v>-132430.54999999999</v>
      </c>
      <c r="O297" s="133"/>
      <c r="P297" s="133">
        <f>+'KY_Res by Plant Acct-P29 (Reg)'!P298</f>
        <v>0</v>
      </c>
      <c r="Q297" s="133"/>
      <c r="R297" s="133">
        <f t="shared" si="15"/>
        <v>-24696491.340000007</v>
      </c>
    </row>
    <row r="298" spans="1:18" outlineLevel="1" x14ac:dyDescent="0.2">
      <c r="A298" s="3" t="s">
        <v>3431</v>
      </c>
      <c r="B298" s="133">
        <f>+'KY_Res by Plant Acct-P29 (Reg)'!B299</f>
        <v>15976.370000000112</v>
      </c>
      <c r="C298" s="133"/>
      <c r="D298" s="133">
        <f>+'KY_Res by Plant Acct-P29 (Reg)'!D299</f>
        <v>0</v>
      </c>
      <c r="E298" s="133"/>
      <c r="F298" s="133">
        <f>+'KY_Res by Plant Acct-P29 (Reg)'!F299</f>
        <v>0</v>
      </c>
      <c r="G298" s="137"/>
      <c r="H298" s="133">
        <f>+'KY_Res by Plant Acct-P29 (Reg)'!H299</f>
        <v>0</v>
      </c>
      <c r="I298" s="137"/>
      <c r="J298" s="133">
        <f>+'KY_Res by Plant Acct-P29 (Reg)'!J299</f>
        <v>0</v>
      </c>
      <c r="K298" s="137"/>
      <c r="L298" s="133">
        <f>+'KY_Res by Plant Acct-P29 (Reg)'!L299</f>
        <v>0</v>
      </c>
      <c r="M298" s="133"/>
      <c r="N298" s="133">
        <f>+'KY_Res by Plant Acct-P29 (Reg)'!N299</f>
        <v>0</v>
      </c>
      <c r="O298" s="133"/>
      <c r="P298" s="133">
        <f>+'KY_Res by Plant Acct-P29 (Reg)'!P299</f>
        <v>0</v>
      </c>
      <c r="Q298" s="133"/>
      <c r="R298" s="133">
        <f t="shared" si="15"/>
        <v>15976.370000000112</v>
      </c>
    </row>
    <row r="299" spans="1:18" outlineLevel="1" x14ac:dyDescent="0.2">
      <c r="A299" s="3" t="s">
        <v>3432</v>
      </c>
      <c r="B299" s="133">
        <f>+'KY_Res by Plant Acct-P29 (Reg)'!B300</f>
        <v>-29446196.670000002</v>
      </c>
      <c r="C299" s="133"/>
      <c r="D299" s="133">
        <f>+'KY_Res by Plant Acct-P29 (Reg)'!D300</f>
        <v>-1332278.43</v>
      </c>
      <c r="E299" s="133"/>
      <c r="F299" s="133">
        <f>+'KY_Res by Plant Acct-P29 (Reg)'!F300</f>
        <v>0</v>
      </c>
      <c r="G299" s="133"/>
      <c r="H299" s="133">
        <f>+'KY_Res by Plant Acct-P29 (Reg)'!H300</f>
        <v>0</v>
      </c>
      <c r="I299" s="133"/>
      <c r="J299" s="133">
        <f>+'KY_Res by Plant Acct-P29 (Reg)'!J300</f>
        <v>0</v>
      </c>
      <c r="K299" s="133"/>
      <c r="L299" s="133">
        <f>+'KY_Res by Plant Acct-P29 (Reg)'!L300</f>
        <v>0</v>
      </c>
      <c r="M299" s="133"/>
      <c r="N299" s="133">
        <f>+'KY_Res by Plant Acct-P29 (Reg)'!N300</f>
        <v>0</v>
      </c>
      <c r="O299" s="133"/>
      <c r="P299" s="133">
        <f>+'KY_Res by Plant Acct-P29 (Reg)'!P300</f>
        <v>0</v>
      </c>
      <c r="Q299" s="133"/>
      <c r="R299" s="133">
        <f t="shared" si="15"/>
        <v>-30778475.100000001</v>
      </c>
    </row>
    <row r="300" spans="1:18" outlineLevel="1" x14ac:dyDescent="0.2">
      <c r="A300" s="3" t="s">
        <v>3433</v>
      </c>
      <c r="B300" s="133">
        <f>+'KY_Res by Plant Acct-P29 (Reg)'!B301</f>
        <v>-4853406.8499999996</v>
      </c>
      <c r="C300" s="133"/>
      <c r="D300" s="133">
        <f>+'KY_Res by Plant Acct-P29 (Reg)'!D301</f>
        <v>-492084.05</v>
      </c>
      <c r="E300" s="133"/>
      <c r="F300" s="133">
        <f>+'KY_Res by Plant Acct-P29 (Reg)'!F301</f>
        <v>521266.77</v>
      </c>
      <c r="G300" s="133"/>
      <c r="H300" s="133">
        <f>+'KY_Res by Plant Acct-P29 (Reg)'!H301</f>
        <v>0</v>
      </c>
      <c r="I300" s="133"/>
      <c r="J300" s="133">
        <f>+'KY_Res by Plant Acct-P29 (Reg)'!J301</f>
        <v>0</v>
      </c>
      <c r="K300" s="133"/>
      <c r="L300" s="133">
        <f>+'KY_Res by Plant Acct-P29 (Reg)'!L301</f>
        <v>52108.14</v>
      </c>
      <c r="M300" s="133"/>
      <c r="N300" s="133">
        <f>+'KY_Res by Plant Acct-P29 (Reg)'!N301</f>
        <v>0</v>
      </c>
      <c r="O300" s="133"/>
      <c r="P300" s="133">
        <f>+'KY_Res by Plant Acct-P29 (Reg)'!P301</f>
        <v>-17100.98</v>
      </c>
      <c r="Q300" s="133"/>
      <c r="R300" s="133">
        <f t="shared" si="15"/>
        <v>-4789216.97</v>
      </c>
    </row>
    <row r="301" spans="1:18" x14ac:dyDescent="0.2">
      <c r="A301" s="3" t="s">
        <v>3434</v>
      </c>
      <c r="B301" s="133">
        <f>SUM(B288:B300)</f>
        <v>-101410732.38</v>
      </c>
      <c r="C301" s="133"/>
      <c r="D301" s="133">
        <f>SUM(D288:D300)</f>
        <v>-4172416.2</v>
      </c>
      <c r="E301" s="133"/>
      <c r="F301" s="137">
        <f>SUM(F288:F300)</f>
        <v>1207097.31</v>
      </c>
      <c r="G301" s="137"/>
      <c r="H301" s="137">
        <f>SUM(H288:H300)</f>
        <v>0</v>
      </c>
      <c r="I301" s="137"/>
      <c r="J301" s="137">
        <f>SUM(J288:J300)</f>
        <v>0</v>
      </c>
      <c r="K301" s="137"/>
      <c r="L301" s="137">
        <f>SUM(L288:L300)</f>
        <v>314039.01999999996</v>
      </c>
      <c r="M301" s="137"/>
      <c r="N301" s="133">
        <f>SUM(N288:N300)</f>
        <v>-748975.90999999992</v>
      </c>
      <c r="O301" s="133"/>
      <c r="P301" s="133">
        <f>SUM(P288:P300)</f>
        <v>-17100.98</v>
      </c>
      <c r="Q301" s="133"/>
      <c r="R301" s="133">
        <f>SUM(R288:R300)</f>
        <v>-104828089.14000002</v>
      </c>
    </row>
    <row r="302" spans="1:18" ht="12" customHeight="1" outlineLevel="1" x14ac:dyDescent="0.2">
      <c r="A302" s="3" t="s">
        <v>3435</v>
      </c>
      <c r="B302" s="133">
        <f>+'KY_Res by Plant Acct-P29 (Reg)'!B303</f>
        <v>-452526.56000000006</v>
      </c>
      <c r="C302" s="133"/>
      <c r="D302" s="133">
        <f>+'KY_Res by Plant Acct-P29 (Reg)'!D303</f>
        <v>0</v>
      </c>
      <c r="E302" s="133"/>
      <c r="F302" s="133">
        <f>+'KY_Res by Plant Acct-P29 (Reg)'!F303</f>
        <v>0</v>
      </c>
      <c r="G302" s="137"/>
      <c r="H302" s="133">
        <f>+'KY_Res by Plant Acct-P29 (Reg)'!H303</f>
        <v>0</v>
      </c>
      <c r="I302" s="137"/>
      <c r="J302" s="133">
        <f>+'KY_Res by Plant Acct-P29 (Reg)'!J303</f>
        <v>0</v>
      </c>
      <c r="K302" s="137"/>
      <c r="L302" s="133">
        <f>+'KY_Res by Plant Acct-P29 (Reg)'!L303</f>
        <v>0</v>
      </c>
      <c r="M302" s="137"/>
      <c r="N302" s="133">
        <f>+'KY_Res by Plant Acct-P29 (Reg)'!N303</f>
        <v>0</v>
      </c>
      <c r="O302" s="133"/>
      <c r="P302" s="133">
        <f>+'KY_Res by Plant Acct-P29 (Reg)'!P303</f>
        <v>0</v>
      </c>
      <c r="Q302" s="133"/>
      <c r="R302" s="133">
        <f t="shared" ref="R302:R361" si="16">SUM(B302:P302)</f>
        <v>-452526.56000000006</v>
      </c>
    </row>
    <row r="303" spans="1:18" ht="12" customHeight="1" outlineLevel="1" x14ac:dyDescent="0.2">
      <c r="A303" s="3" t="s">
        <v>3436</v>
      </c>
      <c r="B303" s="133">
        <f>+'KY_Res by Plant Acct-P29 (Reg)'!B304</f>
        <v>-13527.170000000158</v>
      </c>
      <c r="C303" s="133"/>
      <c r="D303" s="133">
        <f>+'KY_Res by Plant Acct-P29 (Reg)'!D304</f>
        <v>0</v>
      </c>
      <c r="E303" s="133"/>
      <c r="F303" s="133">
        <f>+'KY_Res by Plant Acct-P29 (Reg)'!F304</f>
        <v>0</v>
      </c>
      <c r="G303" s="137"/>
      <c r="H303" s="133">
        <f>+'KY_Res by Plant Acct-P29 (Reg)'!H304</f>
        <v>0</v>
      </c>
      <c r="I303" s="137"/>
      <c r="J303" s="133">
        <f>+'KY_Res by Plant Acct-P29 (Reg)'!J304</f>
        <v>0</v>
      </c>
      <c r="K303" s="137"/>
      <c r="L303" s="133">
        <f>+'KY_Res by Plant Acct-P29 (Reg)'!L304</f>
        <v>0</v>
      </c>
      <c r="M303" s="137"/>
      <c r="N303" s="133">
        <f>+'KY_Res by Plant Acct-P29 (Reg)'!N304</f>
        <v>0</v>
      </c>
      <c r="O303" s="133"/>
      <c r="P303" s="133">
        <f>+'KY_Res by Plant Acct-P29 (Reg)'!P304</f>
        <v>0</v>
      </c>
      <c r="Q303" s="133"/>
      <c r="R303" s="133">
        <f t="shared" si="16"/>
        <v>-13527.170000000158</v>
      </c>
    </row>
    <row r="304" spans="1:18" ht="12" customHeight="1" outlineLevel="1" x14ac:dyDescent="0.2">
      <c r="A304" s="3" t="s">
        <v>3437</v>
      </c>
      <c r="B304" s="133">
        <f>+'KY_Res by Plant Acct-P29 (Reg)'!B305</f>
        <v>-56033.130000000121</v>
      </c>
      <c r="C304" s="133"/>
      <c r="D304" s="133">
        <f>+'KY_Res by Plant Acct-P29 (Reg)'!D305</f>
        <v>0</v>
      </c>
      <c r="E304" s="133"/>
      <c r="F304" s="133">
        <f>+'KY_Res by Plant Acct-P29 (Reg)'!F305</f>
        <v>0</v>
      </c>
      <c r="G304" s="137"/>
      <c r="H304" s="133">
        <f>+'KY_Res by Plant Acct-P29 (Reg)'!H305</f>
        <v>0</v>
      </c>
      <c r="I304" s="137"/>
      <c r="J304" s="133">
        <f>+'KY_Res by Plant Acct-P29 (Reg)'!J305</f>
        <v>0</v>
      </c>
      <c r="K304" s="137"/>
      <c r="L304" s="133">
        <f>+'KY_Res by Plant Acct-P29 (Reg)'!L305</f>
        <v>0</v>
      </c>
      <c r="M304" s="137"/>
      <c r="N304" s="133">
        <f>+'KY_Res by Plant Acct-P29 (Reg)'!N305</f>
        <v>0</v>
      </c>
      <c r="O304" s="133"/>
      <c r="P304" s="133">
        <f>+'KY_Res by Plant Acct-P29 (Reg)'!P305</f>
        <v>0</v>
      </c>
      <c r="Q304" s="133"/>
      <c r="R304" s="133">
        <f t="shared" si="16"/>
        <v>-56033.130000000121</v>
      </c>
    </row>
    <row r="305" spans="1:18" ht="12" customHeight="1" outlineLevel="1" x14ac:dyDescent="0.2">
      <c r="A305" s="3" t="s">
        <v>3438</v>
      </c>
      <c r="B305" s="133">
        <f>+'KY_Res by Plant Acct-P29 (Reg)'!B306</f>
        <v>-618589.01000000071</v>
      </c>
      <c r="C305" s="133"/>
      <c r="D305" s="133">
        <f>+'KY_Res by Plant Acct-P29 (Reg)'!D306</f>
        <v>0</v>
      </c>
      <c r="E305" s="133"/>
      <c r="F305" s="133">
        <f>+'KY_Res by Plant Acct-P29 (Reg)'!F306</f>
        <v>0</v>
      </c>
      <c r="G305" s="137"/>
      <c r="H305" s="133">
        <f>+'KY_Res by Plant Acct-P29 (Reg)'!H306</f>
        <v>0</v>
      </c>
      <c r="I305" s="137"/>
      <c r="J305" s="133">
        <f>+'KY_Res by Plant Acct-P29 (Reg)'!J306</f>
        <v>0</v>
      </c>
      <c r="K305" s="137"/>
      <c r="L305" s="133">
        <f>+'KY_Res by Plant Acct-P29 (Reg)'!L306</f>
        <v>0</v>
      </c>
      <c r="M305" s="137"/>
      <c r="N305" s="133">
        <f>+'KY_Res by Plant Acct-P29 (Reg)'!N306</f>
        <v>0</v>
      </c>
      <c r="O305" s="133"/>
      <c r="P305" s="133">
        <f>+'KY_Res by Plant Acct-P29 (Reg)'!P306</f>
        <v>0</v>
      </c>
      <c r="Q305" s="133"/>
      <c r="R305" s="133">
        <f t="shared" si="16"/>
        <v>-618589.01000000071</v>
      </c>
    </row>
    <row r="306" spans="1:18" ht="12" customHeight="1" outlineLevel="1" x14ac:dyDescent="0.2">
      <c r="A306" s="3" t="s">
        <v>3439</v>
      </c>
      <c r="B306" s="133">
        <f>+'KY_Res by Plant Acct-P29 (Reg)'!B307</f>
        <v>-112734.56000000052</v>
      </c>
      <c r="C306" s="133"/>
      <c r="D306" s="133">
        <f>+'KY_Res by Plant Acct-P29 (Reg)'!D307</f>
        <v>0</v>
      </c>
      <c r="E306" s="133"/>
      <c r="F306" s="133">
        <f>+'KY_Res by Plant Acct-P29 (Reg)'!F307</f>
        <v>0</v>
      </c>
      <c r="G306" s="137"/>
      <c r="H306" s="133">
        <f>+'KY_Res by Plant Acct-P29 (Reg)'!H307</f>
        <v>0</v>
      </c>
      <c r="I306" s="137"/>
      <c r="J306" s="133">
        <f>+'KY_Res by Plant Acct-P29 (Reg)'!J307</f>
        <v>0</v>
      </c>
      <c r="K306" s="137"/>
      <c r="L306" s="133">
        <f>+'KY_Res by Plant Acct-P29 (Reg)'!L307</f>
        <v>0</v>
      </c>
      <c r="M306" s="137"/>
      <c r="N306" s="133">
        <f>+'KY_Res by Plant Acct-P29 (Reg)'!N307</f>
        <v>0</v>
      </c>
      <c r="O306" s="133"/>
      <c r="P306" s="133">
        <f>+'KY_Res by Plant Acct-P29 (Reg)'!P307</f>
        <v>0</v>
      </c>
      <c r="Q306" s="133"/>
      <c r="R306" s="133">
        <f t="shared" si="16"/>
        <v>-112734.56000000052</v>
      </c>
    </row>
    <row r="307" spans="1:18" ht="12" customHeight="1" outlineLevel="1" x14ac:dyDescent="0.2">
      <c r="A307" s="3" t="s">
        <v>3440</v>
      </c>
      <c r="B307" s="133">
        <f>+'KY_Res by Plant Acct-P29 (Reg)'!B308</f>
        <v>1576281.3599999994</v>
      </c>
      <c r="C307" s="133"/>
      <c r="D307" s="133">
        <f>+'KY_Res by Plant Acct-P29 (Reg)'!D308</f>
        <v>0</v>
      </c>
      <c r="E307" s="133"/>
      <c r="F307" s="133">
        <f>+'KY_Res by Plant Acct-P29 (Reg)'!F308</f>
        <v>0</v>
      </c>
      <c r="G307" s="137"/>
      <c r="H307" s="133">
        <f>+'KY_Res by Plant Acct-P29 (Reg)'!H308</f>
        <v>0</v>
      </c>
      <c r="I307" s="137"/>
      <c r="J307" s="133">
        <f>+'KY_Res by Plant Acct-P29 (Reg)'!J308</f>
        <v>0</v>
      </c>
      <c r="K307" s="137"/>
      <c r="L307" s="133">
        <f>+'KY_Res by Plant Acct-P29 (Reg)'!L308</f>
        <v>0</v>
      </c>
      <c r="M307" s="137"/>
      <c r="N307" s="133">
        <f>+'KY_Res by Plant Acct-P29 (Reg)'!N308</f>
        <v>0</v>
      </c>
      <c r="O307" s="133"/>
      <c r="P307" s="133">
        <f>+'KY_Res by Plant Acct-P29 (Reg)'!P308</f>
        <v>0</v>
      </c>
      <c r="Q307" s="133"/>
      <c r="R307" s="133">
        <f t="shared" si="16"/>
        <v>1576281.3599999994</v>
      </c>
    </row>
    <row r="308" spans="1:18" ht="12" customHeight="1" outlineLevel="1" x14ac:dyDescent="0.2">
      <c r="A308" s="3" t="s">
        <v>3441</v>
      </c>
      <c r="B308" s="133">
        <f>+'KY_Res by Plant Acct-P29 (Reg)'!B309</f>
        <v>-188196.74999999953</v>
      </c>
      <c r="C308" s="133"/>
      <c r="D308" s="133">
        <f>+'KY_Res by Plant Acct-P29 (Reg)'!D309</f>
        <v>0</v>
      </c>
      <c r="E308" s="133"/>
      <c r="F308" s="133">
        <f>+'KY_Res by Plant Acct-P29 (Reg)'!F309</f>
        <v>0</v>
      </c>
      <c r="G308" s="137"/>
      <c r="H308" s="133">
        <f>+'KY_Res by Plant Acct-P29 (Reg)'!H309</f>
        <v>0</v>
      </c>
      <c r="I308" s="137"/>
      <c r="J308" s="133">
        <f>+'KY_Res by Plant Acct-P29 (Reg)'!J309</f>
        <v>0</v>
      </c>
      <c r="K308" s="137"/>
      <c r="L308" s="133">
        <f>+'KY_Res by Plant Acct-P29 (Reg)'!L309</f>
        <v>0</v>
      </c>
      <c r="M308" s="137"/>
      <c r="N308" s="133">
        <f>+'KY_Res by Plant Acct-P29 (Reg)'!N309</f>
        <v>0</v>
      </c>
      <c r="O308" s="133"/>
      <c r="P308" s="133">
        <f>+'KY_Res by Plant Acct-P29 (Reg)'!P309</f>
        <v>0</v>
      </c>
      <c r="Q308" s="133"/>
      <c r="R308" s="133">
        <f t="shared" si="16"/>
        <v>-188196.74999999953</v>
      </c>
    </row>
    <row r="309" spans="1:18" ht="12" customHeight="1" outlineLevel="1" x14ac:dyDescent="0.2">
      <c r="A309" s="3" t="s">
        <v>3442</v>
      </c>
      <c r="B309" s="133">
        <f>+'KY_Res by Plant Acct-P29 (Reg)'!B310</f>
        <v>1203143.5100000016</v>
      </c>
      <c r="C309" s="133"/>
      <c r="D309" s="133">
        <f>+'KY_Res by Plant Acct-P29 (Reg)'!D310</f>
        <v>0</v>
      </c>
      <c r="E309" s="133"/>
      <c r="F309" s="133">
        <f>+'KY_Res by Plant Acct-P29 (Reg)'!F310</f>
        <v>0</v>
      </c>
      <c r="G309" s="137"/>
      <c r="H309" s="133">
        <f>+'KY_Res by Plant Acct-P29 (Reg)'!H310</f>
        <v>0</v>
      </c>
      <c r="I309" s="137"/>
      <c r="J309" s="133">
        <f>+'KY_Res by Plant Acct-P29 (Reg)'!J310</f>
        <v>0</v>
      </c>
      <c r="K309" s="137"/>
      <c r="L309" s="133">
        <f>+'KY_Res by Plant Acct-P29 (Reg)'!L310</f>
        <v>0</v>
      </c>
      <c r="M309" s="137"/>
      <c r="N309" s="133">
        <f>+'KY_Res by Plant Acct-P29 (Reg)'!N310</f>
        <v>0</v>
      </c>
      <c r="O309" s="133"/>
      <c r="P309" s="133">
        <f>+'KY_Res by Plant Acct-P29 (Reg)'!P310</f>
        <v>0</v>
      </c>
      <c r="Q309" s="133"/>
      <c r="R309" s="133">
        <f t="shared" si="16"/>
        <v>1203143.5100000016</v>
      </c>
    </row>
    <row r="310" spans="1:18" ht="12" customHeight="1" outlineLevel="1" x14ac:dyDescent="0.2">
      <c r="A310" s="3" t="s">
        <v>3443</v>
      </c>
      <c r="B310" s="133">
        <f>+'KY_Res by Plant Acct-P29 (Reg)'!B311</f>
        <v>-163224.86000000034</v>
      </c>
      <c r="C310" s="133"/>
      <c r="D310" s="133">
        <f>+'KY_Res by Plant Acct-P29 (Reg)'!D311</f>
        <v>0</v>
      </c>
      <c r="E310" s="133"/>
      <c r="F310" s="133">
        <f>+'KY_Res by Plant Acct-P29 (Reg)'!F311</f>
        <v>0</v>
      </c>
      <c r="G310" s="137"/>
      <c r="H310" s="133">
        <f>+'KY_Res by Plant Acct-P29 (Reg)'!H311</f>
        <v>0</v>
      </c>
      <c r="I310" s="137"/>
      <c r="J310" s="133">
        <f>+'KY_Res by Plant Acct-P29 (Reg)'!J311</f>
        <v>0</v>
      </c>
      <c r="K310" s="137"/>
      <c r="L310" s="133">
        <f>+'KY_Res by Plant Acct-P29 (Reg)'!L311</f>
        <v>0</v>
      </c>
      <c r="M310" s="137"/>
      <c r="N310" s="133">
        <f>+'KY_Res by Plant Acct-P29 (Reg)'!N311</f>
        <v>0</v>
      </c>
      <c r="O310" s="133"/>
      <c r="P310" s="133">
        <f>+'KY_Res by Plant Acct-P29 (Reg)'!P311</f>
        <v>0</v>
      </c>
      <c r="Q310" s="133"/>
      <c r="R310" s="133">
        <f t="shared" si="16"/>
        <v>-163224.86000000034</v>
      </c>
    </row>
    <row r="311" spans="1:18" ht="12" customHeight="1" outlineLevel="1" x14ac:dyDescent="0.2">
      <c r="A311" s="3" t="s">
        <v>3444</v>
      </c>
      <c r="B311" s="133">
        <f>+'KY_Res by Plant Acct-P29 (Reg)'!B312</f>
        <v>-123177.93</v>
      </c>
      <c r="C311" s="133"/>
      <c r="D311" s="133">
        <f>+'KY_Res by Plant Acct-P29 (Reg)'!D312</f>
        <v>-81708.600000000006</v>
      </c>
      <c r="E311" s="133"/>
      <c r="F311" s="133">
        <f>+'KY_Res by Plant Acct-P29 (Reg)'!F312</f>
        <v>0</v>
      </c>
      <c r="G311" s="137"/>
      <c r="H311" s="133">
        <f>+'KY_Res by Plant Acct-P29 (Reg)'!H312</f>
        <v>0</v>
      </c>
      <c r="I311" s="137"/>
      <c r="J311" s="133">
        <f>+'KY_Res by Plant Acct-P29 (Reg)'!J312</f>
        <v>0</v>
      </c>
      <c r="K311" s="137"/>
      <c r="L311" s="133">
        <f>+'KY_Res by Plant Acct-P29 (Reg)'!L312</f>
        <v>0</v>
      </c>
      <c r="M311" s="137"/>
      <c r="N311" s="133">
        <f>+'KY_Res by Plant Acct-P29 (Reg)'!N312</f>
        <v>0</v>
      </c>
      <c r="O311" s="133"/>
      <c r="P311" s="133">
        <f>+'KY_Res by Plant Acct-P29 (Reg)'!P312</f>
        <v>0</v>
      </c>
      <c r="Q311" s="133"/>
      <c r="R311" s="133">
        <f>SUM(B311:P311)</f>
        <v>-204886.53</v>
      </c>
    </row>
    <row r="312" spans="1:18" ht="12.75" customHeight="1" outlineLevel="1" x14ac:dyDescent="0.2">
      <c r="A312" s="3" t="s">
        <v>3445</v>
      </c>
      <c r="B312" s="133">
        <f>+'KY_Res by Plant Acct-P29 (Reg)'!B313</f>
        <v>-10995.39</v>
      </c>
      <c r="C312" s="133"/>
      <c r="D312" s="133">
        <f>+'KY_Res by Plant Acct-P29 (Reg)'!D313</f>
        <v>-7855.27</v>
      </c>
      <c r="E312" s="133"/>
      <c r="F312" s="133">
        <f>+'KY_Res by Plant Acct-P29 (Reg)'!F313</f>
        <v>0</v>
      </c>
      <c r="G312" s="137"/>
      <c r="H312" s="133">
        <f>+'KY_Res by Plant Acct-P29 (Reg)'!H313</f>
        <v>0</v>
      </c>
      <c r="I312" s="137"/>
      <c r="J312" s="133">
        <f>+'KY_Res by Plant Acct-P29 (Reg)'!J313</f>
        <v>0</v>
      </c>
      <c r="K312" s="137"/>
      <c r="L312" s="133">
        <f>+'KY_Res by Plant Acct-P29 (Reg)'!L313</f>
        <v>0</v>
      </c>
      <c r="M312" s="137"/>
      <c r="N312" s="133">
        <f>+'KY_Res by Plant Acct-P29 (Reg)'!N313</f>
        <v>0</v>
      </c>
      <c r="O312" s="133"/>
      <c r="P312" s="133">
        <f>+'KY_Res by Plant Acct-P29 (Reg)'!P313</f>
        <v>0</v>
      </c>
      <c r="Q312" s="133"/>
      <c r="R312" s="133">
        <f>SUM(B312:P312)</f>
        <v>-18850.66</v>
      </c>
    </row>
    <row r="313" spans="1:18" ht="12.75" customHeight="1" outlineLevel="1" x14ac:dyDescent="0.2">
      <c r="A313" s="3" t="s">
        <v>3446</v>
      </c>
      <c r="B313" s="133">
        <f>+'KY_Res by Plant Acct-P29 (Reg)'!B314</f>
        <v>0</v>
      </c>
      <c r="C313" s="133"/>
      <c r="D313" s="133">
        <f>+'KY_Res by Plant Acct-P29 (Reg)'!D314</f>
        <v>0</v>
      </c>
      <c r="E313" s="133"/>
      <c r="F313" s="133">
        <f>+'KY_Res by Plant Acct-P29 (Reg)'!F314</f>
        <v>0</v>
      </c>
      <c r="G313" s="137"/>
      <c r="H313" s="133">
        <f>+'KY_Res by Plant Acct-P29 (Reg)'!H314</f>
        <v>-765600.88</v>
      </c>
      <c r="I313" s="137"/>
      <c r="J313" s="133">
        <f>+'KY_Res by Plant Acct-P29 (Reg)'!J314</f>
        <v>0</v>
      </c>
      <c r="K313" s="137"/>
      <c r="L313" s="133">
        <f>+'KY_Res by Plant Acct-P29 (Reg)'!L314</f>
        <v>0</v>
      </c>
      <c r="M313" s="137"/>
      <c r="N313" s="133">
        <f>+'KY_Res by Plant Acct-P29 (Reg)'!N314</f>
        <v>0</v>
      </c>
      <c r="O313" s="133"/>
      <c r="P313" s="133">
        <f>+'KY_Res by Plant Acct-P29 (Reg)'!P314</f>
        <v>0</v>
      </c>
      <c r="Q313" s="133"/>
      <c r="R313" s="133">
        <f>SUM(B313:P313)</f>
        <v>-765600.88</v>
      </c>
    </row>
    <row r="314" spans="1:18" ht="12.75" customHeight="1" outlineLevel="1" x14ac:dyDescent="0.2">
      <c r="A314" s="21" t="s">
        <v>3447</v>
      </c>
      <c r="B314" s="133">
        <f>+'KY_Res by Plant Acct-P29 (Reg)'!B315</f>
        <v>-55081.94</v>
      </c>
      <c r="C314" s="133"/>
      <c r="D314" s="133">
        <f>+'KY_Res by Plant Acct-P29 (Reg)'!D315</f>
        <v>-108328.09</v>
      </c>
      <c r="E314" s="133"/>
      <c r="F314" s="133">
        <f>+'KY_Res by Plant Acct-P29 (Reg)'!F315</f>
        <v>0</v>
      </c>
      <c r="G314" s="137"/>
      <c r="H314" s="133">
        <f>+'KY_Res by Plant Acct-P29 (Reg)'!H315</f>
        <v>0</v>
      </c>
      <c r="I314" s="137"/>
      <c r="J314" s="133">
        <f>+'KY_Res by Plant Acct-P29 (Reg)'!J315</f>
        <v>0</v>
      </c>
      <c r="K314" s="137"/>
      <c r="L314" s="133">
        <f>+'KY_Res by Plant Acct-P29 (Reg)'!L315</f>
        <v>0</v>
      </c>
      <c r="M314" s="137"/>
      <c r="N314" s="133">
        <f>+'KY_Res by Plant Acct-P29 (Reg)'!N315</f>
        <v>0</v>
      </c>
      <c r="O314" s="133"/>
      <c r="P314" s="133">
        <f>+'KY_Res by Plant Acct-P29 (Reg)'!P315</f>
        <v>0</v>
      </c>
      <c r="Q314" s="133"/>
      <c r="R314" s="133">
        <f>SUM(B314:P314)</f>
        <v>-163410.03</v>
      </c>
    </row>
    <row r="315" spans="1:18" ht="12" customHeight="1" outlineLevel="1" x14ac:dyDescent="0.2">
      <c r="A315" s="3" t="s">
        <v>3448</v>
      </c>
      <c r="B315" s="133">
        <f>+'KY_Res by Plant Acct-P29 (Reg)'!B316</f>
        <v>-69659.549999999988</v>
      </c>
      <c r="C315" s="133"/>
      <c r="D315" s="133">
        <f>+'KY_Res by Plant Acct-P29 (Reg)'!D316</f>
        <v>-37231.89</v>
      </c>
      <c r="E315" s="133"/>
      <c r="F315" s="133">
        <f>+'KY_Res by Plant Acct-P29 (Reg)'!F316</f>
        <v>0</v>
      </c>
      <c r="G315" s="137"/>
      <c r="H315" s="133">
        <f>+'KY_Res by Plant Acct-P29 (Reg)'!H316</f>
        <v>0</v>
      </c>
      <c r="I315" s="137"/>
      <c r="J315" s="133">
        <f>+'KY_Res by Plant Acct-P29 (Reg)'!J316</f>
        <v>0</v>
      </c>
      <c r="K315" s="137"/>
      <c r="L315" s="133">
        <f>+'KY_Res by Plant Acct-P29 (Reg)'!L316</f>
        <v>0</v>
      </c>
      <c r="M315" s="137"/>
      <c r="N315" s="133">
        <f>+'KY_Res by Plant Acct-P29 (Reg)'!N316</f>
        <v>0</v>
      </c>
      <c r="O315" s="133"/>
      <c r="P315" s="133">
        <f>+'KY_Res by Plant Acct-P29 (Reg)'!P316</f>
        <v>0</v>
      </c>
      <c r="Q315" s="133"/>
      <c r="R315" s="133">
        <f>SUM(B315:P315)</f>
        <v>-106891.43999999999</v>
      </c>
    </row>
    <row r="316" spans="1:18" ht="12" customHeight="1" outlineLevel="1" x14ac:dyDescent="0.2">
      <c r="A316" s="3" t="s">
        <v>3449</v>
      </c>
      <c r="B316" s="133">
        <f>+'KY_Res by Plant Acct-P29 (Reg)'!B317</f>
        <v>-10749254.279999999</v>
      </c>
      <c r="C316" s="133"/>
      <c r="D316" s="133">
        <f>+'KY_Res by Plant Acct-P29 (Reg)'!D317</f>
        <v>-445145.21</v>
      </c>
      <c r="E316" s="133"/>
      <c r="F316" s="133">
        <f>+'KY_Res by Plant Acct-P29 (Reg)'!F317</f>
        <v>4699.9799999999996</v>
      </c>
      <c r="G316" s="137"/>
      <c r="H316" s="133">
        <f>+'KY_Res by Plant Acct-P29 (Reg)'!H317</f>
        <v>0</v>
      </c>
      <c r="I316" s="137"/>
      <c r="J316" s="133">
        <f>+'KY_Res by Plant Acct-P29 (Reg)'!J317</f>
        <v>0</v>
      </c>
      <c r="K316" s="137"/>
      <c r="L316" s="133">
        <f>+'KY_Res by Plant Acct-P29 (Reg)'!L317</f>
        <v>0</v>
      </c>
      <c r="M316" s="137"/>
      <c r="N316" s="133">
        <f>+'KY_Res by Plant Acct-P29 (Reg)'!N317</f>
        <v>0</v>
      </c>
      <c r="O316" s="133"/>
      <c r="P316" s="133">
        <f>+'KY_Res by Plant Acct-P29 (Reg)'!P317</f>
        <v>0</v>
      </c>
      <c r="Q316" s="133"/>
      <c r="R316" s="133">
        <f t="shared" si="16"/>
        <v>-11189699.51</v>
      </c>
    </row>
    <row r="317" spans="1:18" ht="12" customHeight="1" outlineLevel="1" x14ac:dyDescent="0.2">
      <c r="A317" s="3" t="s">
        <v>3450</v>
      </c>
      <c r="B317" s="133">
        <f>+'KY_Res by Plant Acct-P29 (Reg)'!B318</f>
        <v>-552798.97000000067</v>
      </c>
      <c r="C317" s="133"/>
      <c r="D317" s="133">
        <f>+'KY_Res by Plant Acct-P29 (Reg)'!D318</f>
        <v>0</v>
      </c>
      <c r="E317" s="133"/>
      <c r="F317" s="133">
        <f>+'KY_Res by Plant Acct-P29 (Reg)'!F318</f>
        <v>0</v>
      </c>
      <c r="G317" s="137"/>
      <c r="H317" s="133">
        <f>+'KY_Res by Plant Acct-P29 (Reg)'!H318</f>
        <v>0</v>
      </c>
      <c r="I317" s="137"/>
      <c r="J317" s="133">
        <f>+'KY_Res by Plant Acct-P29 (Reg)'!J318</f>
        <v>0</v>
      </c>
      <c r="K317" s="137"/>
      <c r="L317" s="133">
        <f>+'KY_Res by Plant Acct-P29 (Reg)'!L318</f>
        <v>0</v>
      </c>
      <c r="M317" s="137"/>
      <c r="N317" s="133">
        <f>+'KY_Res by Plant Acct-P29 (Reg)'!N318</f>
        <v>0</v>
      </c>
      <c r="O317" s="133"/>
      <c r="P317" s="133">
        <f>+'KY_Res by Plant Acct-P29 (Reg)'!P318</f>
        <v>0</v>
      </c>
      <c r="Q317" s="133"/>
      <c r="R317" s="133">
        <f t="shared" si="16"/>
        <v>-552798.97000000067</v>
      </c>
    </row>
    <row r="318" spans="1:18" ht="12" customHeight="1" outlineLevel="1" x14ac:dyDescent="0.2">
      <c r="A318" s="3" t="s">
        <v>3451</v>
      </c>
      <c r="B318" s="133">
        <f>+'KY_Res by Plant Acct-P29 (Reg)'!B319</f>
        <v>-6215709.959999999</v>
      </c>
      <c r="C318" s="133"/>
      <c r="D318" s="133">
        <f>+'KY_Res by Plant Acct-P29 (Reg)'!D319</f>
        <v>-237684.34</v>
      </c>
      <c r="E318" s="133"/>
      <c r="F318" s="133">
        <f>+'KY_Res by Plant Acct-P29 (Reg)'!F319</f>
        <v>4239.3100000000004</v>
      </c>
      <c r="G318" s="137"/>
      <c r="H318" s="133">
        <f>+'KY_Res by Plant Acct-P29 (Reg)'!H319</f>
        <v>0</v>
      </c>
      <c r="I318" s="137"/>
      <c r="J318" s="133">
        <f>+'KY_Res by Plant Acct-P29 (Reg)'!J319</f>
        <v>0</v>
      </c>
      <c r="K318" s="137"/>
      <c r="L318" s="133">
        <f>+'KY_Res by Plant Acct-P29 (Reg)'!L319</f>
        <v>0</v>
      </c>
      <c r="M318" s="137"/>
      <c r="N318" s="133">
        <f>+'KY_Res by Plant Acct-P29 (Reg)'!N319</f>
        <v>0</v>
      </c>
      <c r="O318" s="133"/>
      <c r="P318" s="133">
        <f>+'KY_Res by Plant Acct-P29 (Reg)'!P319</f>
        <v>0</v>
      </c>
      <c r="Q318" s="133"/>
      <c r="R318" s="133">
        <f t="shared" si="16"/>
        <v>-6449154.9899999993</v>
      </c>
    </row>
    <row r="319" spans="1:18" ht="12" customHeight="1" outlineLevel="1" x14ac:dyDescent="0.2">
      <c r="A319" s="3" t="s">
        <v>3452</v>
      </c>
      <c r="B319" s="133">
        <f>+'KY_Res by Plant Acct-P29 (Reg)'!B320</f>
        <v>-765600.87000000104</v>
      </c>
      <c r="C319" s="133"/>
      <c r="D319" s="133">
        <f>+'KY_Res by Plant Acct-P29 (Reg)'!D320</f>
        <v>0</v>
      </c>
      <c r="E319" s="133"/>
      <c r="F319" s="133">
        <f>+'KY_Res by Plant Acct-P29 (Reg)'!F320</f>
        <v>0</v>
      </c>
      <c r="G319" s="137"/>
      <c r="H319" s="133">
        <f>+'KY_Res by Plant Acct-P29 (Reg)'!H320</f>
        <v>765600.88</v>
      </c>
      <c r="I319" s="137"/>
      <c r="J319" s="133">
        <f>+'KY_Res by Plant Acct-P29 (Reg)'!J320</f>
        <v>0</v>
      </c>
      <c r="K319" s="137"/>
      <c r="L319" s="133">
        <f>+'KY_Res by Plant Acct-P29 (Reg)'!L320</f>
        <v>0</v>
      </c>
      <c r="M319" s="137"/>
      <c r="N319" s="133">
        <f>+'KY_Res by Plant Acct-P29 (Reg)'!N320</f>
        <v>0</v>
      </c>
      <c r="O319" s="133"/>
      <c r="P319" s="133">
        <f>+'KY_Res by Plant Acct-P29 (Reg)'!P320</f>
        <v>0</v>
      </c>
      <c r="Q319" s="133"/>
      <c r="R319" s="133">
        <f t="shared" si="16"/>
        <v>9.9999989615753293E-3</v>
      </c>
    </row>
    <row r="320" spans="1:18" ht="12" customHeight="1" outlineLevel="1" x14ac:dyDescent="0.2">
      <c r="A320" s="3" t="s">
        <v>3453</v>
      </c>
      <c r="B320" s="133">
        <f>+'KY_Res by Plant Acct-P29 (Reg)'!B321</f>
        <v>-13702951.910000002</v>
      </c>
      <c r="C320" s="133"/>
      <c r="D320" s="133">
        <f>+'KY_Res by Plant Acct-P29 (Reg)'!D321</f>
        <v>-151283.24</v>
      </c>
      <c r="E320" s="133"/>
      <c r="F320" s="133">
        <f>+'KY_Res by Plant Acct-P29 (Reg)'!F321</f>
        <v>13115.06</v>
      </c>
      <c r="G320" s="137"/>
      <c r="H320" s="133">
        <f>+'KY_Res by Plant Acct-P29 (Reg)'!H321</f>
        <v>0</v>
      </c>
      <c r="I320" s="137"/>
      <c r="J320" s="133">
        <f>+'KY_Res by Plant Acct-P29 (Reg)'!J321</f>
        <v>0</v>
      </c>
      <c r="K320" s="137"/>
      <c r="L320" s="133">
        <f>+'KY_Res by Plant Acct-P29 (Reg)'!L321</f>
        <v>19822.47</v>
      </c>
      <c r="M320" s="137"/>
      <c r="N320" s="133">
        <f>+'KY_Res by Plant Acct-P29 (Reg)'!N321</f>
        <v>0</v>
      </c>
      <c r="O320" s="133"/>
      <c r="P320" s="133">
        <f>+'KY_Res by Plant Acct-P29 (Reg)'!P321</f>
        <v>0</v>
      </c>
      <c r="Q320" s="133"/>
      <c r="R320" s="133">
        <f t="shared" si="16"/>
        <v>-13821297.620000001</v>
      </c>
    </row>
    <row r="321" spans="1:18" ht="12" customHeight="1" outlineLevel="1" x14ac:dyDescent="0.2">
      <c r="A321" s="3" t="s">
        <v>3454</v>
      </c>
      <c r="B321" s="133">
        <f>+'KY_Res by Plant Acct-P29 (Reg)'!B322</f>
        <v>-1349963.2300000004</v>
      </c>
      <c r="C321" s="133"/>
      <c r="D321" s="133">
        <f>+'KY_Res by Plant Acct-P29 (Reg)'!D322</f>
        <v>0</v>
      </c>
      <c r="E321" s="133"/>
      <c r="F321" s="133">
        <f>+'KY_Res by Plant Acct-P29 (Reg)'!F322</f>
        <v>0</v>
      </c>
      <c r="G321" s="137"/>
      <c r="H321" s="133">
        <f>+'KY_Res by Plant Acct-P29 (Reg)'!H322</f>
        <v>0</v>
      </c>
      <c r="I321" s="137"/>
      <c r="J321" s="133">
        <f>+'KY_Res by Plant Acct-P29 (Reg)'!J322</f>
        <v>0</v>
      </c>
      <c r="K321" s="137"/>
      <c r="L321" s="133">
        <f>+'KY_Res by Plant Acct-P29 (Reg)'!L322</f>
        <v>0</v>
      </c>
      <c r="M321" s="137"/>
      <c r="N321" s="133">
        <f>+'KY_Res by Plant Acct-P29 (Reg)'!N322</f>
        <v>0</v>
      </c>
      <c r="O321" s="133"/>
      <c r="P321" s="133">
        <f>+'KY_Res by Plant Acct-P29 (Reg)'!P322</f>
        <v>0</v>
      </c>
      <c r="Q321" s="133"/>
      <c r="R321" s="133">
        <f t="shared" si="16"/>
        <v>-1349963.2300000004</v>
      </c>
    </row>
    <row r="322" spans="1:18" ht="12" customHeight="1" outlineLevel="1" x14ac:dyDescent="0.2">
      <c r="A322" s="3" t="s">
        <v>3455</v>
      </c>
      <c r="B322" s="133">
        <f>+'KY_Res by Plant Acct-P29 (Reg)'!B323</f>
        <v>-18182707.370000001</v>
      </c>
      <c r="C322" s="133"/>
      <c r="D322" s="133">
        <f>+'KY_Res by Plant Acct-P29 (Reg)'!D323</f>
        <v>-438856.61</v>
      </c>
      <c r="E322" s="133"/>
      <c r="F322" s="133">
        <f>+'KY_Res by Plant Acct-P29 (Reg)'!F323</f>
        <v>0</v>
      </c>
      <c r="G322" s="137"/>
      <c r="H322" s="133">
        <f>+'KY_Res by Plant Acct-P29 (Reg)'!H323</f>
        <v>0</v>
      </c>
      <c r="I322" s="137"/>
      <c r="J322" s="133">
        <f>+'KY_Res by Plant Acct-P29 (Reg)'!J323</f>
        <v>0</v>
      </c>
      <c r="K322" s="137"/>
      <c r="L322" s="133">
        <f>+'KY_Res by Plant Acct-P29 (Reg)'!L323</f>
        <v>0</v>
      </c>
      <c r="M322" s="137"/>
      <c r="N322" s="133">
        <f>+'KY_Res by Plant Acct-P29 (Reg)'!N323</f>
        <v>0</v>
      </c>
      <c r="O322" s="133"/>
      <c r="P322" s="133">
        <f>+'KY_Res by Plant Acct-P29 (Reg)'!P323</f>
        <v>0</v>
      </c>
      <c r="Q322" s="133"/>
      <c r="R322" s="133">
        <f t="shared" si="16"/>
        <v>-18621563.98</v>
      </c>
    </row>
    <row r="323" spans="1:18" ht="12" customHeight="1" outlineLevel="1" x14ac:dyDescent="0.2">
      <c r="A323" s="3" t="s">
        <v>3456</v>
      </c>
      <c r="B323" s="133">
        <f>+'KY_Res by Plant Acct-P29 (Reg)'!B324</f>
        <v>-545280.92999999993</v>
      </c>
      <c r="C323" s="133"/>
      <c r="D323" s="133">
        <f>+'KY_Res by Plant Acct-P29 (Reg)'!D324</f>
        <v>-261.83999999999997</v>
      </c>
      <c r="E323" s="133"/>
      <c r="F323" s="133">
        <f>+'KY_Res by Plant Acct-P29 (Reg)'!F324</f>
        <v>0</v>
      </c>
      <c r="G323" s="137"/>
      <c r="H323" s="133">
        <f>+'KY_Res by Plant Acct-P29 (Reg)'!H324</f>
        <v>0</v>
      </c>
      <c r="I323" s="137"/>
      <c r="J323" s="133">
        <f>+'KY_Res by Plant Acct-P29 (Reg)'!J324</f>
        <v>0</v>
      </c>
      <c r="K323" s="137"/>
      <c r="L323" s="133">
        <f>+'KY_Res by Plant Acct-P29 (Reg)'!L324</f>
        <v>0</v>
      </c>
      <c r="M323" s="137"/>
      <c r="N323" s="133">
        <f>+'KY_Res by Plant Acct-P29 (Reg)'!N324</f>
        <v>0</v>
      </c>
      <c r="O323" s="133"/>
      <c r="P323" s="133">
        <f>+'KY_Res by Plant Acct-P29 (Reg)'!P324</f>
        <v>0</v>
      </c>
      <c r="Q323" s="133"/>
      <c r="R323" s="133">
        <f t="shared" si="16"/>
        <v>-545542.7699999999</v>
      </c>
    </row>
    <row r="324" spans="1:18" ht="12" customHeight="1" outlineLevel="1" x14ac:dyDescent="0.2">
      <c r="A324" s="3" t="s">
        <v>3672</v>
      </c>
      <c r="B324" s="133">
        <f>+'KY_Res by Plant Acct-P29 (Reg)'!B326</f>
        <v>-12265.38</v>
      </c>
      <c r="C324" s="133"/>
      <c r="D324" s="133">
        <f>+'KY_Res by Plant Acct-P29 (Reg)'!D326</f>
        <v>-6392.58</v>
      </c>
      <c r="E324" s="133"/>
      <c r="F324" s="133">
        <f>+'KY_Res by Plant Acct-P29 (Reg)'!F326</f>
        <v>0</v>
      </c>
      <c r="G324" s="137"/>
      <c r="H324" s="133">
        <f>+'KY_Res by Plant Acct-P29 (Reg)'!H326</f>
        <v>0</v>
      </c>
      <c r="I324" s="137"/>
      <c r="J324" s="133">
        <f>+'KY_Res by Plant Acct-P29 (Reg)'!J326</f>
        <v>0</v>
      </c>
      <c r="K324" s="137"/>
      <c r="L324" s="133">
        <f>+'KY_Res by Plant Acct-P29 (Reg)'!L326</f>
        <v>0</v>
      </c>
      <c r="M324" s="137"/>
      <c r="N324" s="133">
        <f>+'KY_Res by Plant Acct-P29 (Reg)'!N326</f>
        <v>0</v>
      </c>
      <c r="O324" s="133"/>
      <c r="P324" s="133">
        <f>+'KY_Res by Plant Acct-P29 (Reg)'!P326</f>
        <v>0</v>
      </c>
      <c r="Q324" s="133"/>
      <c r="R324" s="133">
        <f>SUM(B324:P324)</f>
        <v>-18657.96</v>
      </c>
    </row>
    <row r="325" spans="1:18" outlineLevel="1" x14ac:dyDescent="0.2">
      <c r="A325" s="3" t="s">
        <v>3459</v>
      </c>
      <c r="B325" s="133">
        <f>+'KY_Res by Plant Acct-P29 (Reg)'!B327</f>
        <v>-9.0949470177292824E-13</v>
      </c>
      <c r="C325" s="133"/>
      <c r="D325" s="133">
        <f>+'KY_Res by Plant Acct-P29 (Reg)'!D327</f>
        <v>0</v>
      </c>
      <c r="E325" s="133"/>
      <c r="F325" s="133">
        <f>+'KY_Res by Plant Acct-P29 (Reg)'!F327</f>
        <v>0</v>
      </c>
      <c r="G325" s="137"/>
      <c r="H325" s="133">
        <f>+'KY_Res by Plant Acct-P29 (Reg)'!H327</f>
        <v>0</v>
      </c>
      <c r="I325" s="137"/>
      <c r="J325" s="133">
        <f>+'KY_Res by Plant Acct-P29 (Reg)'!J327</f>
        <v>0</v>
      </c>
      <c r="K325" s="137"/>
      <c r="L325" s="133">
        <f>+'KY_Res by Plant Acct-P29 (Reg)'!L327</f>
        <v>0</v>
      </c>
      <c r="M325" s="133"/>
      <c r="N325" s="133">
        <f>+'KY_Res by Plant Acct-P29 (Reg)'!N327</f>
        <v>0</v>
      </c>
      <c r="O325" s="133"/>
      <c r="P325" s="133">
        <f>+'KY_Res by Plant Acct-P29 (Reg)'!P327</f>
        <v>0</v>
      </c>
      <c r="Q325" s="133"/>
      <c r="R325" s="133">
        <f t="shared" ref="R325:R331" si="17">SUM(B325:P325)</f>
        <v>-9.0949470177292824E-13</v>
      </c>
    </row>
    <row r="326" spans="1:18" ht="12" customHeight="1" outlineLevel="1" x14ac:dyDescent="0.2">
      <c r="A326" s="3" t="s">
        <v>3460</v>
      </c>
      <c r="B326" s="133">
        <f>+'KY_Res by Plant Acct-P29 (Reg)'!B328</f>
        <v>-1236770.8699999999</v>
      </c>
      <c r="C326" s="133"/>
      <c r="D326" s="133">
        <f>+'KY_Res by Plant Acct-P29 (Reg)'!D328</f>
        <v>-224822.27</v>
      </c>
      <c r="E326" s="133"/>
      <c r="F326" s="133">
        <f>+'KY_Res by Plant Acct-P29 (Reg)'!F328</f>
        <v>0</v>
      </c>
      <c r="G326" s="137"/>
      <c r="H326" s="133">
        <f>+'KY_Res by Plant Acct-P29 (Reg)'!H328</f>
        <v>0</v>
      </c>
      <c r="I326" s="137"/>
      <c r="J326" s="133">
        <f>+'KY_Res by Plant Acct-P29 (Reg)'!J328</f>
        <v>0</v>
      </c>
      <c r="K326" s="137"/>
      <c r="L326" s="133">
        <f>+'KY_Res by Plant Acct-P29 (Reg)'!L328</f>
        <v>0</v>
      </c>
      <c r="M326" s="137"/>
      <c r="N326" s="133">
        <f>+'KY_Res by Plant Acct-P29 (Reg)'!N328</f>
        <v>0</v>
      </c>
      <c r="O326" s="133"/>
      <c r="P326" s="133">
        <f>+'KY_Res by Plant Acct-P29 (Reg)'!P328</f>
        <v>0</v>
      </c>
      <c r="Q326" s="133"/>
      <c r="R326" s="133">
        <f t="shared" si="17"/>
        <v>-1461593.14</v>
      </c>
    </row>
    <row r="327" spans="1:18" ht="12" customHeight="1" outlineLevel="1" x14ac:dyDescent="0.2">
      <c r="A327" s="3" t="s">
        <v>3461</v>
      </c>
      <c r="B327" s="133">
        <f>+'KY_Res by Plant Acct-P29 (Reg)'!B329</f>
        <v>0</v>
      </c>
      <c r="C327" s="133"/>
      <c r="D327" s="133">
        <f>+'KY_Res by Plant Acct-P29 (Reg)'!D329</f>
        <v>0</v>
      </c>
      <c r="E327" s="133"/>
      <c r="F327" s="133">
        <f>+'KY_Res by Plant Acct-P29 (Reg)'!F329</f>
        <v>0</v>
      </c>
      <c r="G327" s="137"/>
      <c r="H327" s="133">
        <f>+'KY_Res by Plant Acct-P29 (Reg)'!H329</f>
        <v>0</v>
      </c>
      <c r="I327" s="137"/>
      <c r="J327" s="133">
        <f>+'KY_Res by Plant Acct-P29 (Reg)'!J329</f>
        <v>0</v>
      </c>
      <c r="K327" s="137"/>
      <c r="L327" s="133">
        <f>+'KY_Res by Plant Acct-P29 (Reg)'!L329</f>
        <v>0</v>
      </c>
      <c r="M327" s="137"/>
      <c r="N327" s="133">
        <f>+'KY_Res by Plant Acct-P29 (Reg)'!N329</f>
        <v>0</v>
      </c>
      <c r="O327" s="133"/>
      <c r="P327" s="133">
        <f>+'KY_Res by Plant Acct-P29 (Reg)'!P329</f>
        <v>0</v>
      </c>
      <c r="Q327" s="133"/>
      <c r="R327" s="133">
        <f t="shared" si="17"/>
        <v>0</v>
      </c>
    </row>
    <row r="328" spans="1:18" ht="12" customHeight="1" outlineLevel="1" x14ac:dyDescent="0.2">
      <c r="A328" s="21" t="s">
        <v>3462</v>
      </c>
      <c r="B328" s="133">
        <f>+'KY_Res by Plant Acct-P29 (Reg)'!B330</f>
        <v>-57633.4</v>
      </c>
      <c r="C328" s="133">
        <f>+'KY_Res by Plant Acct-P29 (Reg)'!C330</f>
        <v>0</v>
      </c>
      <c r="D328" s="133">
        <f>+'KY_Res by Plant Acct-P29 (Reg)'!D330</f>
        <v>-33220.980000000003</v>
      </c>
      <c r="E328" s="133">
        <f>+'KY_Res by Plant Acct-P29 (Reg)'!E330</f>
        <v>0</v>
      </c>
      <c r="F328" s="133">
        <f>+'KY_Res by Plant Acct-P29 (Reg)'!F330</f>
        <v>0</v>
      </c>
      <c r="G328" s="133">
        <f>+'KY_Res by Plant Acct-P29 (Reg)'!G330</f>
        <v>0</v>
      </c>
      <c r="H328" s="133">
        <f>+'KY_Res by Plant Acct-P29 (Reg)'!H330</f>
        <v>0</v>
      </c>
      <c r="I328" s="133">
        <f>+'KY_Res by Plant Acct-P29 (Reg)'!I330</f>
        <v>0</v>
      </c>
      <c r="J328" s="133">
        <f>+'KY_Res by Plant Acct-P29 (Reg)'!J330</f>
        <v>0</v>
      </c>
      <c r="K328" s="133">
        <f>+'KY_Res by Plant Acct-P29 (Reg)'!K330</f>
        <v>0</v>
      </c>
      <c r="L328" s="133">
        <f>+'KY_Res by Plant Acct-P29 (Reg)'!L330</f>
        <v>0</v>
      </c>
      <c r="M328" s="133">
        <f>+'KY_Res by Plant Acct-P29 (Reg)'!M330</f>
        <v>0</v>
      </c>
      <c r="N328" s="133">
        <f>+'KY_Res by Plant Acct-P29 (Reg)'!N330</f>
        <v>0</v>
      </c>
      <c r="O328" s="133">
        <f>+'KY_Res by Plant Acct-P29 (Reg)'!O330</f>
        <v>0</v>
      </c>
      <c r="P328" s="133">
        <f>+'KY_Res by Plant Acct-P29 (Reg)'!P330</f>
        <v>0</v>
      </c>
      <c r="Q328" s="133"/>
      <c r="R328" s="133">
        <f t="shared" si="17"/>
        <v>-90854.38</v>
      </c>
    </row>
    <row r="329" spans="1:18" ht="12" customHeight="1" outlineLevel="1" x14ac:dyDescent="0.2">
      <c r="A329" s="21" t="s">
        <v>3463</v>
      </c>
      <c r="B329" s="133">
        <f>+'KY_Res by Plant Acct-P29 (Reg)'!B331</f>
        <v>-3358.8199999999997</v>
      </c>
      <c r="C329" s="133"/>
      <c r="D329" s="133">
        <f>+'KY_Res by Plant Acct-P29 (Reg)'!D331</f>
        <v>-187910.73</v>
      </c>
      <c r="E329" s="133"/>
      <c r="F329" s="133">
        <f>+'KY_Res by Plant Acct-P29 (Reg)'!F331</f>
        <v>0</v>
      </c>
      <c r="G329" s="133">
        <f>+'KY_Res by Plant Acct-P29 (Reg)'!G331</f>
        <v>0</v>
      </c>
      <c r="H329" s="133">
        <f>+'KY_Res by Plant Acct-P29 (Reg)'!H331</f>
        <v>0</v>
      </c>
      <c r="I329" s="133">
        <f>+'KY_Res by Plant Acct-P29 (Reg)'!I331</f>
        <v>0</v>
      </c>
      <c r="J329" s="133">
        <f>+'KY_Res by Plant Acct-P29 (Reg)'!J331</f>
        <v>0</v>
      </c>
      <c r="K329" s="133">
        <f>+'KY_Res by Plant Acct-P29 (Reg)'!K331</f>
        <v>0</v>
      </c>
      <c r="L329" s="133">
        <f>+'KY_Res by Plant Acct-P29 (Reg)'!L331</f>
        <v>0</v>
      </c>
      <c r="M329" s="133">
        <f>+'KY_Res by Plant Acct-P29 (Reg)'!M331</f>
        <v>0</v>
      </c>
      <c r="N329" s="133">
        <f>+'KY_Res by Plant Acct-P29 (Reg)'!N331</f>
        <v>0</v>
      </c>
      <c r="O329" s="133">
        <f>+'KY_Res by Plant Acct-P29 (Reg)'!O331</f>
        <v>0</v>
      </c>
      <c r="P329" s="133">
        <f>+'KY_Res by Plant Acct-P29 (Reg)'!P331</f>
        <v>0</v>
      </c>
      <c r="Q329" s="133"/>
      <c r="R329" s="133">
        <f t="shared" si="17"/>
        <v>-191269.55000000002</v>
      </c>
    </row>
    <row r="330" spans="1:18" ht="12" customHeight="1" outlineLevel="1" x14ac:dyDescent="0.2">
      <c r="A330" s="3" t="s">
        <v>3464</v>
      </c>
      <c r="B330" s="133">
        <f>+'KY_Res by Plant Acct-P29 (Reg)'!B332</f>
        <v>-28933011.399999999</v>
      </c>
      <c r="C330" s="133"/>
      <c r="D330" s="133">
        <f>+'KY_Res by Plant Acct-P29 (Reg)'!D332</f>
        <v>-1042900.56</v>
      </c>
      <c r="E330" s="133"/>
      <c r="F330" s="133">
        <f>+'KY_Res by Plant Acct-P29 (Reg)'!F332</f>
        <v>0</v>
      </c>
      <c r="G330" s="137"/>
      <c r="H330" s="133">
        <f>+'KY_Res by Plant Acct-P29 (Reg)'!H332</f>
        <v>0</v>
      </c>
      <c r="I330" s="137"/>
      <c r="J330" s="133">
        <f>+'KY_Res by Plant Acct-P29 (Reg)'!J332</f>
        <v>0</v>
      </c>
      <c r="K330" s="137"/>
      <c r="L330" s="133">
        <f>+'KY_Res by Plant Acct-P29 (Reg)'!L332</f>
        <v>0</v>
      </c>
      <c r="M330" s="137"/>
      <c r="N330" s="133">
        <f>+'KY_Res by Plant Acct-P29 (Reg)'!N332</f>
        <v>0</v>
      </c>
      <c r="O330" s="133"/>
      <c r="P330" s="133">
        <f>+'KY_Res by Plant Acct-P29 (Reg)'!P332</f>
        <v>0</v>
      </c>
      <c r="Q330" s="133"/>
      <c r="R330" s="133">
        <f t="shared" si="17"/>
        <v>-29975911.959999997</v>
      </c>
    </row>
    <row r="331" spans="1:18" ht="12" customHeight="1" outlineLevel="1" x14ac:dyDescent="0.2">
      <c r="A331" s="3" t="s">
        <v>3465</v>
      </c>
      <c r="B331" s="133">
        <f>+'KY_Res by Plant Acct-P29 (Reg)'!B333</f>
        <v>-2370160.7600000002</v>
      </c>
      <c r="C331" s="133"/>
      <c r="D331" s="133">
        <f>+'KY_Res by Plant Acct-P29 (Reg)'!D333</f>
        <v>-25453.38</v>
      </c>
      <c r="E331" s="133"/>
      <c r="F331" s="133">
        <f>+'KY_Res by Plant Acct-P29 (Reg)'!F333</f>
        <v>0</v>
      </c>
      <c r="G331" s="137"/>
      <c r="H331" s="133">
        <f>+'KY_Res by Plant Acct-P29 (Reg)'!H333</f>
        <v>0</v>
      </c>
      <c r="I331" s="137"/>
      <c r="J331" s="133">
        <f>+'KY_Res by Plant Acct-P29 (Reg)'!J333</f>
        <v>0</v>
      </c>
      <c r="K331" s="137"/>
      <c r="L331" s="133">
        <f>+'KY_Res by Plant Acct-P29 (Reg)'!L333</f>
        <v>0</v>
      </c>
      <c r="M331" s="137"/>
      <c r="N331" s="133">
        <f>+'KY_Res by Plant Acct-P29 (Reg)'!N333</f>
        <v>0</v>
      </c>
      <c r="O331" s="133"/>
      <c r="P331" s="133">
        <f>+'KY_Res by Plant Acct-P29 (Reg)'!P333</f>
        <v>0</v>
      </c>
      <c r="Q331" s="133"/>
      <c r="R331" s="133">
        <f t="shared" si="17"/>
        <v>-2395614.14</v>
      </c>
    </row>
    <row r="332" spans="1:18" ht="12" customHeight="1" x14ac:dyDescent="0.2">
      <c r="A332" s="3" t="s">
        <v>3466</v>
      </c>
      <c r="B332" s="133">
        <f>SUM(B302:B331)</f>
        <v>-83761790.13000001</v>
      </c>
      <c r="C332" s="133"/>
      <c r="D332" s="133">
        <f>SUM(D302:D331)</f>
        <v>-3029055.59</v>
      </c>
      <c r="E332" s="133"/>
      <c r="F332" s="137">
        <f>SUM(F302:F331)</f>
        <v>22054.35</v>
      </c>
      <c r="G332" s="137"/>
      <c r="H332" s="137">
        <f>SUM(H302:H331)</f>
        <v>0</v>
      </c>
      <c r="I332" s="137"/>
      <c r="J332" s="137">
        <f>SUM(J302:J331)</f>
        <v>0</v>
      </c>
      <c r="K332" s="137"/>
      <c r="L332" s="137">
        <f>SUM(L302:L331)</f>
        <v>19822.47</v>
      </c>
      <c r="M332" s="137"/>
      <c r="N332" s="133">
        <f>SUM(N302:N331)</f>
        <v>0</v>
      </c>
      <c r="O332" s="133"/>
      <c r="P332" s="133">
        <f>SUM(P302:P331)</f>
        <v>0</v>
      </c>
      <c r="Q332" s="133"/>
      <c r="R332" s="133">
        <f>SUM(R302:R331)</f>
        <v>-86748968.900000006</v>
      </c>
    </row>
    <row r="333" spans="1:18" ht="12" customHeight="1" outlineLevel="1" x14ac:dyDescent="0.2">
      <c r="A333" s="3" t="s">
        <v>3673</v>
      </c>
      <c r="B333" s="133">
        <f>+'KY_Res by Plant Acct-P29 (Reg)'!B335</f>
        <v>0</v>
      </c>
      <c r="C333" s="133"/>
      <c r="D333" s="133">
        <f>+'KY_Res by Plant Acct-P29 (Reg)'!D335</f>
        <v>0</v>
      </c>
      <c r="E333" s="133"/>
      <c r="F333" s="133">
        <f>+'KY_Res by Plant Acct-P29 (Reg)'!F335</f>
        <v>0</v>
      </c>
      <c r="G333" s="133"/>
      <c r="H333" s="133">
        <f>+'KY_Res by Plant Acct-P29 (Reg)'!H335</f>
        <v>0</v>
      </c>
      <c r="I333" s="133"/>
      <c r="J333" s="133">
        <f>+'KY_Res by Plant Acct-P29 (Reg)'!J335</f>
        <v>0</v>
      </c>
      <c r="K333" s="133"/>
      <c r="L333" s="133">
        <f>+'KY_Res by Plant Acct-P29 (Reg)'!L335</f>
        <v>0</v>
      </c>
      <c r="M333" s="133"/>
      <c r="N333" s="133">
        <f>+'KY_Res by Plant Acct-P29 (Reg)'!N335</f>
        <v>0</v>
      </c>
      <c r="O333" s="133"/>
      <c r="P333" s="133">
        <f>+'KY_Res by Plant Acct-P29 (Reg)'!P335</f>
        <v>0</v>
      </c>
      <c r="Q333" s="133"/>
      <c r="R333" s="133">
        <f t="shared" si="16"/>
        <v>0</v>
      </c>
    </row>
    <row r="334" spans="1:18" ht="12" customHeight="1" outlineLevel="1" x14ac:dyDescent="0.2">
      <c r="A334" s="3" t="s">
        <v>3674</v>
      </c>
      <c r="B334" s="133">
        <f>+'KY_Res by Plant Acct-P29 (Reg)'!B336</f>
        <v>0</v>
      </c>
      <c r="C334" s="133"/>
      <c r="D334" s="133">
        <f>+'KY_Res by Plant Acct-P29 (Reg)'!D336</f>
        <v>0</v>
      </c>
      <c r="E334" s="133"/>
      <c r="F334" s="133">
        <f>+'KY_Res by Plant Acct-P29 (Reg)'!F336</f>
        <v>0</v>
      </c>
      <c r="G334" s="133"/>
      <c r="H334" s="133">
        <f>+'KY_Res by Plant Acct-P29 (Reg)'!H336</f>
        <v>0</v>
      </c>
      <c r="I334" s="133"/>
      <c r="J334" s="133">
        <f>+'KY_Res by Plant Acct-P29 (Reg)'!J336</f>
        <v>0</v>
      </c>
      <c r="K334" s="133"/>
      <c r="L334" s="133">
        <f>+'KY_Res by Plant Acct-P29 (Reg)'!L336</f>
        <v>0</v>
      </c>
      <c r="M334" s="133"/>
      <c r="N334" s="133">
        <f>+'KY_Res by Plant Acct-P29 (Reg)'!N336</f>
        <v>0</v>
      </c>
      <c r="O334" s="133"/>
      <c r="P334" s="133">
        <f>+'KY_Res by Plant Acct-P29 (Reg)'!P336</f>
        <v>0</v>
      </c>
      <c r="Q334" s="133"/>
      <c r="R334" s="133">
        <f t="shared" si="16"/>
        <v>0</v>
      </c>
    </row>
    <row r="335" spans="1:18" ht="12" customHeight="1" outlineLevel="1" x14ac:dyDescent="0.2">
      <c r="A335" s="3" t="s">
        <v>3675</v>
      </c>
      <c r="B335" s="133">
        <f>+'KY_Res by Plant Acct-P29 (Reg)'!B337</f>
        <v>0</v>
      </c>
      <c r="C335" s="133"/>
      <c r="D335" s="133">
        <f>+'KY_Res by Plant Acct-P29 (Reg)'!D337</f>
        <v>0</v>
      </c>
      <c r="E335" s="133"/>
      <c r="F335" s="133">
        <f>+'KY_Res by Plant Acct-P29 (Reg)'!F337</f>
        <v>0</v>
      </c>
      <c r="G335" s="133"/>
      <c r="H335" s="133">
        <f>+'KY_Res by Plant Acct-P29 (Reg)'!H337</f>
        <v>0</v>
      </c>
      <c r="I335" s="133"/>
      <c r="J335" s="133">
        <f>+'KY_Res by Plant Acct-P29 (Reg)'!J337</f>
        <v>0</v>
      </c>
      <c r="K335" s="133"/>
      <c r="L335" s="133">
        <f>+'KY_Res by Plant Acct-P29 (Reg)'!L337</f>
        <v>0</v>
      </c>
      <c r="M335" s="133"/>
      <c r="N335" s="133">
        <f>+'KY_Res by Plant Acct-P29 (Reg)'!N337</f>
        <v>0</v>
      </c>
      <c r="O335" s="133"/>
      <c r="P335" s="133">
        <f>+'KY_Res by Plant Acct-P29 (Reg)'!P337</f>
        <v>0</v>
      </c>
      <c r="Q335" s="133"/>
      <c r="R335" s="133">
        <f t="shared" si="16"/>
        <v>0</v>
      </c>
    </row>
    <row r="336" spans="1:18" ht="12" customHeight="1" outlineLevel="1" x14ac:dyDescent="0.2">
      <c r="A336" s="3" t="s">
        <v>3676</v>
      </c>
      <c r="B336" s="133">
        <f>+'KY_Res by Plant Acct-P29 (Reg)'!B338</f>
        <v>0</v>
      </c>
      <c r="C336" s="133"/>
      <c r="D336" s="133">
        <f>+'KY_Res by Plant Acct-P29 (Reg)'!D338</f>
        <v>0</v>
      </c>
      <c r="E336" s="133"/>
      <c r="F336" s="133">
        <f>+'KY_Res by Plant Acct-P29 (Reg)'!F338</f>
        <v>0</v>
      </c>
      <c r="G336" s="133"/>
      <c r="H336" s="133">
        <f>+'KY_Res by Plant Acct-P29 (Reg)'!H338</f>
        <v>0</v>
      </c>
      <c r="I336" s="133"/>
      <c r="J336" s="133">
        <f>+'KY_Res by Plant Acct-P29 (Reg)'!J338</f>
        <v>0</v>
      </c>
      <c r="K336" s="133"/>
      <c r="L336" s="133">
        <f>+'KY_Res by Plant Acct-P29 (Reg)'!L338</f>
        <v>0</v>
      </c>
      <c r="M336" s="133"/>
      <c r="N336" s="133">
        <f>+'KY_Res by Plant Acct-P29 (Reg)'!N338</f>
        <v>0</v>
      </c>
      <c r="O336" s="133"/>
      <c r="P336" s="133">
        <f>+'KY_Res by Plant Acct-P29 (Reg)'!P338</f>
        <v>0</v>
      </c>
      <c r="Q336" s="133"/>
      <c r="R336" s="133">
        <f t="shared" si="16"/>
        <v>0</v>
      </c>
    </row>
    <row r="337" spans="1:18" ht="12" customHeight="1" outlineLevel="1" x14ac:dyDescent="0.2">
      <c r="A337" s="3" t="s">
        <v>3677</v>
      </c>
      <c r="B337" s="133">
        <f>+'KY_Res by Plant Acct-P29 (Reg)'!B339</f>
        <v>0</v>
      </c>
      <c r="C337" s="133"/>
      <c r="D337" s="133">
        <f>+'KY_Res by Plant Acct-P29 (Reg)'!D339</f>
        <v>0</v>
      </c>
      <c r="E337" s="133"/>
      <c r="F337" s="133">
        <f>+'KY_Res by Plant Acct-P29 (Reg)'!F339</f>
        <v>0</v>
      </c>
      <c r="G337" s="133"/>
      <c r="H337" s="133">
        <f>+'KY_Res by Plant Acct-P29 (Reg)'!H339</f>
        <v>0</v>
      </c>
      <c r="I337" s="133"/>
      <c r="J337" s="133">
        <f>+'KY_Res by Plant Acct-P29 (Reg)'!J339</f>
        <v>0</v>
      </c>
      <c r="K337" s="133"/>
      <c r="L337" s="133">
        <f>+'KY_Res by Plant Acct-P29 (Reg)'!L339</f>
        <v>0</v>
      </c>
      <c r="M337" s="133"/>
      <c r="N337" s="133">
        <f>+'KY_Res by Plant Acct-P29 (Reg)'!N339</f>
        <v>0</v>
      </c>
      <c r="O337" s="133"/>
      <c r="P337" s="133">
        <f>+'KY_Res by Plant Acct-P29 (Reg)'!P339</f>
        <v>0</v>
      </c>
      <c r="Q337" s="133"/>
      <c r="R337" s="133">
        <f t="shared" si="16"/>
        <v>0</v>
      </c>
    </row>
    <row r="338" spans="1:18" ht="12" customHeight="1" outlineLevel="1" x14ac:dyDescent="0.2">
      <c r="A338" s="3" t="s">
        <v>3678</v>
      </c>
      <c r="B338" s="133">
        <f>+'KY_Res by Plant Acct-P29 (Reg)'!B340</f>
        <v>0</v>
      </c>
      <c r="C338" s="133"/>
      <c r="D338" s="133">
        <f>+'KY_Res by Plant Acct-P29 (Reg)'!D340</f>
        <v>0</v>
      </c>
      <c r="E338" s="133"/>
      <c r="F338" s="133">
        <f>+'KY_Res by Plant Acct-P29 (Reg)'!F340</f>
        <v>0</v>
      </c>
      <c r="G338" s="133"/>
      <c r="H338" s="133">
        <f>+'KY_Res by Plant Acct-P29 (Reg)'!H340</f>
        <v>0</v>
      </c>
      <c r="I338" s="133"/>
      <c r="J338" s="133">
        <f>+'KY_Res by Plant Acct-P29 (Reg)'!J340</f>
        <v>0</v>
      </c>
      <c r="K338" s="133"/>
      <c r="L338" s="133">
        <f>+'KY_Res by Plant Acct-P29 (Reg)'!L340</f>
        <v>0</v>
      </c>
      <c r="M338" s="133"/>
      <c r="N338" s="133">
        <f>+'KY_Res by Plant Acct-P29 (Reg)'!N340</f>
        <v>0</v>
      </c>
      <c r="O338" s="133"/>
      <c r="P338" s="133">
        <f>+'KY_Res by Plant Acct-P29 (Reg)'!P340</f>
        <v>0</v>
      </c>
      <c r="Q338" s="133"/>
      <c r="R338" s="133">
        <f t="shared" si="16"/>
        <v>0</v>
      </c>
    </row>
    <row r="339" spans="1:18" ht="12" customHeight="1" outlineLevel="1" x14ac:dyDescent="0.2">
      <c r="A339" s="3" t="s">
        <v>3679</v>
      </c>
      <c r="B339" s="133">
        <f>+'KY_Res by Plant Acct-P29 (Reg)'!B341</f>
        <v>0</v>
      </c>
      <c r="C339" s="133"/>
      <c r="D339" s="133">
        <f>+'KY_Res by Plant Acct-P29 (Reg)'!D341</f>
        <v>0</v>
      </c>
      <c r="E339" s="133"/>
      <c r="F339" s="133">
        <f>+'KY_Res by Plant Acct-P29 (Reg)'!F341</f>
        <v>0</v>
      </c>
      <c r="G339" s="133"/>
      <c r="H339" s="133">
        <f>+'KY_Res by Plant Acct-P29 (Reg)'!H341</f>
        <v>0</v>
      </c>
      <c r="I339" s="133"/>
      <c r="J339" s="133">
        <f>+'KY_Res by Plant Acct-P29 (Reg)'!J341</f>
        <v>0</v>
      </c>
      <c r="K339" s="133"/>
      <c r="L339" s="133">
        <f>+'KY_Res by Plant Acct-P29 (Reg)'!L341</f>
        <v>0</v>
      </c>
      <c r="M339" s="133"/>
      <c r="N339" s="133">
        <f>+'KY_Res by Plant Acct-P29 (Reg)'!N341</f>
        <v>0</v>
      </c>
      <c r="O339" s="133"/>
      <c r="P339" s="133">
        <f>+'KY_Res by Plant Acct-P29 (Reg)'!P341</f>
        <v>0</v>
      </c>
      <c r="Q339" s="133"/>
      <c r="R339" s="133">
        <f t="shared" si="16"/>
        <v>0</v>
      </c>
    </row>
    <row r="340" spans="1:18" ht="12" customHeight="1" outlineLevel="1" x14ac:dyDescent="0.2">
      <c r="A340" s="3" t="s">
        <v>3680</v>
      </c>
      <c r="B340" s="133">
        <f>+'KY_Res by Plant Acct-P29 (Reg)'!B342</f>
        <v>0</v>
      </c>
      <c r="C340" s="133"/>
      <c r="D340" s="133">
        <f>+'KY_Res by Plant Acct-P29 (Reg)'!D342</f>
        <v>0</v>
      </c>
      <c r="E340" s="133"/>
      <c r="F340" s="133">
        <f>+'KY_Res by Plant Acct-P29 (Reg)'!F342</f>
        <v>0</v>
      </c>
      <c r="G340" s="133"/>
      <c r="H340" s="133">
        <f>+'KY_Res by Plant Acct-P29 (Reg)'!H342</f>
        <v>0</v>
      </c>
      <c r="I340" s="133"/>
      <c r="J340" s="133">
        <f>+'KY_Res by Plant Acct-P29 (Reg)'!J342</f>
        <v>0</v>
      </c>
      <c r="K340" s="133"/>
      <c r="L340" s="133">
        <f>+'KY_Res by Plant Acct-P29 (Reg)'!L342</f>
        <v>0</v>
      </c>
      <c r="M340" s="133"/>
      <c r="N340" s="133">
        <f>+'KY_Res by Plant Acct-P29 (Reg)'!N342</f>
        <v>0</v>
      </c>
      <c r="O340" s="133"/>
      <c r="P340" s="133">
        <f>+'KY_Res by Plant Acct-P29 (Reg)'!P342</f>
        <v>0</v>
      </c>
      <c r="Q340" s="133"/>
      <c r="R340" s="133">
        <f t="shared" si="16"/>
        <v>0</v>
      </c>
    </row>
    <row r="341" spans="1:18" ht="12" customHeight="1" x14ac:dyDescent="0.2">
      <c r="A341" s="3" t="s">
        <v>3475</v>
      </c>
      <c r="B341" s="133">
        <f>SUM(B333:B340)</f>
        <v>0</v>
      </c>
      <c r="C341" s="133"/>
      <c r="D341" s="133">
        <f>SUM(D333:D340)</f>
        <v>0</v>
      </c>
      <c r="E341" s="133"/>
      <c r="F341" s="133">
        <f>SUM(F333:F340)</f>
        <v>0</v>
      </c>
      <c r="G341" s="133"/>
      <c r="H341" s="133">
        <f>SUM(H333:H340)</f>
        <v>0</v>
      </c>
      <c r="I341" s="133"/>
      <c r="J341" s="133">
        <f>SUM(J333:J340)</f>
        <v>0</v>
      </c>
      <c r="K341" s="133"/>
      <c r="L341" s="133">
        <f>SUM(L333:L340)</f>
        <v>0</v>
      </c>
      <c r="M341" s="133"/>
      <c r="N341" s="133">
        <f>SUM(N333:N340)</f>
        <v>0</v>
      </c>
      <c r="O341" s="133"/>
      <c r="P341" s="133">
        <f>SUM(P333:P340)</f>
        <v>0</v>
      </c>
      <c r="Q341" s="133"/>
      <c r="R341" s="133">
        <f>SUM(R333:R340)</f>
        <v>0</v>
      </c>
    </row>
    <row r="342" spans="1:18" outlineLevel="1" x14ac:dyDescent="0.2">
      <c r="A342" s="3" t="s">
        <v>3476</v>
      </c>
      <c r="B342" s="133">
        <f>+'KY_Res by Plant Acct-P29 (Reg)'!B344</f>
        <v>-496.25999999999476</v>
      </c>
      <c r="C342" s="133"/>
      <c r="D342" s="133">
        <f>+'KY_Res by Plant Acct-P29 (Reg)'!D344</f>
        <v>0</v>
      </c>
      <c r="E342" s="133"/>
      <c r="F342" s="133">
        <f>+'KY_Res by Plant Acct-P29 (Reg)'!F344</f>
        <v>0</v>
      </c>
      <c r="G342" s="133"/>
      <c r="H342" s="133">
        <f>+'KY_Res by Plant Acct-P29 (Reg)'!H344</f>
        <v>0</v>
      </c>
      <c r="I342" s="133"/>
      <c r="J342" s="133">
        <f>+'KY_Res by Plant Acct-P29 (Reg)'!J344</f>
        <v>0</v>
      </c>
      <c r="K342" s="133"/>
      <c r="L342" s="133">
        <f>+'KY_Res by Plant Acct-P29 (Reg)'!L344</f>
        <v>0</v>
      </c>
      <c r="M342" s="133"/>
      <c r="N342" s="133">
        <f>+'KY_Res by Plant Acct-P29 (Reg)'!N344</f>
        <v>0</v>
      </c>
      <c r="O342" s="133"/>
      <c r="P342" s="133">
        <f>+'KY_Res by Plant Acct-P29 (Reg)'!P344</f>
        <v>0</v>
      </c>
      <c r="Q342" s="133"/>
      <c r="R342" s="133">
        <f t="shared" si="16"/>
        <v>-496.25999999999476</v>
      </c>
    </row>
    <row r="343" spans="1:18" outlineLevel="1" x14ac:dyDescent="0.2">
      <c r="A343" s="3" t="s">
        <v>3477</v>
      </c>
      <c r="B343" s="133">
        <f>+'KY_Res by Plant Acct-P29 (Reg)'!B345</f>
        <v>-747.65999999999985</v>
      </c>
      <c r="C343" s="133"/>
      <c r="D343" s="133">
        <f>+'KY_Res by Plant Acct-P29 (Reg)'!D345</f>
        <v>0</v>
      </c>
      <c r="E343" s="133"/>
      <c r="F343" s="133">
        <f>+'KY_Res by Plant Acct-P29 (Reg)'!F345</f>
        <v>0</v>
      </c>
      <c r="G343" s="133"/>
      <c r="H343" s="133">
        <f>+'KY_Res by Plant Acct-P29 (Reg)'!H345</f>
        <v>0</v>
      </c>
      <c r="I343" s="133"/>
      <c r="J343" s="133">
        <f>+'KY_Res by Plant Acct-P29 (Reg)'!J345</f>
        <v>0</v>
      </c>
      <c r="K343" s="133"/>
      <c r="L343" s="133">
        <f>+'KY_Res by Plant Acct-P29 (Reg)'!L345</f>
        <v>0</v>
      </c>
      <c r="M343" s="133"/>
      <c r="N343" s="133">
        <f>+'KY_Res by Plant Acct-P29 (Reg)'!N345</f>
        <v>0</v>
      </c>
      <c r="O343" s="133"/>
      <c r="P343" s="133">
        <f>+'KY_Res by Plant Acct-P29 (Reg)'!P345</f>
        <v>0</v>
      </c>
      <c r="Q343" s="133"/>
      <c r="R343" s="133">
        <f t="shared" si="16"/>
        <v>-747.65999999999985</v>
      </c>
    </row>
    <row r="344" spans="1:18" outlineLevel="1" x14ac:dyDescent="0.2">
      <c r="A344" s="3" t="s">
        <v>3478</v>
      </c>
      <c r="B344" s="133">
        <f>+'KY_Res by Plant Acct-P29 (Reg)'!B346</f>
        <v>25231.799999999981</v>
      </c>
      <c r="C344" s="133"/>
      <c r="D344" s="133">
        <f>+'KY_Res by Plant Acct-P29 (Reg)'!D346</f>
        <v>-1.74</v>
      </c>
      <c r="E344" s="133"/>
      <c r="F344" s="133">
        <f>+'KY_Res by Plant Acct-P29 (Reg)'!F346</f>
        <v>0</v>
      </c>
      <c r="G344" s="133"/>
      <c r="H344" s="133">
        <f>+'KY_Res by Plant Acct-P29 (Reg)'!H346</f>
        <v>0</v>
      </c>
      <c r="I344" s="133"/>
      <c r="J344" s="133">
        <f>+'KY_Res by Plant Acct-P29 (Reg)'!J346</f>
        <v>0</v>
      </c>
      <c r="K344" s="133"/>
      <c r="L344" s="133">
        <f>+'KY_Res by Plant Acct-P29 (Reg)'!L346</f>
        <v>0</v>
      </c>
      <c r="M344" s="133"/>
      <c r="N344" s="133">
        <f>+'KY_Res by Plant Acct-P29 (Reg)'!N346</f>
        <v>0</v>
      </c>
      <c r="O344" s="133"/>
      <c r="P344" s="133">
        <f>+'KY_Res by Plant Acct-P29 (Reg)'!P346</f>
        <v>0</v>
      </c>
      <c r="Q344" s="133"/>
      <c r="R344" s="133">
        <f t="shared" si="16"/>
        <v>25230.059999999979</v>
      </c>
    </row>
    <row r="345" spans="1:18" outlineLevel="1" x14ac:dyDescent="0.2">
      <c r="A345" s="3" t="s">
        <v>3479</v>
      </c>
      <c r="B345" s="133">
        <f>+'KY_Res by Plant Acct-P29 (Reg)'!B347</f>
        <v>-595.92999999999938</v>
      </c>
      <c r="C345" s="133"/>
      <c r="D345" s="133">
        <f>+'KY_Res by Plant Acct-P29 (Reg)'!D347</f>
        <v>0</v>
      </c>
      <c r="E345" s="133"/>
      <c r="F345" s="133">
        <f>+'KY_Res by Plant Acct-P29 (Reg)'!F347</f>
        <v>0</v>
      </c>
      <c r="G345" s="133"/>
      <c r="H345" s="133">
        <f>+'KY_Res by Plant Acct-P29 (Reg)'!H347</f>
        <v>0</v>
      </c>
      <c r="I345" s="133"/>
      <c r="J345" s="133">
        <f>+'KY_Res by Plant Acct-P29 (Reg)'!J347</f>
        <v>0</v>
      </c>
      <c r="K345" s="133"/>
      <c r="L345" s="133">
        <f>+'KY_Res by Plant Acct-P29 (Reg)'!L347</f>
        <v>0</v>
      </c>
      <c r="M345" s="133"/>
      <c r="N345" s="133">
        <f>+'KY_Res by Plant Acct-P29 (Reg)'!N347</f>
        <v>0</v>
      </c>
      <c r="O345" s="133"/>
      <c r="P345" s="133">
        <f>+'KY_Res by Plant Acct-P29 (Reg)'!P347</f>
        <v>0</v>
      </c>
      <c r="Q345" s="133"/>
      <c r="R345" s="133">
        <f t="shared" si="16"/>
        <v>-595.92999999999938</v>
      </c>
    </row>
    <row r="346" spans="1:18" outlineLevel="1" x14ac:dyDescent="0.2">
      <c r="A346" s="3" t="s">
        <v>3480</v>
      </c>
      <c r="B346" s="133">
        <f>+'KY_Res by Plant Acct-P29 (Reg)'!B348</f>
        <v>-78781.790000000008</v>
      </c>
      <c r="C346" s="133"/>
      <c r="D346" s="133">
        <f>+'KY_Res by Plant Acct-P29 (Reg)'!D348</f>
        <v>-10234.620000000001</v>
      </c>
      <c r="E346" s="133"/>
      <c r="F346" s="133">
        <f>+'KY_Res by Plant Acct-P29 (Reg)'!F348</f>
        <v>0</v>
      </c>
      <c r="G346" s="133"/>
      <c r="H346" s="133">
        <f>+'KY_Res by Plant Acct-P29 (Reg)'!H348</f>
        <v>0</v>
      </c>
      <c r="I346" s="133"/>
      <c r="J346" s="133">
        <f>+'KY_Res by Plant Acct-P29 (Reg)'!J348</f>
        <v>0</v>
      </c>
      <c r="K346" s="133"/>
      <c r="L346" s="133">
        <f>+'KY_Res by Plant Acct-P29 (Reg)'!L348</f>
        <v>0</v>
      </c>
      <c r="M346" s="133"/>
      <c r="N346" s="133">
        <f>+'KY_Res by Plant Acct-P29 (Reg)'!N348</f>
        <v>0</v>
      </c>
      <c r="O346" s="133"/>
      <c r="P346" s="133">
        <f>+'KY_Res by Plant Acct-P29 (Reg)'!P348</f>
        <v>0</v>
      </c>
      <c r="Q346" s="133"/>
      <c r="R346" s="133">
        <f t="shared" si="16"/>
        <v>-89016.41</v>
      </c>
    </row>
    <row r="347" spans="1:18" outlineLevel="1" x14ac:dyDescent="0.2">
      <c r="A347" s="3" t="s">
        <v>3481</v>
      </c>
      <c r="B347" s="133">
        <f>+'KY_Res by Plant Acct-P29 (Reg)'!B349</f>
        <v>-4325.070000000007</v>
      </c>
      <c r="C347" s="133"/>
      <c r="D347" s="133">
        <f>+'KY_Res by Plant Acct-P29 (Reg)'!D349</f>
        <v>0</v>
      </c>
      <c r="E347" s="133"/>
      <c r="F347" s="133">
        <f>+'KY_Res by Plant Acct-P29 (Reg)'!F349</f>
        <v>0</v>
      </c>
      <c r="G347" s="133"/>
      <c r="H347" s="133">
        <f>+'KY_Res by Plant Acct-P29 (Reg)'!H349</f>
        <v>0</v>
      </c>
      <c r="I347" s="133"/>
      <c r="J347" s="133">
        <f>+'KY_Res by Plant Acct-P29 (Reg)'!J349</f>
        <v>0</v>
      </c>
      <c r="K347" s="133"/>
      <c r="L347" s="133">
        <f>+'KY_Res by Plant Acct-P29 (Reg)'!L349</f>
        <v>0</v>
      </c>
      <c r="M347" s="133"/>
      <c r="N347" s="133">
        <f>+'KY_Res by Plant Acct-P29 (Reg)'!N349</f>
        <v>0</v>
      </c>
      <c r="O347" s="133"/>
      <c r="P347" s="133">
        <f>+'KY_Res by Plant Acct-P29 (Reg)'!P349</f>
        <v>0</v>
      </c>
      <c r="Q347" s="133"/>
      <c r="R347" s="133">
        <f t="shared" si="16"/>
        <v>-4325.070000000007</v>
      </c>
    </row>
    <row r="348" spans="1:18" outlineLevel="1" x14ac:dyDescent="0.2">
      <c r="A348" s="3" t="s">
        <v>3482</v>
      </c>
      <c r="B348" s="133">
        <f>+'KY_Res by Plant Acct-P29 (Reg)'!B350</f>
        <v>-27253.380000000485</v>
      </c>
      <c r="C348" s="133"/>
      <c r="D348" s="133">
        <f>+'KY_Res by Plant Acct-P29 (Reg)'!D350</f>
        <v>-32530.68</v>
      </c>
      <c r="E348" s="133"/>
      <c r="F348" s="133">
        <f>+'KY_Res by Plant Acct-P29 (Reg)'!F350</f>
        <v>0</v>
      </c>
      <c r="G348" s="133"/>
      <c r="H348" s="133">
        <f>+'KY_Res by Plant Acct-P29 (Reg)'!H350</f>
        <v>0</v>
      </c>
      <c r="I348" s="133"/>
      <c r="J348" s="133">
        <f>+'KY_Res by Plant Acct-P29 (Reg)'!J350</f>
        <v>0</v>
      </c>
      <c r="K348" s="133"/>
      <c r="L348" s="133">
        <f>+'KY_Res by Plant Acct-P29 (Reg)'!L350</f>
        <v>0</v>
      </c>
      <c r="M348" s="133"/>
      <c r="N348" s="133">
        <f>+'KY_Res by Plant Acct-P29 (Reg)'!N350</f>
        <v>0</v>
      </c>
      <c r="O348" s="133"/>
      <c r="P348" s="133">
        <f>+'KY_Res by Plant Acct-P29 (Reg)'!P350</f>
        <v>0</v>
      </c>
      <c r="Q348" s="133"/>
      <c r="R348" s="133">
        <f t="shared" si="16"/>
        <v>-59784.060000000485</v>
      </c>
    </row>
    <row r="349" spans="1:18" outlineLevel="1" x14ac:dyDescent="0.2">
      <c r="A349" s="3" t="s">
        <v>3483</v>
      </c>
      <c r="B349" s="133">
        <f>+'KY_Res by Plant Acct-P29 (Reg)'!B351</f>
        <v>-2445.0099999999911</v>
      </c>
      <c r="C349" s="133"/>
      <c r="D349" s="133">
        <f>+'KY_Res by Plant Acct-P29 (Reg)'!D351</f>
        <v>0</v>
      </c>
      <c r="E349" s="133"/>
      <c r="F349" s="133">
        <f>+'KY_Res by Plant Acct-P29 (Reg)'!F351</f>
        <v>0</v>
      </c>
      <c r="G349" s="133"/>
      <c r="H349" s="133">
        <f>+'KY_Res by Plant Acct-P29 (Reg)'!H351</f>
        <v>0</v>
      </c>
      <c r="I349" s="133"/>
      <c r="J349" s="133">
        <f>+'KY_Res by Plant Acct-P29 (Reg)'!J351</f>
        <v>0</v>
      </c>
      <c r="K349" s="133"/>
      <c r="L349" s="133">
        <f>+'KY_Res by Plant Acct-P29 (Reg)'!L351</f>
        <v>0</v>
      </c>
      <c r="M349" s="133"/>
      <c r="N349" s="133">
        <f>+'KY_Res by Plant Acct-P29 (Reg)'!N351</f>
        <v>0</v>
      </c>
      <c r="O349" s="133"/>
      <c r="P349" s="133">
        <f>+'KY_Res by Plant Acct-P29 (Reg)'!P351</f>
        <v>0</v>
      </c>
      <c r="Q349" s="133"/>
      <c r="R349" s="133">
        <f t="shared" si="16"/>
        <v>-2445.0099999999911</v>
      </c>
    </row>
    <row r="350" spans="1:18" outlineLevel="1" x14ac:dyDescent="0.2">
      <c r="A350" s="21" t="s">
        <v>3681</v>
      </c>
      <c r="B350" s="133">
        <f>+'KY_Res by Plant Acct-P29 (Reg)'!B352</f>
        <v>-49037.770000000004</v>
      </c>
      <c r="C350" s="133"/>
      <c r="D350" s="133">
        <f>+'KY_Res by Plant Acct-P29 (Reg)'!D352</f>
        <v>-13979.46</v>
      </c>
      <c r="E350" s="133"/>
      <c r="F350" s="133">
        <f>+'KY_Res by Plant Acct-P29 (Reg)'!F352</f>
        <v>0</v>
      </c>
      <c r="G350" s="133"/>
      <c r="H350" s="133">
        <f>+'KY_Res by Plant Acct-P29 (Reg)'!H352</f>
        <v>0</v>
      </c>
      <c r="I350" s="133"/>
      <c r="J350" s="133">
        <f>+'KY_Res by Plant Acct-P29 (Reg)'!J352</f>
        <v>0</v>
      </c>
      <c r="K350" s="133"/>
      <c r="L350" s="133">
        <f>+'KY_Res by Plant Acct-P29 (Reg)'!L352</f>
        <v>0</v>
      </c>
      <c r="M350" s="133"/>
      <c r="N350" s="133">
        <f>+'KY_Res by Plant Acct-P29 (Reg)'!N352</f>
        <v>0</v>
      </c>
      <c r="O350" s="133"/>
      <c r="P350" s="133">
        <f>+'KY_Res by Plant Acct-P29 (Reg)'!P352</f>
        <v>0</v>
      </c>
      <c r="Q350" s="133"/>
      <c r="R350" s="133">
        <f t="shared" si="16"/>
        <v>-63017.23</v>
      </c>
    </row>
    <row r="351" spans="1:18" outlineLevel="1" x14ac:dyDescent="0.2">
      <c r="A351" s="21" t="s">
        <v>3682</v>
      </c>
      <c r="B351" s="133">
        <f>+'KY_Res by Plant Acct-P29 (Reg)'!B353</f>
        <v>-23.78</v>
      </c>
      <c r="C351" s="133"/>
      <c r="D351" s="133">
        <f>+'KY_Res by Plant Acct-P29 (Reg)'!D353</f>
        <v>-696.2</v>
      </c>
      <c r="E351" s="133"/>
      <c r="F351" s="133">
        <f>+'KY_Res by Plant Acct-P29 (Reg)'!F353</f>
        <v>0</v>
      </c>
      <c r="G351" s="133"/>
      <c r="H351" s="133">
        <f>+'KY_Res by Plant Acct-P29 (Reg)'!H353</f>
        <v>0</v>
      </c>
      <c r="I351" s="133"/>
      <c r="J351" s="133">
        <f>+'KY_Res by Plant Acct-P29 (Reg)'!J353</f>
        <v>0</v>
      </c>
      <c r="K351" s="133"/>
      <c r="L351" s="133">
        <f>+'KY_Res by Plant Acct-P29 (Reg)'!L353</f>
        <v>0</v>
      </c>
      <c r="M351" s="133"/>
      <c r="N351" s="133">
        <f>+'KY_Res by Plant Acct-P29 (Reg)'!N353</f>
        <v>0</v>
      </c>
      <c r="O351" s="133"/>
      <c r="P351" s="133">
        <f>+'KY_Res by Plant Acct-P29 (Reg)'!P353</f>
        <v>0</v>
      </c>
      <c r="Q351" s="133"/>
      <c r="R351" s="133">
        <f t="shared" si="16"/>
        <v>-719.98</v>
      </c>
    </row>
    <row r="352" spans="1:18" outlineLevel="1" x14ac:dyDescent="0.2">
      <c r="A352" s="21" t="s">
        <v>3486</v>
      </c>
      <c r="B352" s="133">
        <f>+'KY_Res by Plant Acct-P29 (Reg)'!B354</f>
        <v>-619.99</v>
      </c>
      <c r="C352" s="133"/>
      <c r="D352" s="133">
        <f>+'KY_Res by Plant Acct-P29 (Reg)'!D354</f>
        <v>-411.78</v>
      </c>
      <c r="E352" s="133"/>
      <c r="F352" s="133">
        <f>+'KY_Res by Plant Acct-P29 (Reg)'!F354</f>
        <v>0</v>
      </c>
      <c r="G352" s="133"/>
      <c r="H352" s="133">
        <f>+'KY_Res by Plant Acct-P29 (Reg)'!H354</f>
        <v>0</v>
      </c>
      <c r="I352" s="133"/>
      <c r="J352" s="133">
        <f>+'KY_Res by Plant Acct-P29 (Reg)'!J354</f>
        <v>0</v>
      </c>
      <c r="K352" s="133"/>
      <c r="L352" s="133">
        <f>+'KY_Res by Plant Acct-P29 (Reg)'!L354</f>
        <v>0</v>
      </c>
      <c r="M352" s="133"/>
      <c r="N352" s="133">
        <f>+'KY_Res by Plant Acct-P29 (Reg)'!N354</f>
        <v>0</v>
      </c>
      <c r="O352" s="133"/>
      <c r="P352" s="133">
        <f>+'KY_Res by Plant Acct-P29 (Reg)'!P354</f>
        <v>0</v>
      </c>
      <c r="Q352" s="133"/>
      <c r="R352" s="133">
        <f>SUM(B352:P352)</f>
        <v>-1031.77</v>
      </c>
    </row>
    <row r="353" spans="1:18" outlineLevel="1" x14ac:dyDescent="0.2">
      <c r="A353" s="21" t="s">
        <v>3487</v>
      </c>
      <c r="B353" s="133">
        <f>+'KY_Res by Plant Acct-P29 (Reg)'!B355</f>
        <v>-120.35</v>
      </c>
      <c r="C353" s="133"/>
      <c r="D353" s="133">
        <f>+'KY_Res by Plant Acct-P29 (Reg)'!D355</f>
        <v>-79.86</v>
      </c>
      <c r="E353" s="133"/>
      <c r="F353" s="133">
        <f>+'KY_Res by Plant Acct-P29 (Reg)'!F355</f>
        <v>0</v>
      </c>
      <c r="G353" s="133"/>
      <c r="H353" s="133">
        <f>+'KY_Res by Plant Acct-P29 (Reg)'!H355</f>
        <v>0</v>
      </c>
      <c r="I353" s="133"/>
      <c r="J353" s="133">
        <f>+'KY_Res by Plant Acct-P29 (Reg)'!J355</f>
        <v>0</v>
      </c>
      <c r="K353" s="133"/>
      <c r="L353" s="133">
        <f>+'KY_Res by Plant Acct-P29 (Reg)'!L355</f>
        <v>0</v>
      </c>
      <c r="M353" s="133"/>
      <c r="N353" s="133">
        <f>+'KY_Res by Plant Acct-P29 (Reg)'!N355</f>
        <v>0</v>
      </c>
      <c r="O353" s="133"/>
      <c r="P353" s="133">
        <f>+'KY_Res by Plant Acct-P29 (Reg)'!P355</f>
        <v>0</v>
      </c>
      <c r="Q353" s="133"/>
      <c r="R353" s="133">
        <f>SUM(B353:P353)</f>
        <v>-200.20999999999998</v>
      </c>
    </row>
    <row r="354" spans="1:18" outlineLevel="1" x14ac:dyDescent="0.2">
      <c r="A354" s="21" t="s">
        <v>3683</v>
      </c>
      <c r="B354" s="133">
        <f>+'KY_Res by Plant Acct-P29 (Reg)'!B356</f>
        <v>-24318.100000000002</v>
      </c>
      <c r="C354" s="133"/>
      <c r="D354" s="133">
        <f>+'KY_Res by Plant Acct-P29 (Reg)'!D356</f>
        <v>-11527.74</v>
      </c>
      <c r="E354" s="133"/>
      <c r="F354" s="133">
        <f>+'KY_Res by Plant Acct-P29 (Reg)'!F356</f>
        <v>0</v>
      </c>
      <c r="G354" s="133"/>
      <c r="H354" s="133">
        <f>+'KY_Res by Plant Acct-P29 (Reg)'!H356</f>
        <v>0</v>
      </c>
      <c r="I354" s="133"/>
      <c r="J354" s="133">
        <f>+'KY_Res by Plant Acct-P29 (Reg)'!J356</f>
        <v>0</v>
      </c>
      <c r="K354" s="133"/>
      <c r="L354" s="133">
        <f>+'KY_Res by Plant Acct-P29 (Reg)'!L356</f>
        <v>0</v>
      </c>
      <c r="M354" s="133"/>
      <c r="N354" s="133">
        <f>+'KY_Res by Plant Acct-P29 (Reg)'!N356</f>
        <v>0</v>
      </c>
      <c r="O354" s="133"/>
      <c r="P354" s="133">
        <f>+'KY_Res by Plant Acct-P29 (Reg)'!P356</f>
        <v>0</v>
      </c>
      <c r="Q354" s="133"/>
      <c r="R354" s="133">
        <f>SUM(B354:P354)</f>
        <v>-35845.840000000004</v>
      </c>
    </row>
    <row r="355" spans="1:18" outlineLevel="1" x14ac:dyDescent="0.2">
      <c r="A355" s="3" t="s">
        <v>3489</v>
      </c>
      <c r="B355" s="133">
        <f>+'KY_Res by Plant Acct-P29 (Reg)'!B357</f>
        <v>-546949.86</v>
      </c>
      <c r="C355" s="133"/>
      <c r="D355" s="133">
        <f>+'KY_Res by Plant Acct-P29 (Reg)'!D357</f>
        <v>-24479.69</v>
      </c>
      <c r="E355" s="133"/>
      <c r="F355" s="133">
        <f>+'KY_Res by Plant Acct-P29 (Reg)'!F357</f>
        <v>11510.14</v>
      </c>
      <c r="G355" s="133"/>
      <c r="H355" s="133">
        <f>+'KY_Res by Plant Acct-P29 (Reg)'!H357</f>
        <v>0</v>
      </c>
      <c r="I355" s="133"/>
      <c r="J355" s="133">
        <f>+'KY_Res by Plant Acct-P29 (Reg)'!J357</f>
        <v>0</v>
      </c>
      <c r="K355" s="133"/>
      <c r="L355" s="133">
        <f>+'KY_Res by Plant Acct-P29 (Reg)'!L357</f>
        <v>0</v>
      </c>
      <c r="M355" s="133"/>
      <c r="N355" s="133">
        <f>+'KY_Res by Plant Acct-P29 (Reg)'!N357</f>
        <v>0</v>
      </c>
      <c r="O355" s="133"/>
      <c r="P355" s="133">
        <f>+'KY_Res by Plant Acct-P29 (Reg)'!P357</f>
        <v>0</v>
      </c>
      <c r="Q355" s="133"/>
      <c r="R355" s="133">
        <f t="shared" si="16"/>
        <v>-559919.40999999992</v>
      </c>
    </row>
    <row r="356" spans="1:18" outlineLevel="1" x14ac:dyDescent="0.2">
      <c r="A356" s="3" t="s">
        <v>3684</v>
      </c>
      <c r="B356" s="133">
        <f>+'KY_Res by Plant Acct-P29 (Reg)'!B358</f>
        <v>-109994.74999999997</v>
      </c>
      <c r="C356" s="133"/>
      <c r="D356" s="133">
        <f>+'KY_Res by Plant Acct-P29 (Reg)'!D358</f>
        <v>-2877.59</v>
      </c>
      <c r="E356" s="133"/>
      <c r="F356" s="133">
        <f>+'KY_Res by Plant Acct-P29 (Reg)'!F358</f>
        <v>22659.23</v>
      </c>
      <c r="G356" s="133"/>
      <c r="H356" s="133">
        <f>+'KY_Res by Plant Acct-P29 (Reg)'!H358</f>
        <v>0</v>
      </c>
      <c r="I356" s="133"/>
      <c r="J356" s="133">
        <f>+'KY_Res by Plant Acct-P29 (Reg)'!J358</f>
        <v>0</v>
      </c>
      <c r="K356" s="133"/>
      <c r="L356" s="133">
        <f>+'KY_Res by Plant Acct-P29 (Reg)'!L358</f>
        <v>0</v>
      </c>
      <c r="M356" s="133"/>
      <c r="N356" s="133">
        <f>+'KY_Res by Plant Acct-P29 (Reg)'!N358</f>
        <v>0</v>
      </c>
      <c r="O356" s="133"/>
      <c r="P356" s="133">
        <f>+'KY_Res by Plant Acct-P29 (Reg)'!P358</f>
        <v>0</v>
      </c>
      <c r="Q356" s="133"/>
      <c r="R356" s="133">
        <f t="shared" si="16"/>
        <v>-90213.109999999971</v>
      </c>
    </row>
    <row r="357" spans="1:18" outlineLevel="1" x14ac:dyDescent="0.2">
      <c r="A357" s="3" t="s">
        <v>3685</v>
      </c>
      <c r="B357" s="133">
        <f>+'KY_Res by Plant Acct-P29 (Reg)'!B359</f>
        <v>-341275.35999999993</v>
      </c>
      <c r="C357" s="133"/>
      <c r="D357" s="133">
        <f>+'KY_Res by Plant Acct-P29 (Reg)'!D359</f>
        <v>-4597.3100000000004</v>
      </c>
      <c r="E357" s="133"/>
      <c r="F357" s="133">
        <f>+'KY_Res by Plant Acct-P29 (Reg)'!F359</f>
        <v>11321.83</v>
      </c>
      <c r="G357" s="133"/>
      <c r="H357" s="133">
        <f>+'KY_Res by Plant Acct-P29 (Reg)'!H359</f>
        <v>0</v>
      </c>
      <c r="I357" s="133"/>
      <c r="J357" s="133">
        <f>+'KY_Res by Plant Acct-P29 (Reg)'!J359</f>
        <v>0</v>
      </c>
      <c r="K357" s="133"/>
      <c r="L357" s="133">
        <f>+'KY_Res by Plant Acct-P29 (Reg)'!L359</f>
        <v>0</v>
      </c>
      <c r="M357" s="133"/>
      <c r="N357" s="133">
        <f>+'KY_Res by Plant Acct-P29 (Reg)'!N359</f>
        <v>0</v>
      </c>
      <c r="O357" s="133"/>
      <c r="P357" s="133">
        <f>+'KY_Res by Plant Acct-P29 (Reg)'!P359</f>
        <v>0</v>
      </c>
      <c r="Q357" s="133"/>
      <c r="R357" s="133">
        <f t="shared" si="16"/>
        <v>-334550.83999999991</v>
      </c>
    </row>
    <row r="358" spans="1:18" outlineLevel="1" x14ac:dyDescent="0.2">
      <c r="A358" s="3" t="s">
        <v>3686</v>
      </c>
      <c r="B358" s="133">
        <f>+'KY_Res by Plant Acct-P29 (Reg)'!B360</f>
        <v>-3510356.4</v>
      </c>
      <c r="C358" s="133"/>
      <c r="D358" s="133">
        <f>+'KY_Res by Plant Acct-P29 (Reg)'!D360</f>
        <v>-283955.44</v>
      </c>
      <c r="E358" s="133"/>
      <c r="F358" s="133">
        <f>+'KY_Res by Plant Acct-P29 (Reg)'!F360</f>
        <v>143251.29999999999</v>
      </c>
      <c r="G358" s="133"/>
      <c r="H358" s="133">
        <f>+'KY_Res by Plant Acct-P29 (Reg)'!H360</f>
        <v>0</v>
      </c>
      <c r="I358" s="133"/>
      <c r="J358" s="133">
        <f>+'KY_Res by Plant Acct-P29 (Reg)'!J360</f>
        <v>0</v>
      </c>
      <c r="K358" s="133"/>
      <c r="L358" s="133">
        <f>+'KY_Res by Plant Acct-P29 (Reg)'!L360</f>
        <v>0</v>
      </c>
      <c r="M358" s="133"/>
      <c r="N358" s="133">
        <f>+'KY_Res by Plant Acct-P29 (Reg)'!N360</f>
        <v>0</v>
      </c>
      <c r="O358" s="133"/>
      <c r="P358" s="133">
        <f>+'KY_Res by Plant Acct-P29 (Reg)'!P360</f>
        <v>0</v>
      </c>
      <c r="Q358" s="133"/>
      <c r="R358" s="133">
        <f t="shared" si="16"/>
        <v>-3651060.54</v>
      </c>
    </row>
    <row r="359" spans="1:18" outlineLevel="1" x14ac:dyDescent="0.2">
      <c r="A359" s="3" t="s">
        <v>3493</v>
      </c>
      <c r="B359" s="133">
        <f>+'KY_Res by Plant Acct-P29 (Reg)'!B361</f>
        <v>-13315.729999999996</v>
      </c>
      <c r="C359" s="133"/>
      <c r="D359" s="133">
        <f>+'KY_Res by Plant Acct-P29 (Reg)'!D361</f>
        <v>-935.52</v>
      </c>
      <c r="E359" s="133"/>
      <c r="F359" s="133">
        <f>+'KY_Res by Plant Acct-P29 (Reg)'!F361</f>
        <v>0</v>
      </c>
      <c r="G359" s="133"/>
      <c r="H359" s="133">
        <f>+'KY_Res by Plant Acct-P29 (Reg)'!H361</f>
        <v>0</v>
      </c>
      <c r="I359" s="133"/>
      <c r="J359" s="133">
        <f>+'KY_Res by Plant Acct-P29 (Reg)'!J361</f>
        <v>0</v>
      </c>
      <c r="K359" s="133"/>
      <c r="L359" s="133">
        <f>+'KY_Res by Plant Acct-P29 (Reg)'!L361</f>
        <v>0</v>
      </c>
      <c r="M359" s="133"/>
      <c r="N359" s="133">
        <f>+'KY_Res by Plant Acct-P29 (Reg)'!N361</f>
        <v>0</v>
      </c>
      <c r="O359" s="133"/>
      <c r="P359" s="133">
        <f>+'KY_Res by Plant Acct-P29 (Reg)'!P361</f>
        <v>0</v>
      </c>
      <c r="Q359" s="133"/>
      <c r="R359" s="133">
        <f t="shared" si="16"/>
        <v>-14251.249999999996</v>
      </c>
    </row>
    <row r="360" spans="1:18" outlineLevel="1" x14ac:dyDescent="0.2">
      <c r="A360" s="3" t="s">
        <v>3494</v>
      </c>
      <c r="B360" s="133">
        <f>+'KY_Res by Plant Acct-P29 (Reg)'!B362</f>
        <v>-1558835.6</v>
      </c>
      <c r="C360" s="133"/>
      <c r="D360" s="133">
        <f>+'KY_Res by Plant Acct-P29 (Reg)'!D362</f>
        <v>-76373.570000000007</v>
      </c>
      <c r="E360" s="133"/>
      <c r="F360" s="133">
        <f>+'KY_Res by Plant Acct-P29 (Reg)'!F362</f>
        <v>0</v>
      </c>
      <c r="G360" s="133"/>
      <c r="H360" s="133">
        <f>+'KY_Res by Plant Acct-P29 (Reg)'!H362</f>
        <v>0</v>
      </c>
      <c r="I360" s="133"/>
      <c r="J360" s="133">
        <f>+'KY_Res by Plant Acct-P29 (Reg)'!J362</f>
        <v>0</v>
      </c>
      <c r="K360" s="133"/>
      <c r="L360" s="133">
        <f>+'KY_Res by Plant Acct-P29 (Reg)'!L362</f>
        <v>0</v>
      </c>
      <c r="M360" s="133"/>
      <c r="N360" s="133">
        <f>+'KY_Res by Plant Acct-P29 (Reg)'!N362</f>
        <v>0</v>
      </c>
      <c r="O360" s="133"/>
      <c r="P360" s="133">
        <f>+'KY_Res by Plant Acct-P29 (Reg)'!P362</f>
        <v>0</v>
      </c>
      <c r="Q360" s="133"/>
      <c r="R360" s="133">
        <f>SUM(B360:P360)</f>
        <v>-1635209.1700000002</v>
      </c>
    </row>
    <row r="361" spans="1:18" outlineLevel="1" x14ac:dyDescent="0.2">
      <c r="A361" s="3" t="s">
        <v>3495</v>
      </c>
      <c r="B361" s="133">
        <f>+'KY_Res by Plant Acct-P29 (Reg)'!B363</f>
        <v>-323233.85000000003</v>
      </c>
      <c r="C361" s="133"/>
      <c r="D361" s="133">
        <f>+'KY_Res by Plant Acct-P29 (Reg)'!D363</f>
        <v>-80260</v>
      </c>
      <c r="E361" s="133"/>
      <c r="F361" s="133">
        <f>+'KY_Res by Plant Acct-P29 (Reg)'!F363</f>
        <v>18624.45</v>
      </c>
      <c r="G361" s="133"/>
      <c r="H361" s="133">
        <f>+'KY_Res by Plant Acct-P29 (Reg)'!H363</f>
        <v>0</v>
      </c>
      <c r="I361" s="133"/>
      <c r="J361" s="133">
        <f>+'KY_Res by Plant Acct-P29 (Reg)'!J363</f>
        <v>0</v>
      </c>
      <c r="K361" s="133"/>
      <c r="L361" s="133">
        <f>+'KY_Res by Plant Acct-P29 (Reg)'!L363</f>
        <v>0</v>
      </c>
      <c r="M361" s="133"/>
      <c r="N361" s="133">
        <f>+'KY_Res by Plant Acct-P29 (Reg)'!N363</f>
        <v>0</v>
      </c>
      <c r="O361" s="133"/>
      <c r="P361" s="133">
        <f>+'KY_Res by Plant Acct-P29 (Reg)'!P363</f>
        <v>0</v>
      </c>
      <c r="Q361" s="133"/>
      <c r="R361" s="133">
        <f t="shared" si="16"/>
        <v>-384869.4</v>
      </c>
    </row>
    <row r="362" spans="1:18" x14ac:dyDescent="0.2">
      <c r="A362" s="3" t="s">
        <v>3496</v>
      </c>
      <c r="B362" s="133">
        <f>SUM(B342:B361)</f>
        <v>-6567494.8399999999</v>
      </c>
      <c r="C362" s="133"/>
      <c r="D362" s="133">
        <f>SUM(D342:D361)</f>
        <v>-542941.19999999995</v>
      </c>
      <c r="E362" s="133"/>
      <c r="F362" s="133">
        <f>SUM(F342:F361)</f>
        <v>207366.95</v>
      </c>
      <c r="G362" s="133"/>
      <c r="H362" s="133">
        <f>SUM(H342:H361)</f>
        <v>0</v>
      </c>
      <c r="I362" s="133"/>
      <c r="J362" s="133">
        <f>SUM(J342:J361)</f>
        <v>0</v>
      </c>
      <c r="K362" s="133"/>
      <c r="L362" s="133">
        <f>SUM(L342:L361)</f>
        <v>0</v>
      </c>
      <c r="M362" s="133"/>
      <c r="N362" s="133">
        <f>SUM(N342:N361)</f>
        <v>0</v>
      </c>
      <c r="O362" s="133"/>
      <c r="P362" s="133">
        <f>SUM(P342:P361)</f>
        <v>0</v>
      </c>
      <c r="Q362" s="133"/>
      <c r="R362" s="133">
        <f>SUM(R342:R361)</f>
        <v>-6903069.0900000008</v>
      </c>
    </row>
    <row r="363" spans="1:18" x14ac:dyDescent="0.2">
      <c r="A363" s="3" t="s">
        <v>3497</v>
      </c>
      <c r="B363" s="133">
        <f>+'KY_Res by Plant Acct-P29 (Reg)'!B365</f>
        <v>-19536682.629999995</v>
      </c>
      <c r="C363" s="133"/>
      <c r="D363" s="133">
        <f>+'KY_Res by Plant Acct-P29 (Reg)'!D365</f>
        <v>-9213039.25</v>
      </c>
      <c r="E363" s="133"/>
      <c r="F363" s="133">
        <f>+'KY_Res by Plant Acct-P29 (Reg)'!F365</f>
        <v>20817965.800000001</v>
      </c>
      <c r="G363" s="133"/>
      <c r="H363" s="133">
        <f>+'KY_Res by Plant Acct-P29 (Reg)'!H365</f>
        <v>0</v>
      </c>
      <c r="I363" s="133"/>
      <c r="J363" s="133">
        <f>+'KY_Res by Plant Acct-P29 (Reg)'!J365</f>
        <v>0</v>
      </c>
      <c r="K363" s="133"/>
      <c r="L363" s="133">
        <f>+'KY_Res by Plant Acct-P29 (Reg)'!L365</f>
        <v>0</v>
      </c>
      <c r="M363" s="133"/>
      <c r="N363" s="133">
        <f>+'KY_Res by Plant Acct-P29 (Reg)'!N365</f>
        <v>0</v>
      </c>
      <c r="O363" s="133"/>
      <c r="P363" s="133">
        <f>+'KY_Res by Plant Acct-P29 (Reg)'!P365</f>
        <v>0</v>
      </c>
      <c r="Q363" s="133"/>
      <c r="R363" s="133">
        <f>SUM(B363:P363)</f>
        <v>-7931756.0799999945</v>
      </c>
    </row>
    <row r="364" spans="1:18" x14ac:dyDescent="0.2">
      <c r="A364" s="21" t="s">
        <v>3498</v>
      </c>
      <c r="B364" s="151">
        <f>+'KY_Res by Plant Acct-P29 (Reg)'!B366</f>
        <v>-20285465.07</v>
      </c>
      <c r="C364" s="133"/>
      <c r="D364" s="151">
        <f>+'KY_Res by Plant Acct-P29 (Reg)'!D366</f>
        <v>-7795396.0300000003</v>
      </c>
      <c r="E364" s="133"/>
      <c r="F364" s="151">
        <f>+'KY_Res by Plant Acct-P29 (Reg)'!F366</f>
        <v>0</v>
      </c>
      <c r="G364" s="133"/>
      <c r="H364" s="151">
        <f>+'KY_Res by Plant Acct-P29 (Reg)'!H366</f>
        <v>0</v>
      </c>
      <c r="I364" s="133"/>
      <c r="J364" s="151">
        <f>+'KY_Res by Plant Acct-P29 (Reg)'!J366</f>
        <v>0</v>
      </c>
      <c r="K364" s="133"/>
      <c r="L364" s="151">
        <f>+'KY_Res by Plant Acct-P29 (Reg)'!L366</f>
        <v>0</v>
      </c>
      <c r="M364" s="133"/>
      <c r="N364" s="151">
        <f>+'KY_Res by Plant Acct-P29 (Reg)'!N366</f>
        <v>0</v>
      </c>
      <c r="O364" s="133"/>
      <c r="P364" s="151">
        <f>+'KY_Res by Plant Acct-P29 (Reg)'!P366</f>
        <v>0</v>
      </c>
      <c r="Q364" s="133"/>
      <c r="R364" s="151">
        <f>SUM(B364:P364)</f>
        <v>-28080861.100000001</v>
      </c>
    </row>
    <row r="365" spans="1:18" x14ac:dyDescent="0.2">
      <c r="B365" s="133">
        <f>B363+B362+B332+B301+B287+B284+B218+B209+B172+B341+B222+B219+B364</f>
        <v>-871454851.30000007</v>
      </c>
      <c r="C365" s="133"/>
      <c r="D365" s="133">
        <f>D363+D362+D332+D301+D287+D284+D218+D209+D172+D341+D222+D219+D364</f>
        <v>-83310560.510000005</v>
      </c>
      <c r="E365" s="133"/>
      <c r="F365" s="133">
        <f>F363+F362+F332+F301+F287+F284+F218+F209+F172+F341+F222+F219+F364</f>
        <v>35554931.540000007</v>
      </c>
      <c r="G365" s="133"/>
      <c r="H365" s="133">
        <f>H363+H362+H332+H301+H287+H284+H218+H209+H172+H341+H222+H219+H364</f>
        <v>0</v>
      </c>
      <c r="I365" s="133"/>
      <c r="J365" s="133">
        <f>J363+J362+J332+J301+J287+J284+J218+J209+J172+J341+J222+J219+J364</f>
        <v>0</v>
      </c>
      <c r="K365" s="133"/>
      <c r="L365" s="133">
        <f>L363+L362+L332+L301+L287+L284+L218+L209+L172+L341+L222+L219+L364</f>
        <v>30855487.049999997</v>
      </c>
      <c r="M365" s="133"/>
      <c r="N365" s="133">
        <f>N363+N362+N332+N301+N287+N284+N218+N209+N172+N341+N222+N219+N364</f>
        <v>-815417.90999999992</v>
      </c>
      <c r="O365" s="133"/>
      <c r="P365" s="133">
        <f>P363+P362+P332+P301+P287+P284+P218+P209+P172+P341+P222+P219+P364</f>
        <v>-339709.05</v>
      </c>
      <c r="Q365" s="133"/>
      <c r="R365" s="133">
        <f>R363+R362+R332+R301+R287+R284+R218+R209+R172+R341+R222+R219+R364</f>
        <v>-889510120.17999983</v>
      </c>
    </row>
    <row r="366" spans="1:18" x14ac:dyDescent="0.2"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</row>
    <row r="367" spans="1:18" x14ac:dyDescent="0.2">
      <c r="A367" s="9" t="s">
        <v>24</v>
      </c>
      <c r="B367" s="136"/>
      <c r="C367" s="133"/>
      <c r="D367" s="136"/>
      <c r="E367" s="133"/>
      <c r="F367" s="136"/>
      <c r="G367" s="133"/>
      <c r="H367" s="136"/>
      <c r="I367" s="133"/>
      <c r="J367" s="136"/>
      <c r="K367" s="133"/>
      <c r="L367" s="136"/>
      <c r="M367" s="133"/>
      <c r="N367" s="136"/>
      <c r="O367" s="133"/>
      <c r="P367" s="136"/>
      <c r="Q367" s="133"/>
      <c r="R367" s="136"/>
    </row>
    <row r="368" spans="1:18" ht="12" customHeight="1" x14ac:dyDescent="0.2">
      <c r="A368" s="3" t="s">
        <v>3687</v>
      </c>
      <c r="B368" s="136">
        <f>+'KY_Res by Plant Acct-P29 (Reg)'!B370+'IN_Res by Plant Acct-P30 (Reg)'!B15</f>
        <v>-3093851.3200000003</v>
      </c>
      <c r="C368" s="133"/>
      <c r="D368" s="136">
        <f>+'KY_Res by Plant Acct-P29 (Reg)'!D370+'IN_Res by Plant Acct-P30 (Reg)'!D15</f>
        <v>-113356.98</v>
      </c>
      <c r="E368" s="133"/>
      <c r="F368" s="136">
        <f>+'KY_Res by Plant Acct-P29 (Reg)'!F370+'IN_Res by Plant Acct-P30 (Reg)'!F15</f>
        <v>0</v>
      </c>
      <c r="G368" s="133"/>
      <c r="H368" s="136">
        <f>+'KY_Res by Plant Acct-P29 (Reg)'!H370+'IN_Res by Plant Acct-P30 (Reg)'!H15</f>
        <v>0</v>
      </c>
      <c r="I368" s="133"/>
      <c r="J368" s="136">
        <f>+'KY_Res by Plant Acct-P29 (Reg)'!J370+'IN_Res by Plant Acct-P30 (Reg)'!J15</f>
        <v>0</v>
      </c>
      <c r="K368" s="133"/>
      <c r="L368" s="136">
        <f>+'KY_Res by Plant Acct-P29 (Reg)'!L370+'IN_Res by Plant Acct-P30 (Reg)'!L15</f>
        <v>0</v>
      </c>
      <c r="M368" s="133"/>
      <c r="N368" s="136">
        <f>+'KY_Res by Plant Acct-P29 (Reg)'!N370+'IN_Res by Plant Acct-P30 (Reg)'!N15</f>
        <v>0</v>
      </c>
      <c r="O368" s="133"/>
      <c r="P368" s="136">
        <f>+'KY_Res by Plant Acct-P29 (Reg)'!P370+'IN_Res by Plant Acct-P30 (Reg)'!P15</f>
        <v>0</v>
      </c>
      <c r="Q368" s="133"/>
      <c r="R368" s="133">
        <f>SUM(B368:P368)</f>
        <v>-3207208.3000000003</v>
      </c>
    </row>
    <row r="369" spans="1:18" x14ac:dyDescent="0.2">
      <c r="A369" s="3" t="s">
        <v>3688</v>
      </c>
      <c r="B369" s="136">
        <f>+'KY_Res by Plant Acct-P29 (Reg)'!B371+'IN_Res by Plant Acct-P30 (Reg)'!B16</f>
        <v>0</v>
      </c>
      <c r="C369" s="133"/>
      <c r="D369" s="136">
        <f>+'KY_Res by Plant Acct-P29 (Reg)'!D371+'IN_Res by Plant Acct-P30 (Reg)'!D16</f>
        <v>0</v>
      </c>
      <c r="E369" s="133"/>
      <c r="F369" s="136">
        <f>+'KY_Res by Plant Acct-P29 (Reg)'!F371+'IN_Res by Plant Acct-P30 (Reg)'!F16</f>
        <v>0</v>
      </c>
      <c r="G369" s="133"/>
      <c r="H369" s="136">
        <f>+'KY_Res by Plant Acct-P29 (Reg)'!H371+'IN_Res by Plant Acct-P30 (Reg)'!H16</f>
        <v>0</v>
      </c>
      <c r="I369" s="133"/>
      <c r="J369" s="136">
        <f>+'KY_Res by Plant Acct-P29 (Reg)'!J371+'IN_Res by Plant Acct-P30 (Reg)'!J16</f>
        <v>0</v>
      </c>
      <c r="K369" s="133"/>
      <c r="L369" s="136">
        <f>+'KY_Res by Plant Acct-P29 (Reg)'!L371+'IN_Res by Plant Acct-P30 (Reg)'!L16</f>
        <v>0</v>
      </c>
      <c r="M369" s="133"/>
      <c r="N369" s="136">
        <f>+'KY_Res by Plant Acct-P29 (Reg)'!N371+'IN_Res by Plant Acct-P30 (Reg)'!N16</f>
        <v>0</v>
      </c>
      <c r="O369" s="133"/>
      <c r="P369" s="136">
        <f>+'KY_Res by Plant Acct-P29 (Reg)'!P371+'IN_Res by Plant Acct-P30 (Reg)'!P16</f>
        <v>0</v>
      </c>
      <c r="Q369" s="133"/>
      <c r="R369" s="133">
        <f t="shared" ref="R369:R386" si="18">SUM(B369:P369)</f>
        <v>0</v>
      </c>
    </row>
    <row r="370" spans="1:18" x14ac:dyDescent="0.2">
      <c r="A370" s="3" t="s">
        <v>3689</v>
      </c>
      <c r="B370" s="136">
        <f>+'KY_Res by Plant Acct-P29 (Reg)'!B372+'IN_Res by Plant Acct-P30 (Reg)'!B17</f>
        <v>-2056775.5699999998</v>
      </c>
      <c r="C370" s="133"/>
      <c r="D370" s="136">
        <f>+'KY_Res by Plant Acct-P29 (Reg)'!D372+'IN_Res by Plant Acct-P30 (Reg)'!D17</f>
        <v>-293892.25</v>
      </c>
      <c r="E370" s="133"/>
      <c r="F370" s="136">
        <f>+'KY_Res by Plant Acct-P29 (Reg)'!F372+'IN_Res by Plant Acct-P30 (Reg)'!F17</f>
        <v>26705.65</v>
      </c>
      <c r="G370" s="133"/>
      <c r="H370" s="136">
        <f>+'KY_Res by Plant Acct-P29 (Reg)'!H372+'IN_Res by Plant Acct-P30 (Reg)'!H17</f>
        <v>7750.55</v>
      </c>
      <c r="I370" s="133"/>
      <c r="J370" s="136">
        <f>+'KY_Res by Plant Acct-P29 (Reg)'!J372+'IN_Res by Plant Acct-P30 (Reg)'!J17</f>
        <v>0</v>
      </c>
      <c r="K370" s="133"/>
      <c r="L370" s="136">
        <f>+'KY_Res by Plant Acct-P29 (Reg)'!L372+'IN_Res by Plant Acct-P30 (Reg)'!L17</f>
        <v>19272.759999999998</v>
      </c>
      <c r="M370" s="133"/>
      <c r="N370" s="136">
        <f>+'KY_Res by Plant Acct-P29 (Reg)'!N372+'IN_Res by Plant Acct-P30 (Reg)'!N17</f>
        <v>0</v>
      </c>
      <c r="O370" s="133"/>
      <c r="P370" s="136">
        <f>+'KY_Res by Plant Acct-P29 (Reg)'!P372+'IN_Res by Plant Acct-P30 (Reg)'!P17</f>
        <v>0</v>
      </c>
      <c r="Q370" s="133"/>
      <c r="R370" s="133">
        <f t="shared" si="18"/>
        <v>-2296938.8600000003</v>
      </c>
    </row>
    <row r="371" spans="1:18" x14ac:dyDescent="0.2">
      <c r="A371" s="3" t="s">
        <v>3502</v>
      </c>
      <c r="B371" s="136">
        <f>+'KY_Res by Plant Acct-P29 (Reg)'!B373</f>
        <v>-88151.549999999988</v>
      </c>
      <c r="C371" s="133"/>
      <c r="D371" s="136">
        <f>+'KY_Res by Plant Acct-P29 (Reg)'!D373</f>
        <v>-3890.64</v>
      </c>
      <c r="E371" s="133"/>
      <c r="F371" s="136">
        <f>+'KY_Res by Plant Acct-P29 (Reg)'!F373</f>
        <v>0</v>
      </c>
      <c r="G371" s="133"/>
      <c r="H371" s="136">
        <f>+'KY_Res by Plant Acct-P29 (Reg)'!H373</f>
        <v>0</v>
      </c>
      <c r="I371" s="133"/>
      <c r="J371" s="136">
        <f>+'KY_Res by Plant Acct-P29 (Reg)'!J373</f>
        <v>0</v>
      </c>
      <c r="K371" s="133"/>
      <c r="L371" s="136">
        <f>+'KY_Res by Plant Acct-P29 (Reg)'!L373</f>
        <v>0</v>
      </c>
      <c r="M371" s="133"/>
      <c r="N371" s="136">
        <f>+'KY_Res by Plant Acct-P29 (Reg)'!N373</f>
        <v>0</v>
      </c>
      <c r="O371" s="133"/>
      <c r="P371" s="136">
        <f>+'KY_Res by Plant Acct-P29 (Reg)'!P373</f>
        <v>0</v>
      </c>
      <c r="Q371" s="133"/>
      <c r="R371" s="133">
        <f t="shared" si="18"/>
        <v>-92042.189999999988</v>
      </c>
    </row>
    <row r="372" spans="1:18" x14ac:dyDescent="0.2">
      <c r="A372" s="3" t="s">
        <v>3690</v>
      </c>
      <c r="B372" s="136">
        <f>+'KY_Res by Plant Acct-P29 (Reg)'!B375</f>
        <v>6.5369931689929217E-13</v>
      </c>
      <c r="C372" s="133"/>
      <c r="D372" s="136">
        <f>+'KY_Res by Plant Acct-P29 (Reg)'!D375</f>
        <v>0</v>
      </c>
      <c r="E372" s="133"/>
      <c r="F372" s="136">
        <f>+'KY_Res by Plant Acct-P29 (Reg)'!F375</f>
        <v>0</v>
      </c>
      <c r="G372" s="133"/>
      <c r="H372" s="136">
        <f>+'KY_Res by Plant Acct-P29 (Reg)'!H375</f>
        <v>0</v>
      </c>
      <c r="I372" s="133"/>
      <c r="J372" s="136">
        <f>+'KY_Res by Plant Acct-P29 (Reg)'!J375</f>
        <v>0</v>
      </c>
      <c r="K372" s="133"/>
      <c r="L372" s="136">
        <f>+'KY_Res by Plant Acct-P29 (Reg)'!L375</f>
        <v>0</v>
      </c>
      <c r="M372" s="133"/>
      <c r="N372" s="136">
        <f>+'KY_Res by Plant Acct-P29 (Reg)'!N375</f>
        <v>0</v>
      </c>
      <c r="O372" s="133"/>
      <c r="P372" s="136">
        <f>+'KY_Res by Plant Acct-P29 (Reg)'!P375</f>
        <v>0</v>
      </c>
      <c r="Q372" s="133"/>
      <c r="R372" s="133">
        <f>SUM(B372:P372)</f>
        <v>6.5369931689929217E-13</v>
      </c>
    </row>
    <row r="373" spans="1:18" x14ac:dyDescent="0.2">
      <c r="A373" s="3" t="s">
        <v>3503</v>
      </c>
      <c r="B373" s="136">
        <f>+'KY_Res by Plant Acct-P29 (Reg)'!B374</f>
        <v>0</v>
      </c>
      <c r="C373" s="133"/>
      <c r="D373" s="136">
        <f>+'KY_Res by Plant Acct-P29 (Reg)'!D374</f>
        <v>-33.840000000000003</v>
      </c>
      <c r="E373" s="133"/>
      <c r="F373" s="136">
        <f>+'KY_Res by Plant Acct-P29 (Reg)'!F374</f>
        <v>0</v>
      </c>
      <c r="G373" s="133"/>
      <c r="H373" s="136">
        <f>+'KY_Res by Plant Acct-P29 (Reg)'!H374</f>
        <v>0</v>
      </c>
      <c r="I373" s="133"/>
      <c r="J373" s="136">
        <f>+'KY_Res by Plant Acct-P29 (Reg)'!J374</f>
        <v>0</v>
      </c>
      <c r="K373" s="133"/>
      <c r="L373" s="136">
        <f>+'KY_Res by Plant Acct-P29 (Reg)'!L374</f>
        <v>0</v>
      </c>
      <c r="M373" s="133"/>
      <c r="N373" s="136">
        <f>+'KY_Res by Plant Acct-P29 (Reg)'!N374</f>
        <v>0</v>
      </c>
      <c r="O373" s="133"/>
      <c r="P373" s="136">
        <f>+'KY_Res by Plant Acct-P29 (Reg)'!P374</f>
        <v>0</v>
      </c>
      <c r="Q373" s="133"/>
      <c r="R373" s="133">
        <f>SUM(B373:P373)</f>
        <v>-33.840000000000003</v>
      </c>
    </row>
    <row r="374" spans="1:18" x14ac:dyDescent="0.2">
      <c r="A374" s="3" t="s">
        <v>3691</v>
      </c>
      <c r="B374" s="136">
        <f>+'KY_Res by Plant Acct-P29 (Reg)'!B376+'IN_Res by Plant Acct-P30 (Reg)'!B18</f>
        <v>-68788665.110000014</v>
      </c>
      <c r="C374" s="133"/>
      <c r="D374" s="136">
        <f>+'KY_Res by Plant Acct-P29 (Reg)'!D376+'IN_Res by Plant Acct-P30 (Reg)'!D18</f>
        <v>-2912634.8400000003</v>
      </c>
      <c r="E374" s="133"/>
      <c r="F374" s="136">
        <f>+'KY_Res by Plant Acct-P29 (Reg)'!F376+'IN_Res by Plant Acct-P30 (Reg)'!F18</f>
        <v>1324026.52</v>
      </c>
      <c r="G374" s="137"/>
      <c r="H374" s="136">
        <f>+'KY_Res by Plant Acct-P29 (Reg)'!H376+'IN_Res by Plant Acct-P30 (Reg)'!H18</f>
        <v>-327505.84999999998</v>
      </c>
      <c r="I374" s="137"/>
      <c r="J374" s="136">
        <f>+'KY_Res by Plant Acct-P29 (Reg)'!J376+'IN_Res by Plant Acct-P30 (Reg)'!J18</f>
        <v>0</v>
      </c>
      <c r="K374" s="137"/>
      <c r="L374" s="136">
        <f>+'KY_Res by Plant Acct-P29 (Reg)'!L376+'IN_Res by Plant Acct-P30 (Reg)'!L18</f>
        <v>1238941.98</v>
      </c>
      <c r="M374" s="137"/>
      <c r="N374" s="136">
        <f>+'KY_Res by Plant Acct-P29 (Reg)'!N376+'IN_Res by Plant Acct-P30 (Reg)'!N18</f>
        <v>-6270.33</v>
      </c>
      <c r="O374" s="133"/>
      <c r="P374" s="136">
        <f>+'KY_Res by Plant Acct-P29 (Reg)'!P376+'IN_Res by Plant Acct-P30 (Reg)'!P18</f>
        <v>0</v>
      </c>
      <c r="Q374" s="133"/>
      <c r="R374" s="133">
        <f t="shared" si="18"/>
        <v>-69472107.63000001</v>
      </c>
    </row>
    <row r="375" spans="1:18" x14ac:dyDescent="0.2">
      <c r="A375" s="3" t="s">
        <v>3506</v>
      </c>
      <c r="B375" s="136">
        <f>+'KY_Res by Plant Acct-P29 (Reg)'!B377</f>
        <v>-33814.400000000118</v>
      </c>
      <c r="C375" s="133"/>
      <c r="D375" s="136">
        <f>+'KY_Res by Plant Acct-P29 (Reg)'!D377</f>
        <v>-9183.06</v>
      </c>
      <c r="E375" s="133"/>
      <c r="F375" s="136">
        <f>+'KY_Res by Plant Acct-P29 (Reg)'!F377</f>
        <v>0</v>
      </c>
      <c r="G375" s="137"/>
      <c r="H375" s="136">
        <f>+'KY_Res by Plant Acct-P29 (Reg)'!H377</f>
        <v>0</v>
      </c>
      <c r="I375" s="137"/>
      <c r="J375" s="136">
        <f>+'KY_Res by Plant Acct-P29 (Reg)'!J377</f>
        <v>0</v>
      </c>
      <c r="K375" s="137"/>
      <c r="L375" s="136">
        <f>+'KY_Res by Plant Acct-P29 (Reg)'!L377</f>
        <v>0</v>
      </c>
      <c r="M375" s="137"/>
      <c r="N375" s="136">
        <f>+'KY_Res by Plant Acct-P29 (Reg)'!N377</f>
        <v>0</v>
      </c>
      <c r="O375" s="133"/>
      <c r="P375" s="136">
        <f>+'KY_Res by Plant Acct-P29 (Reg)'!P377</f>
        <v>0</v>
      </c>
      <c r="Q375" s="133"/>
      <c r="R375" s="133">
        <f t="shared" si="18"/>
        <v>-42997.460000000116</v>
      </c>
    </row>
    <row r="376" spans="1:18" x14ac:dyDescent="0.2">
      <c r="A376" s="3" t="s">
        <v>3507</v>
      </c>
      <c r="B376" s="136">
        <f>+'KY_Res by Plant Acct-P29 (Reg)'!B378</f>
        <v>4726.5500000000757</v>
      </c>
      <c r="C376" s="133"/>
      <c r="D376" s="136">
        <f>+'KY_Res by Plant Acct-P29 (Reg)'!D378</f>
        <v>0</v>
      </c>
      <c r="E376" s="133"/>
      <c r="F376" s="136">
        <f>+'KY_Res by Plant Acct-P29 (Reg)'!F378</f>
        <v>0</v>
      </c>
      <c r="G376" s="137"/>
      <c r="H376" s="136">
        <f>+'KY_Res by Plant Acct-P29 (Reg)'!H378</f>
        <v>0</v>
      </c>
      <c r="I376" s="137"/>
      <c r="J376" s="136">
        <f>+'KY_Res by Plant Acct-P29 (Reg)'!J378</f>
        <v>0</v>
      </c>
      <c r="K376" s="137"/>
      <c r="L376" s="136">
        <f>+'KY_Res by Plant Acct-P29 (Reg)'!L378</f>
        <v>0</v>
      </c>
      <c r="M376" s="137"/>
      <c r="N376" s="136">
        <f>+'KY_Res by Plant Acct-P29 (Reg)'!N378</f>
        <v>0</v>
      </c>
      <c r="O376" s="133"/>
      <c r="P376" s="136">
        <f>+'KY_Res by Plant Acct-P29 (Reg)'!P378</f>
        <v>0</v>
      </c>
      <c r="Q376" s="133"/>
      <c r="R376" s="133">
        <f t="shared" si="18"/>
        <v>4726.5500000000757</v>
      </c>
    </row>
    <row r="377" spans="1:18" x14ac:dyDescent="0.2">
      <c r="A377" s="3" t="s">
        <v>3508</v>
      </c>
      <c r="B377" s="136">
        <f>+'KY_Res by Plant Acct-P29 (Reg)'!B379</f>
        <v>-2.6057023205794394E-10</v>
      </c>
      <c r="C377" s="133"/>
      <c r="D377" s="136">
        <f>+'KY_Res by Plant Acct-P29 (Reg)'!D379</f>
        <v>0</v>
      </c>
      <c r="E377" s="133"/>
      <c r="F377" s="136">
        <f>+'KY_Res by Plant Acct-P29 (Reg)'!F379</f>
        <v>0</v>
      </c>
      <c r="G377" s="137"/>
      <c r="H377" s="136">
        <f>+'KY_Res by Plant Acct-P29 (Reg)'!H379</f>
        <v>0</v>
      </c>
      <c r="I377" s="137"/>
      <c r="J377" s="136">
        <f>+'KY_Res by Plant Acct-P29 (Reg)'!J379</f>
        <v>0</v>
      </c>
      <c r="K377" s="137"/>
      <c r="L377" s="136">
        <f>+'KY_Res by Plant Acct-P29 (Reg)'!L379</f>
        <v>0</v>
      </c>
      <c r="M377" s="137"/>
      <c r="N377" s="136">
        <f>+'KY_Res by Plant Acct-P29 (Reg)'!N379</f>
        <v>0</v>
      </c>
      <c r="O377" s="133"/>
      <c r="P377" s="136">
        <f>+'KY_Res by Plant Acct-P29 (Reg)'!P379</f>
        <v>0</v>
      </c>
      <c r="Q377" s="133"/>
      <c r="R377" s="133">
        <f t="shared" si="18"/>
        <v>-2.6057023205794394E-10</v>
      </c>
    </row>
    <row r="378" spans="1:18" x14ac:dyDescent="0.2">
      <c r="A378" s="3" t="s">
        <v>3509</v>
      </c>
      <c r="B378" s="136">
        <f>+'KY_Res by Plant Acct-P29 (Reg)'!B380</f>
        <v>-9.822542779147625E-11</v>
      </c>
      <c r="C378" s="133"/>
      <c r="D378" s="136">
        <f>+'KY_Res by Plant Acct-P29 (Reg)'!D380</f>
        <v>0</v>
      </c>
      <c r="E378" s="133"/>
      <c r="F378" s="136">
        <f>+'KY_Res by Plant Acct-P29 (Reg)'!F380</f>
        <v>0</v>
      </c>
      <c r="G378" s="137"/>
      <c r="H378" s="136">
        <f>+'KY_Res by Plant Acct-P29 (Reg)'!H380</f>
        <v>0</v>
      </c>
      <c r="I378" s="137"/>
      <c r="J378" s="136">
        <f>+'KY_Res by Plant Acct-P29 (Reg)'!J380</f>
        <v>0</v>
      </c>
      <c r="K378" s="137"/>
      <c r="L378" s="136">
        <f>+'KY_Res by Plant Acct-P29 (Reg)'!L380</f>
        <v>0</v>
      </c>
      <c r="M378" s="137"/>
      <c r="N378" s="136">
        <f>+'KY_Res by Plant Acct-P29 (Reg)'!N380</f>
        <v>0</v>
      </c>
      <c r="O378" s="133"/>
      <c r="P378" s="136">
        <f>+'KY_Res by Plant Acct-P29 (Reg)'!P380</f>
        <v>0</v>
      </c>
      <c r="Q378" s="133"/>
      <c r="R378" s="133">
        <f t="shared" si="18"/>
        <v>-9.822542779147625E-11</v>
      </c>
    </row>
    <row r="379" spans="1:18" x14ac:dyDescent="0.2">
      <c r="A379" s="152" t="s">
        <v>3510</v>
      </c>
      <c r="B379" s="136">
        <f>+'KY_Res by Plant Acct-P29 (Reg)'!B381</f>
        <v>0</v>
      </c>
      <c r="C379" s="136">
        <f>+'KY_Res by Plant Acct-P29 (Reg)'!C381</f>
        <v>0</v>
      </c>
      <c r="D379" s="136">
        <f>+'KY_Res by Plant Acct-P29 (Reg)'!D381</f>
        <v>-72.180000000000007</v>
      </c>
      <c r="E379" s="136">
        <f>+'KY_Res by Plant Acct-P29 (Reg)'!E381</f>
        <v>0</v>
      </c>
      <c r="F379" s="136">
        <f>+'KY_Res by Plant Acct-P29 (Reg)'!F381</f>
        <v>0</v>
      </c>
      <c r="G379" s="136">
        <f>+'KY_Res by Plant Acct-P29 (Reg)'!G381</f>
        <v>0</v>
      </c>
      <c r="H379" s="136">
        <f>+'KY_Res by Plant Acct-P29 (Reg)'!H381</f>
        <v>36.090000000000003</v>
      </c>
      <c r="I379" s="136">
        <f>+'KY_Res by Plant Acct-P29 (Reg)'!I381</f>
        <v>0</v>
      </c>
      <c r="J379" s="136">
        <f>+'KY_Res by Plant Acct-P29 (Reg)'!J381</f>
        <v>0</v>
      </c>
      <c r="K379" s="136">
        <f>+'KY_Res by Plant Acct-P29 (Reg)'!K381</f>
        <v>0</v>
      </c>
      <c r="L379" s="136">
        <f>+'KY_Res by Plant Acct-P29 (Reg)'!L381</f>
        <v>0</v>
      </c>
      <c r="M379" s="136">
        <f>+'KY_Res by Plant Acct-P29 (Reg)'!M381</f>
        <v>0</v>
      </c>
      <c r="N379" s="136">
        <f>+'KY_Res by Plant Acct-P29 (Reg)'!N381</f>
        <v>0</v>
      </c>
      <c r="O379" s="136">
        <f>+'KY_Res by Plant Acct-P29 (Reg)'!O381</f>
        <v>0</v>
      </c>
      <c r="P379" s="136">
        <f>+'KY_Res by Plant Acct-P29 (Reg)'!P381</f>
        <v>0</v>
      </c>
      <c r="Q379" s="133"/>
      <c r="R379" s="133">
        <f t="shared" si="18"/>
        <v>-36.090000000000003</v>
      </c>
    </row>
    <row r="380" spans="1:18" x14ac:dyDescent="0.2">
      <c r="A380" s="3" t="s">
        <v>3692</v>
      </c>
      <c r="B380" s="136">
        <f>+'KY_Res by Plant Acct-P29 (Reg)'!B382+'IN_Res by Plant Acct-P30 (Reg)'!B19</f>
        <v>-25018162.479999989</v>
      </c>
      <c r="C380" s="133"/>
      <c r="D380" s="136">
        <f>+'KY_Res by Plant Acct-P29 (Reg)'!D382+'IN_Res by Plant Acct-P30 (Reg)'!D19</f>
        <v>-780405.9</v>
      </c>
      <c r="E380" s="133"/>
      <c r="F380" s="136">
        <f>+'KY_Res by Plant Acct-P29 (Reg)'!F382+'IN_Res by Plant Acct-P30 (Reg)'!F19</f>
        <v>-91139.37</v>
      </c>
      <c r="G380" s="137"/>
      <c r="H380" s="136">
        <f>+'KY_Res by Plant Acct-P29 (Reg)'!H382+'IN_Res by Plant Acct-P30 (Reg)'!H19</f>
        <v>0</v>
      </c>
      <c r="I380" s="137"/>
      <c r="J380" s="136">
        <f>+'KY_Res by Plant Acct-P29 (Reg)'!J382+'IN_Res by Plant Acct-P30 (Reg)'!J19</f>
        <v>0</v>
      </c>
      <c r="K380" s="137"/>
      <c r="L380" s="136">
        <f>+'KY_Res by Plant Acct-P29 (Reg)'!L382+'IN_Res by Plant Acct-P30 (Reg)'!L19</f>
        <v>0</v>
      </c>
      <c r="M380" s="137"/>
      <c r="N380" s="136">
        <f>+'KY_Res by Plant Acct-P29 (Reg)'!N382+'IN_Res by Plant Acct-P30 (Reg)'!N19</f>
        <v>0</v>
      </c>
      <c r="O380" s="133"/>
      <c r="P380" s="136">
        <f>+'KY_Res by Plant Acct-P29 (Reg)'!P382+'IN_Res by Plant Acct-P30 (Reg)'!P19</f>
        <v>0</v>
      </c>
      <c r="Q380" s="133"/>
      <c r="R380" s="133">
        <f t="shared" si="18"/>
        <v>-25889707.749999989</v>
      </c>
    </row>
    <row r="381" spans="1:18" x14ac:dyDescent="0.2">
      <c r="A381" s="3" t="s">
        <v>3693</v>
      </c>
      <c r="B381" s="136">
        <f>+'KY_Res by Plant Acct-P29 (Reg)'!B383+'IN_Res by Plant Acct-P30 (Reg)'!B20</f>
        <v>-24013504.050000001</v>
      </c>
      <c r="C381" s="133"/>
      <c r="D381" s="136">
        <f>+'KY_Res by Plant Acct-P29 (Reg)'!D383+'IN_Res by Plant Acct-P30 (Reg)'!D20</f>
        <v>-2735288.84</v>
      </c>
      <c r="E381" s="133"/>
      <c r="F381" s="136">
        <f>+'KY_Res by Plant Acct-P29 (Reg)'!F383+'IN_Res by Plant Acct-P30 (Reg)'!F20</f>
        <v>468266.03</v>
      </c>
      <c r="G381" s="137"/>
      <c r="H381" s="136">
        <f>+'KY_Res by Plant Acct-P29 (Reg)'!H383+'IN_Res by Plant Acct-P30 (Reg)'!H20</f>
        <v>0</v>
      </c>
      <c r="I381" s="137"/>
      <c r="J381" s="136">
        <f>+'KY_Res by Plant Acct-P29 (Reg)'!J383+'IN_Res by Plant Acct-P30 (Reg)'!J20</f>
        <v>0</v>
      </c>
      <c r="K381" s="137"/>
      <c r="L381" s="136">
        <f>+'KY_Res by Plant Acct-P29 (Reg)'!L383+'IN_Res by Plant Acct-P30 (Reg)'!L20</f>
        <v>238725.34</v>
      </c>
      <c r="M381" s="137"/>
      <c r="N381" s="136">
        <f>+'KY_Res by Plant Acct-P29 (Reg)'!N383+'IN_Res by Plant Acct-P30 (Reg)'!N20</f>
        <v>-378.27</v>
      </c>
      <c r="O381" s="133"/>
      <c r="P381" s="136">
        <f>+'KY_Res by Plant Acct-P29 (Reg)'!P383+'IN_Res by Plant Acct-P30 (Reg)'!P20</f>
        <v>0</v>
      </c>
      <c r="Q381" s="133"/>
      <c r="R381" s="133">
        <f t="shared" si="18"/>
        <v>-26042179.789999999</v>
      </c>
    </row>
    <row r="382" spans="1:18" x14ac:dyDescent="0.2">
      <c r="A382" s="3" t="s">
        <v>3694</v>
      </c>
      <c r="B382" s="136">
        <f>+'KY_Res by Plant Acct-P29 (Reg)'!B384+'IN_Res by Plant Acct-P30 (Reg)'!B21</f>
        <v>-27170010.749999989</v>
      </c>
      <c r="C382" s="133"/>
      <c r="D382" s="136">
        <f>+'KY_Res by Plant Acct-P29 (Reg)'!D384+'IN_Res by Plant Acct-P30 (Reg)'!D21</f>
        <v>-1732120.35</v>
      </c>
      <c r="E382" s="133"/>
      <c r="F382" s="136">
        <f>+'KY_Res by Plant Acct-P29 (Reg)'!F384+'IN_Res by Plant Acct-P30 (Reg)'!F21</f>
        <v>241276.93</v>
      </c>
      <c r="G382" s="137"/>
      <c r="H382" s="136">
        <f>+'KY_Res by Plant Acct-P29 (Reg)'!H384+'IN_Res by Plant Acct-P30 (Reg)'!H21</f>
        <v>0</v>
      </c>
      <c r="I382" s="137"/>
      <c r="J382" s="136">
        <f>+'KY_Res by Plant Acct-P29 (Reg)'!J384+'IN_Res by Plant Acct-P30 (Reg)'!J21</f>
        <v>0</v>
      </c>
      <c r="K382" s="137"/>
      <c r="L382" s="136">
        <f>+'KY_Res by Plant Acct-P29 (Reg)'!L384+'IN_Res by Plant Acct-P30 (Reg)'!L21</f>
        <v>137831.15</v>
      </c>
      <c r="M382" s="137"/>
      <c r="N382" s="136">
        <f>+'KY_Res by Plant Acct-P29 (Reg)'!N384+'IN_Res by Plant Acct-P30 (Reg)'!N21</f>
        <v>-13.13</v>
      </c>
      <c r="O382" s="133"/>
      <c r="P382" s="136">
        <f>+'KY_Res by Plant Acct-P29 (Reg)'!P384+'IN_Res by Plant Acct-P30 (Reg)'!P21</f>
        <v>0</v>
      </c>
      <c r="Q382" s="133"/>
      <c r="R382" s="133">
        <f t="shared" si="18"/>
        <v>-28523036.149999991</v>
      </c>
    </row>
    <row r="383" spans="1:18" x14ac:dyDescent="0.2">
      <c r="A383" s="3" t="s">
        <v>3695</v>
      </c>
      <c r="B383" s="136">
        <f>+'KY_Res by Plant Acct-P29 (Reg)'!B385</f>
        <v>-610222.48999999987</v>
      </c>
      <c r="C383" s="133"/>
      <c r="D383" s="136">
        <f>+'KY_Res by Plant Acct-P29 (Reg)'!D385</f>
        <v>-29609.65</v>
      </c>
      <c r="E383" s="133"/>
      <c r="F383" s="136">
        <f>+'KY_Res by Plant Acct-P29 (Reg)'!F385</f>
        <v>0</v>
      </c>
      <c r="G383" s="137"/>
      <c r="H383" s="136">
        <f>+'KY_Res by Plant Acct-P29 (Reg)'!H385</f>
        <v>0</v>
      </c>
      <c r="I383" s="137"/>
      <c r="J383" s="136">
        <f>+'KY_Res by Plant Acct-P29 (Reg)'!J385</f>
        <v>0</v>
      </c>
      <c r="K383" s="137"/>
      <c r="L383" s="136">
        <f>+'KY_Res by Plant Acct-P29 (Reg)'!L385</f>
        <v>0</v>
      </c>
      <c r="M383" s="137"/>
      <c r="N383" s="136">
        <f>+'KY_Res by Plant Acct-P29 (Reg)'!N385</f>
        <v>0</v>
      </c>
      <c r="O383" s="133"/>
      <c r="P383" s="136">
        <f>+'KY_Res by Plant Acct-P29 (Reg)'!P385</f>
        <v>0</v>
      </c>
      <c r="Q383" s="133"/>
      <c r="R383" s="133">
        <f t="shared" si="18"/>
        <v>-639832.1399999999</v>
      </c>
    </row>
    <row r="384" spans="1:18" x14ac:dyDescent="0.2">
      <c r="A384" s="3" t="s">
        <v>3696</v>
      </c>
      <c r="B384" s="136">
        <f>+'KY_Res by Plant Acct-P29 (Reg)'!B386</f>
        <v>-3128608.35</v>
      </c>
      <c r="C384" s="133"/>
      <c r="D384" s="136">
        <f>+'KY_Res by Plant Acct-P29 (Reg)'!D386</f>
        <v>-199725.7</v>
      </c>
      <c r="E384" s="133"/>
      <c r="F384" s="136">
        <f>+'KY_Res by Plant Acct-P29 (Reg)'!F386</f>
        <v>0</v>
      </c>
      <c r="G384" s="137"/>
      <c r="H384" s="136">
        <f>+'KY_Res by Plant Acct-P29 (Reg)'!H386</f>
        <v>0</v>
      </c>
      <c r="I384" s="137"/>
      <c r="J384" s="136">
        <f>+'KY_Res by Plant Acct-P29 (Reg)'!J386</f>
        <v>0</v>
      </c>
      <c r="K384" s="137"/>
      <c r="L384" s="136">
        <f>+'KY_Res by Plant Acct-P29 (Reg)'!L386</f>
        <v>0</v>
      </c>
      <c r="M384" s="137"/>
      <c r="N384" s="136">
        <f>+'KY_Res by Plant Acct-P29 (Reg)'!N386</f>
        <v>0</v>
      </c>
      <c r="O384" s="133"/>
      <c r="P384" s="136">
        <f>+'KY_Res by Plant Acct-P29 (Reg)'!P386</f>
        <v>0</v>
      </c>
      <c r="Q384" s="133"/>
      <c r="R384" s="133">
        <f t="shared" si="18"/>
        <v>-3328334.0500000003</v>
      </c>
    </row>
    <row r="385" spans="1:18" x14ac:dyDescent="0.2">
      <c r="A385" s="3" t="s">
        <v>3516</v>
      </c>
      <c r="B385" s="136">
        <f>+'KY_Res by Plant Acct-P29 (Reg)'!B387</f>
        <v>-878.85999999999967</v>
      </c>
      <c r="C385" s="133"/>
      <c r="D385" s="136">
        <f>+'KY_Res by Plant Acct-P29 (Reg)'!D387</f>
        <v>-320.3</v>
      </c>
      <c r="E385" s="133"/>
      <c r="F385" s="136">
        <f>+'KY_Res by Plant Acct-P29 (Reg)'!F387</f>
        <v>0</v>
      </c>
      <c r="G385" s="137"/>
      <c r="H385" s="136">
        <f>+'KY_Res by Plant Acct-P29 (Reg)'!H387</f>
        <v>0</v>
      </c>
      <c r="I385" s="137"/>
      <c r="J385" s="136">
        <f>+'KY_Res by Plant Acct-P29 (Reg)'!J387</f>
        <v>0</v>
      </c>
      <c r="K385" s="137"/>
      <c r="L385" s="136">
        <f>+'KY_Res by Plant Acct-P29 (Reg)'!L387</f>
        <v>0</v>
      </c>
      <c r="M385" s="137"/>
      <c r="N385" s="136">
        <f>+'KY_Res by Plant Acct-P29 (Reg)'!N387</f>
        <v>0</v>
      </c>
      <c r="O385" s="133"/>
      <c r="P385" s="136">
        <f>+'KY_Res by Plant Acct-P29 (Reg)'!P387</f>
        <v>0</v>
      </c>
      <c r="Q385" s="133"/>
      <c r="R385" s="133">
        <f t="shared" si="18"/>
        <v>-1199.1599999999996</v>
      </c>
    </row>
    <row r="386" spans="1:18" x14ac:dyDescent="0.2">
      <c r="A386" s="3" t="s">
        <v>3517</v>
      </c>
      <c r="B386" s="151">
        <f>+'KY_Res by Plant Acct-P29 (Reg)'!B388</f>
        <v>-29282.43</v>
      </c>
      <c r="C386" s="133"/>
      <c r="D386" s="151">
        <f>+'KY_Res by Plant Acct-P29 (Reg)'!D388</f>
        <v>-12538.55</v>
      </c>
      <c r="E386" s="133"/>
      <c r="F386" s="151">
        <f>+'KY_Res by Plant Acct-P29 (Reg)'!F388</f>
        <v>7370.88</v>
      </c>
      <c r="G386" s="137"/>
      <c r="H386" s="151">
        <f>+'KY_Res by Plant Acct-P29 (Reg)'!H388</f>
        <v>0</v>
      </c>
      <c r="I386" s="137"/>
      <c r="J386" s="151">
        <f>+'KY_Res by Plant Acct-P29 (Reg)'!J388</f>
        <v>0</v>
      </c>
      <c r="K386" s="137"/>
      <c r="L386" s="151">
        <f>+'KY_Res by Plant Acct-P29 (Reg)'!L388</f>
        <v>0</v>
      </c>
      <c r="M386" s="137"/>
      <c r="N386" s="151">
        <f>+'KY_Res by Plant Acct-P29 (Reg)'!N388</f>
        <v>0</v>
      </c>
      <c r="O386" s="133"/>
      <c r="P386" s="151">
        <f>+'KY_Res by Plant Acct-P29 (Reg)'!P388</f>
        <v>0</v>
      </c>
      <c r="Q386" s="133"/>
      <c r="R386" s="151">
        <f t="shared" si="18"/>
        <v>-34450.1</v>
      </c>
    </row>
    <row r="387" spans="1:18" x14ac:dyDescent="0.2">
      <c r="B387" s="133">
        <f>SUM(B368:B386)</f>
        <v>-154027200.81000003</v>
      </c>
      <c r="C387" s="133"/>
      <c r="D387" s="133">
        <f>SUM(D368:D386)</f>
        <v>-8823073.0800000019</v>
      </c>
      <c r="E387" s="133"/>
      <c r="F387" s="137">
        <f>SUM(F368:F386)</f>
        <v>1976506.6399999997</v>
      </c>
      <c r="G387" s="137"/>
      <c r="H387" s="137">
        <f>SUM(H368:H386)</f>
        <v>-319719.20999999996</v>
      </c>
      <c r="I387" s="137"/>
      <c r="J387" s="137">
        <f>SUM(J368:J386)</f>
        <v>0</v>
      </c>
      <c r="K387" s="137"/>
      <c r="L387" s="137">
        <f>SUM(L368:L386)</f>
        <v>1634771.23</v>
      </c>
      <c r="M387" s="137"/>
      <c r="N387" s="133">
        <f>SUM(N368:N386)</f>
        <v>-6661.7300000000005</v>
      </c>
      <c r="O387" s="133"/>
      <c r="P387" s="133">
        <f>SUM(P368:P386)</f>
        <v>0</v>
      </c>
      <c r="Q387" s="133"/>
      <c r="R387" s="133">
        <f>SUM(R368:R386)</f>
        <v>-159565376.95999998</v>
      </c>
    </row>
    <row r="388" spans="1:18" x14ac:dyDescent="0.2">
      <c r="B388" s="133"/>
      <c r="C388" s="133"/>
      <c r="D388" s="133"/>
      <c r="E388" s="133"/>
      <c r="F388" s="137"/>
      <c r="G388" s="137"/>
      <c r="H388" s="137"/>
      <c r="I388" s="137"/>
      <c r="J388" s="137"/>
      <c r="K388" s="137"/>
      <c r="L388" s="137"/>
      <c r="M388" s="137"/>
      <c r="N388" s="133"/>
      <c r="O388" s="133"/>
      <c r="P388" s="133"/>
      <c r="Q388" s="133"/>
      <c r="R388" s="133"/>
    </row>
    <row r="389" spans="1:18" x14ac:dyDescent="0.2">
      <c r="B389" s="136"/>
      <c r="C389" s="133"/>
      <c r="D389" s="136"/>
      <c r="E389" s="133"/>
      <c r="F389" s="153"/>
      <c r="G389" s="137"/>
      <c r="H389" s="153"/>
      <c r="I389" s="137"/>
      <c r="J389" s="153"/>
      <c r="K389" s="137"/>
      <c r="L389" s="153"/>
      <c r="M389" s="137"/>
      <c r="N389" s="136"/>
      <c r="O389" s="133"/>
      <c r="P389" s="136"/>
      <c r="Q389" s="133"/>
      <c r="R389" s="136"/>
    </row>
    <row r="390" spans="1:18" ht="13.5" thickBot="1" x14ac:dyDescent="0.25">
      <c r="A390" s="9" t="s">
        <v>3518</v>
      </c>
      <c r="B390" s="141">
        <f>B387+B365+B166+B56+B41+B30</f>
        <v>-1670301354.0300002</v>
      </c>
      <c r="C390" s="133"/>
      <c r="D390" s="141">
        <f>D387+D365+D166+D56+D41+D30</f>
        <v>-148093433.80000001</v>
      </c>
      <c r="E390" s="133"/>
      <c r="F390" s="154">
        <f>F387+F365+F166+F56+F41+F30</f>
        <v>54659107.540000007</v>
      </c>
      <c r="G390" s="137"/>
      <c r="H390" s="154">
        <f>H387+H365+H166+H56+H41+H30</f>
        <v>-16563.849999999977</v>
      </c>
      <c r="I390" s="137"/>
      <c r="J390" s="154">
        <f>J387+J365+J166+J56+J41+J30</f>
        <v>0</v>
      </c>
      <c r="K390" s="137"/>
      <c r="L390" s="154">
        <f>L387+L365+L166+L56+L41+L30</f>
        <v>42917625.75</v>
      </c>
      <c r="M390" s="137"/>
      <c r="N390" s="154">
        <f>N387+N365+N166+N56+N41+N30</f>
        <v>-1480379.38</v>
      </c>
      <c r="O390" s="133"/>
      <c r="P390" s="141">
        <f>P387+P365+P166+P56+P41+P30</f>
        <v>-2655400.08</v>
      </c>
      <c r="Q390" s="133"/>
      <c r="R390" s="141">
        <f>R387+R365+R166+R56+R41+R30</f>
        <v>-1724970397.8500001</v>
      </c>
    </row>
    <row r="391" spans="1:18" ht="13.5" thickTop="1" x14ac:dyDescent="0.2">
      <c r="B391" s="147"/>
      <c r="C391" s="148"/>
      <c r="D391" s="147"/>
      <c r="E391" s="148"/>
      <c r="F391" s="155"/>
      <c r="G391" s="156"/>
      <c r="H391" s="155"/>
      <c r="I391" s="156"/>
      <c r="J391" s="155"/>
      <c r="K391" s="156"/>
      <c r="L391" s="155"/>
      <c r="M391" s="156"/>
      <c r="N391" s="147"/>
      <c r="O391" s="148"/>
      <c r="P391" s="147"/>
      <c r="Q391" s="148"/>
      <c r="R391" s="147"/>
    </row>
    <row r="393" spans="1:18" x14ac:dyDescent="0.2">
      <c r="A393" s="9" t="s">
        <v>21</v>
      </c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</row>
    <row r="394" spans="1:18" x14ac:dyDescent="0.2">
      <c r="A394" s="3" t="s">
        <v>3519</v>
      </c>
      <c r="B394" s="133">
        <f>+'KY_Res by Plant Acct-P29 (Reg)'!B396</f>
        <v>0</v>
      </c>
      <c r="C394" s="133"/>
      <c r="D394" s="133">
        <f>+'KY_Res by Plant Acct-P29 (Reg)'!D396</f>
        <v>0</v>
      </c>
      <c r="E394" s="133"/>
      <c r="F394" s="133">
        <f>+'KY_Res by Plant Acct-P29 (Reg)'!F396</f>
        <v>0</v>
      </c>
      <c r="G394" s="133"/>
      <c r="H394" s="133">
        <f>+'KY_Res by Plant Acct-P29 (Reg)'!H396</f>
        <v>0</v>
      </c>
      <c r="I394" s="133"/>
      <c r="J394" s="133">
        <f>+'KY_Res by Plant Acct-P29 (Reg)'!J396</f>
        <v>0</v>
      </c>
      <c r="K394" s="133"/>
      <c r="L394" s="133">
        <f>+'KY_Res by Plant Acct-P29 (Reg)'!L396</f>
        <v>0</v>
      </c>
      <c r="M394" s="133"/>
      <c r="N394" s="133">
        <f>+'KY_Res by Plant Acct-P29 (Reg)'!N396</f>
        <v>0</v>
      </c>
      <c r="O394" s="133"/>
      <c r="P394" s="133">
        <f>+'KY_Res by Plant Acct-P29 (Reg)'!P396</f>
        <v>0</v>
      </c>
      <c r="Q394" s="133"/>
      <c r="R394" s="133">
        <v>0</v>
      </c>
    </row>
    <row r="395" spans="1:18" x14ac:dyDescent="0.2">
      <c r="A395" s="3" t="s">
        <v>3520</v>
      </c>
      <c r="B395" s="151">
        <f>+'KY_Res by Plant Acct-P29 (Reg)'!B397</f>
        <v>0</v>
      </c>
      <c r="C395" s="133"/>
      <c r="D395" s="151">
        <f>+'KY_Res by Plant Acct-P29 (Reg)'!D397</f>
        <v>0</v>
      </c>
      <c r="E395" s="133"/>
      <c r="F395" s="151">
        <f>+'KY_Res by Plant Acct-P29 (Reg)'!F397</f>
        <v>0</v>
      </c>
      <c r="G395" s="133"/>
      <c r="H395" s="151">
        <f>+'KY_Res by Plant Acct-P29 (Reg)'!H397</f>
        <v>0</v>
      </c>
      <c r="I395" s="133"/>
      <c r="J395" s="151">
        <f>+'KY_Res by Plant Acct-P29 (Reg)'!J397</f>
        <v>0</v>
      </c>
      <c r="K395" s="133"/>
      <c r="L395" s="151">
        <f>+'KY_Res by Plant Acct-P29 (Reg)'!L397</f>
        <v>0</v>
      </c>
      <c r="M395" s="133"/>
      <c r="N395" s="151">
        <f>+'KY_Res by Plant Acct-P29 (Reg)'!N397</f>
        <v>0</v>
      </c>
      <c r="O395" s="133"/>
      <c r="P395" s="151">
        <f>+'KY_Res by Plant Acct-P29 (Reg)'!P397</f>
        <v>0</v>
      </c>
      <c r="Q395" s="133"/>
      <c r="R395" s="151">
        <f>SUM(B395:P395)</f>
        <v>0</v>
      </c>
    </row>
    <row r="396" spans="1:18" x14ac:dyDescent="0.2">
      <c r="B396" s="133">
        <f>SUM(B394:B395)</f>
        <v>0</v>
      </c>
      <c r="C396" s="133"/>
      <c r="D396" s="133">
        <f t="shared" ref="D396:R396" si="19">SUM(D394:D395)</f>
        <v>0</v>
      </c>
      <c r="E396" s="133"/>
      <c r="F396" s="133">
        <f t="shared" si="19"/>
        <v>0</v>
      </c>
      <c r="G396" s="133"/>
      <c r="H396" s="133">
        <f t="shared" si="19"/>
        <v>0</v>
      </c>
      <c r="I396" s="133"/>
      <c r="J396" s="133">
        <f t="shared" si="19"/>
        <v>0</v>
      </c>
      <c r="K396" s="133"/>
      <c r="L396" s="133">
        <f t="shared" si="19"/>
        <v>0</v>
      </c>
      <c r="M396" s="133"/>
      <c r="N396" s="133">
        <f t="shared" si="19"/>
        <v>0</v>
      </c>
      <c r="O396" s="133"/>
      <c r="P396" s="133">
        <f t="shared" si="19"/>
        <v>0</v>
      </c>
      <c r="Q396" s="133"/>
      <c r="R396" s="133">
        <f t="shared" si="19"/>
        <v>0</v>
      </c>
    </row>
    <row r="398" spans="1:18" ht="13.5" thickBot="1" x14ac:dyDescent="0.25">
      <c r="A398" s="9" t="s">
        <v>3521</v>
      </c>
      <c r="B398" s="141">
        <f>B396</f>
        <v>0</v>
      </c>
      <c r="C398" s="133"/>
      <c r="D398" s="141">
        <f>D396</f>
        <v>0</v>
      </c>
      <c r="E398" s="133"/>
      <c r="F398" s="141">
        <f>F396</f>
        <v>0</v>
      </c>
      <c r="G398" s="133"/>
      <c r="H398" s="141">
        <f>H396</f>
        <v>0</v>
      </c>
      <c r="I398" s="133"/>
      <c r="J398" s="141">
        <f>J396</f>
        <v>0</v>
      </c>
      <c r="K398" s="133"/>
      <c r="L398" s="141">
        <f>L396</f>
        <v>0</v>
      </c>
      <c r="M398" s="133"/>
      <c r="N398" s="141">
        <f>N396</f>
        <v>0</v>
      </c>
      <c r="O398" s="133"/>
      <c r="P398" s="141">
        <f>P396</f>
        <v>0</v>
      </c>
      <c r="Q398" s="133"/>
      <c r="R398" s="141">
        <f>R396</f>
        <v>0</v>
      </c>
    </row>
    <row r="399" spans="1:18" ht="13.5" thickTop="1" x14ac:dyDescent="0.2"/>
    <row r="403" spans="1:18" x14ac:dyDescent="0.2">
      <c r="A403" s="9" t="s">
        <v>27</v>
      </c>
      <c r="B403" s="147"/>
      <c r="C403" s="148"/>
      <c r="D403" s="147"/>
      <c r="E403" s="148"/>
      <c r="F403" s="147"/>
      <c r="G403" s="148"/>
      <c r="H403" s="147"/>
      <c r="I403" s="148"/>
      <c r="J403" s="147"/>
      <c r="K403" s="148"/>
      <c r="L403" s="147"/>
      <c r="M403" s="148"/>
      <c r="N403" s="147"/>
      <c r="O403" s="148"/>
      <c r="P403" s="147"/>
      <c r="Q403" s="148"/>
      <c r="R403" s="147"/>
    </row>
    <row r="404" spans="1:18" x14ac:dyDescent="0.2">
      <c r="A404" s="3" t="s">
        <v>3522</v>
      </c>
      <c r="B404" s="136">
        <f>+'KY_Res by Plant Acct-P29 (Reg)'!B406</f>
        <v>1.6058265828178264E-12</v>
      </c>
      <c r="C404" s="133"/>
      <c r="D404" s="136">
        <f>+'KY_Res by Plant Acct-P29 (Reg)'!D406</f>
        <v>0</v>
      </c>
      <c r="E404" s="133"/>
      <c r="F404" s="136">
        <f>+'KY_Res by Plant Acct-P29 (Reg)'!F406</f>
        <v>0</v>
      </c>
      <c r="G404" s="133"/>
      <c r="H404" s="136">
        <f>+'KY_Res by Plant Acct-P29 (Reg)'!H406</f>
        <v>0</v>
      </c>
      <c r="I404" s="133"/>
      <c r="J404" s="136">
        <f>+'KY_Res by Plant Acct-P29 (Reg)'!J406</f>
        <v>0</v>
      </c>
      <c r="K404" s="133"/>
      <c r="L404" s="136">
        <f>+'KY_Res by Plant Acct-P29 (Reg)'!L406</f>
        <v>0</v>
      </c>
      <c r="M404" s="133"/>
      <c r="N404" s="136">
        <f>+'KY_Res by Plant Acct-P29 (Reg)'!N406</f>
        <v>0</v>
      </c>
      <c r="O404" s="133"/>
      <c r="P404" s="136">
        <f>+'KY_Res by Plant Acct-P29 (Reg)'!P406</f>
        <v>0</v>
      </c>
      <c r="Q404" s="133"/>
      <c r="R404" s="136">
        <f t="shared" ref="R404:R421" si="20">SUM(B404:P404)</f>
        <v>1.6058265828178264E-12</v>
      </c>
    </row>
    <row r="405" spans="1:18" x14ac:dyDescent="0.2">
      <c r="A405" s="3" t="s">
        <v>3523</v>
      </c>
      <c r="B405" s="136">
        <f>+'KY_Res by Plant Acct-P29 (Reg)'!B407</f>
        <v>-77439.69</v>
      </c>
      <c r="C405" s="133"/>
      <c r="D405" s="136">
        <f>+'KY_Res by Plant Acct-P29 (Reg)'!D407</f>
        <v>0</v>
      </c>
      <c r="E405" s="133"/>
      <c r="F405" s="136">
        <f>+'KY_Res by Plant Acct-P29 (Reg)'!F407</f>
        <v>0</v>
      </c>
      <c r="G405" s="133"/>
      <c r="H405" s="136">
        <f>+'KY_Res by Plant Acct-P29 (Reg)'!H407</f>
        <v>0</v>
      </c>
      <c r="I405" s="133"/>
      <c r="J405" s="136">
        <f>+'KY_Res by Plant Acct-P29 (Reg)'!J407</f>
        <v>0</v>
      </c>
      <c r="K405" s="133"/>
      <c r="L405" s="136">
        <f>+'KY_Res by Plant Acct-P29 (Reg)'!L407</f>
        <v>0</v>
      </c>
      <c r="M405" s="133"/>
      <c r="N405" s="136">
        <f>+'KY_Res by Plant Acct-P29 (Reg)'!N407</f>
        <v>0</v>
      </c>
      <c r="O405" s="133"/>
      <c r="P405" s="136">
        <f>+'KY_Res by Plant Acct-P29 (Reg)'!P407</f>
        <v>0</v>
      </c>
      <c r="Q405" s="133"/>
      <c r="R405" s="136">
        <f t="shared" si="20"/>
        <v>-77439.69</v>
      </c>
    </row>
    <row r="406" spans="1:18" x14ac:dyDescent="0.2">
      <c r="A406" s="3" t="s">
        <v>3697</v>
      </c>
      <c r="B406" s="136">
        <f>+'KY_Res by Plant Acct-P29 (Reg)'!B408</f>
        <v>-90124.99000000002</v>
      </c>
      <c r="C406" s="133"/>
      <c r="D406" s="136">
        <f>+'KY_Res by Plant Acct-P29 (Reg)'!D408</f>
        <v>-6761.82</v>
      </c>
      <c r="E406" s="133"/>
      <c r="F406" s="136">
        <f>+'KY_Res by Plant Acct-P29 (Reg)'!F408</f>
        <v>0</v>
      </c>
      <c r="G406" s="137"/>
      <c r="H406" s="136">
        <f>+'KY_Res by Plant Acct-P29 (Reg)'!H408</f>
        <v>0</v>
      </c>
      <c r="I406" s="137"/>
      <c r="J406" s="136">
        <f>+'KY_Res by Plant Acct-P29 (Reg)'!J408</f>
        <v>0</v>
      </c>
      <c r="K406" s="137"/>
      <c r="L406" s="136">
        <f>+'KY_Res by Plant Acct-P29 (Reg)'!L408</f>
        <v>0</v>
      </c>
      <c r="M406" s="137"/>
      <c r="N406" s="136">
        <f>+'KY_Res by Plant Acct-P29 (Reg)'!N408</f>
        <v>0</v>
      </c>
      <c r="O406" s="133"/>
      <c r="P406" s="136">
        <f>+'KY_Res by Plant Acct-P29 (Reg)'!P408</f>
        <v>0</v>
      </c>
      <c r="Q406" s="133"/>
      <c r="R406" s="136">
        <f t="shared" si="20"/>
        <v>-96886.810000000027</v>
      </c>
    </row>
    <row r="407" spans="1:18" x14ac:dyDescent="0.2">
      <c r="A407" s="3" t="s">
        <v>3525</v>
      </c>
      <c r="B407" s="136">
        <f>+'KY_Res by Plant Acct-P29 (Reg)'!B409</f>
        <v>-267755.48000000004</v>
      </c>
      <c r="C407" s="133"/>
      <c r="D407" s="136">
        <f>+'KY_Res by Plant Acct-P29 (Reg)'!D409</f>
        <v>-33411.910000000003</v>
      </c>
      <c r="E407" s="133"/>
      <c r="F407" s="136">
        <f>+'KY_Res by Plant Acct-P29 (Reg)'!F409</f>
        <v>0</v>
      </c>
      <c r="G407" s="137"/>
      <c r="H407" s="136">
        <f>+'KY_Res by Plant Acct-P29 (Reg)'!H409</f>
        <v>0</v>
      </c>
      <c r="I407" s="137"/>
      <c r="J407" s="136">
        <f>+'KY_Res by Plant Acct-P29 (Reg)'!J409</f>
        <v>0</v>
      </c>
      <c r="K407" s="137"/>
      <c r="L407" s="136">
        <f>+'KY_Res by Plant Acct-P29 (Reg)'!L409</f>
        <v>0</v>
      </c>
      <c r="M407" s="137"/>
      <c r="N407" s="136">
        <f>+'KY_Res by Plant Acct-P29 (Reg)'!N409</f>
        <v>0</v>
      </c>
      <c r="O407" s="133"/>
      <c r="P407" s="136">
        <f>+'KY_Res by Plant Acct-P29 (Reg)'!P409</f>
        <v>0</v>
      </c>
      <c r="Q407" s="133"/>
      <c r="R407" s="136">
        <f t="shared" si="20"/>
        <v>-301167.39</v>
      </c>
    </row>
    <row r="408" spans="1:18" x14ac:dyDescent="0.2">
      <c r="A408" s="3" t="s">
        <v>3526</v>
      </c>
      <c r="B408" s="136">
        <f>+'KY_Res by Plant Acct-P29 (Reg)'!B410</f>
        <v>-127206169.88999997</v>
      </c>
      <c r="C408" s="133"/>
      <c r="D408" s="136">
        <f>+'KY_Res by Plant Acct-P29 (Reg)'!D410</f>
        <v>-6191710.1299999999</v>
      </c>
      <c r="E408" s="133"/>
      <c r="F408" s="136">
        <f>+'KY_Res by Plant Acct-P29 (Reg)'!F410</f>
        <v>1280572.2</v>
      </c>
      <c r="G408" s="137"/>
      <c r="H408" s="136">
        <f>+'KY_Res by Plant Acct-P29 (Reg)'!H410</f>
        <v>571.84</v>
      </c>
      <c r="I408" s="137"/>
      <c r="J408" s="136">
        <f>+'KY_Res by Plant Acct-P29 (Reg)'!J410</f>
        <v>0</v>
      </c>
      <c r="K408" s="137"/>
      <c r="L408" s="136">
        <f>+'KY_Res by Plant Acct-P29 (Reg)'!L410</f>
        <v>99766.2</v>
      </c>
      <c r="M408" s="137"/>
      <c r="N408" s="136">
        <f>+'KY_Res by Plant Acct-P29 (Reg)'!N410</f>
        <v>0</v>
      </c>
      <c r="O408" s="133"/>
      <c r="P408" s="136">
        <f>+'KY_Res by Plant Acct-P29 (Reg)'!P410</f>
        <v>-39916.239999999998</v>
      </c>
      <c r="Q408" s="133"/>
      <c r="R408" s="136">
        <f t="shared" si="20"/>
        <v>-132056886.01999995</v>
      </c>
    </row>
    <row r="409" spans="1:18" x14ac:dyDescent="0.2">
      <c r="A409" s="21" t="s">
        <v>3698</v>
      </c>
      <c r="B409" s="136">
        <f>+'KY_Res by Plant Acct-P29 (Reg)'!B411</f>
        <v>-2673197.6399999997</v>
      </c>
      <c r="C409" s="133"/>
      <c r="D409" s="136">
        <f>+'KY_Res by Plant Acct-P29 (Reg)'!D411</f>
        <v>-944276.83</v>
      </c>
      <c r="E409" s="133"/>
      <c r="F409" s="136">
        <f>+'KY_Res by Plant Acct-P29 (Reg)'!F411</f>
        <v>0</v>
      </c>
      <c r="G409" s="137"/>
      <c r="H409" s="136">
        <f>+'KY_Res by Plant Acct-P29 (Reg)'!H411</f>
        <v>3604.48</v>
      </c>
      <c r="I409" s="137"/>
      <c r="J409" s="136">
        <f>+'KY_Res by Plant Acct-P29 (Reg)'!J411</f>
        <v>0</v>
      </c>
      <c r="K409" s="137"/>
      <c r="L409" s="136">
        <f>+'KY_Res by Plant Acct-P29 (Reg)'!L411</f>
        <v>0</v>
      </c>
      <c r="M409" s="137"/>
      <c r="N409" s="136">
        <f>+'KY_Res by Plant Acct-P29 (Reg)'!N411</f>
        <v>0</v>
      </c>
      <c r="O409" s="133"/>
      <c r="P409" s="136">
        <f>+'KY_Res by Plant Acct-P29 (Reg)'!P411</f>
        <v>0</v>
      </c>
      <c r="Q409" s="133"/>
      <c r="R409" s="136">
        <f>SUM(B409:P409)</f>
        <v>-3613869.9899999998</v>
      </c>
    </row>
    <row r="410" spans="1:18" x14ac:dyDescent="0.2">
      <c r="A410" s="21" t="s">
        <v>3528</v>
      </c>
      <c r="B410" s="136">
        <f>+'KY_Res by Plant Acct-P29 (Reg)'!B412</f>
        <v>0</v>
      </c>
      <c r="C410" s="133"/>
      <c r="D410" s="136">
        <f>+'KY_Res by Plant Acct-P29 (Reg)'!D412</f>
        <v>-21477.69</v>
      </c>
      <c r="E410" s="133"/>
      <c r="F410" s="136">
        <f>+'KY_Res by Plant Acct-P29 (Reg)'!F412</f>
        <v>0</v>
      </c>
      <c r="G410" s="137"/>
      <c r="H410" s="136">
        <f>+'KY_Res by Plant Acct-P29 (Reg)'!H412</f>
        <v>-4176.32</v>
      </c>
      <c r="I410" s="137"/>
      <c r="J410" s="136">
        <f>+'KY_Res by Plant Acct-P29 (Reg)'!J412</f>
        <v>0</v>
      </c>
      <c r="K410" s="136">
        <f>+'KY_Res by Plant Acct-P29 (Reg)'!K412</f>
        <v>0</v>
      </c>
      <c r="L410" s="136">
        <f>+'KY_Res by Plant Acct-P29 (Reg)'!L412</f>
        <v>0</v>
      </c>
      <c r="M410" s="137"/>
      <c r="N410" s="136">
        <f>+'KY_Res by Plant Acct-P29 (Reg)'!N412</f>
        <v>0</v>
      </c>
      <c r="O410" s="133"/>
      <c r="P410" s="136">
        <f>+'KY_Res by Plant Acct-P29 (Reg)'!P412</f>
        <v>0</v>
      </c>
      <c r="Q410" s="133"/>
      <c r="R410" s="136">
        <f>+'KY_Res by Plant Acct-P29 (Reg)'!R412</f>
        <v>-25654.01</v>
      </c>
    </row>
    <row r="411" spans="1:18" x14ac:dyDescent="0.2">
      <c r="A411" s="3" t="s">
        <v>3529</v>
      </c>
      <c r="B411" s="136">
        <f>+'KY_Res by Plant Acct-P29 (Reg)'!B413</f>
        <v>-2438258.5200000005</v>
      </c>
      <c r="C411" s="133"/>
      <c r="D411" s="136">
        <f>+'KY_Res by Plant Acct-P29 (Reg)'!D413</f>
        <v>-520177.65</v>
      </c>
      <c r="E411" s="133"/>
      <c r="F411" s="136">
        <f>+'KY_Res by Plant Acct-P29 (Reg)'!F413</f>
        <v>9430.7199999999993</v>
      </c>
      <c r="G411" s="137"/>
      <c r="H411" s="136">
        <f>+'KY_Res by Plant Acct-P29 (Reg)'!H413</f>
        <v>0</v>
      </c>
      <c r="I411" s="137"/>
      <c r="J411" s="136">
        <f>+'KY_Res by Plant Acct-P29 (Reg)'!J413</f>
        <v>0</v>
      </c>
      <c r="K411" s="137"/>
      <c r="L411" s="136">
        <f>+'KY_Res by Plant Acct-P29 (Reg)'!L413</f>
        <v>25403.279999999999</v>
      </c>
      <c r="M411" s="137"/>
      <c r="N411" s="136">
        <f>+'KY_Res by Plant Acct-P29 (Reg)'!N413</f>
        <v>0</v>
      </c>
      <c r="O411" s="133"/>
      <c r="P411" s="136">
        <f>+'KY_Res by Plant Acct-P29 (Reg)'!P413</f>
        <v>0</v>
      </c>
      <c r="Q411" s="133"/>
      <c r="R411" s="136">
        <f t="shared" si="20"/>
        <v>-2923602.1700000004</v>
      </c>
    </row>
    <row r="412" spans="1:18" x14ac:dyDescent="0.2">
      <c r="A412" s="3" t="s">
        <v>3699</v>
      </c>
      <c r="B412" s="136">
        <f>+'KY_Res by Plant Acct-P29 (Reg)'!B414</f>
        <v>-1300766.5799999996</v>
      </c>
      <c r="C412" s="133"/>
      <c r="D412" s="136">
        <f>+'KY_Res by Plant Acct-P29 (Reg)'!D414</f>
        <v>-223458.37</v>
      </c>
      <c r="E412" s="133"/>
      <c r="F412" s="136">
        <f>+'KY_Res by Plant Acct-P29 (Reg)'!F414</f>
        <v>324494.27</v>
      </c>
      <c r="G412" s="137"/>
      <c r="H412" s="136">
        <f>+'KY_Res by Plant Acct-P29 (Reg)'!H414</f>
        <v>0</v>
      </c>
      <c r="I412" s="137"/>
      <c r="J412" s="136">
        <f>+'KY_Res by Plant Acct-P29 (Reg)'!J414</f>
        <v>0</v>
      </c>
      <c r="K412" s="137"/>
      <c r="L412" s="136">
        <f>+'KY_Res by Plant Acct-P29 (Reg)'!L414</f>
        <v>89852.37</v>
      </c>
      <c r="M412" s="137"/>
      <c r="N412" s="136">
        <f>+'KY_Res by Plant Acct-P29 (Reg)'!N414</f>
        <v>0</v>
      </c>
      <c r="O412" s="133"/>
      <c r="P412" s="136">
        <f>+'KY_Res by Plant Acct-P29 (Reg)'!P414</f>
        <v>0</v>
      </c>
      <c r="Q412" s="133"/>
      <c r="R412" s="136">
        <f t="shared" si="20"/>
        <v>-1109878.3099999996</v>
      </c>
    </row>
    <row r="413" spans="1:18" x14ac:dyDescent="0.2">
      <c r="A413" s="3" t="s">
        <v>3531</v>
      </c>
      <c r="B413" s="136">
        <f>+'KY_Res by Plant Acct-P29 (Reg)'!B415</f>
        <v>-86044113.090000018</v>
      </c>
      <c r="C413" s="133"/>
      <c r="D413" s="136">
        <f>+'KY_Res by Plant Acct-P29 (Reg)'!D415</f>
        <v>-7164878.7999999998</v>
      </c>
      <c r="E413" s="133"/>
      <c r="F413" s="136">
        <f>+'KY_Res by Plant Acct-P29 (Reg)'!F415</f>
        <v>171007.24</v>
      </c>
      <c r="G413" s="137"/>
      <c r="H413" s="136">
        <f>+'KY_Res by Plant Acct-P29 (Reg)'!H415</f>
        <v>3558.75</v>
      </c>
      <c r="I413" s="137"/>
      <c r="J413" s="136">
        <f>+'KY_Res by Plant Acct-P29 (Reg)'!J415</f>
        <v>0</v>
      </c>
      <c r="K413" s="137"/>
      <c r="L413" s="136">
        <f>+'KY_Res by Plant Acct-P29 (Reg)'!L415</f>
        <v>38057.43</v>
      </c>
      <c r="M413" s="137"/>
      <c r="N413" s="136">
        <f>+'KY_Res by Plant Acct-P29 (Reg)'!N415</f>
        <v>0</v>
      </c>
      <c r="O413" s="133"/>
      <c r="P413" s="136">
        <f>+'KY_Res by Plant Acct-P29 (Reg)'!P415</f>
        <v>0</v>
      </c>
      <c r="Q413" s="133"/>
      <c r="R413" s="136">
        <f t="shared" si="20"/>
        <v>-92996368.470000014</v>
      </c>
    </row>
    <row r="414" spans="1:18" x14ac:dyDescent="0.2">
      <c r="A414" s="21" t="s">
        <v>3700</v>
      </c>
      <c r="B414" s="136">
        <f>+'KY_Res by Plant Acct-P29 (Reg)'!B416</f>
        <v>-11678843.310000001</v>
      </c>
      <c r="C414" s="133"/>
      <c r="D414" s="136">
        <f>+'KY_Res by Plant Acct-P29 (Reg)'!D416</f>
        <v>-6185218.4500000002</v>
      </c>
      <c r="E414" s="133"/>
      <c r="F414" s="136">
        <f>+'KY_Res by Plant Acct-P29 (Reg)'!F416</f>
        <v>0</v>
      </c>
      <c r="G414" s="137"/>
      <c r="H414" s="136">
        <f>+'KY_Res by Plant Acct-P29 (Reg)'!H416</f>
        <v>26392.63</v>
      </c>
      <c r="I414" s="137"/>
      <c r="J414" s="136">
        <f>+'KY_Res by Plant Acct-P29 (Reg)'!J416</f>
        <v>0</v>
      </c>
      <c r="K414" s="137"/>
      <c r="L414" s="136">
        <f>+'KY_Res by Plant Acct-P29 (Reg)'!L416</f>
        <v>0</v>
      </c>
      <c r="M414" s="137"/>
      <c r="N414" s="136">
        <f>+'KY_Res by Plant Acct-P29 (Reg)'!N416</f>
        <v>0</v>
      </c>
      <c r="O414" s="133"/>
      <c r="P414" s="136">
        <f>+'KY_Res by Plant Acct-P29 (Reg)'!P416</f>
        <v>0</v>
      </c>
      <c r="Q414" s="133"/>
      <c r="R414" s="136">
        <f>SUM(B414:P414)</f>
        <v>-17837669.130000003</v>
      </c>
    </row>
    <row r="415" spans="1:18" x14ac:dyDescent="0.2">
      <c r="A415" s="21" t="s">
        <v>3533</v>
      </c>
      <c r="B415" s="136">
        <f>+'KY_Res by Plant Acct-P29 (Reg)'!B417</f>
        <v>0</v>
      </c>
      <c r="C415" s="133"/>
      <c r="D415" s="136">
        <f>+'KY_Res by Plant Acct-P29 (Reg)'!D417</f>
        <v>-102779.79</v>
      </c>
      <c r="E415" s="133"/>
      <c r="F415" s="136">
        <f>+'KY_Res by Plant Acct-P29 (Reg)'!F417</f>
        <v>0</v>
      </c>
      <c r="G415" s="137"/>
      <c r="H415" s="136">
        <f>+'KY_Res by Plant Acct-P29 (Reg)'!H417</f>
        <v>-29951.38</v>
      </c>
      <c r="I415" s="137"/>
      <c r="J415" s="136">
        <f>+'KY_Res by Plant Acct-P29 (Reg)'!J417</f>
        <v>0</v>
      </c>
      <c r="K415" s="137"/>
      <c r="L415" s="136">
        <f>+'KY_Res by Plant Acct-P29 (Reg)'!L417</f>
        <v>0</v>
      </c>
      <c r="M415" s="137"/>
      <c r="N415" s="136">
        <f>+'KY_Res by Plant Acct-P29 (Reg)'!N417</f>
        <v>0</v>
      </c>
      <c r="O415" s="133"/>
      <c r="P415" s="136">
        <f>+'KY_Res by Plant Acct-P29 (Reg)'!P417</f>
        <v>0</v>
      </c>
      <c r="Q415" s="133"/>
      <c r="R415" s="136">
        <f>SUM(B415:P415)</f>
        <v>-132731.16999999998</v>
      </c>
    </row>
    <row r="416" spans="1:18" x14ac:dyDescent="0.2">
      <c r="A416" s="3" t="s">
        <v>3534</v>
      </c>
      <c r="B416" s="136">
        <f>+'KY_Res by Plant Acct-P29 (Reg)'!B418</f>
        <v>-12964290.940000005</v>
      </c>
      <c r="C416" s="133"/>
      <c r="D416" s="136">
        <f>+'KY_Res by Plant Acct-P29 (Reg)'!D418</f>
        <v>-2004928.02</v>
      </c>
      <c r="E416" s="133"/>
      <c r="F416" s="136">
        <f>+'KY_Res by Plant Acct-P29 (Reg)'!F418</f>
        <v>730340.16</v>
      </c>
      <c r="G416" s="137"/>
      <c r="H416" s="136">
        <f>+'KY_Res by Plant Acct-P29 (Reg)'!H418</f>
        <v>0</v>
      </c>
      <c r="I416" s="137"/>
      <c r="J416" s="136">
        <f>+'KY_Res by Plant Acct-P29 (Reg)'!J418</f>
        <v>0</v>
      </c>
      <c r="K416" s="137"/>
      <c r="L416" s="136">
        <f>+'KY_Res by Plant Acct-P29 (Reg)'!L418</f>
        <v>363690.64</v>
      </c>
      <c r="M416" s="137"/>
      <c r="N416" s="136">
        <f>+'KY_Res by Plant Acct-P29 (Reg)'!N418</f>
        <v>-30729.81</v>
      </c>
      <c r="O416" s="133"/>
      <c r="P416" s="136">
        <f>+'KY_Res by Plant Acct-P29 (Reg)'!P418</f>
        <v>0</v>
      </c>
      <c r="Q416" s="133"/>
      <c r="R416" s="136">
        <f t="shared" si="20"/>
        <v>-13905917.970000004</v>
      </c>
    </row>
    <row r="417" spans="1:18" x14ac:dyDescent="0.2">
      <c r="A417" s="3" t="s">
        <v>3535</v>
      </c>
      <c r="B417" s="136">
        <f>+'KY_Res by Plant Acct-P29 (Reg)'!B419</f>
        <v>-4459750.7</v>
      </c>
      <c r="C417" s="133"/>
      <c r="D417" s="136">
        <f>+'KY_Res by Plant Acct-P29 (Reg)'!D419</f>
        <v>-1029432.68</v>
      </c>
      <c r="E417" s="133"/>
      <c r="F417" s="136">
        <f>+'KY_Res by Plant Acct-P29 (Reg)'!F419</f>
        <v>53.07</v>
      </c>
      <c r="G417" s="137"/>
      <c r="H417" s="136">
        <f>+'KY_Res by Plant Acct-P29 (Reg)'!H419</f>
        <v>0</v>
      </c>
      <c r="I417" s="137"/>
      <c r="J417" s="136">
        <f>+'KY_Res by Plant Acct-P29 (Reg)'!J419</f>
        <v>0</v>
      </c>
      <c r="K417" s="137"/>
      <c r="L417" s="136">
        <f>+'KY_Res by Plant Acct-P29 (Reg)'!L419</f>
        <v>1191.46</v>
      </c>
      <c r="M417" s="137"/>
      <c r="N417" s="136">
        <f>+'KY_Res by Plant Acct-P29 (Reg)'!N419</f>
        <v>0</v>
      </c>
      <c r="O417" s="133"/>
      <c r="P417" s="136">
        <f>+'KY_Res by Plant Acct-P29 (Reg)'!P419</f>
        <v>0</v>
      </c>
      <c r="Q417" s="133"/>
      <c r="R417" s="136">
        <f t="shared" si="20"/>
        <v>-5487938.8499999996</v>
      </c>
    </row>
    <row r="418" spans="1:18" x14ac:dyDescent="0.2">
      <c r="A418" s="3" t="s">
        <v>3536</v>
      </c>
      <c r="B418" s="136">
        <f>+'KY_Res by Plant Acct-P29 (Reg)'!B420</f>
        <v>-216659.34</v>
      </c>
      <c r="C418" s="133"/>
      <c r="D418" s="136">
        <f>+'KY_Res by Plant Acct-P29 (Reg)'!D420</f>
        <v>-24785.759999999998</v>
      </c>
      <c r="E418" s="133"/>
      <c r="F418" s="136">
        <f>+'KY_Res by Plant Acct-P29 (Reg)'!F420</f>
        <v>0</v>
      </c>
      <c r="G418" s="137"/>
      <c r="H418" s="136">
        <f>+'KY_Res by Plant Acct-P29 (Reg)'!H420</f>
        <v>0</v>
      </c>
      <c r="I418" s="137"/>
      <c r="J418" s="136">
        <f>+'KY_Res by Plant Acct-P29 (Reg)'!J420</f>
        <v>0</v>
      </c>
      <c r="K418" s="137"/>
      <c r="L418" s="136">
        <f>+'KY_Res by Plant Acct-P29 (Reg)'!L420</f>
        <v>0</v>
      </c>
      <c r="M418" s="137"/>
      <c r="N418" s="136">
        <f>+'KY_Res by Plant Acct-P29 (Reg)'!N420</f>
        <v>0</v>
      </c>
      <c r="O418" s="133"/>
      <c r="P418" s="136">
        <f>+'KY_Res by Plant Acct-P29 (Reg)'!P420</f>
        <v>0</v>
      </c>
      <c r="Q418" s="133"/>
      <c r="R418" s="136">
        <f t="shared" si="20"/>
        <v>-241445.1</v>
      </c>
    </row>
    <row r="419" spans="1:18" x14ac:dyDescent="0.2">
      <c r="A419" s="3" t="s">
        <v>3537</v>
      </c>
      <c r="B419" s="136">
        <f>+'KY_Res by Plant Acct-P29 (Reg)'!B421</f>
        <v>-27451.699999999997</v>
      </c>
      <c r="C419" s="133"/>
      <c r="D419" s="136">
        <f>+'KY_Res by Plant Acct-P29 (Reg)'!D421</f>
        <v>-1206.24</v>
      </c>
      <c r="E419" s="133"/>
      <c r="F419" s="136">
        <f>+'KY_Res by Plant Acct-P29 (Reg)'!F421</f>
        <v>0</v>
      </c>
      <c r="G419" s="137"/>
      <c r="H419" s="136">
        <f>+'KY_Res by Plant Acct-P29 (Reg)'!H421</f>
        <v>0</v>
      </c>
      <c r="I419" s="137"/>
      <c r="J419" s="136">
        <f>+'KY_Res by Plant Acct-P29 (Reg)'!J421</f>
        <v>0</v>
      </c>
      <c r="K419" s="137"/>
      <c r="L419" s="136">
        <f>+'KY_Res by Plant Acct-P29 (Reg)'!L421</f>
        <v>0</v>
      </c>
      <c r="M419" s="137"/>
      <c r="N419" s="136">
        <f>+'KY_Res by Plant Acct-P29 (Reg)'!N421</f>
        <v>0</v>
      </c>
      <c r="O419" s="133"/>
      <c r="P419" s="136">
        <f>+'KY_Res by Plant Acct-P29 (Reg)'!P421</f>
        <v>0</v>
      </c>
      <c r="Q419" s="133"/>
      <c r="R419" s="136">
        <f t="shared" si="20"/>
        <v>-28657.94</v>
      </c>
    </row>
    <row r="420" spans="1:18" x14ac:dyDescent="0.2">
      <c r="A420" s="3" t="s">
        <v>3538</v>
      </c>
      <c r="B420" s="133">
        <f>+'KY_Res by Plant Acct-P29 (Reg)'!B422</f>
        <v>-601.71</v>
      </c>
      <c r="C420" s="133"/>
      <c r="D420" s="133">
        <f>+'KY_Res by Plant Acct-P29 (Reg)'!D422</f>
        <v>-36493.68</v>
      </c>
      <c r="E420" s="133"/>
      <c r="F420" s="133">
        <f>+'KY_Res by Plant Acct-P29 (Reg)'!F422</f>
        <v>37095.39</v>
      </c>
      <c r="G420" s="137"/>
      <c r="H420" s="133">
        <f>+'KY_Res by Plant Acct-P29 (Reg)'!H422</f>
        <v>0</v>
      </c>
      <c r="I420" s="137"/>
      <c r="J420" s="133">
        <f>+'KY_Res by Plant Acct-P29 (Reg)'!J422</f>
        <v>0</v>
      </c>
      <c r="K420" s="137"/>
      <c r="L420" s="133">
        <f>+'KY_Res by Plant Acct-P29 (Reg)'!L422</f>
        <v>0</v>
      </c>
      <c r="M420" s="137"/>
      <c r="N420" s="133">
        <f>+'KY_Res by Plant Acct-P29 (Reg)'!N422</f>
        <v>0</v>
      </c>
      <c r="O420" s="133"/>
      <c r="P420" s="133">
        <f>+'KY_Res by Plant Acct-P29 (Reg)'!P422</f>
        <v>0</v>
      </c>
      <c r="Q420" s="133"/>
      <c r="R420" s="136">
        <f t="shared" si="20"/>
        <v>0</v>
      </c>
    </row>
    <row r="421" spans="1:18" x14ac:dyDescent="0.2">
      <c r="A421" s="3" t="s">
        <v>3539</v>
      </c>
      <c r="B421" s="149">
        <f>+'KY_Res by Plant Acct-P29 (Reg)'!B423</f>
        <v>-1377782.1000000015</v>
      </c>
      <c r="C421" s="83"/>
      <c r="D421" s="149">
        <f>+'KY_Res by Plant Acct-P29 (Reg)'!D423</f>
        <v>-247895.89</v>
      </c>
      <c r="E421" s="83"/>
      <c r="F421" s="149">
        <f>+'KY_Res by Plant Acct-P29 (Reg)'!F423</f>
        <v>23043.13</v>
      </c>
      <c r="G421" s="157"/>
      <c r="H421" s="149">
        <f>+'KY_Res by Plant Acct-P29 (Reg)'!H423</f>
        <v>0</v>
      </c>
      <c r="I421" s="157"/>
      <c r="J421" s="149">
        <f>+'KY_Res by Plant Acct-P29 (Reg)'!J423</f>
        <v>0</v>
      </c>
      <c r="K421" s="157"/>
      <c r="L421" s="149">
        <f>+'KY_Res by Plant Acct-P29 (Reg)'!L423</f>
        <v>0</v>
      </c>
      <c r="M421" s="157"/>
      <c r="N421" s="149">
        <f>+'KY_Res by Plant Acct-P29 (Reg)'!N423</f>
        <v>0</v>
      </c>
      <c r="O421" s="83"/>
      <c r="P421" s="149">
        <f>+'KY_Res by Plant Acct-P29 (Reg)'!P423</f>
        <v>0</v>
      </c>
      <c r="Q421" s="83"/>
      <c r="R421" s="149">
        <f t="shared" si="20"/>
        <v>-1602634.8600000017</v>
      </c>
    </row>
    <row r="422" spans="1:18" x14ac:dyDescent="0.2">
      <c r="B422" s="133">
        <f>SUM(B404:B421)</f>
        <v>-250823205.67999998</v>
      </c>
      <c r="C422" s="133"/>
      <c r="D422" s="133">
        <f>SUM(D404:D421)</f>
        <v>-24738893.710000001</v>
      </c>
      <c r="E422" s="133"/>
      <c r="F422" s="137">
        <f>SUM(F404:F421)</f>
        <v>2576036.1799999997</v>
      </c>
      <c r="G422" s="137"/>
      <c r="H422" s="137">
        <f>SUM(H404:H421)</f>
        <v>0</v>
      </c>
      <c r="I422" s="137"/>
      <c r="J422" s="137">
        <f>SUM(J404:J421)</f>
        <v>0</v>
      </c>
      <c r="K422" s="137"/>
      <c r="L422" s="137">
        <f>SUM(L404:L421)</f>
        <v>617961.37999999989</v>
      </c>
      <c r="M422" s="137"/>
      <c r="N422" s="137">
        <f>SUM(N404:N421)</f>
        <v>-30729.81</v>
      </c>
      <c r="O422" s="133"/>
      <c r="P422" s="133">
        <f>SUM(P404:P421)</f>
        <v>-39916.239999999998</v>
      </c>
      <c r="Q422" s="133"/>
      <c r="R422" s="133">
        <f>SUM(R404:R421)</f>
        <v>-272438747.88</v>
      </c>
    </row>
    <row r="423" spans="1:18" x14ac:dyDescent="0.2">
      <c r="B423" s="133"/>
      <c r="C423" s="133"/>
      <c r="D423" s="133"/>
      <c r="E423" s="133"/>
      <c r="F423" s="137"/>
      <c r="G423" s="137"/>
      <c r="H423" s="137"/>
      <c r="I423" s="137"/>
      <c r="J423" s="137"/>
      <c r="K423" s="137"/>
      <c r="L423" s="137"/>
      <c r="M423" s="137"/>
      <c r="N423" s="137"/>
      <c r="O423" s="133"/>
      <c r="P423" s="133"/>
      <c r="Q423" s="133"/>
      <c r="R423" s="133"/>
    </row>
    <row r="424" spans="1:18" x14ac:dyDescent="0.2">
      <c r="A424" s="9" t="s">
        <v>28</v>
      </c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</row>
    <row r="425" spans="1:18" x14ac:dyDescent="0.2">
      <c r="A425" s="3" t="s">
        <v>3540</v>
      </c>
      <c r="B425" s="133">
        <f>+'KY_Res by Plant Acct-P29 (Reg)'!B427</f>
        <v>-12582.33</v>
      </c>
      <c r="C425" s="133"/>
      <c r="D425" s="133">
        <f>+'KY_Res by Plant Acct-P29 (Reg)'!D427</f>
        <v>-2659.52</v>
      </c>
      <c r="E425" s="133"/>
      <c r="F425" s="133">
        <f>+'KY_Res by Plant Acct-P29 (Reg)'!F427</f>
        <v>0</v>
      </c>
      <c r="G425" s="133"/>
      <c r="H425" s="133">
        <f>+'KY_Res by Plant Acct-P29 (Reg)'!H427</f>
        <v>0</v>
      </c>
      <c r="I425" s="133"/>
      <c r="J425" s="133">
        <f>+'KY_Res by Plant Acct-P29 (Reg)'!J427</f>
        <v>0</v>
      </c>
      <c r="K425" s="133"/>
      <c r="L425" s="133">
        <f>+'KY_Res by Plant Acct-P29 (Reg)'!L427</f>
        <v>0</v>
      </c>
      <c r="M425" s="133"/>
      <c r="N425" s="133">
        <f>+'KY_Res by Plant Acct-P29 (Reg)'!N427</f>
        <v>0</v>
      </c>
      <c r="O425" s="133"/>
      <c r="P425" s="133">
        <f>+'KY_Res by Plant Acct-P29 (Reg)'!P427</f>
        <v>0</v>
      </c>
      <c r="Q425" s="133"/>
      <c r="R425" s="136">
        <f>SUM(B425:P425)</f>
        <v>-15241.85</v>
      </c>
    </row>
    <row r="426" spans="1:18" x14ac:dyDescent="0.2">
      <c r="A426" s="3" t="s">
        <v>3541</v>
      </c>
      <c r="B426" s="133">
        <f>+'KY_Res by Plant Acct-P29 (Reg)'!B428</f>
        <v>-701310.01000000036</v>
      </c>
      <c r="C426" s="133"/>
      <c r="D426" s="133">
        <f>+'KY_Res by Plant Acct-P29 (Reg)'!D428</f>
        <v>-27318.560000000001</v>
      </c>
      <c r="E426" s="133"/>
      <c r="F426" s="133">
        <f>+'KY_Res by Plant Acct-P29 (Reg)'!F428</f>
        <v>140373.57999999999</v>
      </c>
      <c r="G426" s="133"/>
      <c r="H426" s="133">
        <f>+'KY_Res by Plant Acct-P29 (Reg)'!H428</f>
        <v>0</v>
      </c>
      <c r="I426" s="133"/>
      <c r="J426" s="133">
        <f>+'KY_Res by Plant Acct-P29 (Reg)'!J428</f>
        <v>0</v>
      </c>
      <c r="K426" s="133"/>
      <c r="L426" s="133">
        <f>+'KY_Res by Plant Acct-P29 (Reg)'!L428</f>
        <v>0</v>
      </c>
      <c r="M426" s="133"/>
      <c r="N426" s="133">
        <f>+'KY_Res by Plant Acct-P29 (Reg)'!N428</f>
        <v>0</v>
      </c>
      <c r="O426" s="133"/>
      <c r="P426" s="133">
        <f>+'KY_Res by Plant Acct-P29 (Reg)'!P428</f>
        <v>0</v>
      </c>
      <c r="Q426" s="133"/>
      <c r="R426" s="136">
        <f t="shared" ref="R426:R432" si="21">SUM(B426:P426)</f>
        <v>-588254.99000000046</v>
      </c>
    </row>
    <row r="427" spans="1:18" x14ac:dyDescent="0.2">
      <c r="A427" s="3" t="s">
        <v>3542</v>
      </c>
      <c r="B427" s="133">
        <f>+'KY_Res by Plant Acct-P29 (Reg)'!B429</f>
        <v>-129980.20000000004</v>
      </c>
      <c r="C427" s="133"/>
      <c r="D427" s="133">
        <f>+'KY_Res by Plant Acct-P29 (Reg)'!D429</f>
        <v>-49482.26</v>
      </c>
      <c r="E427" s="133"/>
      <c r="F427" s="133">
        <f>+'KY_Res by Plant Acct-P29 (Reg)'!F429</f>
        <v>36801.83</v>
      </c>
      <c r="G427" s="133"/>
      <c r="H427" s="133">
        <f>+'KY_Res by Plant Acct-P29 (Reg)'!H429</f>
        <v>-8839.0400000000009</v>
      </c>
      <c r="I427" s="133"/>
      <c r="J427" s="133">
        <f>+'KY_Res by Plant Acct-P29 (Reg)'!J429</f>
        <v>0</v>
      </c>
      <c r="K427" s="133"/>
      <c r="L427" s="133">
        <f>+'KY_Res by Plant Acct-P29 (Reg)'!L429</f>
        <v>0</v>
      </c>
      <c r="M427" s="133"/>
      <c r="N427" s="133">
        <f>+'KY_Res by Plant Acct-P29 (Reg)'!N429</f>
        <v>0</v>
      </c>
      <c r="O427" s="133"/>
      <c r="P427" s="133">
        <f>+'KY_Res by Plant Acct-P29 (Reg)'!P429</f>
        <v>0</v>
      </c>
      <c r="Q427" s="133"/>
      <c r="R427" s="136">
        <f t="shared" si="21"/>
        <v>-151499.67000000007</v>
      </c>
    </row>
    <row r="428" spans="1:18" x14ac:dyDescent="0.2">
      <c r="A428" s="3" t="s">
        <v>3701</v>
      </c>
      <c r="B428" s="133">
        <f>+'KY_Res by Plant Acct-P29 (Reg)'!B430</f>
        <v>-2607062.5699999994</v>
      </c>
      <c r="C428" s="133"/>
      <c r="D428" s="133">
        <f>+'KY_Res by Plant Acct-P29 (Reg)'!D430</f>
        <v>-302682.09999999998</v>
      </c>
      <c r="E428" s="133"/>
      <c r="F428" s="133">
        <f>+'KY_Res by Plant Acct-P29 (Reg)'!F430</f>
        <v>335120.42</v>
      </c>
      <c r="G428" s="133"/>
      <c r="H428" s="133">
        <f>+'KY_Res by Plant Acct-P29 (Reg)'!H430</f>
        <v>0</v>
      </c>
      <c r="I428" s="133"/>
      <c r="J428" s="133">
        <f>+'KY_Res by Plant Acct-P29 (Reg)'!J430</f>
        <v>0</v>
      </c>
      <c r="K428" s="133"/>
      <c r="L428" s="133">
        <f>+'KY_Res by Plant Acct-P29 (Reg)'!L430</f>
        <v>0</v>
      </c>
      <c r="M428" s="133"/>
      <c r="N428" s="133">
        <f>+'KY_Res by Plant Acct-P29 (Reg)'!N430</f>
        <v>0</v>
      </c>
      <c r="O428" s="133"/>
      <c r="P428" s="133">
        <f>+'KY_Res by Plant Acct-P29 (Reg)'!P430</f>
        <v>0</v>
      </c>
      <c r="Q428" s="133"/>
      <c r="R428" s="136">
        <f t="shared" si="21"/>
        <v>-2574624.2499999995</v>
      </c>
    </row>
    <row r="429" spans="1:18" x14ac:dyDescent="0.2">
      <c r="A429" s="3" t="s">
        <v>3544</v>
      </c>
      <c r="B429" s="133">
        <f>+'KY_Res by Plant Acct-P29 (Reg)'!B431</f>
        <v>0</v>
      </c>
      <c r="C429" s="133"/>
      <c r="D429" s="133">
        <f>+'KY_Res by Plant Acct-P29 (Reg)'!D431</f>
        <v>0</v>
      </c>
      <c r="E429" s="133"/>
      <c r="F429" s="133">
        <f>+'KY_Res by Plant Acct-P29 (Reg)'!F431</f>
        <v>0</v>
      </c>
      <c r="G429" s="133"/>
      <c r="H429" s="133">
        <f>+'KY_Res by Plant Acct-P29 (Reg)'!H431</f>
        <v>0</v>
      </c>
      <c r="I429" s="133"/>
      <c r="J429" s="133">
        <f>+'KY_Res by Plant Acct-P29 (Reg)'!J431</f>
        <v>0</v>
      </c>
      <c r="K429" s="133"/>
      <c r="L429" s="133">
        <f>+'KY_Res by Plant Acct-P29 (Reg)'!L431</f>
        <v>0</v>
      </c>
      <c r="M429" s="133"/>
      <c r="N429" s="133">
        <f>+'KY_Res by Plant Acct-P29 (Reg)'!N431</f>
        <v>0</v>
      </c>
      <c r="O429" s="133"/>
      <c r="P429" s="133">
        <f>+'KY_Res by Plant Acct-P29 (Reg)'!P431</f>
        <v>0</v>
      </c>
      <c r="Q429" s="133"/>
      <c r="R429" s="136">
        <f t="shared" si="21"/>
        <v>0</v>
      </c>
    </row>
    <row r="430" spans="1:18" x14ac:dyDescent="0.2">
      <c r="A430" s="3" t="s">
        <v>3545</v>
      </c>
      <c r="B430" s="133">
        <f>+'KY_Res by Plant Acct-P29 (Reg)'!B432</f>
        <v>-2214352.5400000005</v>
      </c>
      <c r="C430" s="133"/>
      <c r="D430" s="133">
        <f>+'KY_Res by Plant Acct-P29 (Reg)'!D432</f>
        <v>-304896.3</v>
      </c>
      <c r="E430" s="133"/>
      <c r="F430" s="133">
        <f>+'KY_Res by Plant Acct-P29 (Reg)'!F432</f>
        <v>281849.92</v>
      </c>
      <c r="G430" s="133"/>
      <c r="H430" s="133">
        <f>+'KY_Res by Plant Acct-P29 (Reg)'!H432</f>
        <v>-5110.33</v>
      </c>
      <c r="I430" s="133"/>
      <c r="J430" s="133">
        <f>+'KY_Res by Plant Acct-P29 (Reg)'!J432</f>
        <v>0</v>
      </c>
      <c r="K430" s="133"/>
      <c r="L430" s="133">
        <f>+'KY_Res by Plant Acct-P29 (Reg)'!L432</f>
        <v>0</v>
      </c>
      <c r="M430" s="133"/>
      <c r="N430" s="133">
        <f>+'KY_Res by Plant Acct-P29 (Reg)'!N432</f>
        <v>0</v>
      </c>
      <c r="O430" s="133"/>
      <c r="P430" s="133">
        <f>+'KY_Res by Plant Acct-P29 (Reg)'!P432</f>
        <v>0</v>
      </c>
      <c r="Q430" s="133"/>
      <c r="R430" s="136">
        <f t="shared" si="21"/>
        <v>-2242509.2500000005</v>
      </c>
    </row>
    <row r="431" spans="1:18" x14ac:dyDescent="0.2">
      <c r="A431" s="3" t="s">
        <v>3546</v>
      </c>
      <c r="B431" s="83">
        <f>+'KY_Res by Plant Acct-P29 (Reg)'!B433</f>
        <v>-107217.2</v>
      </c>
      <c r="C431" s="83"/>
      <c r="D431" s="83">
        <f>+'KY_Res by Plant Acct-P29 (Reg)'!D433</f>
        <v>-9901.98</v>
      </c>
      <c r="E431" s="83"/>
      <c r="F431" s="83">
        <f>+'KY_Res by Plant Acct-P29 (Reg)'!F433</f>
        <v>0</v>
      </c>
      <c r="G431" s="83"/>
      <c r="H431" s="83">
        <f>+'KY_Res by Plant Acct-P29 (Reg)'!H433</f>
        <v>0</v>
      </c>
      <c r="I431" s="83"/>
      <c r="J431" s="83">
        <f>+'KY_Res by Plant Acct-P29 (Reg)'!J433</f>
        <v>0</v>
      </c>
      <c r="K431" s="83"/>
      <c r="L431" s="83">
        <f>+'KY_Res by Plant Acct-P29 (Reg)'!L433</f>
        <v>0</v>
      </c>
      <c r="M431" s="83"/>
      <c r="N431" s="83">
        <f>+'KY_Res by Plant Acct-P29 (Reg)'!N433</f>
        <v>0</v>
      </c>
      <c r="O431" s="83"/>
      <c r="P431" s="83">
        <f>+'KY_Res by Plant Acct-P29 (Reg)'!P433</f>
        <v>0</v>
      </c>
      <c r="Q431" s="83"/>
      <c r="R431" s="83">
        <f t="shared" si="21"/>
        <v>-117119.18</v>
      </c>
    </row>
    <row r="432" spans="1:18" x14ac:dyDescent="0.2">
      <c r="A432" s="21" t="s">
        <v>3702</v>
      </c>
      <c r="B432" s="83">
        <f>+'KY_Res by Plant Acct-P29 (Reg)'!B434</f>
        <v>-9.0949470177292824E-13</v>
      </c>
      <c r="C432" s="83"/>
      <c r="D432" s="83">
        <f>+'KY_Res by Plant Acct-P29 (Reg)'!D434</f>
        <v>0</v>
      </c>
      <c r="E432" s="83"/>
      <c r="F432" s="83">
        <f>+'KY_Res by Plant Acct-P29 (Reg)'!F434</f>
        <v>0</v>
      </c>
      <c r="G432" s="83"/>
      <c r="H432" s="83">
        <f>+'KY_Res by Plant Acct-P29 (Reg)'!H434</f>
        <v>0</v>
      </c>
      <c r="I432" s="83"/>
      <c r="J432" s="83">
        <f>+'KY_Res by Plant Acct-P29 (Reg)'!J434</f>
        <v>0</v>
      </c>
      <c r="K432" s="83"/>
      <c r="L432" s="83">
        <f>+'KY_Res by Plant Acct-P29 (Reg)'!L434</f>
        <v>0</v>
      </c>
      <c r="M432" s="83"/>
      <c r="N432" s="83">
        <f>+'KY_Res by Plant Acct-P29 (Reg)'!N434</f>
        <v>0</v>
      </c>
      <c r="O432" s="83"/>
      <c r="P432" s="83">
        <f>+'KY_Res by Plant Acct-P29 (Reg)'!P434</f>
        <v>0</v>
      </c>
      <c r="Q432" s="83"/>
      <c r="R432" s="83">
        <f t="shared" si="21"/>
        <v>-9.0949470177292824E-13</v>
      </c>
    </row>
    <row r="433" spans="1:18" x14ac:dyDescent="0.2">
      <c r="B433" s="150">
        <f>SUM(B425:B432)</f>
        <v>-5772504.8500000006</v>
      </c>
      <c r="C433" s="133"/>
      <c r="D433" s="150">
        <f>SUM(D425:D432)</f>
        <v>-696940.72</v>
      </c>
      <c r="E433" s="133"/>
      <c r="F433" s="150">
        <f>SUM(F425:F432)</f>
        <v>794145.75</v>
      </c>
      <c r="G433" s="133"/>
      <c r="H433" s="150">
        <f>SUM(H425:H432)</f>
        <v>-13949.37</v>
      </c>
      <c r="I433" s="133"/>
      <c r="J433" s="150">
        <f>SUM(J425:J432)</f>
        <v>0</v>
      </c>
      <c r="K433" s="133"/>
      <c r="L433" s="150">
        <f>SUM(L425:L432)</f>
        <v>0</v>
      </c>
      <c r="M433" s="133"/>
      <c r="N433" s="150">
        <f>SUM(N425:N432)</f>
        <v>0</v>
      </c>
      <c r="O433" s="133"/>
      <c r="P433" s="150">
        <f>SUM(P425:P432)</f>
        <v>0</v>
      </c>
      <c r="Q433" s="133"/>
      <c r="R433" s="150">
        <f>SUM(R425:R432)</f>
        <v>-5689249.1899999995</v>
      </c>
    </row>
    <row r="436" spans="1:18" x14ac:dyDescent="0.2">
      <c r="A436" s="9" t="s">
        <v>30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</row>
    <row r="437" spans="1:18" x14ac:dyDescent="0.2">
      <c r="A437" s="3" t="s">
        <v>3703</v>
      </c>
      <c r="B437" s="133">
        <f>+'KY_Res by Plant Acct-P29 (Reg)'!B439</f>
        <v>0</v>
      </c>
      <c r="C437" s="133"/>
      <c r="D437" s="133">
        <f>+'KY_Res by Plant Acct-P29 (Reg)'!D439</f>
        <v>0</v>
      </c>
      <c r="E437" s="133"/>
      <c r="F437" s="133">
        <f>+'KY_Res by Plant Acct-P29 (Reg)'!F439</f>
        <v>0</v>
      </c>
      <c r="G437" s="133"/>
      <c r="H437" s="133">
        <f>+'KY_Res by Plant Acct-P29 (Reg)'!H439</f>
        <v>0</v>
      </c>
      <c r="I437" s="133"/>
      <c r="J437" s="133">
        <f>+'KY_Res by Plant Acct-P29 (Reg)'!J439</f>
        <v>0</v>
      </c>
      <c r="K437" s="133"/>
      <c r="L437" s="133">
        <f>+'KY_Res by Plant Acct-P29 (Reg)'!L439</f>
        <v>0</v>
      </c>
      <c r="M437" s="133"/>
      <c r="N437" s="133">
        <f>+'KY_Res by Plant Acct-P29 (Reg)'!N439</f>
        <v>0</v>
      </c>
      <c r="O437" s="133"/>
      <c r="P437" s="133">
        <f>+'KY_Res by Plant Acct-P29 (Reg)'!P439</f>
        <v>0</v>
      </c>
      <c r="Q437" s="133"/>
      <c r="R437" s="136">
        <f t="shared" ref="R437:R454" si="22">SUM(B437:P437)</f>
        <v>0</v>
      </c>
    </row>
    <row r="438" spans="1:18" x14ac:dyDescent="0.2">
      <c r="A438" s="3" t="s">
        <v>3704</v>
      </c>
      <c r="B438" s="133">
        <f>+'KY_Res by Plant Acct-P29 (Reg)'!B440</f>
        <v>-69747.849999999991</v>
      </c>
      <c r="C438" s="133"/>
      <c r="D438" s="133">
        <f>+'KY_Res by Plant Acct-P29 (Reg)'!D440</f>
        <v>-581.94000000000005</v>
      </c>
      <c r="E438" s="133"/>
      <c r="F438" s="133">
        <f>+'KY_Res by Plant Acct-P29 (Reg)'!F440</f>
        <v>0</v>
      </c>
      <c r="G438" s="133"/>
      <c r="H438" s="133">
        <f>+'KY_Res by Plant Acct-P29 (Reg)'!H440</f>
        <v>0</v>
      </c>
      <c r="I438" s="133"/>
      <c r="J438" s="133">
        <f>+'KY_Res by Plant Acct-P29 (Reg)'!J440</f>
        <v>0</v>
      </c>
      <c r="K438" s="133"/>
      <c r="L438" s="133">
        <f>+'KY_Res by Plant Acct-P29 (Reg)'!L440</f>
        <v>0</v>
      </c>
      <c r="M438" s="133"/>
      <c r="N438" s="133">
        <f>+'KY_Res by Plant Acct-P29 (Reg)'!N440</f>
        <v>0</v>
      </c>
      <c r="O438" s="133"/>
      <c r="P438" s="133">
        <f>+'KY_Res by Plant Acct-P29 (Reg)'!P440</f>
        <v>0</v>
      </c>
      <c r="Q438" s="133"/>
      <c r="R438" s="136">
        <f t="shared" si="22"/>
        <v>-70329.789999999994</v>
      </c>
    </row>
    <row r="439" spans="1:18" x14ac:dyDescent="0.2">
      <c r="A439" s="3" t="s">
        <v>3550</v>
      </c>
      <c r="B439" s="133">
        <f>+'KY_Res by Plant Acct-P29 (Reg)'!B441</f>
        <v>-1462911.3900000001</v>
      </c>
      <c r="C439" s="133"/>
      <c r="D439" s="133">
        <f>+'KY_Res by Plant Acct-P29 (Reg)'!D441</f>
        <v>-204602.59</v>
      </c>
      <c r="E439" s="133"/>
      <c r="F439" s="133">
        <f>+'KY_Res by Plant Acct-P29 (Reg)'!F441</f>
        <v>10299.040000000001</v>
      </c>
      <c r="G439" s="137"/>
      <c r="H439" s="133">
        <f>+'KY_Res by Plant Acct-P29 (Reg)'!H441</f>
        <v>0</v>
      </c>
      <c r="I439" s="137"/>
      <c r="J439" s="133">
        <f>+'KY_Res by Plant Acct-P29 (Reg)'!J441</f>
        <v>0</v>
      </c>
      <c r="K439" s="137"/>
      <c r="L439" s="133">
        <f>+'KY_Res by Plant Acct-P29 (Reg)'!L441</f>
        <v>72521.63</v>
      </c>
      <c r="M439" s="137"/>
      <c r="N439" s="133">
        <f>+'KY_Res by Plant Acct-P29 (Reg)'!N441</f>
        <v>-696.13</v>
      </c>
      <c r="O439" s="133"/>
      <c r="P439" s="133">
        <f>+'KY_Res by Plant Acct-P29 (Reg)'!P441</f>
        <v>0</v>
      </c>
      <c r="Q439" s="133"/>
      <c r="R439" s="136">
        <f t="shared" si="22"/>
        <v>-1585389.44</v>
      </c>
    </row>
    <row r="440" spans="1:18" x14ac:dyDescent="0.2">
      <c r="A440" s="3" t="s">
        <v>3551</v>
      </c>
      <c r="B440" s="133">
        <f>+'KY_Res by Plant Acct-P29 (Reg)'!B442</f>
        <v>-16208.390000000001</v>
      </c>
      <c r="C440" s="133"/>
      <c r="D440" s="133">
        <f>+'KY_Res by Plant Acct-P29 (Reg)'!D442</f>
        <v>-360.18</v>
      </c>
      <c r="E440" s="133"/>
      <c r="F440" s="133">
        <f>+'KY_Res by Plant Acct-P29 (Reg)'!F442</f>
        <v>0</v>
      </c>
      <c r="G440" s="137"/>
      <c r="H440" s="133">
        <f>+'KY_Res by Plant Acct-P29 (Reg)'!H442</f>
        <v>0</v>
      </c>
      <c r="I440" s="137"/>
      <c r="J440" s="133">
        <f>+'KY_Res by Plant Acct-P29 (Reg)'!J442</f>
        <v>0</v>
      </c>
      <c r="K440" s="137"/>
      <c r="L440" s="133">
        <f>+'KY_Res by Plant Acct-P29 (Reg)'!L442</f>
        <v>0</v>
      </c>
      <c r="M440" s="137"/>
      <c r="N440" s="133">
        <f>+'KY_Res by Plant Acct-P29 (Reg)'!N442</f>
        <v>0</v>
      </c>
      <c r="O440" s="133"/>
      <c r="P440" s="133">
        <f>+'KY_Res by Plant Acct-P29 (Reg)'!P442</f>
        <v>0</v>
      </c>
      <c r="Q440" s="133"/>
      <c r="R440" s="136">
        <f t="shared" si="22"/>
        <v>-16568.57</v>
      </c>
    </row>
    <row r="441" spans="1:18" x14ac:dyDescent="0.2">
      <c r="A441" s="3" t="s">
        <v>3705</v>
      </c>
      <c r="B441" s="133">
        <f>+'KY_Res by Plant Acct-P29 (Reg)'!B443+'IN_Res by Plant Acct-P30 (Reg)'!B29</f>
        <v>-879929.90999999992</v>
      </c>
      <c r="C441" s="133"/>
      <c r="D441" s="133">
        <f>+'KY_Res by Plant Acct-P29 (Reg)'!D443+'IN_Res by Plant Acct-P30 (Reg)'!D29</f>
        <v>-109480.06</v>
      </c>
      <c r="E441" s="133"/>
      <c r="F441" s="133">
        <f>+'KY_Res by Plant Acct-P29 (Reg)'!F443+'IN_Res by Plant Acct-P30 (Reg)'!F29</f>
        <v>4266.4799999999996</v>
      </c>
      <c r="G441" s="137"/>
      <c r="H441" s="133">
        <f>+'KY_Res by Plant Acct-P29 (Reg)'!H443+'IN_Res by Plant Acct-P30 (Reg)'!H29</f>
        <v>0</v>
      </c>
      <c r="I441" s="137"/>
      <c r="J441" s="133">
        <f>+'KY_Res by Plant Acct-P29 (Reg)'!J443+'IN_Res by Plant Acct-P30 (Reg)'!J29</f>
        <v>0</v>
      </c>
      <c r="K441" s="137"/>
      <c r="L441" s="133">
        <f>+'KY_Res by Plant Acct-P29 (Reg)'!L443+'IN_Res by Plant Acct-P30 (Reg)'!L29</f>
        <v>9443.1299999999992</v>
      </c>
      <c r="M441" s="137"/>
      <c r="N441" s="133">
        <f>+'KY_Res by Plant Acct-P29 (Reg)'!N443+'IN_Res by Plant Acct-P30 (Reg)'!N29</f>
        <v>0</v>
      </c>
      <c r="O441" s="133"/>
      <c r="P441" s="133">
        <f>+'KY_Res by Plant Acct-P29 (Reg)'!P443+'IN_Res by Plant Acct-P30 (Reg)'!P29</f>
        <v>0</v>
      </c>
      <c r="Q441" s="133"/>
      <c r="R441" s="136">
        <f t="shared" si="22"/>
        <v>-975700.36</v>
      </c>
    </row>
    <row r="442" spans="1:18" x14ac:dyDescent="0.2">
      <c r="A442" s="3" t="s">
        <v>3553</v>
      </c>
      <c r="B442" s="133">
        <f>+'KY_Res by Plant Acct-P29 (Reg)'!B444</f>
        <v>-569589.96</v>
      </c>
      <c r="C442" s="133"/>
      <c r="D442" s="133">
        <f>+'KY_Res by Plant Acct-P29 (Reg)'!D444</f>
        <v>0</v>
      </c>
      <c r="E442" s="133"/>
      <c r="F442" s="133">
        <f>+'KY_Res by Plant Acct-P29 (Reg)'!F444</f>
        <v>0</v>
      </c>
      <c r="G442" s="137"/>
      <c r="H442" s="133">
        <f>+'KY_Res by Plant Acct-P29 (Reg)'!H444</f>
        <v>0</v>
      </c>
      <c r="I442" s="137"/>
      <c r="J442" s="133">
        <f>+'KY_Res by Plant Acct-P29 (Reg)'!J444</f>
        <v>0</v>
      </c>
      <c r="K442" s="137"/>
      <c r="L442" s="133">
        <f>+'KY_Res by Plant Acct-P29 (Reg)'!L444</f>
        <v>0</v>
      </c>
      <c r="M442" s="137"/>
      <c r="N442" s="133">
        <f>+'KY_Res by Plant Acct-P29 (Reg)'!N444</f>
        <v>0</v>
      </c>
      <c r="O442" s="133"/>
      <c r="P442" s="133">
        <f>+'KY_Res by Plant Acct-P29 (Reg)'!P444</f>
        <v>0</v>
      </c>
      <c r="Q442" s="133"/>
      <c r="R442" s="136">
        <f t="shared" si="22"/>
        <v>-569589.96</v>
      </c>
    </row>
    <row r="443" spans="1:18" x14ac:dyDescent="0.2">
      <c r="A443" s="3" t="s">
        <v>3706</v>
      </c>
      <c r="B443" s="133">
        <f>+'KY_Res by Plant Acct-P29 (Reg)'!B445</f>
        <v>-452027.29</v>
      </c>
      <c r="C443" s="133"/>
      <c r="D443" s="133">
        <f>+'KY_Res by Plant Acct-P29 (Reg)'!D445</f>
        <v>0</v>
      </c>
      <c r="E443" s="133"/>
      <c r="F443" s="133">
        <f>+'KY_Res by Plant Acct-P29 (Reg)'!F445</f>
        <v>0</v>
      </c>
      <c r="G443" s="137"/>
      <c r="H443" s="133">
        <f>+'KY_Res by Plant Acct-P29 (Reg)'!H445</f>
        <v>0</v>
      </c>
      <c r="I443" s="137"/>
      <c r="J443" s="133">
        <f>+'KY_Res by Plant Acct-P29 (Reg)'!J445</f>
        <v>0</v>
      </c>
      <c r="K443" s="137"/>
      <c r="L443" s="133">
        <f>+'KY_Res by Plant Acct-P29 (Reg)'!L445</f>
        <v>0</v>
      </c>
      <c r="M443" s="137"/>
      <c r="N443" s="133">
        <f>+'KY_Res by Plant Acct-P29 (Reg)'!N445</f>
        <v>0</v>
      </c>
      <c r="O443" s="133"/>
      <c r="P443" s="133">
        <f>+'KY_Res by Plant Acct-P29 (Reg)'!P445</f>
        <v>0</v>
      </c>
      <c r="Q443" s="133"/>
      <c r="R443" s="136">
        <f t="shared" si="22"/>
        <v>-452027.29</v>
      </c>
    </row>
    <row r="444" spans="1:18" x14ac:dyDescent="0.2">
      <c r="A444" s="3" t="s">
        <v>3707</v>
      </c>
      <c r="B444" s="133">
        <f>+'KY_Res by Plant Acct-P29 (Reg)'!B446</f>
        <v>-8181488.0600000005</v>
      </c>
      <c r="C444" s="133"/>
      <c r="D444" s="133">
        <f>+'KY_Res by Plant Acct-P29 (Reg)'!D446</f>
        <v>-79603.02</v>
      </c>
      <c r="E444" s="133"/>
      <c r="F444" s="133">
        <f>+'KY_Res by Plant Acct-P29 (Reg)'!F446</f>
        <v>0</v>
      </c>
      <c r="G444" s="137"/>
      <c r="H444" s="133">
        <f>+'KY_Res by Plant Acct-P29 (Reg)'!H446</f>
        <v>0</v>
      </c>
      <c r="I444" s="137"/>
      <c r="J444" s="133">
        <f>+'KY_Res by Plant Acct-P29 (Reg)'!J446</f>
        <v>0</v>
      </c>
      <c r="K444" s="137"/>
      <c r="L444" s="133">
        <f>+'KY_Res by Plant Acct-P29 (Reg)'!L446</f>
        <v>0</v>
      </c>
      <c r="M444" s="137"/>
      <c r="N444" s="133">
        <f>+'KY_Res by Plant Acct-P29 (Reg)'!N446</f>
        <v>0</v>
      </c>
      <c r="O444" s="133"/>
      <c r="P444" s="133">
        <f>+'KY_Res by Plant Acct-P29 (Reg)'!P446</f>
        <v>0</v>
      </c>
      <c r="Q444" s="133"/>
      <c r="R444" s="136">
        <f t="shared" si="22"/>
        <v>-8261091.0800000001</v>
      </c>
    </row>
    <row r="445" spans="1:18" x14ac:dyDescent="0.2">
      <c r="A445" s="3" t="s">
        <v>3708</v>
      </c>
      <c r="B445" s="133">
        <f>+'KY_Res by Plant Acct-P29 (Reg)'!B447+'IN_Res by Plant Acct-P30 (Reg)'!B30</f>
        <v>-2132368.48</v>
      </c>
      <c r="C445" s="133"/>
      <c r="D445" s="133">
        <f>+'KY_Res by Plant Acct-P29 (Reg)'!D447+'IN_Res by Plant Acct-P30 (Reg)'!D30</f>
        <v>-84550.31</v>
      </c>
      <c r="E445" s="133"/>
      <c r="F445" s="133">
        <f>+'KY_Res by Plant Acct-P29 (Reg)'!F447+'IN_Res by Plant Acct-P30 (Reg)'!F30</f>
        <v>22422.080000000002</v>
      </c>
      <c r="G445" s="137"/>
      <c r="H445" s="133">
        <f>+'KY_Res by Plant Acct-P29 (Reg)'!H447+'IN_Res by Plant Acct-P30 (Reg)'!H30</f>
        <v>0</v>
      </c>
      <c r="I445" s="137"/>
      <c r="J445" s="133">
        <f>+'KY_Res by Plant Acct-P29 (Reg)'!J447+'IN_Res by Plant Acct-P30 (Reg)'!J30</f>
        <v>0</v>
      </c>
      <c r="K445" s="137"/>
      <c r="L445" s="133">
        <f>+'KY_Res by Plant Acct-P29 (Reg)'!L447+'IN_Res by Plant Acct-P30 (Reg)'!L30</f>
        <v>71846.05</v>
      </c>
      <c r="M445" s="137"/>
      <c r="N445" s="133">
        <f>+'KY_Res by Plant Acct-P29 (Reg)'!N447+'IN_Res by Plant Acct-P30 (Reg)'!N30</f>
        <v>0</v>
      </c>
      <c r="O445" s="133"/>
      <c r="P445" s="133">
        <f>+'KY_Res by Plant Acct-P29 (Reg)'!P447+'IN_Res by Plant Acct-P30 (Reg)'!P30</f>
        <v>0</v>
      </c>
      <c r="Q445" s="133"/>
      <c r="R445" s="136">
        <f t="shared" si="22"/>
        <v>-2122650.66</v>
      </c>
    </row>
    <row r="446" spans="1:18" x14ac:dyDescent="0.2">
      <c r="A446" s="3" t="s">
        <v>3709</v>
      </c>
      <c r="B446" s="133">
        <f>+'KY_Res by Plant Acct-P29 (Reg)'!B448+'IN_Res by Plant Acct-P30 (Reg)'!B31</f>
        <v>2.3283064365386963E-10</v>
      </c>
      <c r="C446" s="133"/>
      <c r="D446" s="133">
        <f>+'KY_Res by Plant Acct-P29 (Reg)'!D448+'IN_Res by Plant Acct-P30 (Reg)'!D31</f>
        <v>0</v>
      </c>
      <c r="E446" s="133"/>
      <c r="F446" s="133">
        <f>+'KY_Res by Plant Acct-P29 (Reg)'!F448+'IN_Res by Plant Acct-P30 (Reg)'!F31</f>
        <v>0</v>
      </c>
      <c r="G446" s="137"/>
      <c r="H446" s="133">
        <f>+'KY_Res by Plant Acct-P29 (Reg)'!H448+'IN_Res by Plant Acct-P30 (Reg)'!H31</f>
        <v>0</v>
      </c>
      <c r="I446" s="137"/>
      <c r="J446" s="133">
        <f>+'KY_Res by Plant Acct-P29 (Reg)'!J448+'IN_Res by Plant Acct-P30 (Reg)'!J31</f>
        <v>0</v>
      </c>
      <c r="K446" s="137"/>
      <c r="L446" s="133">
        <f>+'KY_Res by Plant Acct-P29 (Reg)'!L448+'IN_Res by Plant Acct-P30 (Reg)'!L31</f>
        <v>0</v>
      </c>
      <c r="M446" s="137"/>
      <c r="N446" s="133">
        <f>+'KY_Res by Plant Acct-P29 (Reg)'!N448+'IN_Res by Plant Acct-P30 (Reg)'!N31</f>
        <v>0</v>
      </c>
      <c r="O446" s="133"/>
      <c r="P446" s="133">
        <f>+'KY_Res by Plant Acct-P29 (Reg)'!P448+'IN_Res by Plant Acct-P30 (Reg)'!P31</f>
        <v>0</v>
      </c>
      <c r="Q446" s="133"/>
      <c r="R446" s="136">
        <f t="shared" si="22"/>
        <v>2.3283064365386963E-10</v>
      </c>
    </row>
    <row r="447" spans="1:18" x14ac:dyDescent="0.2">
      <c r="A447" s="3" t="s">
        <v>3710</v>
      </c>
      <c r="B447" s="133">
        <f>+'KY_Res by Plant Acct-P29 (Reg)'!B449+'IN_Res by Plant Acct-P30 (Reg)'!B32</f>
        <v>-2471895.4600000004</v>
      </c>
      <c r="C447" s="133"/>
      <c r="D447" s="133">
        <f>+'KY_Res by Plant Acct-P29 (Reg)'!D449+'IN_Res by Plant Acct-P30 (Reg)'!D32</f>
        <v>-402162.36000000004</v>
      </c>
      <c r="E447" s="133"/>
      <c r="F447" s="133">
        <f>+'KY_Res by Plant Acct-P29 (Reg)'!F449+'IN_Res by Plant Acct-P30 (Reg)'!F32</f>
        <v>93523.34</v>
      </c>
      <c r="G447" s="137"/>
      <c r="H447" s="133">
        <f>+'KY_Res by Plant Acct-P29 (Reg)'!H449+'IN_Res by Plant Acct-P30 (Reg)'!H32</f>
        <v>0</v>
      </c>
      <c r="I447" s="137"/>
      <c r="J447" s="133">
        <f>+'KY_Res by Plant Acct-P29 (Reg)'!J449+'IN_Res by Plant Acct-P30 (Reg)'!J32</f>
        <v>0</v>
      </c>
      <c r="K447" s="137"/>
      <c r="L447" s="133">
        <f>+'KY_Res by Plant Acct-P29 (Reg)'!L449+'IN_Res by Plant Acct-P30 (Reg)'!L32</f>
        <v>178025.78999999998</v>
      </c>
      <c r="M447" s="137"/>
      <c r="N447" s="133">
        <f>+'KY_Res by Plant Acct-P29 (Reg)'!N449+'IN_Res by Plant Acct-P30 (Reg)'!N32</f>
        <v>0</v>
      </c>
      <c r="O447" s="133"/>
      <c r="P447" s="133">
        <f>+'KY_Res by Plant Acct-P29 (Reg)'!P449+'IN_Res by Plant Acct-P30 (Reg)'!P32</f>
        <v>0</v>
      </c>
      <c r="Q447" s="133"/>
      <c r="R447" s="136">
        <f t="shared" si="22"/>
        <v>-2602508.6900000004</v>
      </c>
    </row>
    <row r="448" spans="1:18" x14ac:dyDescent="0.2">
      <c r="A448" s="3" t="s">
        <v>3711</v>
      </c>
      <c r="B448" s="133">
        <f>+'KY_Res by Plant Acct-P29 (Reg)'!B450+'IN_Res by Plant Acct-P30 (Reg)'!B33</f>
        <v>-8711371.3999999966</v>
      </c>
      <c r="C448" s="133"/>
      <c r="D448" s="133">
        <f>+'KY_Res by Plant Acct-P29 (Reg)'!D450+'IN_Res by Plant Acct-P30 (Reg)'!D33</f>
        <v>-463630.06</v>
      </c>
      <c r="E448" s="133"/>
      <c r="F448" s="133">
        <f>+'KY_Res by Plant Acct-P29 (Reg)'!F450+'IN_Res by Plant Acct-P30 (Reg)'!F33</f>
        <v>36754.15</v>
      </c>
      <c r="G448" s="137"/>
      <c r="H448" s="133">
        <f>+'KY_Res by Plant Acct-P29 (Reg)'!H450+'IN_Res by Plant Acct-P30 (Reg)'!H33</f>
        <v>0</v>
      </c>
      <c r="I448" s="137"/>
      <c r="J448" s="133">
        <f>+'KY_Res by Plant Acct-P29 (Reg)'!J450+'IN_Res by Plant Acct-P30 (Reg)'!J33</f>
        <v>0</v>
      </c>
      <c r="K448" s="137"/>
      <c r="L448" s="133">
        <f>+'KY_Res by Plant Acct-P29 (Reg)'!L450+'IN_Res by Plant Acct-P30 (Reg)'!L33</f>
        <v>6665.4299999999994</v>
      </c>
      <c r="M448" s="137"/>
      <c r="N448" s="133">
        <f>+'KY_Res by Plant Acct-P29 (Reg)'!N450+'IN_Res by Plant Acct-P30 (Reg)'!N33</f>
        <v>0</v>
      </c>
      <c r="O448" s="133"/>
      <c r="P448" s="133">
        <f>+'KY_Res by Plant Acct-P29 (Reg)'!P450+'IN_Res by Plant Acct-P30 (Reg)'!P33</f>
        <v>0</v>
      </c>
      <c r="Q448" s="133"/>
      <c r="R448" s="136">
        <f t="shared" si="22"/>
        <v>-9131581.8799999971</v>
      </c>
    </row>
    <row r="449" spans="1:18" x14ac:dyDescent="0.2">
      <c r="A449" s="3" t="s">
        <v>3560</v>
      </c>
      <c r="B449" s="133">
        <f>+'KY_Res by Plant Acct-P29 (Reg)'!B451+'IN_Res by Plant Acct-P30 (Reg)'!B34</f>
        <v>-7327837.9300000006</v>
      </c>
      <c r="C449" s="133"/>
      <c r="D449" s="133">
        <f>+'KY_Res by Plant Acct-P29 (Reg)'!D451+'IN_Res by Plant Acct-P30 (Reg)'!D34</f>
        <v>-1345467.83</v>
      </c>
      <c r="E449" s="133"/>
      <c r="F449" s="133">
        <f>+'KY_Res by Plant Acct-P29 (Reg)'!F451+'IN_Res by Plant Acct-P30 (Reg)'!F34</f>
        <v>140346.94</v>
      </c>
      <c r="G449" s="137"/>
      <c r="H449" s="133">
        <f>+'KY_Res by Plant Acct-P29 (Reg)'!H451+'IN_Res by Plant Acct-P30 (Reg)'!H34</f>
        <v>0</v>
      </c>
      <c r="I449" s="137"/>
      <c r="J449" s="133">
        <f>+'KY_Res by Plant Acct-P29 (Reg)'!J451+'IN_Res by Plant Acct-P30 (Reg)'!J34</f>
        <v>0</v>
      </c>
      <c r="K449" s="137"/>
      <c r="L449" s="133">
        <f>+'KY_Res by Plant Acct-P29 (Reg)'!L451+'IN_Res by Plant Acct-P30 (Reg)'!L34</f>
        <v>271117.17</v>
      </c>
      <c r="M449" s="137"/>
      <c r="N449" s="133">
        <f>+'KY_Res by Plant Acct-P29 (Reg)'!N451+'IN_Res by Plant Acct-P30 (Reg)'!N34</f>
        <v>0</v>
      </c>
      <c r="O449" s="133"/>
      <c r="P449" s="133">
        <f>+'KY_Res by Plant Acct-P29 (Reg)'!P451+'IN_Res by Plant Acct-P30 (Reg)'!P34</f>
        <v>0</v>
      </c>
      <c r="Q449" s="133"/>
      <c r="R449" s="136">
        <f t="shared" si="22"/>
        <v>-8261841.6500000022</v>
      </c>
    </row>
    <row r="450" spans="1:18" x14ac:dyDescent="0.2">
      <c r="A450" s="3" t="s">
        <v>3561</v>
      </c>
      <c r="B450" s="133">
        <f>+'KY_Res by Plant Acct-P29 (Reg)'!B452</f>
        <v>-261457.31000000006</v>
      </c>
      <c r="C450" s="133"/>
      <c r="D450" s="133">
        <f>+'KY_Res by Plant Acct-P29 (Reg)'!D452</f>
        <v>-41731.599999999999</v>
      </c>
      <c r="E450" s="133"/>
      <c r="F450" s="133">
        <f>+'KY_Res by Plant Acct-P29 (Reg)'!F452</f>
        <v>13110.7</v>
      </c>
      <c r="G450" s="137"/>
      <c r="H450" s="133">
        <f>+'KY_Res by Plant Acct-P29 (Reg)'!H452</f>
        <v>0</v>
      </c>
      <c r="I450" s="137"/>
      <c r="J450" s="133">
        <f>+'KY_Res by Plant Acct-P29 (Reg)'!J452</f>
        <v>0</v>
      </c>
      <c r="K450" s="137"/>
      <c r="L450" s="133">
        <f>+'KY_Res by Plant Acct-P29 (Reg)'!L452</f>
        <v>2691.52</v>
      </c>
      <c r="M450" s="137"/>
      <c r="N450" s="133">
        <f>+'KY_Res by Plant Acct-P29 (Reg)'!N452</f>
        <v>0</v>
      </c>
      <c r="O450" s="133"/>
      <c r="P450" s="133">
        <f>+'KY_Res by Plant Acct-P29 (Reg)'!P452</f>
        <v>0</v>
      </c>
      <c r="Q450" s="133"/>
      <c r="R450" s="136">
        <f t="shared" si="22"/>
        <v>-287386.69</v>
      </c>
    </row>
    <row r="451" spans="1:18" x14ac:dyDescent="0.2">
      <c r="A451" s="3" t="s">
        <v>3562</v>
      </c>
      <c r="B451" s="133">
        <f>+'KY_Res by Plant Acct-P29 (Reg)'!B453</f>
        <v>-5682900.6700000018</v>
      </c>
      <c r="C451" s="133"/>
      <c r="D451" s="133">
        <f>+'KY_Res by Plant Acct-P29 (Reg)'!D453</f>
        <v>-488191.25</v>
      </c>
      <c r="E451" s="133"/>
      <c r="F451" s="133">
        <f>+'KY_Res by Plant Acct-P29 (Reg)'!F453</f>
        <v>178700.26</v>
      </c>
      <c r="G451" s="137"/>
      <c r="H451" s="133">
        <f>+'KY_Res by Plant Acct-P29 (Reg)'!H453</f>
        <v>0</v>
      </c>
      <c r="I451" s="137"/>
      <c r="J451" s="133">
        <f>+'KY_Res by Plant Acct-P29 (Reg)'!J453</f>
        <v>0</v>
      </c>
      <c r="K451" s="137"/>
      <c r="L451" s="133">
        <f>+'KY_Res by Plant Acct-P29 (Reg)'!L453</f>
        <v>7168.79</v>
      </c>
      <c r="M451" s="137"/>
      <c r="N451" s="133">
        <f>+'KY_Res by Plant Acct-P29 (Reg)'!N453</f>
        <v>0</v>
      </c>
      <c r="O451" s="133"/>
      <c r="P451" s="133">
        <f>+'KY_Res by Plant Acct-P29 (Reg)'!P453</f>
        <v>0</v>
      </c>
      <c r="Q451" s="133"/>
      <c r="R451" s="136">
        <f t="shared" si="22"/>
        <v>-5985222.870000002</v>
      </c>
    </row>
    <row r="452" spans="1:18" x14ac:dyDescent="0.2">
      <c r="A452" s="3" t="s">
        <v>3712</v>
      </c>
      <c r="B452" s="133">
        <f>+'KY_Res by Plant Acct-P29 (Reg)'!B454+'IN_Res by Plant Acct-P30 (Reg)'!B35</f>
        <v>-503745.53000000009</v>
      </c>
      <c r="C452" s="133"/>
      <c r="D452" s="133">
        <f>+'KY_Res by Plant Acct-P29 (Reg)'!D454+'IN_Res by Plant Acct-P30 (Reg)'!D35</f>
        <v>-89821.3</v>
      </c>
      <c r="E452" s="133"/>
      <c r="F452" s="133">
        <f>+'KY_Res by Plant Acct-P29 (Reg)'!F454+'IN_Res by Plant Acct-P30 (Reg)'!F35</f>
        <v>0</v>
      </c>
      <c r="G452" s="137"/>
      <c r="H452" s="133">
        <f>+'KY_Res by Plant Acct-P29 (Reg)'!H454+'IN_Res by Plant Acct-P30 (Reg)'!H35</f>
        <v>0</v>
      </c>
      <c r="I452" s="137"/>
      <c r="J452" s="133">
        <f>+'KY_Res by Plant Acct-P29 (Reg)'!J454+'IN_Res by Plant Acct-P30 (Reg)'!J35</f>
        <v>0</v>
      </c>
      <c r="K452" s="137"/>
      <c r="L452" s="133">
        <f>+'KY_Res by Plant Acct-P29 (Reg)'!L454+'IN_Res by Plant Acct-P30 (Reg)'!L35</f>
        <v>0</v>
      </c>
      <c r="M452" s="137"/>
      <c r="N452" s="133">
        <f>+'KY_Res by Plant Acct-P29 (Reg)'!N454+'IN_Res by Plant Acct-P30 (Reg)'!N35</f>
        <v>0</v>
      </c>
      <c r="O452" s="133"/>
      <c r="P452" s="133">
        <f>+'KY_Res by Plant Acct-P29 (Reg)'!P454+'IN_Res by Plant Acct-P30 (Reg)'!P35</f>
        <v>0</v>
      </c>
      <c r="Q452" s="133"/>
      <c r="R452" s="136">
        <f t="shared" si="22"/>
        <v>-593566.83000000007</v>
      </c>
    </row>
    <row r="453" spans="1:18" x14ac:dyDescent="0.2">
      <c r="A453" s="3" t="s">
        <v>3564</v>
      </c>
      <c r="B453" s="133">
        <f>+'KY_Res by Plant Acct-P29 (Reg)'!B455</f>
        <v>-150931.94999999998</v>
      </c>
      <c r="C453" s="133"/>
      <c r="D453" s="133">
        <f>+'KY_Res by Plant Acct-P29 (Reg)'!D455</f>
        <v>-20227.12</v>
      </c>
      <c r="E453" s="133"/>
      <c r="F453" s="133">
        <f>+'KY_Res by Plant Acct-P29 (Reg)'!F455</f>
        <v>60682.27</v>
      </c>
      <c r="G453" s="137"/>
      <c r="H453" s="133">
        <f>+'KY_Res by Plant Acct-P29 (Reg)'!H455</f>
        <v>0</v>
      </c>
      <c r="I453" s="137"/>
      <c r="J453" s="133">
        <f>+'KY_Res by Plant Acct-P29 (Reg)'!J455</f>
        <v>0</v>
      </c>
      <c r="K453" s="137"/>
      <c r="L453" s="133">
        <f>+'KY_Res by Plant Acct-P29 (Reg)'!L455</f>
        <v>0</v>
      </c>
      <c r="M453" s="137"/>
      <c r="N453" s="133">
        <f>+'KY_Res by Plant Acct-P29 (Reg)'!N455</f>
        <v>0</v>
      </c>
      <c r="O453" s="133"/>
      <c r="P453" s="133">
        <f>+'KY_Res by Plant Acct-P29 (Reg)'!P455</f>
        <v>0</v>
      </c>
      <c r="Q453" s="133"/>
      <c r="R453" s="136">
        <f t="shared" si="22"/>
        <v>-110476.79999999999</v>
      </c>
    </row>
    <row r="454" spans="1:18" x14ac:dyDescent="0.2">
      <c r="A454" s="3" t="s">
        <v>3565</v>
      </c>
      <c r="B454" s="149">
        <f>+'KY_Res by Plant Acct-P29 (Reg)'!B456</f>
        <v>-822759.88</v>
      </c>
      <c r="C454" s="83"/>
      <c r="D454" s="149">
        <f>+'KY_Res by Plant Acct-P29 (Reg)'!D456</f>
        <v>-205747.45</v>
      </c>
      <c r="E454" s="133"/>
      <c r="F454" s="149">
        <f>+'KY_Res by Plant Acct-P29 (Reg)'!F456</f>
        <v>113692.42</v>
      </c>
      <c r="G454" s="137"/>
      <c r="H454" s="149">
        <f>+'KY_Res by Plant Acct-P29 (Reg)'!H456</f>
        <v>0</v>
      </c>
      <c r="I454" s="137"/>
      <c r="J454" s="149">
        <f>+'KY_Res by Plant Acct-P29 (Reg)'!J456</f>
        <v>0</v>
      </c>
      <c r="K454" s="137"/>
      <c r="L454" s="149">
        <f>+'KY_Res by Plant Acct-P29 (Reg)'!L456</f>
        <v>0</v>
      </c>
      <c r="M454" s="137"/>
      <c r="N454" s="149">
        <f>+'KY_Res by Plant Acct-P29 (Reg)'!N456</f>
        <v>0</v>
      </c>
      <c r="O454" s="133"/>
      <c r="P454" s="149">
        <f>+'KY_Res by Plant Acct-P29 (Reg)'!P456</f>
        <v>0</v>
      </c>
      <c r="Q454" s="133"/>
      <c r="R454" s="149">
        <f t="shared" si="22"/>
        <v>-914814.91</v>
      </c>
    </row>
    <row r="455" spans="1:18" x14ac:dyDescent="0.2">
      <c r="B455" s="133">
        <f>SUM(B437:B454)</f>
        <v>-39697171.460000001</v>
      </c>
      <c r="C455" s="133"/>
      <c r="D455" s="133">
        <f>SUM(D437:D454)</f>
        <v>-3536157.0700000003</v>
      </c>
      <c r="E455" s="133"/>
      <c r="F455" s="137">
        <f>SUM(F437:F454)</f>
        <v>673797.68</v>
      </c>
      <c r="G455" s="137"/>
      <c r="H455" s="137">
        <f>SUM(H437:H454)</f>
        <v>0</v>
      </c>
      <c r="I455" s="137"/>
      <c r="J455" s="137">
        <f>SUM(J437:J454)</f>
        <v>0</v>
      </c>
      <c r="K455" s="137"/>
      <c r="L455" s="137">
        <f>SUM(L437:L454)</f>
        <v>619479.51</v>
      </c>
      <c r="M455" s="137"/>
      <c r="N455" s="137">
        <f>SUM(N437:N454)</f>
        <v>-696.13</v>
      </c>
      <c r="O455" s="133"/>
      <c r="P455" s="133">
        <f>SUM(P437:P454)</f>
        <v>0</v>
      </c>
      <c r="Q455" s="133"/>
      <c r="R455" s="133">
        <f>SUM(R437:R454)</f>
        <v>-41940747.469999999</v>
      </c>
    </row>
    <row r="456" spans="1:18" x14ac:dyDescent="0.2">
      <c r="B456" s="133"/>
      <c r="C456" s="133"/>
      <c r="D456" s="133"/>
      <c r="E456" s="133"/>
      <c r="F456" s="137"/>
      <c r="G456" s="137"/>
      <c r="H456" s="137"/>
      <c r="I456" s="137"/>
      <c r="J456" s="137"/>
      <c r="K456" s="137"/>
      <c r="L456" s="137"/>
      <c r="M456" s="137"/>
      <c r="N456" s="137"/>
      <c r="O456" s="133"/>
      <c r="P456" s="133"/>
      <c r="Q456" s="133"/>
      <c r="R456" s="133"/>
    </row>
    <row r="457" spans="1:18" x14ac:dyDescent="0.2">
      <c r="A457" s="9" t="s">
        <v>31</v>
      </c>
      <c r="B457" s="133"/>
      <c r="C457" s="133"/>
      <c r="D457" s="133"/>
      <c r="E457" s="133"/>
      <c r="F457" s="137"/>
      <c r="G457" s="137"/>
      <c r="H457" s="137"/>
      <c r="I457" s="137"/>
      <c r="J457" s="137"/>
      <c r="K457" s="137"/>
      <c r="L457" s="137"/>
      <c r="M457" s="137"/>
      <c r="N457" s="137"/>
      <c r="O457" s="133"/>
      <c r="P457" s="133"/>
      <c r="Q457" s="133"/>
      <c r="R457" s="133"/>
    </row>
    <row r="458" spans="1:18" x14ac:dyDescent="0.2">
      <c r="A458" s="3" t="s">
        <v>3713</v>
      </c>
      <c r="B458" s="133">
        <f>+'KY_Res by Plant Acct-P29 (Reg)'!B460</f>
        <v>-210845.43</v>
      </c>
      <c r="C458" s="133"/>
      <c r="D458" s="133">
        <f>+'KY_Res by Plant Acct-P29 (Reg)'!D460</f>
        <v>-319.92</v>
      </c>
      <c r="E458" s="133"/>
      <c r="F458" s="133">
        <f>+'KY_Res by Plant Acct-P29 (Reg)'!F460</f>
        <v>0</v>
      </c>
      <c r="G458" s="137"/>
      <c r="H458" s="133">
        <f>+'KY_Res by Plant Acct-P29 (Reg)'!H460</f>
        <v>0</v>
      </c>
      <c r="I458" s="137"/>
      <c r="J458" s="133">
        <f>+'KY_Res by Plant Acct-P29 (Reg)'!J460</f>
        <v>0</v>
      </c>
      <c r="K458" s="137"/>
      <c r="L458" s="133">
        <f>+'KY_Res by Plant Acct-P29 (Reg)'!L460</f>
        <v>0</v>
      </c>
      <c r="M458" s="137"/>
      <c r="N458" s="133">
        <f>+'KY_Res by Plant Acct-P29 (Reg)'!N460</f>
        <v>0</v>
      </c>
      <c r="O458" s="133"/>
      <c r="P458" s="133">
        <f>+'KY_Res by Plant Acct-P29 (Reg)'!P460</f>
        <v>0</v>
      </c>
      <c r="Q458" s="133"/>
      <c r="R458" s="136">
        <f>SUM(B458:P458)</f>
        <v>-211165.35</v>
      </c>
    </row>
    <row r="459" spans="1:18" x14ac:dyDescent="0.2">
      <c r="A459" s="3" t="s">
        <v>3567</v>
      </c>
      <c r="B459" s="133">
        <f>+'KY_Res by Plant Acct-P29 (Reg)'!B461</f>
        <v>-11320424.589999998</v>
      </c>
      <c r="C459" s="133"/>
      <c r="D459" s="133">
        <f>+'KY_Res by Plant Acct-P29 (Reg)'!D461</f>
        <v>-742066.3</v>
      </c>
      <c r="E459" s="133"/>
      <c r="F459" s="133">
        <f>+'KY_Res by Plant Acct-P29 (Reg)'!F461</f>
        <v>217700.06</v>
      </c>
      <c r="G459" s="137"/>
      <c r="H459" s="133">
        <f>+'KY_Res by Plant Acct-P29 (Reg)'!H461</f>
        <v>0</v>
      </c>
      <c r="I459" s="137"/>
      <c r="J459" s="133">
        <f>+'KY_Res by Plant Acct-P29 (Reg)'!J461</f>
        <v>0</v>
      </c>
      <c r="K459" s="137"/>
      <c r="L459" s="133">
        <f>+'KY_Res by Plant Acct-P29 (Reg)'!L461</f>
        <v>114945.03</v>
      </c>
      <c r="M459" s="137"/>
      <c r="N459" s="133">
        <f>+'KY_Res by Plant Acct-P29 (Reg)'!N461</f>
        <v>0</v>
      </c>
      <c r="O459" s="133"/>
      <c r="P459" s="133">
        <f>+'KY_Res by Plant Acct-P29 (Reg)'!P461</f>
        <v>0</v>
      </c>
      <c r="Q459" s="133"/>
      <c r="R459" s="136">
        <f>SUM(B459:P459)</f>
        <v>-11729845.799999999</v>
      </c>
    </row>
    <row r="460" spans="1:18" x14ac:dyDescent="0.2">
      <c r="A460" s="21" t="s">
        <v>3568</v>
      </c>
      <c r="B460" s="149">
        <f>+'KY_Res by Plant Acct-P29 (Reg)'!B462</f>
        <v>-341676.45999999996</v>
      </c>
      <c r="C460" s="83"/>
      <c r="D460" s="149">
        <f>+'KY_Res by Plant Acct-P29 (Reg)'!D462</f>
        <v>-73027.83</v>
      </c>
      <c r="E460" s="83"/>
      <c r="F460" s="149">
        <f>+'KY_Res by Plant Acct-P29 (Reg)'!F462</f>
        <v>42504.33</v>
      </c>
      <c r="G460" s="157"/>
      <c r="H460" s="149">
        <f>+'KY_Res by Plant Acct-P29 (Reg)'!H462</f>
        <v>0</v>
      </c>
      <c r="I460" s="157"/>
      <c r="J460" s="149">
        <f>+'KY_Res by Plant Acct-P29 (Reg)'!J462</f>
        <v>0</v>
      </c>
      <c r="K460" s="157"/>
      <c r="L460" s="149">
        <f>+'KY_Res by Plant Acct-P29 (Reg)'!L462</f>
        <v>0</v>
      </c>
      <c r="M460" s="157"/>
      <c r="N460" s="149">
        <f>+'KY_Res by Plant Acct-P29 (Reg)'!N462</f>
        <v>0</v>
      </c>
      <c r="O460" s="83"/>
      <c r="P460" s="149">
        <f>+'KY_Res by Plant Acct-P29 (Reg)'!P462</f>
        <v>0</v>
      </c>
      <c r="Q460" s="83"/>
      <c r="R460" s="149">
        <f>SUM(B460:P460)</f>
        <v>-372199.95999999996</v>
      </c>
    </row>
    <row r="461" spans="1:18" x14ac:dyDescent="0.2">
      <c r="B461" s="16">
        <f>SUM(B458:B460)</f>
        <v>-11872946.479999997</v>
      </c>
      <c r="C461" s="16"/>
      <c r="D461" s="16">
        <f>SUM(D458:D460)</f>
        <v>-815414.05</v>
      </c>
      <c r="E461" s="16"/>
      <c r="F461" s="16">
        <f>SUM(F458:F460)</f>
        <v>260204.39</v>
      </c>
      <c r="G461" s="140"/>
      <c r="H461" s="16">
        <f>SUM(H458:H460)</f>
        <v>0</v>
      </c>
      <c r="I461" s="140"/>
      <c r="J461" s="16">
        <f>SUM(J458:J460)</f>
        <v>0</v>
      </c>
      <c r="K461" s="140"/>
      <c r="L461" s="16">
        <f>SUM(L458:L460)</f>
        <v>114945.03</v>
      </c>
      <c r="M461" s="140"/>
      <c r="N461" s="16">
        <f>SUM(N458:N460)</f>
        <v>0</v>
      </c>
      <c r="O461" s="16"/>
      <c r="P461" s="16">
        <f>SUM(P458:P460)</f>
        <v>0</v>
      </c>
      <c r="Q461" s="16"/>
      <c r="R461" s="16">
        <f>SUM(R458:R460)</f>
        <v>-12313211.109999999</v>
      </c>
    </row>
    <row r="462" spans="1:18" x14ac:dyDescent="0.2">
      <c r="B462" s="16"/>
      <c r="C462" s="16"/>
      <c r="D462" s="16"/>
      <c r="E462" s="16"/>
      <c r="F462" s="140"/>
      <c r="G462" s="140"/>
      <c r="H462" s="140"/>
      <c r="I462" s="140"/>
      <c r="J462" s="140"/>
      <c r="K462" s="140"/>
      <c r="L462" s="140"/>
      <c r="M462" s="140"/>
      <c r="N462" s="140"/>
      <c r="O462" s="16"/>
      <c r="P462" s="16"/>
      <c r="Q462" s="16"/>
      <c r="R462" s="16"/>
    </row>
    <row r="463" spans="1:18" x14ac:dyDescent="0.2">
      <c r="B463" s="14"/>
      <c r="C463" s="16"/>
      <c r="D463" s="14"/>
      <c r="E463" s="16"/>
      <c r="F463" s="158"/>
      <c r="G463" s="140"/>
      <c r="H463" s="158"/>
      <c r="I463" s="140"/>
      <c r="J463" s="158"/>
      <c r="K463" s="140"/>
      <c r="L463" s="158"/>
      <c r="M463" s="140"/>
      <c r="N463" s="158"/>
      <c r="O463" s="16"/>
      <c r="P463" s="14"/>
      <c r="Q463" s="16"/>
      <c r="R463" s="14"/>
    </row>
    <row r="464" spans="1:18" ht="13.5" thickBot="1" x14ac:dyDescent="0.25">
      <c r="A464" s="9" t="s">
        <v>3569</v>
      </c>
      <c r="B464" s="39">
        <f>B461+B455+'Res by Plant Acct- Depr Study'!B433+'Res by Plant Acct- Depr Study'!B422</f>
        <v>-308165828.46999997</v>
      </c>
      <c r="C464" s="16"/>
      <c r="D464" s="39">
        <f>D461+D455+'Res by Plant Acct- Depr Study'!D433+'Res by Plant Acct- Depr Study'!D422</f>
        <v>-29787405.550000001</v>
      </c>
      <c r="E464" s="16"/>
      <c r="F464" s="159">
        <f>F461+F455+'Res by Plant Acct- Depr Study'!F433+'Res by Plant Acct- Depr Study'!F422</f>
        <v>4304184</v>
      </c>
      <c r="G464" s="140"/>
      <c r="H464" s="159">
        <f>H461+H455+'Res by Plant Acct- Depr Study'!H433+'Res by Plant Acct- Depr Study'!H422</f>
        <v>-13949.37</v>
      </c>
      <c r="I464" s="140"/>
      <c r="J464" s="159">
        <f>J461+J455+'Res by Plant Acct- Depr Study'!J433+'Res by Plant Acct- Depr Study'!J422</f>
        <v>0</v>
      </c>
      <c r="K464" s="140"/>
      <c r="L464" s="159">
        <f>L461+L455+'Res by Plant Acct- Depr Study'!L433+'Res by Plant Acct- Depr Study'!L422</f>
        <v>1352385.92</v>
      </c>
      <c r="M464" s="140"/>
      <c r="N464" s="159">
        <f>N461+N455+'Res by Plant Acct- Depr Study'!N433+'Res by Plant Acct- Depr Study'!N422</f>
        <v>-31425.940000000002</v>
      </c>
      <c r="O464" s="16"/>
      <c r="P464" s="39">
        <f>P461+P455+'Res by Plant Acct- Depr Study'!P433+'Res by Plant Acct- Depr Study'!P422</f>
        <v>-39916.239999999998</v>
      </c>
      <c r="Q464" s="16"/>
      <c r="R464" s="39">
        <f>R461+R455+'Res by Plant Acct- Depr Study'!R433+'Res by Plant Acct- Depr Study'!R422</f>
        <v>-332381955.64999998</v>
      </c>
    </row>
    <row r="465" spans="1:19" ht="13.5" thickTop="1" x14ac:dyDescent="0.2">
      <c r="B465" s="14"/>
      <c r="C465" s="16"/>
      <c r="D465" s="14"/>
      <c r="E465" s="16"/>
      <c r="F465" s="14"/>
      <c r="G465" s="16"/>
      <c r="H465" s="14"/>
      <c r="I465" s="16"/>
      <c r="J465" s="14"/>
      <c r="K465" s="16"/>
      <c r="L465" s="14"/>
      <c r="M465" s="16"/>
      <c r="N465" s="14"/>
      <c r="O465" s="16"/>
      <c r="P465" s="14"/>
      <c r="Q465" s="16"/>
      <c r="R465" s="14"/>
    </row>
    <row r="466" spans="1:19" x14ac:dyDescent="0.2">
      <c r="B466" s="14"/>
      <c r="C466" s="16"/>
      <c r="D466" s="14"/>
      <c r="E466" s="16"/>
      <c r="F466" s="14"/>
      <c r="G466" s="16"/>
      <c r="H466" s="14"/>
      <c r="I466" s="16"/>
      <c r="J466" s="14"/>
      <c r="K466" s="16"/>
      <c r="L466" s="14"/>
      <c r="M466" s="16"/>
      <c r="N466" s="14"/>
      <c r="O466" s="16"/>
      <c r="P466" s="14"/>
      <c r="Q466" s="16"/>
      <c r="R466" s="14"/>
    </row>
    <row r="467" spans="1:19" x14ac:dyDescent="0.2">
      <c r="A467" s="9" t="s">
        <v>29</v>
      </c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</row>
    <row r="468" spans="1:19" x14ac:dyDescent="0.2">
      <c r="A468" s="3" t="s">
        <v>3570</v>
      </c>
      <c r="B468" s="149">
        <f>+'KY_Res by Plant Acct-P29 (Reg)'!B470</f>
        <v>-164.16000000000003</v>
      </c>
      <c r="C468" s="83"/>
      <c r="D468" s="149">
        <f>+'KY_Res by Plant Acct-P29 (Reg)'!D470</f>
        <v>-44.52</v>
      </c>
      <c r="E468" s="83"/>
      <c r="F468" s="149">
        <f>+'KY_Res by Plant Acct-P29 (Reg)'!F470</f>
        <v>0</v>
      </c>
      <c r="G468" s="83"/>
      <c r="H468" s="149">
        <f>+'KY_Res by Plant Acct-P29 (Reg)'!H470</f>
        <v>0</v>
      </c>
      <c r="I468" s="83"/>
      <c r="J468" s="149">
        <f>+'KY_Res by Plant Acct-P29 (Reg)'!J470</f>
        <v>0</v>
      </c>
      <c r="K468" s="83"/>
      <c r="L468" s="149">
        <f>+'KY_Res by Plant Acct-P29 (Reg)'!L470</f>
        <v>0</v>
      </c>
      <c r="M468" s="83"/>
      <c r="N468" s="149">
        <f>+'KY_Res by Plant Acct-P29 (Reg)'!N470</f>
        <v>0</v>
      </c>
      <c r="O468" s="83"/>
      <c r="P468" s="149">
        <f>+'KY_Res by Plant Acct-P29 (Reg)'!P470</f>
        <v>0</v>
      </c>
      <c r="Q468" s="83"/>
      <c r="R468" s="151">
        <f>SUM(B468:P468)</f>
        <v>-208.68000000000004</v>
      </c>
    </row>
    <row r="469" spans="1:19" x14ac:dyDescent="0.2">
      <c r="B469" s="133">
        <f>SUM(B468)</f>
        <v>-164.16000000000003</v>
      </c>
      <c r="C469" s="133"/>
      <c r="D469" s="133">
        <f>SUM(D468)</f>
        <v>-44.52</v>
      </c>
      <c r="E469" s="133"/>
      <c r="F469" s="133">
        <f>SUM(F468)</f>
        <v>0</v>
      </c>
      <c r="G469" s="133"/>
      <c r="H469" s="133">
        <f>SUM(H468)</f>
        <v>0</v>
      </c>
      <c r="I469" s="133"/>
      <c r="J469" s="133">
        <f>SUM(J468)</f>
        <v>0</v>
      </c>
      <c r="K469" s="133"/>
      <c r="L469" s="133">
        <f>SUM(L468)</f>
        <v>0</v>
      </c>
      <c r="M469" s="133"/>
      <c r="N469" s="133">
        <f>SUM(N468)</f>
        <v>0</v>
      </c>
      <c r="O469" s="133"/>
      <c r="P469" s="133">
        <f>SUM(P468)</f>
        <v>0</v>
      </c>
      <c r="Q469" s="133"/>
      <c r="R469" s="133">
        <f>SUM(R468)</f>
        <v>-208.68000000000004</v>
      </c>
    </row>
    <row r="470" spans="1:19" x14ac:dyDescent="0.2">
      <c r="B470" s="14"/>
      <c r="C470" s="16"/>
      <c r="D470" s="14"/>
      <c r="E470" s="16"/>
      <c r="F470" s="14"/>
      <c r="G470" s="16"/>
      <c r="H470" s="14"/>
      <c r="I470" s="16"/>
      <c r="J470" s="14"/>
      <c r="K470" s="16"/>
      <c r="L470" s="14"/>
      <c r="M470" s="16"/>
      <c r="N470" s="14"/>
      <c r="O470" s="16"/>
      <c r="P470" s="14"/>
      <c r="Q470" s="16"/>
      <c r="R470" s="14"/>
    </row>
    <row r="471" spans="1:19" x14ac:dyDescent="0.2">
      <c r="B471" s="14"/>
      <c r="C471" s="16"/>
      <c r="D471" s="14"/>
      <c r="E471" s="16"/>
      <c r="F471" s="14"/>
      <c r="G471" s="16"/>
      <c r="H471" s="14"/>
      <c r="I471" s="16"/>
      <c r="J471" s="14"/>
      <c r="K471" s="16"/>
      <c r="L471" s="14"/>
      <c r="M471" s="16"/>
      <c r="N471" s="14"/>
      <c r="O471" s="16"/>
      <c r="P471" s="14"/>
      <c r="Q471" s="16"/>
      <c r="R471" s="14"/>
    </row>
    <row r="472" spans="1:19" ht="13.5" thickBot="1" x14ac:dyDescent="0.25">
      <c r="A472" s="9" t="s">
        <v>3571</v>
      </c>
      <c r="B472" s="39">
        <f>B469</f>
        <v>-164.16000000000003</v>
      </c>
      <c r="C472" s="16"/>
      <c r="D472" s="39">
        <f>D469</f>
        <v>-44.52</v>
      </c>
      <c r="E472" s="16"/>
      <c r="F472" s="39">
        <f>F469</f>
        <v>0</v>
      </c>
      <c r="G472" s="16"/>
      <c r="H472" s="39">
        <f>H469</f>
        <v>0</v>
      </c>
      <c r="I472" s="16"/>
      <c r="J472" s="39">
        <f>J469</f>
        <v>0</v>
      </c>
      <c r="K472" s="16"/>
      <c r="L472" s="39">
        <f>L469</f>
        <v>0</v>
      </c>
      <c r="M472" s="16"/>
      <c r="N472" s="39">
        <f>N469</f>
        <v>0</v>
      </c>
      <c r="O472" s="16"/>
      <c r="P472" s="39">
        <f>P469</f>
        <v>0</v>
      </c>
      <c r="Q472" s="16"/>
      <c r="R472" s="39">
        <f>R469</f>
        <v>-208.68000000000004</v>
      </c>
    </row>
    <row r="473" spans="1:19" ht="13.5" thickTop="1" x14ac:dyDescent="0.2"/>
    <row r="475" spans="1:19" x14ac:dyDescent="0.2">
      <c r="A475" s="9" t="s">
        <v>14</v>
      </c>
    </row>
    <row r="476" spans="1:19" x14ac:dyDescent="0.2">
      <c r="A476" s="3" t="s">
        <v>3572</v>
      </c>
      <c r="B476" s="14">
        <f>+'KY_Res by Plant Acct-P29 (Reg)'!B478</f>
        <v>0</v>
      </c>
      <c r="C476" s="16"/>
      <c r="D476" s="14">
        <f>+'KY_Res by Plant Acct-P29 (Reg)'!D478</f>
        <v>0</v>
      </c>
      <c r="E476" s="16"/>
      <c r="F476" s="14">
        <f>+'KY_Res by Plant Acct-P29 (Reg)'!F478</f>
        <v>0</v>
      </c>
      <c r="G476" s="16"/>
      <c r="H476" s="14">
        <f>+'KY_Res by Plant Acct-P29 (Reg)'!H478</f>
        <v>0</v>
      </c>
      <c r="I476" s="16"/>
      <c r="J476" s="14">
        <f>+'KY_Res by Plant Acct-P29 (Reg)'!J478</f>
        <v>0</v>
      </c>
      <c r="K476" s="16"/>
      <c r="L476" s="14">
        <f>+'KY_Res by Plant Acct-P29 (Reg)'!L478</f>
        <v>0</v>
      </c>
      <c r="M476" s="16"/>
      <c r="N476" s="14">
        <f>+'KY_Res by Plant Acct-P29 (Reg)'!N478</f>
        <v>0</v>
      </c>
      <c r="O476" s="16"/>
      <c r="P476" s="14">
        <f>+'KY_Res by Plant Acct-P29 (Reg)'!P478</f>
        <v>0</v>
      </c>
      <c r="Q476" s="16"/>
      <c r="R476" s="14">
        <f t="shared" ref="R476:R504" si="23">SUM(B476:P476)</f>
        <v>0</v>
      </c>
    </row>
    <row r="477" spans="1:19" x14ac:dyDescent="0.2">
      <c r="A477" s="3" t="s">
        <v>3573</v>
      </c>
      <c r="B477" s="14">
        <f>+'KY_Res by Plant Acct-P29 (Reg)'!B479</f>
        <v>0</v>
      </c>
      <c r="C477" s="16"/>
      <c r="D477" s="14">
        <f>+'KY_Res by Plant Acct-P29 (Reg)'!D479</f>
        <v>0</v>
      </c>
      <c r="E477" s="16"/>
      <c r="F477" s="14">
        <f>+'KY_Res by Plant Acct-P29 (Reg)'!F479</f>
        <v>0</v>
      </c>
      <c r="G477" s="16"/>
      <c r="H477" s="14">
        <f>+'KY_Res by Plant Acct-P29 (Reg)'!H479</f>
        <v>0</v>
      </c>
      <c r="I477" s="16"/>
      <c r="J477" s="14">
        <f>+'KY_Res by Plant Acct-P29 (Reg)'!J479</f>
        <v>0</v>
      </c>
      <c r="K477" s="16"/>
      <c r="L477" s="14">
        <f>+'KY_Res by Plant Acct-P29 (Reg)'!L479</f>
        <v>0</v>
      </c>
      <c r="M477" s="16"/>
      <c r="N477" s="14">
        <f>+'KY_Res by Plant Acct-P29 (Reg)'!N479</f>
        <v>0</v>
      </c>
      <c r="O477" s="16"/>
      <c r="P477" s="14">
        <f>+'KY_Res by Plant Acct-P29 (Reg)'!P479</f>
        <v>0</v>
      </c>
      <c r="Q477" s="16"/>
      <c r="R477" s="14">
        <f t="shared" si="23"/>
        <v>0</v>
      </c>
    </row>
    <row r="478" spans="1:19" x14ac:dyDescent="0.2">
      <c r="A478" s="3" t="s">
        <v>3574</v>
      </c>
      <c r="B478" s="14">
        <f>+'KY_Res by Plant Acct-P29 (Reg)'!B480</f>
        <v>-11867540.970000003</v>
      </c>
      <c r="C478" s="16"/>
      <c r="D478" s="14">
        <f>+'KY_Res by Plant Acct-P29 (Reg)'!D480</f>
        <v>-1107586.93</v>
      </c>
      <c r="E478" s="16"/>
      <c r="F478" s="14">
        <f>+'KY_Res by Plant Acct-P29 (Reg)'!F480</f>
        <v>80455.179999999993</v>
      </c>
      <c r="G478" s="14">
        <f>+'KY_Res by Plant Acct-P29 (Reg)'!G480</f>
        <v>0</v>
      </c>
      <c r="H478" s="14">
        <f>+'KY_Res by Plant Acct-P29 (Reg)'!H480</f>
        <v>0</v>
      </c>
      <c r="I478" s="16"/>
      <c r="J478" s="14">
        <f>+'KY_Res by Plant Acct-P29 (Reg)'!J480</f>
        <v>0</v>
      </c>
      <c r="K478" s="16"/>
      <c r="L478" s="14">
        <f>+'KY_Res by Plant Acct-P29 (Reg)'!L480</f>
        <v>312</v>
      </c>
      <c r="M478" s="16"/>
      <c r="N478" s="14">
        <f>+'KY_Res by Plant Acct-P29 (Reg)'!N480</f>
        <v>0</v>
      </c>
      <c r="O478" s="16"/>
      <c r="P478" s="14">
        <f>+'KY_Res by Plant Acct-P29 (Reg)'!P480</f>
        <v>0</v>
      </c>
      <c r="Q478" s="16"/>
      <c r="R478" s="14">
        <f>SUM(B478:P478)</f>
        <v>-12894360.720000003</v>
      </c>
    </row>
    <row r="479" spans="1:19" x14ac:dyDescent="0.2">
      <c r="A479" s="3" t="s">
        <v>3714</v>
      </c>
      <c r="B479" s="14">
        <f>+'KY_Res by Plant Acct-P29 (Reg)'!B481</f>
        <v>46012.289999999979</v>
      </c>
      <c r="C479" s="16"/>
      <c r="D479" s="14">
        <f>+'KY_Res by Plant Acct-P29 (Reg)'!D481</f>
        <v>-20151</v>
      </c>
      <c r="E479" s="16"/>
      <c r="F479" s="14">
        <f>+'KY_Res by Plant Acct-P29 (Reg)'!F481</f>
        <v>0</v>
      </c>
      <c r="G479" s="14">
        <f>+'KY_Res by Plant Acct-P29 (Reg)'!G481</f>
        <v>0</v>
      </c>
      <c r="H479" s="14">
        <f>+'KY_Res by Plant Acct-P29 (Reg)'!H481</f>
        <v>0</v>
      </c>
      <c r="I479" s="16"/>
      <c r="J479" s="14">
        <f>+'KY_Res by Plant Acct-P29 (Reg)'!J481</f>
        <v>0</v>
      </c>
      <c r="K479" s="16"/>
      <c r="L479" s="14">
        <f>+'KY_Res by Plant Acct-P29 (Reg)'!L481</f>
        <v>0</v>
      </c>
      <c r="M479" s="16"/>
      <c r="N479" s="14">
        <f>+'KY_Res by Plant Acct-P29 (Reg)'!N481</f>
        <v>0</v>
      </c>
      <c r="O479" s="16"/>
      <c r="P479" s="14">
        <f>+'KY_Res by Plant Acct-P29 (Reg)'!P481</f>
        <v>0</v>
      </c>
      <c r="Q479" s="16"/>
      <c r="R479" s="14">
        <f>SUM(B479:P479)</f>
        <v>25861.289999999979</v>
      </c>
      <c r="S479" s="14"/>
    </row>
    <row r="480" spans="1:19" x14ac:dyDescent="0.2">
      <c r="A480" s="3" t="s">
        <v>3715</v>
      </c>
      <c r="B480" s="14">
        <f>+'KY_Res by Plant Acct-P29 (Reg)'!B482</f>
        <v>-201780.88999999998</v>
      </c>
      <c r="C480" s="16"/>
      <c r="D480" s="14">
        <f>+'KY_Res by Plant Acct-P29 (Reg)'!D482</f>
        <v>-62626.47</v>
      </c>
      <c r="E480" s="16"/>
      <c r="F480" s="14">
        <f>+'KY_Res by Plant Acct-P29 (Reg)'!F482</f>
        <v>3781.7</v>
      </c>
      <c r="G480" s="14">
        <f>+'KY_Res by Plant Acct-P29 (Reg)'!G482</f>
        <v>0</v>
      </c>
      <c r="H480" s="14">
        <f>+'KY_Res by Plant Acct-P29 (Reg)'!H482</f>
        <v>0</v>
      </c>
      <c r="I480" s="16"/>
      <c r="J480" s="14">
        <f>+'KY_Res by Plant Acct-P29 (Reg)'!J482</f>
        <v>0</v>
      </c>
      <c r="K480" s="16"/>
      <c r="L480" s="14">
        <f>+'KY_Res by Plant Acct-P29 (Reg)'!L482</f>
        <v>4273.6899999999996</v>
      </c>
      <c r="M480" s="16"/>
      <c r="N480" s="14">
        <f>+'KY_Res by Plant Acct-P29 (Reg)'!N482</f>
        <v>0</v>
      </c>
      <c r="O480" s="16"/>
      <c r="P480" s="14">
        <f>+'KY_Res by Plant Acct-P29 (Reg)'!P482</f>
        <v>0</v>
      </c>
      <c r="Q480" s="16"/>
      <c r="R480" s="14">
        <f>SUM(B480:P480)</f>
        <v>-256351.96999999997</v>
      </c>
      <c r="S480" s="14"/>
    </row>
    <row r="481" spans="1:18" x14ac:dyDescent="0.2">
      <c r="A481" s="3" t="s">
        <v>3577</v>
      </c>
      <c r="B481" s="14">
        <f>+'KY_Res by Plant Acct-P29 (Reg)'!B483</f>
        <v>-14464997.18</v>
      </c>
      <c r="C481" s="16"/>
      <c r="D481" s="14">
        <f>+'KY_Res by Plant Acct-P29 (Reg)'!D483</f>
        <v>-859377.88</v>
      </c>
      <c r="E481" s="16"/>
      <c r="F481" s="14">
        <f>+'KY_Res by Plant Acct-P29 (Reg)'!F483</f>
        <v>287756.99</v>
      </c>
      <c r="G481" s="16"/>
      <c r="H481" s="14">
        <f>+'KY_Res by Plant Acct-P29 (Reg)'!H483</f>
        <v>0</v>
      </c>
      <c r="I481" s="16"/>
      <c r="J481" s="14">
        <f>+'KY_Res by Plant Acct-P29 (Reg)'!J483</f>
        <v>0</v>
      </c>
      <c r="K481" s="16"/>
      <c r="L481" s="14">
        <f>+'KY_Res by Plant Acct-P29 (Reg)'!L483</f>
        <v>76056.95</v>
      </c>
      <c r="M481" s="16"/>
      <c r="N481" s="14">
        <f>+'KY_Res by Plant Acct-P29 (Reg)'!N483</f>
        <v>0</v>
      </c>
      <c r="O481" s="16"/>
      <c r="P481" s="14">
        <f>+'KY_Res by Plant Acct-P29 (Reg)'!P483</f>
        <v>0</v>
      </c>
      <c r="Q481" s="16"/>
      <c r="R481" s="14">
        <f>SUM(B481:P481)</f>
        <v>-14960561.120000001</v>
      </c>
    </row>
    <row r="482" spans="1:18" x14ac:dyDescent="0.2">
      <c r="A482" s="3" t="s">
        <v>3578</v>
      </c>
      <c r="B482" s="14">
        <f>+'KY_Res by Plant Acct-P29 (Reg)'!B484</f>
        <v>-1196786.6600000004</v>
      </c>
      <c r="C482" s="16"/>
      <c r="D482" s="14">
        <f>+'KY_Res by Plant Acct-P29 (Reg)'!D484</f>
        <v>-37409.67</v>
      </c>
      <c r="E482" s="16"/>
      <c r="F482" s="14">
        <f>+'KY_Res by Plant Acct-P29 (Reg)'!F484</f>
        <v>498811.84</v>
      </c>
      <c r="G482" s="16"/>
      <c r="H482" s="14">
        <f>+'KY_Res by Plant Acct-P29 (Reg)'!H484</f>
        <v>0</v>
      </c>
      <c r="I482" s="16"/>
      <c r="J482" s="14">
        <f>+'KY_Res by Plant Acct-P29 (Reg)'!J484</f>
        <v>0</v>
      </c>
      <c r="K482" s="16"/>
      <c r="L482" s="14">
        <f>+'KY_Res by Plant Acct-P29 (Reg)'!L484</f>
        <v>61667.4</v>
      </c>
      <c r="M482" s="16"/>
      <c r="N482" s="14">
        <f>+'KY_Res by Plant Acct-P29 (Reg)'!N484</f>
        <v>0</v>
      </c>
      <c r="O482" s="16"/>
      <c r="P482" s="14">
        <f>+'KY_Res by Plant Acct-P29 (Reg)'!P484</f>
        <v>0</v>
      </c>
      <c r="Q482" s="16"/>
      <c r="R482" s="14">
        <f t="shared" si="23"/>
        <v>-673717.0900000002</v>
      </c>
    </row>
    <row r="483" spans="1:18" x14ac:dyDescent="0.2">
      <c r="A483" s="3" t="s">
        <v>3579</v>
      </c>
      <c r="B483" s="14">
        <f>+'KY_Res by Plant Acct-P29 (Reg)'!B485</f>
        <v>244232.80000000028</v>
      </c>
      <c r="C483" s="16"/>
      <c r="D483" s="14">
        <f>+'KY_Res by Plant Acct-P29 (Reg)'!D485</f>
        <v>-17598.900000000001</v>
      </c>
      <c r="E483" s="16"/>
      <c r="F483" s="14">
        <f>+'KY_Res by Plant Acct-P29 (Reg)'!F485</f>
        <v>0</v>
      </c>
      <c r="G483" s="16"/>
      <c r="H483" s="14">
        <f>+'KY_Res by Plant Acct-P29 (Reg)'!H485</f>
        <v>0</v>
      </c>
      <c r="I483" s="16"/>
      <c r="J483" s="14">
        <f>+'KY_Res by Plant Acct-P29 (Reg)'!J485</f>
        <v>0</v>
      </c>
      <c r="K483" s="16"/>
      <c r="L483" s="14">
        <f>+'KY_Res by Plant Acct-P29 (Reg)'!L485</f>
        <v>0</v>
      </c>
      <c r="M483" s="16"/>
      <c r="N483" s="14">
        <f>+'KY_Res by Plant Acct-P29 (Reg)'!N485</f>
        <v>0</v>
      </c>
      <c r="O483" s="16"/>
      <c r="P483" s="14">
        <f>+'KY_Res by Plant Acct-P29 (Reg)'!P485</f>
        <v>0</v>
      </c>
      <c r="Q483" s="16"/>
      <c r="R483" s="14">
        <f t="shared" si="23"/>
        <v>226633.90000000029</v>
      </c>
    </row>
    <row r="484" spans="1:18" x14ac:dyDescent="0.2">
      <c r="A484" s="3" t="s">
        <v>3580</v>
      </c>
      <c r="B484" s="14">
        <f>+'KY_Res by Plant Acct-P29 (Reg)'!B486</f>
        <v>-6782960.2799999993</v>
      </c>
      <c r="C484" s="16"/>
      <c r="D484" s="14">
        <f>+'KY_Res by Plant Acct-P29 (Reg)'!D486</f>
        <v>-193415.23</v>
      </c>
      <c r="E484" s="16"/>
      <c r="F484" s="14">
        <f>+'KY_Res by Plant Acct-P29 (Reg)'!F486</f>
        <v>69403.289999999994</v>
      </c>
      <c r="G484" s="16"/>
      <c r="H484" s="14">
        <f>+'KY_Res by Plant Acct-P29 (Reg)'!H486</f>
        <v>0</v>
      </c>
      <c r="I484" s="16"/>
      <c r="J484" s="14">
        <f>+'KY_Res by Plant Acct-P29 (Reg)'!J486</f>
        <v>0</v>
      </c>
      <c r="K484" s="16"/>
      <c r="L484" s="14">
        <f>+'KY_Res by Plant Acct-P29 (Reg)'!L486</f>
        <v>3541.78</v>
      </c>
      <c r="M484" s="16"/>
      <c r="N484" s="14">
        <f>+'KY_Res by Plant Acct-P29 (Reg)'!N486</f>
        <v>0</v>
      </c>
      <c r="O484" s="16"/>
      <c r="P484" s="14">
        <f>+'KY_Res by Plant Acct-P29 (Reg)'!P486</f>
        <v>0</v>
      </c>
      <c r="Q484" s="16"/>
      <c r="R484" s="14">
        <f t="shared" si="23"/>
        <v>-6903430.4399999995</v>
      </c>
    </row>
    <row r="485" spans="1:18" x14ac:dyDescent="0.2">
      <c r="A485" s="3" t="s">
        <v>3581</v>
      </c>
      <c r="B485" s="14">
        <f>+'KY_Res by Plant Acct-P29 (Reg)'!B487</f>
        <v>-198843.97000000003</v>
      </c>
      <c r="C485" s="16"/>
      <c r="D485" s="14">
        <f>+'KY_Res by Plant Acct-P29 (Reg)'!D487</f>
        <v>-16484.34</v>
      </c>
      <c r="E485" s="16"/>
      <c r="F485" s="14">
        <f>+'KY_Res by Plant Acct-P29 (Reg)'!F487</f>
        <v>0</v>
      </c>
      <c r="G485" s="16"/>
      <c r="H485" s="14">
        <f>+'KY_Res by Plant Acct-P29 (Reg)'!H487</f>
        <v>0</v>
      </c>
      <c r="I485" s="16"/>
      <c r="J485" s="14">
        <f>+'KY_Res by Plant Acct-P29 (Reg)'!J487</f>
        <v>0</v>
      </c>
      <c r="K485" s="16"/>
      <c r="L485" s="14">
        <f>+'KY_Res by Plant Acct-P29 (Reg)'!L487</f>
        <v>0</v>
      </c>
      <c r="M485" s="16"/>
      <c r="N485" s="14">
        <f>+'KY_Res by Plant Acct-P29 (Reg)'!N487</f>
        <v>0</v>
      </c>
      <c r="O485" s="16"/>
      <c r="P485" s="14">
        <f>+'KY_Res by Plant Acct-P29 (Reg)'!P487</f>
        <v>0</v>
      </c>
      <c r="Q485" s="16"/>
      <c r="R485" s="14">
        <f t="shared" si="23"/>
        <v>-215328.31000000003</v>
      </c>
    </row>
    <row r="486" spans="1:18" x14ac:dyDescent="0.2">
      <c r="A486" s="3" t="s">
        <v>3582</v>
      </c>
      <c r="B486" s="14">
        <f>+'KY_Res by Plant Acct-P29 (Reg)'!B488</f>
        <v>-369759.35000000003</v>
      </c>
      <c r="C486" s="16"/>
      <c r="D486" s="14">
        <f>+'KY_Res by Plant Acct-P29 (Reg)'!D488</f>
        <v>-23505.57</v>
      </c>
      <c r="E486" s="16"/>
      <c r="F486" s="14">
        <f>+'KY_Res by Plant Acct-P29 (Reg)'!F488</f>
        <v>1917.02</v>
      </c>
      <c r="G486" s="16"/>
      <c r="H486" s="14">
        <f>+'KY_Res by Plant Acct-P29 (Reg)'!H488</f>
        <v>0</v>
      </c>
      <c r="I486" s="16"/>
      <c r="J486" s="14">
        <f>+'KY_Res by Plant Acct-P29 (Reg)'!J488</f>
        <v>0</v>
      </c>
      <c r="K486" s="16"/>
      <c r="L486" s="14">
        <f>+'KY_Res by Plant Acct-P29 (Reg)'!L488</f>
        <v>4509.8</v>
      </c>
      <c r="M486" s="16"/>
      <c r="N486" s="14">
        <f>+'KY_Res by Plant Acct-P29 (Reg)'!N488</f>
        <v>0</v>
      </c>
      <c r="O486" s="16"/>
      <c r="P486" s="14">
        <f>+'KY_Res by Plant Acct-P29 (Reg)'!P488</f>
        <v>0</v>
      </c>
      <c r="Q486" s="16"/>
      <c r="R486" s="14">
        <f t="shared" si="23"/>
        <v>-386838.10000000003</v>
      </c>
    </row>
    <row r="487" spans="1:18" x14ac:dyDescent="0.2">
      <c r="A487" s="3" t="s">
        <v>3583</v>
      </c>
      <c r="B487" s="14">
        <f>+'KY_Res by Plant Acct-P29 (Reg)'!B489</f>
        <v>-6192845.7699999996</v>
      </c>
      <c r="C487" s="16"/>
      <c r="D487" s="14">
        <f>+'KY_Res by Plant Acct-P29 (Reg)'!D489</f>
        <v>-783080.44</v>
      </c>
      <c r="E487" s="16"/>
      <c r="F487" s="14">
        <f>+'KY_Res by Plant Acct-P29 (Reg)'!F489</f>
        <v>248851.16</v>
      </c>
      <c r="G487" s="16"/>
      <c r="H487" s="14">
        <f>+'KY_Res by Plant Acct-P29 (Reg)'!H489</f>
        <v>0</v>
      </c>
      <c r="I487" s="16"/>
      <c r="J487" s="14">
        <f>+'KY_Res by Plant Acct-P29 (Reg)'!J489</f>
        <v>0</v>
      </c>
      <c r="K487" s="16"/>
      <c r="L487" s="14">
        <f>+'KY_Res by Plant Acct-P29 (Reg)'!L489</f>
        <v>23104.61</v>
      </c>
      <c r="M487" s="16"/>
      <c r="N487" s="14">
        <f>+'KY_Res by Plant Acct-P29 (Reg)'!N489</f>
        <v>0</v>
      </c>
      <c r="O487" s="16"/>
      <c r="P487" s="14">
        <f>+'KY_Res by Plant Acct-P29 (Reg)'!P489</f>
        <v>0</v>
      </c>
      <c r="Q487" s="16"/>
      <c r="R487" s="14">
        <f t="shared" si="23"/>
        <v>-6703970.4399999985</v>
      </c>
    </row>
    <row r="488" spans="1:18" x14ac:dyDescent="0.2">
      <c r="A488" s="3" t="s">
        <v>3584</v>
      </c>
      <c r="B488" s="14">
        <f>+'KY_Res by Plant Acct-P29 (Reg)'!B490</f>
        <v>-295882.18000000028</v>
      </c>
      <c r="C488" s="16"/>
      <c r="D488" s="14">
        <f>+'KY_Res by Plant Acct-P29 (Reg)'!D490</f>
        <v>-143312.56</v>
      </c>
      <c r="E488" s="16"/>
      <c r="F488" s="14">
        <f>+'KY_Res by Plant Acct-P29 (Reg)'!F490</f>
        <v>0</v>
      </c>
      <c r="G488" s="16"/>
      <c r="H488" s="14">
        <f>+'KY_Res by Plant Acct-P29 (Reg)'!H490</f>
        <v>0</v>
      </c>
      <c r="I488" s="16"/>
      <c r="J488" s="14">
        <f>+'KY_Res by Plant Acct-P29 (Reg)'!J490</f>
        <v>0</v>
      </c>
      <c r="K488" s="16"/>
      <c r="L488" s="14">
        <f>+'KY_Res by Plant Acct-P29 (Reg)'!L490</f>
        <v>15119.12</v>
      </c>
      <c r="M488" s="16"/>
      <c r="N488" s="14">
        <f>+'KY_Res by Plant Acct-P29 (Reg)'!N490</f>
        <v>0</v>
      </c>
      <c r="O488" s="16"/>
      <c r="P488" s="14">
        <f>+'KY_Res by Plant Acct-P29 (Reg)'!P490</f>
        <v>0</v>
      </c>
      <c r="Q488" s="16"/>
      <c r="R488" s="14">
        <f t="shared" si="23"/>
        <v>-424075.62000000029</v>
      </c>
    </row>
    <row r="489" spans="1:18" x14ac:dyDescent="0.2">
      <c r="A489" s="3" t="s">
        <v>3585</v>
      </c>
      <c r="B489" s="14">
        <f>+'KY_Res by Plant Acct-P29 (Reg)'!B491</f>
        <v>-6616075.9699999988</v>
      </c>
      <c r="C489" s="16"/>
      <c r="D489" s="14">
        <f>+'KY_Res by Plant Acct-P29 (Reg)'!D491</f>
        <v>-2181051.5699999998</v>
      </c>
      <c r="E489" s="16"/>
      <c r="F489" s="14">
        <f>+'KY_Res by Plant Acct-P29 (Reg)'!F491</f>
        <v>4080319.3</v>
      </c>
      <c r="G489" s="16"/>
      <c r="H489" s="14">
        <f>+'KY_Res by Plant Acct-P29 (Reg)'!H491</f>
        <v>0</v>
      </c>
      <c r="I489" s="16"/>
      <c r="J489" s="14">
        <f>+'KY_Res by Plant Acct-P29 (Reg)'!J491</f>
        <v>0</v>
      </c>
      <c r="K489" s="16"/>
      <c r="L489" s="14">
        <f>+'KY_Res by Plant Acct-P29 (Reg)'!L491</f>
        <v>0</v>
      </c>
      <c r="M489" s="16"/>
      <c r="N489" s="14">
        <f>+'KY_Res by Plant Acct-P29 (Reg)'!N491</f>
        <v>0</v>
      </c>
      <c r="O489" s="16"/>
      <c r="P489" s="14">
        <f>+'KY_Res by Plant Acct-P29 (Reg)'!P491</f>
        <v>0</v>
      </c>
      <c r="Q489" s="16"/>
      <c r="R489" s="14">
        <f t="shared" si="23"/>
        <v>-4716808.2399999993</v>
      </c>
    </row>
    <row r="490" spans="1:18" x14ac:dyDescent="0.2">
      <c r="A490" s="3" t="s">
        <v>3586</v>
      </c>
      <c r="B490" s="14">
        <f>+'KY_Res by Plant Acct-P29 (Reg)'!B492</f>
        <v>-2388130.58</v>
      </c>
      <c r="C490" s="16"/>
      <c r="D490" s="14">
        <f>+'KY_Res by Plant Acct-P29 (Reg)'!D492</f>
        <v>-1265179.18</v>
      </c>
      <c r="E490" s="16"/>
      <c r="F490" s="14">
        <f>+'KY_Res by Plant Acct-P29 (Reg)'!F492</f>
        <v>1005087.57</v>
      </c>
      <c r="G490" s="16"/>
      <c r="H490" s="14">
        <f>+'KY_Res by Plant Acct-P29 (Reg)'!H492</f>
        <v>0</v>
      </c>
      <c r="I490" s="16"/>
      <c r="J490" s="14">
        <f>+'KY_Res by Plant Acct-P29 (Reg)'!J492</f>
        <v>0</v>
      </c>
      <c r="K490" s="16"/>
      <c r="L490" s="14">
        <f>+'KY_Res by Plant Acct-P29 (Reg)'!L492</f>
        <v>0</v>
      </c>
      <c r="M490" s="16"/>
      <c r="N490" s="14">
        <f>+'KY_Res by Plant Acct-P29 (Reg)'!N492</f>
        <v>0</v>
      </c>
      <c r="O490" s="16"/>
      <c r="P490" s="14">
        <f>+'KY_Res by Plant Acct-P29 (Reg)'!P492</f>
        <v>0</v>
      </c>
      <c r="Q490" s="16"/>
      <c r="R490" s="14">
        <f t="shared" si="23"/>
        <v>-2648222.19</v>
      </c>
    </row>
    <row r="491" spans="1:18" x14ac:dyDescent="0.2">
      <c r="A491" s="3" t="s">
        <v>3587</v>
      </c>
      <c r="B491" s="14">
        <f>+'KY_Res by Plant Acct-P29 (Reg)'!B493</f>
        <v>-1.4551915228366852E-11</v>
      </c>
      <c r="C491" s="16"/>
      <c r="D491" s="14">
        <f>+'KY_Res by Plant Acct-P29 (Reg)'!D493</f>
        <v>0</v>
      </c>
      <c r="E491" s="16"/>
      <c r="F491" s="14">
        <f>+'KY_Res by Plant Acct-P29 (Reg)'!F493</f>
        <v>0</v>
      </c>
      <c r="G491" s="16"/>
      <c r="H491" s="14">
        <f>+'KY_Res by Plant Acct-P29 (Reg)'!H493</f>
        <v>0</v>
      </c>
      <c r="I491" s="16"/>
      <c r="J491" s="14">
        <f>+'KY_Res by Plant Acct-P29 (Reg)'!J493</f>
        <v>0</v>
      </c>
      <c r="K491" s="16"/>
      <c r="L491" s="14">
        <f>+'KY_Res by Plant Acct-P29 (Reg)'!L493</f>
        <v>0</v>
      </c>
      <c r="M491" s="16"/>
      <c r="N491" s="14">
        <f>+'KY_Res by Plant Acct-P29 (Reg)'!N493</f>
        <v>0</v>
      </c>
      <c r="O491" s="16"/>
      <c r="P491" s="14">
        <f>+'KY_Res by Plant Acct-P29 (Reg)'!P493</f>
        <v>0</v>
      </c>
      <c r="Q491" s="16"/>
      <c r="R491" s="14">
        <f t="shared" si="23"/>
        <v>-1.4551915228366852E-11</v>
      </c>
    </row>
    <row r="492" spans="1:18" x14ac:dyDescent="0.2">
      <c r="A492" s="3" t="s">
        <v>3588</v>
      </c>
      <c r="B492" s="14">
        <f>+'KY_Res by Plant Acct-P29 (Reg)'!B494</f>
        <v>-643927.89</v>
      </c>
      <c r="C492" s="16"/>
      <c r="D492" s="14">
        <f>+'KY_Res by Plant Acct-P29 (Reg)'!D494</f>
        <v>-142025.94</v>
      </c>
      <c r="E492" s="16"/>
      <c r="F492" s="14">
        <f>+'KY_Res by Plant Acct-P29 (Reg)'!F494</f>
        <v>0</v>
      </c>
      <c r="G492" s="16"/>
      <c r="H492" s="14">
        <f>+'KY_Res by Plant Acct-P29 (Reg)'!H494</f>
        <v>0</v>
      </c>
      <c r="I492" s="16"/>
      <c r="J492" s="14">
        <f>+'KY_Res by Plant Acct-P29 (Reg)'!J494</f>
        <v>0</v>
      </c>
      <c r="K492" s="16"/>
      <c r="L492" s="14">
        <f>+'KY_Res by Plant Acct-P29 (Reg)'!L494</f>
        <v>0</v>
      </c>
      <c r="M492" s="16"/>
      <c r="N492" s="14">
        <f>+'KY_Res by Plant Acct-P29 (Reg)'!N494</f>
        <v>0</v>
      </c>
      <c r="O492" s="16"/>
      <c r="P492" s="14">
        <f>+'KY_Res by Plant Acct-P29 (Reg)'!P494</f>
        <v>0</v>
      </c>
      <c r="Q492" s="16"/>
      <c r="R492" s="14">
        <f t="shared" si="23"/>
        <v>-785953.83000000007</v>
      </c>
    </row>
    <row r="493" spans="1:18" x14ac:dyDescent="0.2">
      <c r="A493" s="3" t="s">
        <v>3589</v>
      </c>
      <c r="B493" s="14">
        <f>+'KY_Res by Plant Acct-P29 (Reg)'!B495</f>
        <v>-20757.36</v>
      </c>
      <c r="C493" s="16"/>
      <c r="D493" s="14">
        <f>+'KY_Res by Plant Acct-P29 (Reg)'!D495</f>
        <v>0</v>
      </c>
      <c r="E493" s="16"/>
      <c r="F493" s="14">
        <f>+'KY_Res by Plant Acct-P29 (Reg)'!F495</f>
        <v>20757.36</v>
      </c>
      <c r="G493" s="16"/>
      <c r="H493" s="14">
        <f>+'KY_Res by Plant Acct-P29 (Reg)'!H495</f>
        <v>0</v>
      </c>
      <c r="I493" s="16"/>
      <c r="J493" s="14">
        <f>+'KY_Res by Plant Acct-P29 (Reg)'!J495</f>
        <v>0</v>
      </c>
      <c r="K493" s="16"/>
      <c r="L493" s="14">
        <f>+'KY_Res by Plant Acct-P29 (Reg)'!L495</f>
        <v>0</v>
      </c>
      <c r="M493" s="16"/>
      <c r="N493" s="14">
        <f>+'KY_Res by Plant Acct-P29 (Reg)'!N495</f>
        <v>0</v>
      </c>
      <c r="O493" s="16"/>
      <c r="P493" s="14">
        <f>+'KY_Res by Plant Acct-P29 (Reg)'!P495</f>
        <v>0</v>
      </c>
      <c r="Q493" s="16"/>
      <c r="R493" s="14">
        <f>SUM(B493:P493)</f>
        <v>0</v>
      </c>
    </row>
    <row r="494" spans="1:18" x14ac:dyDescent="0.2">
      <c r="A494" s="3" t="s">
        <v>3716</v>
      </c>
      <c r="B494" s="14">
        <f>+'KY_Res by Plant Acct-P29 (Reg)'!B496</f>
        <v>-178722.7</v>
      </c>
      <c r="C494" s="16"/>
      <c r="D494" s="14">
        <f>+'KY_Res by Plant Acct-P29 (Reg)'!D496</f>
        <v>-5231.22</v>
      </c>
      <c r="E494" s="16"/>
      <c r="F494" s="14">
        <f>+'KY_Res by Plant Acct-P29 (Reg)'!F496</f>
        <v>0</v>
      </c>
      <c r="G494" s="16"/>
      <c r="H494" s="14">
        <f>+'KY_Res by Plant Acct-P29 (Reg)'!H496</f>
        <v>0</v>
      </c>
      <c r="I494" s="16"/>
      <c r="J494" s="14">
        <f>+'KY_Res by Plant Acct-P29 (Reg)'!J496</f>
        <v>0</v>
      </c>
      <c r="K494" s="16"/>
      <c r="L494" s="14">
        <f>+'KY_Res by Plant Acct-P29 (Reg)'!L496</f>
        <v>0</v>
      </c>
      <c r="M494" s="16"/>
      <c r="N494" s="14">
        <f>+'KY_Res by Plant Acct-P29 (Reg)'!N496</f>
        <v>0</v>
      </c>
      <c r="O494" s="16"/>
      <c r="P494" s="14">
        <f>+'KY_Res by Plant Acct-P29 (Reg)'!P496</f>
        <v>0</v>
      </c>
      <c r="Q494" s="16"/>
      <c r="R494" s="14">
        <f t="shared" si="23"/>
        <v>-183953.92000000001</v>
      </c>
    </row>
    <row r="495" spans="1:18" x14ac:dyDescent="0.2">
      <c r="A495" s="3" t="s">
        <v>3717</v>
      </c>
      <c r="B495" s="14">
        <f>+'KY_Res by Plant Acct-P29 (Reg)'!B497</f>
        <v>-5934.8900000000012</v>
      </c>
      <c r="C495" s="16"/>
      <c r="D495" s="14">
        <f>+'KY_Res by Plant Acct-P29 (Reg)'!D497</f>
        <v>-3878.6</v>
      </c>
      <c r="E495" s="16"/>
      <c r="F495" s="14">
        <f>+'KY_Res by Plant Acct-P29 (Reg)'!F497</f>
        <v>13783.47</v>
      </c>
      <c r="G495" s="16"/>
      <c r="H495" s="14">
        <f>+'KY_Res by Plant Acct-P29 (Reg)'!H497</f>
        <v>0</v>
      </c>
      <c r="I495" s="16"/>
      <c r="J495" s="14">
        <f>+'KY_Res by Plant Acct-P29 (Reg)'!J497</f>
        <v>0</v>
      </c>
      <c r="K495" s="16"/>
      <c r="L495" s="14">
        <f>+'KY_Res by Plant Acct-P29 (Reg)'!L497</f>
        <v>0</v>
      </c>
      <c r="M495" s="16"/>
      <c r="N495" s="14">
        <f>+'KY_Res by Plant Acct-P29 (Reg)'!N497</f>
        <v>0</v>
      </c>
      <c r="O495" s="16"/>
      <c r="P495" s="14">
        <f>+'KY_Res by Plant Acct-P29 (Reg)'!P497</f>
        <v>0</v>
      </c>
      <c r="Q495" s="16"/>
      <c r="R495" s="14">
        <f t="shared" si="23"/>
        <v>3969.9799999999977</v>
      </c>
    </row>
    <row r="496" spans="1:18" x14ac:dyDescent="0.2">
      <c r="A496" s="3" t="s">
        <v>3592</v>
      </c>
      <c r="B496" s="14">
        <f>+'KY_Res by Plant Acct-P29 (Reg)'!B498</f>
        <v>-914135.99</v>
      </c>
      <c r="C496" s="16"/>
      <c r="D496" s="14">
        <f>+'KY_Res by Plant Acct-P29 (Reg)'!D498</f>
        <v>-80808.289999999994</v>
      </c>
      <c r="E496" s="16"/>
      <c r="F496" s="14">
        <f>+'KY_Res by Plant Acct-P29 (Reg)'!F498</f>
        <v>0</v>
      </c>
      <c r="G496" s="16"/>
      <c r="H496" s="14">
        <f>+'KY_Res by Plant Acct-P29 (Reg)'!H498</f>
        <v>0</v>
      </c>
      <c r="I496" s="16"/>
      <c r="J496" s="14">
        <f>+'KY_Res by Plant Acct-P29 (Reg)'!J498</f>
        <v>0</v>
      </c>
      <c r="K496" s="16"/>
      <c r="L496" s="14">
        <f>+'KY_Res by Plant Acct-P29 (Reg)'!L498</f>
        <v>0</v>
      </c>
      <c r="M496" s="16"/>
      <c r="N496" s="14">
        <f>+'KY_Res by Plant Acct-P29 (Reg)'!N498</f>
        <v>0</v>
      </c>
      <c r="O496" s="16"/>
      <c r="P496" s="14">
        <f>+'KY_Res by Plant Acct-P29 (Reg)'!P498</f>
        <v>0</v>
      </c>
      <c r="Q496" s="16"/>
      <c r="R496" s="14">
        <f t="shared" si="23"/>
        <v>-994944.28</v>
      </c>
    </row>
    <row r="497" spans="1:18" x14ac:dyDescent="0.2">
      <c r="A497" s="3" t="s">
        <v>3593</v>
      </c>
      <c r="B497" s="14">
        <f>+'KY_Res by Plant Acct-P29 (Reg)'!B499</f>
        <v>-2208030.8799999994</v>
      </c>
      <c r="C497" s="16"/>
      <c r="D497" s="14">
        <f>+'KY_Res by Plant Acct-P29 (Reg)'!D499</f>
        <v>-191608.01</v>
      </c>
      <c r="E497" s="16"/>
      <c r="F497" s="14">
        <f>+'KY_Res by Plant Acct-P29 (Reg)'!F499</f>
        <v>0</v>
      </c>
      <c r="G497" s="16"/>
      <c r="H497" s="14">
        <f>+'KY_Res by Plant Acct-P29 (Reg)'!H499</f>
        <v>0</v>
      </c>
      <c r="I497" s="16"/>
      <c r="J497" s="14">
        <f>+'KY_Res by Plant Acct-P29 (Reg)'!J499</f>
        <v>0</v>
      </c>
      <c r="K497" s="16"/>
      <c r="L497" s="14">
        <f>+'KY_Res by Plant Acct-P29 (Reg)'!L499</f>
        <v>0</v>
      </c>
      <c r="M497" s="16"/>
      <c r="N497" s="14">
        <f>+'KY_Res by Plant Acct-P29 (Reg)'!N499</f>
        <v>0</v>
      </c>
      <c r="O497" s="16"/>
      <c r="P497" s="14">
        <f>+'KY_Res by Plant Acct-P29 (Reg)'!P499</f>
        <v>0</v>
      </c>
      <c r="Q497" s="16"/>
      <c r="R497" s="14">
        <f t="shared" si="23"/>
        <v>-2399638.8899999997</v>
      </c>
    </row>
    <row r="498" spans="1:18" x14ac:dyDescent="0.2">
      <c r="A498" s="3" t="s">
        <v>3594</v>
      </c>
      <c r="B498" s="14">
        <f>+'KY_Res by Plant Acct-P29 (Reg)'!B500</f>
        <v>1.8189894035458565E-12</v>
      </c>
      <c r="C498" s="16"/>
      <c r="D498" s="14">
        <f>+'KY_Res by Plant Acct-P29 (Reg)'!D500</f>
        <v>0</v>
      </c>
      <c r="E498" s="16"/>
      <c r="F498" s="14">
        <f>+'KY_Res by Plant Acct-P29 (Reg)'!F500</f>
        <v>0</v>
      </c>
      <c r="G498" s="16"/>
      <c r="H498" s="14">
        <f>+'KY_Res by Plant Acct-P29 (Reg)'!H500</f>
        <v>0</v>
      </c>
      <c r="I498" s="16"/>
      <c r="J498" s="14">
        <f>+'KY_Res by Plant Acct-P29 (Reg)'!J500</f>
        <v>0</v>
      </c>
      <c r="K498" s="16"/>
      <c r="L498" s="14">
        <f>+'KY_Res by Plant Acct-P29 (Reg)'!L500</f>
        <v>0</v>
      </c>
      <c r="M498" s="16"/>
      <c r="N498" s="14">
        <f>+'KY_Res by Plant Acct-P29 (Reg)'!N500</f>
        <v>0</v>
      </c>
      <c r="O498" s="16"/>
      <c r="P498" s="14">
        <f>+'KY_Res by Plant Acct-P29 (Reg)'!P500</f>
        <v>0</v>
      </c>
      <c r="Q498" s="16"/>
      <c r="R498" s="14">
        <f t="shared" si="23"/>
        <v>1.8189894035458565E-12</v>
      </c>
    </row>
    <row r="499" spans="1:18" x14ac:dyDescent="0.2">
      <c r="A499" s="3" t="s">
        <v>3595</v>
      </c>
      <c r="B499" s="14">
        <f>+'KY_Res by Plant Acct-P29 (Reg)'!B501</f>
        <v>-290447.81</v>
      </c>
      <c r="C499" s="16"/>
      <c r="D499" s="14">
        <f>+'KY_Res by Plant Acct-P29 (Reg)'!D501</f>
        <v>-10105.459999999999</v>
      </c>
      <c r="E499" s="16"/>
      <c r="F499" s="14">
        <f>+'KY_Res by Plant Acct-P29 (Reg)'!F501</f>
        <v>0</v>
      </c>
      <c r="G499" s="16"/>
      <c r="H499" s="14">
        <f>+'KY_Res by Plant Acct-P29 (Reg)'!H501</f>
        <v>0</v>
      </c>
      <c r="I499" s="16"/>
      <c r="J499" s="14">
        <f>+'KY_Res by Plant Acct-P29 (Reg)'!J501</f>
        <v>0</v>
      </c>
      <c r="K499" s="16"/>
      <c r="L499" s="14">
        <f>+'KY_Res by Plant Acct-P29 (Reg)'!L501</f>
        <v>0</v>
      </c>
      <c r="M499" s="16"/>
      <c r="N499" s="14">
        <f>+'KY_Res by Plant Acct-P29 (Reg)'!N501</f>
        <v>0</v>
      </c>
      <c r="O499" s="16"/>
      <c r="P499" s="14">
        <f>+'KY_Res by Plant Acct-P29 (Reg)'!P501</f>
        <v>0</v>
      </c>
      <c r="Q499" s="16"/>
      <c r="R499" s="14">
        <f t="shared" si="23"/>
        <v>-300553.27</v>
      </c>
    </row>
    <row r="500" spans="1:18" x14ac:dyDescent="0.2">
      <c r="A500" s="3" t="s">
        <v>3596</v>
      </c>
      <c r="B500" s="14">
        <f>+'KY_Res by Plant Acct-P29 (Reg)'!B502</f>
        <v>-13571.7</v>
      </c>
      <c r="C500" s="16"/>
      <c r="D500" s="14">
        <f>+'KY_Res by Plant Acct-P29 (Reg)'!D502</f>
        <v>-776.92</v>
      </c>
      <c r="E500" s="16"/>
      <c r="F500" s="14">
        <f>+'KY_Res by Plant Acct-P29 (Reg)'!F502</f>
        <v>0</v>
      </c>
      <c r="G500" s="16"/>
      <c r="H500" s="14">
        <f>+'KY_Res by Plant Acct-P29 (Reg)'!H502</f>
        <v>0</v>
      </c>
      <c r="I500" s="16"/>
      <c r="J500" s="14">
        <f>+'KY_Res by Plant Acct-P29 (Reg)'!J502</f>
        <v>0</v>
      </c>
      <c r="K500" s="16"/>
      <c r="L500" s="14">
        <f>+'KY_Res by Plant Acct-P29 (Reg)'!L502</f>
        <v>0</v>
      </c>
      <c r="M500" s="16"/>
      <c r="N500" s="14">
        <f>+'KY_Res by Plant Acct-P29 (Reg)'!N502</f>
        <v>0</v>
      </c>
      <c r="O500" s="16"/>
      <c r="P500" s="14">
        <f>+'KY_Res by Plant Acct-P29 (Reg)'!P502</f>
        <v>0</v>
      </c>
      <c r="Q500" s="16"/>
      <c r="R500" s="14">
        <f t="shared" si="23"/>
        <v>-14348.62</v>
      </c>
    </row>
    <row r="501" spans="1:18" x14ac:dyDescent="0.2">
      <c r="A501" s="21" t="s">
        <v>3718</v>
      </c>
      <c r="B501" s="14">
        <f>+'KY_Res by Plant Acct-P29 (Reg)'!B503+'IN_Res by Plant Acct-P30 (Reg)'!B43</f>
        <v>-16651324.120000001</v>
      </c>
      <c r="C501" s="16"/>
      <c r="D501" s="14">
        <f>+'KY_Res by Plant Acct-P29 (Reg)'!D503+'IN_Res by Plant Acct-P30 (Reg)'!D43</f>
        <v>-1445540.34</v>
      </c>
      <c r="E501" s="16"/>
      <c r="F501" s="14">
        <f>+'KY_Res by Plant Acct-P29 (Reg)'!F503+'IN_Res by Plant Acct-P30 (Reg)'!F43</f>
        <v>2103725.5299999998</v>
      </c>
      <c r="G501" s="16"/>
      <c r="H501" s="14">
        <f>+'KY_Res by Plant Acct-P29 (Reg)'!H503+'IN_Res by Plant Acct-P30 (Reg)'!H43</f>
        <v>0</v>
      </c>
      <c r="I501" s="16"/>
      <c r="J501" s="14">
        <f>+'KY_Res by Plant Acct-P29 (Reg)'!J503+'IN_Res by Plant Acct-P30 (Reg)'!J43</f>
        <v>0</v>
      </c>
      <c r="K501" s="16"/>
      <c r="L501" s="14">
        <f>+'KY_Res by Plant Acct-P29 (Reg)'!L503+'IN_Res by Plant Acct-P30 (Reg)'!L43</f>
        <v>50259.77</v>
      </c>
      <c r="M501" s="16"/>
      <c r="N501" s="14">
        <f>+'KY_Res by Plant Acct-P29 (Reg)'!N503+'IN_Res by Plant Acct-P30 (Reg)'!N43</f>
        <v>0</v>
      </c>
      <c r="O501" s="16"/>
      <c r="P501" s="14">
        <f>+'KY_Res by Plant Acct-P29 (Reg)'!P503+'IN_Res by Plant Acct-P30 (Reg)'!P43</f>
        <v>0</v>
      </c>
      <c r="Q501" s="16"/>
      <c r="R501" s="14">
        <f t="shared" si="23"/>
        <v>-15942879.160000002</v>
      </c>
    </row>
    <row r="502" spans="1:18" x14ac:dyDescent="0.2">
      <c r="A502" s="3" t="s">
        <v>3598</v>
      </c>
      <c r="B502" s="14">
        <f>+'KY_Res by Plant Acct-P29 (Reg)'!B504</f>
        <v>-9893664.1899999976</v>
      </c>
      <c r="C502" s="16"/>
      <c r="D502" s="14">
        <f>+'KY_Res by Plant Acct-P29 (Reg)'!D504</f>
        <v>-559713.27</v>
      </c>
      <c r="E502" s="16"/>
      <c r="F502" s="14">
        <f>+'KY_Res by Plant Acct-P29 (Reg)'!F504</f>
        <v>6626.4</v>
      </c>
      <c r="G502" s="16"/>
      <c r="H502" s="14">
        <f>+'KY_Res by Plant Acct-P29 (Reg)'!H504</f>
        <v>0</v>
      </c>
      <c r="I502" s="16"/>
      <c r="J502" s="14">
        <f>+'KY_Res by Plant Acct-P29 (Reg)'!J504</f>
        <v>0</v>
      </c>
      <c r="K502" s="16"/>
      <c r="L502" s="14">
        <f>+'KY_Res by Plant Acct-P29 (Reg)'!L504</f>
        <v>15588.66</v>
      </c>
      <c r="M502" s="16"/>
      <c r="N502" s="14">
        <f>+'KY_Res by Plant Acct-P29 (Reg)'!N504</f>
        <v>0</v>
      </c>
      <c r="O502" s="16"/>
      <c r="P502" s="14">
        <f>+'KY_Res by Plant Acct-P29 (Reg)'!P504</f>
        <v>0</v>
      </c>
      <c r="Q502" s="16"/>
      <c r="R502" s="14">
        <f t="shared" si="23"/>
        <v>-10431162.399999997</v>
      </c>
    </row>
    <row r="503" spans="1:18" x14ac:dyDescent="0.2">
      <c r="A503" s="3" t="s">
        <v>3599</v>
      </c>
      <c r="B503" s="14">
        <f>+'KY_Res by Plant Acct-P29 (Reg)'!B505</f>
        <v>6.3446350603846291E-11</v>
      </c>
      <c r="C503" s="16"/>
      <c r="D503" s="14">
        <f>+'KY_Res by Plant Acct-P29 (Reg)'!D505</f>
        <v>0</v>
      </c>
      <c r="E503" s="16"/>
      <c r="F503" s="14">
        <f>+'KY_Res by Plant Acct-P29 (Reg)'!F505</f>
        <v>0</v>
      </c>
      <c r="G503" s="16"/>
      <c r="H503" s="14">
        <f>+'KY_Res by Plant Acct-P29 (Reg)'!H505</f>
        <v>0</v>
      </c>
      <c r="I503" s="16"/>
      <c r="J503" s="14">
        <f>+'KY_Res by Plant Acct-P29 (Reg)'!J505</f>
        <v>0</v>
      </c>
      <c r="K503" s="16"/>
      <c r="L503" s="14">
        <f>+'KY_Res by Plant Acct-P29 (Reg)'!L505</f>
        <v>0</v>
      </c>
      <c r="M503" s="16"/>
      <c r="N503" s="14">
        <f>+'KY_Res by Plant Acct-P29 (Reg)'!N505</f>
        <v>0</v>
      </c>
      <c r="O503" s="16"/>
      <c r="P503" s="14">
        <f>+'KY_Res by Plant Acct-P29 (Reg)'!P505</f>
        <v>0</v>
      </c>
      <c r="Q503" s="16"/>
      <c r="R503" s="14">
        <f t="shared" si="23"/>
        <v>6.3446350603846291E-11</v>
      </c>
    </row>
    <row r="504" spans="1:18" x14ac:dyDescent="0.2">
      <c r="A504" s="3" t="s">
        <v>3600</v>
      </c>
      <c r="B504" s="15">
        <f>+'KY_Res by Plant Acct-P29 (Reg)'!B506</f>
        <v>0</v>
      </c>
      <c r="C504" s="16"/>
      <c r="D504" s="15">
        <f>+'KY_Res by Plant Acct-P29 (Reg)'!D506</f>
        <v>0</v>
      </c>
      <c r="E504" s="16"/>
      <c r="F504" s="15">
        <f>+'KY_Res by Plant Acct-P29 (Reg)'!F506</f>
        <v>0</v>
      </c>
      <c r="G504" s="16"/>
      <c r="H504" s="15">
        <f>+'KY_Res by Plant Acct-P29 (Reg)'!H506</f>
        <v>0</v>
      </c>
      <c r="I504" s="16"/>
      <c r="J504" s="15">
        <f>+'KY_Res by Plant Acct-P29 (Reg)'!J506</f>
        <v>0</v>
      </c>
      <c r="K504" s="16"/>
      <c r="L504" s="15">
        <f>+'KY_Res by Plant Acct-P29 (Reg)'!L506</f>
        <v>0</v>
      </c>
      <c r="M504" s="16"/>
      <c r="N504" s="15">
        <f>+'KY_Res by Plant Acct-P29 (Reg)'!N506</f>
        <v>0</v>
      </c>
      <c r="O504" s="16"/>
      <c r="P504" s="15">
        <f>+'KY_Res by Plant Acct-P29 (Reg)'!P506</f>
        <v>0</v>
      </c>
      <c r="Q504" s="16"/>
      <c r="R504" s="15">
        <f t="shared" si="23"/>
        <v>0</v>
      </c>
    </row>
    <row r="505" spans="1:18" x14ac:dyDescent="0.2">
      <c r="B505" s="16">
        <f>SUM(B476:B488)+SUM(B489:B504)</f>
        <v>-81105876.24000001</v>
      </c>
      <c r="C505" s="16"/>
      <c r="D505" s="16">
        <f>SUM(D476:D488)+SUM(D489:D504)</f>
        <v>-9150467.7899999991</v>
      </c>
      <c r="E505" s="16"/>
      <c r="F505" s="16">
        <f>SUM(F476:F488)+SUM(F489:F504)</f>
        <v>8421276.8100000005</v>
      </c>
      <c r="G505" s="140"/>
      <c r="H505" s="16">
        <f>SUM(H476:H488)+SUM(H489:H504)</f>
        <v>0</v>
      </c>
      <c r="I505" s="140"/>
      <c r="J505" s="16">
        <f>SUM(J476:J488)+SUM(J489:J504)</f>
        <v>0</v>
      </c>
      <c r="K505" s="140"/>
      <c r="L505" s="16">
        <f>SUM(L476:L488)+SUM(L489:L504)</f>
        <v>254433.77999999997</v>
      </c>
      <c r="M505" s="16"/>
      <c r="N505" s="16">
        <f>SUM(N476:N488)+SUM(N489:N504)</f>
        <v>0</v>
      </c>
      <c r="O505" s="16"/>
      <c r="P505" s="16">
        <f>SUM(P476:P488)+SUM(P489:P504)</f>
        <v>0</v>
      </c>
      <c r="Q505" s="16"/>
      <c r="R505" s="16">
        <f>SUM(R476:R488)+SUM(R489:R504)</f>
        <v>-81580633.439999998</v>
      </c>
    </row>
    <row r="506" spans="1:18" x14ac:dyDescent="0.2">
      <c r="B506" s="16"/>
      <c r="C506" s="16"/>
      <c r="D506" s="16"/>
      <c r="E506" s="16"/>
      <c r="F506" s="16"/>
      <c r="G506" s="140"/>
      <c r="H506" s="16"/>
      <c r="I506" s="140"/>
      <c r="J506" s="16"/>
      <c r="K506" s="140"/>
      <c r="L506" s="16"/>
      <c r="M506" s="16"/>
      <c r="N506" s="16"/>
      <c r="O506" s="16"/>
      <c r="P506" s="16"/>
      <c r="Q506" s="16"/>
      <c r="R506" s="16"/>
    </row>
    <row r="507" spans="1:18" x14ac:dyDescent="0.2">
      <c r="A507" s="9" t="s">
        <v>3601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x14ac:dyDescent="0.2">
      <c r="A508" s="3" t="s">
        <v>3602</v>
      </c>
      <c r="B508" s="16">
        <f>+'KY_Res by Plant Acct-P29 (Reg)'!B510</f>
        <v>0</v>
      </c>
      <c r="C508" s="16"/>
      <c r="D508" s="16">
        <f>+'KY_Res by Plant Acct-P29 (Reg)'!D510</f>
        <v>0</v>
      </c>
      <c r="E508" s="16"/>
      <c r="F508" s="16">
        <f>+'KY_Res by Plant Acct-P29 (Reg)'!F510</f>
        <v>0</v>
      </c>
      <c r="G508" s="16"/>
      <c r="H508" s="16">
        <f>+'KY_Res by Plant Acct-P29 (Reg)'!H510</f>
        <v>0</v>
      </c>
      <c r="I508" s="16"/>
      <c r="J508" s="16">
        <f>+'KY_Res by Plant Acct-P29 (Reg)'!J510</f>
        <v>0</v>
      </c>
      <c r="K508" s="16"/>
      <c r="L508" s="16">
        <f>+'KY_Res by Plant Acct-P29 (Reg)'!L510</f>
        <v>0</v>
      </c>
      <c r="M508" s="16"/>
      <c r="N508" s="16">
        <f>+'KY_Res by Plant Acct-P29 (Reg)'!N510</f>
        <v>0</v>
      </c>
      <c r="O508" s="16"/>
      <c r="P508" s="16">
        <f>+'KY_Res by Plant Acct-P29 (Reg)'!P510</f>
        <v>0</v>
      </c>
      <c r="Q508" s="16"/>
      <c r="R508" s="14">
        <f>SUM(B508:P508)</f>
        <v>0</v>
      </c>
    </row>
    <row r="509" spans="1:18" x14ac:dyDescent="0.2">
      <c r="A509" s="3" t="s">
        <v>3603</v>
      </c>
      <c r="B509" s="16">
        <f>+'KY_Res by Plant Acct-P29 (Reg)'!B511</f>
        <v>-249.93</v>
      </c>
      <c r="C509" s="16"/>
      <c r="D509" s="16">
        <f>+'KY_Res by Plant Acct-P29 (Reg)'!D511</f>
        <v>0</v>
      </c>
      <c r="E509" s="16"/>
      <c r="F509" s="16">
        <f>+'KY_Res by Plant Acct-P29 (Reg)'!F511</f>
        <v>0</v>
      </c>
      <c r="G509" s="16"/>
      <c r="H509" s="16">
        <f>+'KY_Res by Plant Acct-P29 (Reg)'!H511</f>
        <v>0</v>
      </c>
      <c r="I509" s="16"/>
      <c r="J509" s="16">
        <f>+'KY_Res by Plant Acct-P29 (Reg)'!J511</f>
        <v>0</v>
      </c>
      <c r="K509" s="16"/>
      <c r="L509" s="16">
        <f>+'KY_Res by Plant Acct-P29 (Reg)'!L511</f>
        <v>0</v>
      </c>
      <c r="M509" s="16"/>
      <c r="N509" s="16">
        <f>+'KY_Res by Plant Acct-P29 (Reg)'!N511</f>
        <v>0</v>
      </c>
      <c r="O509" s="16"/>
      <c r="P509" s="16">
        <f>+'KY_Res by Plant Acct-P29 (Reg)'!P511</f>
        <v>0</v>
      </c>
      <c r="Q509" s="16"/>
      <c r="R509" s="14">
        <f>SUM(B509:P509)</f>
        <v>-249.93</v>
      </c>
    </row>
    <row r="510" spans="1:18" x14ac:dyDescent="0.2">
      <c r="A510" s="3" t="s">
        <v>3604</v>
      </c>
      <c r="B510" s="16">
        <f>+'KY_Res by Plant Acct-P29 (Reg)'!B512</f>
        <v>-1.1459722060180866E-12</v>
      </c>
      <c r="C510" s="16"/>
      <c r="D510" s="16">
        <f>+'KY_Res by Plant Acct-P29 (Reg)'!D512</f>
        <v>0</v>
      </c>
      <c r="E510" s="16"/>
      <c r="F510" s="16">
        <f>+'KY_Res by Plant Acct-P29 (Reg)'!F512</f>
        <v>0</v>
      </c>
      <c r="G510" s="16"/>
      <c r="H510" s="16">
        <f>+'KY_Res by Plant Acct-P29 (Reg)'!H512</f>
        <v>0</v>
      </c>
      <c r="I510" s="16"/>
      <c r="J510" s="16">
        <f>+'KY_Res by Plant Acct-P29 (Reg)'!J512</f>
        <v>0</v>
      </c>
      <c r="K510" s="16"/>
      <c r="L510" s="16">
        <f>+'KY_Res by Plant Acct-P29 (Reg)'!L512</f>
        <v>0</v>
      </c>
      <c r="M510" s="16"/>
      <c r="N510" s="16">
        <f>+'KY_Res by Plant Acct-P29 (Reg)'!N512</f>
        <v>0</v>
      </c>
      <c r="O510" s="16"/>
      <c r="P510" s="16">
        <f>+'KY_Res by Plant Acct-P29 (Reg)'!P512</f>
        <v>0</v>
      </c>
      <c r="Q510" s="16"/>
      <c r="R510" s="14">
        <f>SUM(B510:P510)</f>
        <v>-1.1459722060180866E-12</v>
      </c>
    </row>
    <row r="511" spans="1:18" x14ac:dyDescent="0.2">
      <c r="A511" s="3" t="s">
        <v>3719</v>
      </c>
      <c r="B511" s="16">
        <f>+'KY_Res by Plant Acct-P29 (Reg)'!B513</f>
        <v>-63110.43</v>
      </c>
      <c r="C511" s="16"/>
      <c r="D511" s="16">
        <f>+'KY_Res by Plant Acct-P29 (Reg)'!D513</f>
        <v>0</v>
      </c>
      <c r="E511" s="16"/>
      <c r="F511" s="16">
        <f>+'KY_Res by Plant Acct-P29 (Reg)'!F513</f>
        <v>0</v>
      </c>
      <c r="G511" s="16"/>
      <c r="H511" s="16">
        <f>+'KY_Res by Plant Acct-P29 (Reg)'!H513</f>
        <v>0</v>
      </c>
      <c r="I511" s="16"/>
      <c r="J511" s="16">
        <f>+'KY_Res by Plant Acct-P29 (Reg)'!J513</f>
        <v>0</v>
      </c>
      <c r="K511" s="16"/>
      <c r="L511" s="16">
        <f>+'KY_Res by Plant Acct-P29 (Reg)'!L513</f>
        <v>0</v>
      </c>
      <c r="M511" s="16"/>
      <c r="N511" s="16">
        <f>+'KY_Res by Plant Acct-P29 (Reg)'!N513</f>
        <v>0</v>
      </c>
      <c r="O511" s="16"/>
      <c r="P511" s="16">
        <f>+'KY_Res by Plant Acct-P29 (Reg)'!P513</f>
        <v>0</v>
      </c>
      <c r="Q511" s="16"/>
      <c r="R511" s="16">
        <f>SUM(B511:P511)</f>
        <v>-63110.43</v>
      </c>
    </row>
    <row r="512" spans="1:18" x14ac:dyDescent="0.2">
      <c r="A512" s="107" t="s">
        <v>3606</v>
      </c>
      <c r="B512" s="16">
        <f>+'KY_Res by Plant Acct-P29 (Reg)'!B514</f>
        <v>0</v>
      </c>
      <c r="C512" s="16"/>
      <c r="D512" s="16">
        <f>+'KY_Res by Plant Acct-P29 (Reg)'!D514</f>
        <v>0</v>
      </c>
      <c r="E512" s="16"/>
      <c r="F512" s="16">
        <f>+'KY_Res by Plant Acct-P29 (Reg)'!F514</f>
        <v>0</v>
      </c>
      <c r="G512" s="16"/>
      <c r="H512" s="16">
        <f>+'KY_Res by Plant Acct-P29 (Reg)'!H514</f>
        <v>0</v>
      </c>
      <c r="I512" s="16"/>
      <c r="J512" s="16">
        <f>+'KY_Res by Plant Acct-P29 (Reg)'!J514</f>
        <v>0</v>
      </c>
      <c r="K512" s="16"/>
      <c r="L512" s="16">
        <f>+'KY_Res by Plant Acct-P29 (Reg)'!L514</f>
        <v>0</v>
      </c>
      <c r="M512" s="16"/>
      <c r="N512" s="16">
        <f>+'KY_Res by Plant Acct-P29 (Reg)'!N514</f>
        <v>0</v>
      </c>
      <c r="O512" s="16"/>
      <c r="P512" s="16">
        <f>+'KY_Res by Plant Acct-P29 (Reg)'!P514</f>
        <v>0</v>
      </c>
      <c r="Q512" s="16"/>
      <c r="R512" s="16">
        <f>SUM(B512:P512)</f>
        <v>0</v>
      </c>
    </row>
    <row r="513" spans="1:18" x14ac:dyDescent="0.2">
      <c r="B513" s="19">
        <f>SUM(B508:B512)</f>
        <v>-63360.36</v>
      </c>
      <c r="C513" s="16"/>
      <c r="D513" s="19">
        <f>SUM(D508:D512)</f>
        <v>0</v>
      </c>
      <c r="E513" s="16"/>
      <c r="F513" s="19">
        <f>SUM(F508:F512)</f>
        <v>0</v>
      </c>
      <c r="G513" s="16"/>
      <c r="H513" s="19">
        <f>SUM(H508:H512)</f>
        <v>0</v>
      </c>
      <c r="I513" s="16"/>
      <c r="J513" s="19">
        <f>SUM(J508:J512)</f>
        <v>0</v>
      </c>
      <c r="K513" s="16"/>
      <c r="L513" s="19">
        <f>SUM(L508:L512)</f>
        <v>0</v>
      </c>
      <c r="M513" s="16"/>
      <c r="N513" s="19">
        <f>SUM(N508:N512)</f>
        <v>0</v>
      </c>
      <c r="O513" s="16"/>
      <c r="P513" s="19">
        <f>SUM(P508:P512)</f>
        <v>0</v>
      </c>
      <c r="Q513" s="16"/>
      <c r="R513" s="19">
        <f>SUM(R508:R512)</f>
        <v>-63360.36</v>
      </c>
    </row>
    <row r="514" spans="1:18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x14ac:dyDescent="0.2">
      <c r="B515" s="14"/>
      <c r="C515" s="16"/>
      <c r="D515" s="14"/>
      <c r="E515" s="16"/>
      <c r="F515" s="14"/>
      <c r="G515" s="16"/>
      <c r="H515" s="14"/>
      <c r="I515" s="16"/>
      <c r="J515" s="14"/>
      <c r="K515" s="16"/>
      <c r="L515" s="14"/>
      <c r="M515" s="16"/>
      <c r="N515" s="14"/>
      <c r="O515" s="16"/>
      <c r="P515" s="14"/>
      <c r="Q515" s="16"/>
      <c r="R515" s="14"/>
    </row>
    <row r="516" spans="1:18" ht="13.5" thickBot="1" x14ac:dyDescent="0.25">
      <c r="A516" s="9" t="s">
        <v>3607</v>
      </c>
      <c r="B516" s="39">
        <f>B513+B505</f>
        <v>-81169236.600000009</v>
      </c>
      <c r="C516" s="16"/>
      <c r="D516" s="39">
        <f>D513+D505</f>
        <v>-9150467.7899999991</v>
      </c>
      <c r="E516" s="16"/>
      <c r="F516" s="39">
        <f>F513+F505</f>
        <v>8421276.8100000005</v>
      </c>
      <c r="G516" s="16"/>
      <c r="H516" s="39">
        <f>H513+H505</f>
        <v>0</v>
      </c>
      <c r="I516" s="16"/>
      <c r="J516" s="39">
        <f>J513+J505</f>
        <v>0</v>
      </c>
      <c r="K516" s="16"/>
      <c r="L516" s="39">
        <f>L513+L505</f>
        <v>254433.77999999997</v>
      </c>
      <c r="M516" s="16"/>
      <c r="N516" s="39">
        <f>N513+N505</f>
        <v>0</v>
      </c>
      <c r="O516" s="16"/>
      <c r="P516" s="39">
        <f>P513+P505</f>
        <v>0</v>
      </c>
      <c r="Q516" s="16"/>
      <c r="R516" s="39">
        <f>R513+R505</f>
        <v>-81643993.799999997</v>
      </c>
    </row>
    <row r="517" spans="1:18" ht="13.5" thickTop="1" x14ac:dyDescent="0.2"/>
    <row r="519" spans="1:18" x14ac:dyDescent="0.2">
      <c r="A519" s="9" t="s">
        <v>15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x14ac:dyDescent="0.2">
      <c r="A520" s="3" t="s">
        <v>3720</v>
      </c>
      <c r="B520" s="16">
        <f>+'KY_Res by Plant Acct-P29 (Reg)'!B522</f>
        <v>0</v>
      </c>
      <c r="C520" s="16"/>
      <c r="D520" s="16">
        <f>+'KY_Res by Plant Acct-P29 (Reg)'!D522</f>
        <v>0</v>
      </c>
      <c r="E520" s="16"/>
      <c r="F520" s="16">
        <f>+'KY_Res by Plant Acct-P29 (Reg)'!F522</f>
        <v>0</v>
      </c>
      <c r="G520" s="16"/>
      <c r="H520" s="16">
        <f>+'KY_Res by Plant Acct-P29 (Reg)'!H522</f>
        <v>0</v>
      </c>
      <c r="I520" s="16"/>
      <c r="J520" s="16">
        <f>+'KY_Res by Plant Acct-P29 (Reg)'!J522</f>
        <v>0</v>
      </c>
      <c r="K520" s="16"/>
      <c r="L520" s="16">
        <f>+'KY_Res by Plant Acct-P29 (Reg)'!L522</f>
        <v>0</v>
      </c>
      <c r="M520" s="16"/>
      <c r="N520" s="16">
        <f>+'KY_Res by Plant Acct-P29 (Reg)'!N522</f>
        <v>0</v>
      </c>
      <c r="O520" s="16"/>
      <c r="P520" s="16">
        <f>+'KY_Res by Plant Acct-P29 (Reg)'!P522</f>
        <v>0</v>
      </c>
      <c r="Q520" s="16"/>
      <c r="R520" s="14">
        <f>SUM(B520:P520)</f>
        <v>0</v>
      </c>
    </row>
    <row r="521" spans="1:18" x14ac:dyDescent="0.2">
      <c r="A521" s="3" t="s">
        <v>3609</v>
      </c>
      <c r="B521" s="16">
        <f>+'KY_Res by Plant Acct-P29 (Reg)'!B523</f>
        <v>0</v>
      </c>
      <c r="C521" s="16"/>
      <c r="D521" s="16">
        <f>+'KY_Res by Plant Acct-P29 (Reg)'!D523</f>
        <v>0</v>
      </c>
      <c r="E521" s="16"/>
      <c r="F521" s="16">
        <f>+'KY_Res by Plant Acct-P29 (Reg)'!F523</f>
        <v>0</v>
      </c>
      <c r="G521" s="16"/>
      <c r="H521" s="16">
        <f>+'KY_Res by Plant Acct-P29 (Reg)'!H523</f>
        <v>0</v>
      </c>
      <c r="I521" s="16"/>
      <c r="J521" s="16">
        <f>+'KY_Res by Plant Acct-P29 (Reg)'!J523</f>
        <v>0</v>
      </c>
      <c r="K521" s="16"/>
      <c r="L521" s="16">
        <f>+'KY_Res by Plant Acct-P29 (Reg)'!L523</f>
        <v>0</v>
      </c>
      <c r="M521" s="16"/>
      <c r="N521" s="16">
        <f>+'KY_Res by Plant Acct-P29 (Reg)'!N523</f>
        <v>0</v>
      </c>
      <c r="O521" s="16"/>
      <c r="P521" s="16">
        <f>+'KY_Res by Plant Acct-P29 (Reg)'!P523</f>
        <v>0</v>
      </c>
      <c r="Q521" s="16"/>
      <c r="R521" s="14">
        <f>SUM(B521:P521)</f>
        <v>0</v>
      </c>
    </row>
    <row r="522" spans="1:18" x14ac:dyDescent="0.2">
      <c r="A522" s="3" t="s">
        <v>3610</v>
      </c>
      <c r="B522" s="16">
        <f>+'KY_Res by Plant Acct-P29 (Reg)'!B524</f>
        <v>-17586297.250000004</v>
      </c>
      <c r="C522" s="16"/>
      <c r="D522" s="16">
        <f>+'KY_Res by Plant Acct-P29 (Reg)'!D524</f>
        <v>-9587223.5399999991</v>
      </c>
      <c r="E522" s="16"/>
      <c r="F522" s="16">
        <f>+'KY_Res by Plant Acct-P29 (Reg)'!F524</f>
        <v>8008540.6900000004</v>
      </c>
      <c r="G522" s="16"/>
      <c r="H522" s="16">
        <f>+'KY_Res by Plant Acct-P29 (Reg)'!H524</f>
        <v>0</v>
      </c>
      <c r="I522" s="16"/>
      <c r="J522" s="16">
        <f>+'KY_Res by Plant Acct-P29 (Reg)'!J524</f>
        <v>0</v>
      </c>
      <c r="K522" s="16"/>
      <c r="L522" s="16">
        <f>+'KY_Res by Plant Acct-P29 (Reg)'!L524</f>
        <v>0</v>
      </c>
      <c r="M522" s="16"/>
      <c r="N522" s="16">
        <f>+'KY_Res by Plant Acct-P29 (Reg)'!N524</f>
        <v>0</v>
      </c>
      <c r="O522" s="16"/>
      <c r="P522" s="16">
        <f>+'KY_Res by Plant Acct-P29 (Reg)'!P524</f>
        <v>0</v>
      </c>
      <c r="Q522" s="16"/>
      <c r="R522" s="16">
        <f>SUM(B522:P522)</f>
        <v>-19164980.100000001</v>
      </c>
    </row>
    <row r="523" spans="1:18" x14ac:dyDescent="0.2">
      <c r="A523" s="3" t="s">
        <v>3611</v>
      </c>
      <c r="B523" s="16">
        <f>+'KY_Res by Plant Acct-P29 (Reg)'!B525</f>
        <v>-33914421.810000002</v>
      </c>
      <c r="C523" s="16"/>
      <c r="D523" s="16">
        <f>+'KY_Res by Plant Acct-P29 (Reg)'!D525</f>
        <v>-5231347.8499999996</v>
      </c>
      <c r="E523" s="16"/>
      <c r="F523" s="16">
        <f>+'KY_Res by Plant Acct-P29 (Reg)'!F525</f>
        <v>0</v>
      </c>
      <c r="G523" s="16"/>
      <c r="H523" s="16">
        <f>+'KY_Res by Plant Acct-P29 (Reg)'!H525</f>
        <v>0</v>
      </c>
      <c r="I523" s="16"/>
      <c r="J523" s="16">
        <f>+'KY_Res by Plant Acct-P29 (Reg)'!J525</f>
        <v>0</v>
      </c>
      <c r="K523" s="16"/>
      <c r="L523" s="16">
        <f>+'KY_Res by Plant Acct-P29 (Reg)'!L525</f>
        <v>0</v>
      </c>
      <c r="M523" s="16"/>
      <c r="N523" s="16">
        <f>+'KY_Res by Plant Acct-P29 (Reg)'!N525</f>
        <v>0</v>
      </c>
      <c r="O523" s="16"/>
      <c r="P523" s="16">
        <f>+'KY_Res by Plant Acct-P29 (Reg)'!P525</f>
        <v>0</v>
      </c>
      <c r="Q523" s="16"/>
      <c r="R523" s="14">
        <f>SUM(B523:P523)</f>
        <v>-39145769.660000004</v>
      </c>
    </row>
    <row r="524" spans="1:18" x14ac:dyDescent="0.2">
      <c r="A524" s="3" t="s">
        <v>3612</v>
      </c>
      <c r="B524" s="15">
        <f>+'KY_Res by Plant Acct-P29 (Reg)'!B526</f>
        <v>0</v>
      </c>
      <c r="C524" s="16"/>
      <c r="D524" s="15">
        <f>+'KY_Res by Plant Acct-P29 (Reg)'!D526</f>
        <v>0</v>
      </c>
      <c r="E524" s="16"/>
      <c r="F524" s="15">
        <f>+'KY_Res by Plant Acct-P29 (Reg)'!F526</f>
        <v>0</v>
      </c>
      <c r="G524" s="16"/>
      <c r="H524" s="15">
        <f>+'KY_Res by Plant Acct-P29 (Reg)'!H526</f>
        <v>0</v>
      </c>
      <c r="I524" s="16"/>
      <c r="J524" s="15">
        <f>+'KY_Res by Plant Acct-P29 (Reg)'!J526</f>
        <v>0</v>
      </c>
      <c r="K524" s="16"/>
      <c r="L524" s="15">
        <f>+'KY_Res by Plant Acct-P29 (Reg)'!L526</f>
        <v>0</v>
      </c>
      <c r="M524" s="16"/>
      <c r="N524" s="15">
        <f>+'KY_Res by Plant Acct-P29 (Reg)'!N526</f>
        <v>0</v>
      </c>
      <c r="O524" s="16"/>
      <c r="P524" s="15">
        <f>+'KY_Res by Plant Acct-P29 (Reg)'!P526</f>
        <v>0</v>
      </c>
      <c r="Q524" s="16"/>
      <c r="R524" s="15">
        <f>SUM(B524:P524)</f>
        <v>0</v>
      </c>
    </row>
    <row r="525" spans="1:18" x14ac:dyDescent="0.2">
      <c r="B525" s="16">
        <f>SUM(B520:B524)</f>
        <v>-51500719.060000002</v>
      </c>
      <c r="C525" s="16"/>
      <c r="D525" s="16">
        <f>SUM(D520:D524)</f>
        <v>-14818571.389999999</v>
      </c>
      <c r="E525" s="16"/>
      <c r="F525" s="16">
        <f>SUM(F520:F524)</f>
        <v>8008540.6900000004</v>
      </c>
      <c r="G525" s="16"/>
      <c r="H525" s="16">
        <f>SUM(H520:H524)</f>
        <v>0</v>
      </c>
      <c r="I525" s="16"/>
      <c r="J525" s="16">
        <f>SUM(J520:J524)</f>
        <v>0</v>
      </c>
      <c r="K525" s="16"/>
      <c r="L525" s="16">
        <f>SUM(L520:L524)</f>
        <v>0</v>
      </c>
      <c r="M525" s="16"/>
      <c r="N525" s="16">
        <f>SUM(N520:N524)</f>
        <v>0</v>
      </c>
      <c r="O525" s="16"/>
      <c r="P525" s="16">
        <f>SUM(P520:P524)</f>
        <v>0</v>
      </c>
      <c r="Q525" s="16"/>
      <c r="R525" s="16">
        <f>SUM(R520:R524)</f>
        <v>-58310749.760000005</v>
      </c>
    </row>
    <row r="526" spans="1:18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8" spans="1:18" ht="13.5" thickBot="1" x14ac:dyDescent="0.25">
      <c r="A528" s="9" t="s">
        <v>3613</v>
      </c>
      <c r="B528" s="39">
        <f>B525</f>
        <v>-51500719.060000002</v>
      </c>
      <c r="C528" s="16"/>
      <c r="D528" s="39">
        <f>D525</f>
        <v>-14818571.389999999</v>
      </c>
      <c r="E528" s="16"/>
      <c r="F528" s="39">
        <f>F525</f>
        <v>8008540.6900000004</v>
      </c>
      <c r="G528" s="16"/>
      <c r="H528" s="39">
        <f>H525</f>
        <v>0</v>
      </c>
      <c r="I528" s="16"/>
      <c r="J528" s="39">
        <f>J525</f>
        <v>0</v>
      </c>
      <c r="K528" s="16"/>
      <c r="L528" s="39">
        <f>L525</f>
        <v>0</v>
      </c>
      <c r="M528" s="16"/>
      <c r="N528" s="39">
        <f>N525</f>
        <v>0</v>
      </c>
      <c r="O528" s="16"/>
      <c r="P528" s="39">
        <f>P525</f>
        <v>0</v>
      </c>
      <c r="Q528" s="16"/>
      <c r="R528" s="39">
        <f>R525</f>
        <v>-58310749.760000005</v>
      </c>
    </row>
    <row r="529" spans="1:18" ht="13.5" thickTop="1" x14ac:dyDescent="0.2"/>
    <row r="531" spans="1:18" ht="13.5" thickBot="1" x14ac:dyDescent="0.25">
      <c r="A531" s="160" t="s">
        <v>91</v>
      </c>
      <c r="B531" s="94">
        <f>B472+B464+B398+B390+B528+B516</f>
        <v>-2111137302.3200002</v>
      </c>
      <c r="D531" s="94">
        <f>D472+D464+D398+D390+D528+D516</f>
        <v>-201849923.04999998</v>
      </c>
      <c r="F531" s="94">
        <f>F472+F464+F398+F390+F528+F516</f>
        <v>75393109.040000007</v>
      </c>
      <c r="H531" s="94">
        <f>H472+H464+H398+H390+H528+H516</f>
        <v>-30513.219999999979</v>
      </c>
      <c r="J531" s="94">
        <f>J472+J464+J398+J390+J528+J516</f>
        <v>0</v>
      </c>
      <c r="L531" s="94">
        <f>L472+L464+L398+L390+L528+L516</f>
        <v>44524445.450000003</v>
      </c>
      <c r="N531" s="94">
        <f>N472+N464+N398+N390+N528+N516</f>
        <v>-1511805.3199999998</v>
      </c>
      <c r="P531" s="94">
        <f>P472+P464+P398+P390+P528+P516</f>
        <v>-2695316.3200000003</v>
      </c>
      <c r="R531" s="94">
        <f>R472+R464+R398+R390+R528+R516</f>
        <v>-2197307305.7400002</v>
      </c>
    </row>
    <row r="532" spans="1:18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4" manualBreakCount="4">
    <brk id="166" max="17" man="1"/>
    <brk id="402" max="16383" man="1"/>
    <brk id="456" max="16383" man="1"/>
    <brk id="5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327"/>
  <sheetViews>
    <sheetView zoomScale="80" zoomScaleNormal="80" workbookViewId="0">
      <pane xSplit="3" ySplit="8" topLeftCell="H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3" outlineLevelCol="1" x14ac:dyDescent="0.2"/>
  <cols>
    <col min="1" max="1" width="5" style="90" customWidth="1"/>
    <col min="2" max="2" width="8.140625" style="9" customWidth="1"/>
    <col min="3" max="3" width="29" style="21" customWidth="1"/>
    <col min="4" max="4" width="19.7109375" style="21" bestFit="1" customWidth="1"/>
    <col min="5" max="5" width="1.7109375" style="21" customWidth="1"/>
    <col min="6" max="6" width="17.7109375" style="21" customWidth="1" outlineLevel="1"/>
    <col min="7" max="7" width="1.7109375" style="21" customWidth="1" outlineLevel="1"/>
    <col min="8" max="8" width="17.7109375" style="21" customWidth="1" outlineLevel="1"/>
    <col min="9" max="9" width="1.7109375" style="21" customWidth="1" outlineLevel="1"/>
    <col min="10" max="10" width="18.85546875" style="21" customWidth="1" outlineLevel="1"/>
    <col min="11" max="11" width="1.7109375" style="21" customWidth="1" outlineLevel="1"/>
    <col min="12" max="12" width="18.85546875" style="21" customWidth="1" outlineLevel="1"/>
    <col min="13" max="13" width="1.7109375" style="21" customWidth="1" outlineLevel="1"/>
    <col min="14" max="14" width="18.42578125" style="21" customWidth="1" outlineLevel="1"/>
    <col min="15" max="15" width="1.7109375" style="21" customWidth="1" outlineLevel="1"/>
    <col min="16" max="16" width="17.7109375" style="21" customWidth="1" outlineLevel="1"/>
    <col min="17" max="17" width="1.7109375" style="21" customWidth="1" outlineLevel="1"/>
    <col min="18" max="18" width="17.7109375" style="21" customWidth="1" outlineLevel="1"/>
    <col min="19" max="19" width="1.7109375" style="21" customWidth="1" outlineLevel="1"/>
    <col min="20" max="20" width="17.7109375" style="21" customWidth="1" outlineLevel="1"/>
    <col min="21" max="21" width="1.7109375" style="21" customWidth="1" outlineLevel="1"/>
    <col min="22" max="22" width="19.28515625" style="21" customWidth="1"/>
    <col min="23" max="23" width="1.7109375" style="21" customWidth="1"/>
    <col min="24" max="24" width="18" style="146" bestFit="1" customWidth="1"/>
    <col min="25" max="25" width="16.42578125" style="146" customWidth="1"/>
    <col min="26" max="26" width="17" style="146" bestFit="1" customWidth="1"/>
    <col min="27" max="27" width="16" style="146" customWidth="1"/>
    <col min="28" max="28" width="14.5703125" style="146" bestFit="1" customWidth="1"/>
    <col min="29" max="29" width="17" style="21" bestFit="1" customWidth="1"/>
    <col min="30" max="30" width="12.85546875" style="21" customWidth="1"/>
    <col min="31" max="31" width="17.28515625" style="21" bestFit="1" customWidth="1"/>
    <col min="32" max="32" width="18" style="21" bestFit="1" customWidth="1"/>
    <col min="33" max="33" width="14.85546875" style="21" bestFit="1" customWidth="1"/>
    <col min="34" max="35" width="16.140625" style="21" customWidth="1"/>
    <col min="36" max="36" width="17.140625" style="21" bestFit="1" customWidth="1"/>
    <col min="37" max="37" width="16.140625" style="21" customWidth="1"/>
    <col min="38" max="38" width="14.42578125" style="21" customWidth="1"/>
    <col min="39" max="39" width="19" style="21" customWidth="1"/>
    <col min="40" max="40" width="18.85546875" style="21" customWidth="1"/>
    <col min="41" max="41" width="16" style="21" bestFit="1" customWidth="1"/>
    <col min="42" max="42" width="15" style="21" bestFit="1" customWidth="1"/>
    <col min="43" max="43" width="15" style="21" customWidth="1"/>
    <col min="44" max="44" width="17" style="21" bestFit="1" customWidth="1"/>
    <col min="45" max="45" width="1.7109375" style="21" customWidth="1"/>
    <col min="46" max="46" width="18.42578125" style="21" bestFit="1" customWidth="1"/>
    <col min="47" max="47" width="18.7109375" style="21" bestFit="1" customWidth="1"/>
    <col min="48" max="16384" width="9.140625" style="21"/>
  </cols>
  <sheetData>
    <row r="1" spans="1:5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</row>
    <row r="2" spans="1:52" x14ac:dyDescent="0.2">
      <c r="A2" s="199" t="s">
        <v>134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</row>
    <row r="3" spans="1:52" x14ac:dyDescent="0.2">
      <c r="A3" s="201" t="s">
        <v>3721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</row>
    <row r="4" spans="1:52" x14ac:dyDescent="0.2">
      <c r="A4" s="72"/>
      <c r="B4" s="145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52" x14ac:dyDescent="0.2">
      <c r="A5" s="72"/>
      <c r="B5" s="145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52" x14ac:dyDescent="0.2">
      <c r="A6" s="72"/>
      <c r="B6" s="145"/>
      <c r="C6" s="73"/>
      <c r="D6" s="7"/>
      <c r="E6" s="74"/>
      <c r="F6" s="74"/>
      <c r="G6" s="74"/>
      <c r="H6" s="74"/>
      <c r="I6" s="74"/>
      <c r="J6" s="7"/>
      <c r="K6" s="7"/>
      <c r="L6" s="7"/>
      <c r="M6" s="74"/>
      <c r="N6" s="74"/>
      <c r="O6" s="74"/>
      <c r="P6" s="74"/>
      <c r="Q6" s="74"/>
      <c r="R6" s="74"/>
      <c r="S6" s="74"/>
      <c r="T6" s="74"/>
      <c r="U6" s="74"/>
      <c r="V6" s="7"/>
      <c r="W6" s="7"/>
      <c r="X6" s="203" t="s">
        <v>135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4" t="s">
        <v>136</v>
      </c>
      <c r="AQ6" s="205"/>
      <c r="AR6" s="205"/>
    </row>
    <row r="7" spans="1:52" s="9" customFormat="1" ht="51" x14ac:dyDescent="0.2">
      <c r="A7" s="8"/>
      <c r="D7" s="11" t="s">
        <v>137</v>
      </c>
      <c r="E7" s="10"/>
      <c r="F7" s="11"/>
      <c r="G7" s="10"/>
      <c r="H7" s="11"/>
      <c r="I7" s="10"/>
      <c r="J7" s="11"/>
      <c r="K7" s="17"/>
      <c r="L7" s="17"/>
      <c r="M7" s="10"/>
      <c r="N7" s="11"/>
      <c r="O7" s="17"/>
      <c r="P7" s="17"/>
      <c r="Q7" s="17"/>
      <c r="R7" s="17"/>
      <c r="S7" s="17"/>
      <c r="T7" s="17"/>
      <c r="U7" s="10"/>
      <c r="V7" s="11" t="s">
        <v>138</v>
      </c>
      <c r="W7" s="17"/>
      <c r="X7" s="75" t="s">
        <v>139</v>
      </c>
      <c r="Y7" s="75" t="s">
        <v>140</v>
      </c>
      <c r="Z7" s="75" t="s">
        <v>141</v>
      </c>
      <c r="AA7" s="75" t="s">
        <v>142</v>
      </c>
      <c r="AB7" s="75" t="s">
        <v>143</v>
      </c>
      <c r="AC7" s="76" t="s">
        <v>144</v>
      </c>
      <c r="AD7" s="75" t="s">
        <v>145</v>
      </c>
      <c r="AE7" s="75" t="s">
        <v>146</v>
      </c>
      <c r="AF7" s="75" t="s">
        <v>147</v>
      </c>
      <c r="AG7" s="75" t="s">
        <v>148</v>
      </c>
      <c r="AH7" s="75" t="s">
        <v>3722</v>
      </c>
      <c r="AI7" s="75" t="s">
        <v>3723</v>
      </c>
      <c r="AJ7" s="75" t="s">
        <v>149</v>
      </c>
      <c r="AK7" s="75" t="s">
        <v>3724</v>
      </c>
      <c r="AL7" s="75" t="s">
        <v>150</v>
      </c>
      <c r="AM7" s="75" t="s">
        <v>151</v>
      </c>
      <c r="AN7" s="75" t="s">
        <v>152</v>
      </c>
      <c r="AO7" s="75" t="s">
        <v>153</v>
      </c>
      <c r="AP7" s="77" t="s">
        <v>67</v>
      </c>
      <c r="AQ7" s="78" t="s">
        <v>154</v>
      </c>
      <c r="AR7" s="78" t="s">
        <v>155</v>
      </c>
      <c r="AS7" s="75"/>
      <c r="AT7" s="75" t="s">
        <v>156</v>
      </c>
      <c r="AU7" s="75" t="s">
        <v>157</v>
      </c>
      <c r="AV7" s="21"/>
      <c r="AW7" s="21"/>
      <c r="AX7" s="21"/>
      <c r="AY7" s="21"/>
      <c r="AZ7" s="21"/>
    </row>
    <row r="8" spans="1:52" s="9" customFormat="1" x14ac:dyDescent="0.2">
      <c r="A8" s="8"/>
      <c r="D8" s="17"/>
      <c r="E8" s="10"/>
      <c r="F8" s="17"/>
      <c r="G8" s="10"/>
      <c r="H8" s="17"/>
      <c r="I8" s="10"/>
      <c r="J8" s="17"/>
      <c r="K8" s="17"/>
      <c r="L8" s="17"/>
      <c r="M8" s="10"/>
      <c r="N8" s="17"/>
      <c r="O8" s="17"/>
      <c r="P8" s="17"/>
      <c r="Q8" s="17"/>
      <c r="R8" s="17"/>
      <c r="S8" s="17"/>
      <c r="T8" s="17"/>
      <c r="U8" s="10"/>
      <c r="V8" s="17"/>
      <c r="W8" s="17"/>
      <c r="X8" s="146"/>
      <c r="Y8" s="146"/>
      <c r="Z8" s="146"/>
      <c r="AA8" s="146"/>
      <c r="AB8" s="14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79"/>
      <c r="AQ8" s="80"/>
      <c r="AR8" s="80"/>
      <c r="AS8" s="21"/>
      <c r="AT8" s="21"/>
      <c r="AU8" s="21"/>
      <c r="AV8" s="21"/>
      <c r="AW8" s="21"/>
      <c r="AX8" s="21"/>
      <c r="AY8" s="21"/>
      <c r="AZ8" s="21"/>
    </row>
    <row r="9" spans="1:52" s="9" customFormat="1" x14ac:dyDescent="0.2">
      <c r="A9" s="81" t="s">
        <v>158</v>
      </c>
      <c r="D9" s="17" t="s">
        <v>159</v>
      </c>
      <c r="E9" s="10"/>
      <c r="F9" s="17"/>
      <c r="G9" s="10"/>
      <c r="H9" s="17"/>
      <c r="I9" s="10"/>
      <c r="J9" s="17"/>
      <c r="K9" s="17"/>
      <c r="L9" s="17"/>
      <c r="M9" s="10"/>
      <c r="N9" s="17"/>
      <c r="O9" s="17"/>
      <c r="P9" s="17"/>
      <c r="Q9" s="17"/>
      <c r="R9" s="17"/>
      <c r="S9" s="17"/>
      <c r="T9" s="17"/>
      <c r="U9" s="10"/>
      <c r="V9" s="17"/>
      <c r="W9" s="17"/>
      <c r="X9" s="21"/>
      <c r="Y9" s="21"/>
      <c r="Z9" s="21"/>
      <c r="AA9" s="21"/>
      <c r="AB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79"/>
      <c r="AQ9" s="80"/>
      <c r="AR9" s="80"/>
      <c r="AS9" s="21"/>
      <c r="AT9" s="21"/>
      <c r="AU9" s="21"/>
      <c r="AV9" s="21"/>
      <c r="AW9" s="21"/>
      <c r="AX9" s="21"/>
      <c r="AY9" s="21"/>
      <c r="AZ9" s="21"/>
    </row>
    <row r="10" spans="1:52" s="9" customFormat="1" x14ac:dyDescent="0.2">
      <c r="A10" s="8"/>
      <c r="B10" s="82" t="s">
        <v>160</v>
      </c>
      <c r="D10" s="83">
        <v>6625317937.5699997</v>
      </c>
      <c r="E10" s="10"/>
      <c r="F10" s="17"/>
      <c r="G10" s="10"/>
      <c r="H10" s="17"/>
      <c r="I10" s="10"/>
      <c r="J10" s="17"/>
      <c r="K10" s="17"/>
      <c r="L10" s="17"/>
      <c r="M10" s="10"/>
      <c r="N10" s="17"/>
      <c r="O10" s="17"/>
      <c r="P10" s="17"/>
      <c r="Q10" s="17"/>
      <c r="R10" s="17"/>
      <c r="S10" s="17"/>
      <c r="T10" s="17"/>
      <c r="U10" s="10"/>
      <c r="V10" s="83">
        <v>6840506294.2700005</v>
      </c>
      <c r="W10" s="83"/>
      <c r="X10" s="84">
        <f>+X143</f>
        <v>0</v>
      </c>
      <c r="Y10" s="84">
        <f>+Y143</f>
        <v>0</v>
      </c>
      <c r="Z10" s="84">
        <f>+Z143</f>
        <v>0</v>
      </c>
      <c r="AA10" s="84"/>
      <c r="AB10" s="84">
        <f>+AB143</f>
        <v>0</v>
      </c>
      <c r="AC10" s="84">
        <f>+AC143</f>
        <v>299123554.93000007</v>
      </c>
      <c r="AD10" s="84">
        <f>+AD143</f>
        <v>0</v>
      </c>
      <c r="AE10" s="84">
        <f>+AE143-AH10-AG10</f>
        <v>-54218090.349999994</v>
      </c>
      <c r="AF10" s="84">
        <f>AF143</f>
        <v>0</v>
      </c>
      <c r="AG10" s="84">
        <v>-30513.22</v>
      </c>
      <c r="AH10" s="84">
        <v>-21144505.470000003</v>
      </c>
      <c r="AI10" s="84">
        <f>+AI143</f>
        <v>0</v>
      </c>
      <c r="AJ10" s="84">
        <v>-8618537.6199999973</v>
      </c>
      <c r="AK10" s="84">
        <f>-AK17</f>
        <v>0</v>
      </c>
      <c r="AL10" s="84">
        <f>+AL143</f>
        <v>0</v>
      </c>
      <c r="AM10" s="84">
        <f>+AM143</f>
        <v>0</v>
      </c>
      <c r="AN10" s="84">
        <f>+AN143-AJ10-AK10</f>
        <v>76448.429999997839</v>
      </c>
      <c r="AO10" s="84">
        <f>+AO143</f>
        <v>0</v>
      </c>
      <c r="AP10" s="85">
        <f>+AP143</f>
        <v>0</v>
      </c>
      <c r="AQ10" s="86"/>
      <c r="AR10" s="86">
        <f>+AR143</f>
        <v>0</v>
      </c>
      <c r="AS10" s="84"/>
      <c r="AT10" s="84">
        <f t="shared" ref="AT10:AT18" si="0">SUM(X10:AR10)</f>
        <v>215188356.70000008</v>
      </c>
      <c r="AU10" s="84">
        <f t="shared" ref="AU10:AU15" si="1">+V10-D10-AT10</f>
        <v>6.8545341491699219E-7</v>
      </c>
      <c r="AV10" s="21"/>
      <c r="AW10" s="21"/>
      <c r="AX10" s="21"/>
      <c r="AY10" s="21"/>
      <c r="AZ10" s="21"/>
    </row>
    <row r="11" spans="1:52" s="9" customFormat="1" x14ac:dyDescent="0.2">
      <c r="A11" s="8"/>
      <c r="B11" s="82" t="s">
        <v>161</v>
      </c>
      <c r="D11" s="83">
        <v>630896.98</v>
      </c>
      <c r="E11" s="10"/>
      <c r="F11" s="17"/>
      <c r="G11" s="10"/>
      <c r="H11" s="17"/>
      <c r="I11" s="10"/>
      <c r="J11" s="17"/>
      <c r="K11" s="17"/>
      <c r="L11" s="17"/>
      <c r="M11" s="10"/>
      <c r="N11" s="17"/>
      <c r="O11" s="17"/>
      <c r="P11" s="17"/>
      <c r="Q11" s="17"/>
      <c r="R11" s="17"/>
      <c r="S11" s="17"/>
      <c r="T11" s="17"/>
      <c r="U11" s="10"/>
      <c r="V11" s="83">
        <v>630896.98</v>
      </c>
      <c r="W11" s="83"/>
      <c r="X11" s="84">
        <f>+X153</f>
        <v>0</v>
      </c>
      <c r="Y11" s="84">
        <f>+Y153</f>
        <v>0</v>
      </c>
      <c r="Z11" s="84">
        <f>+Z153</f>
        <v>0</v>
      </c>
      <c r="AA11" s="84"/>
      <c r="AB11" s="84">
        <f t="shared" ref="AB11:AO11" si="2">+AB153</f>
        <v>0</v>
      </c>
      <c r="AC11" s="84">
        <f t="shared" si="2"/>
        <v>0</v>
      </c>
      <c r="AD11" s="84">
        <f t="shared" si="2"/>
        <v>0</v>
      </c>
      <c r="AE11" s="84">
        <f t="shared" si="2"/>
        <v>0</v>
      </c>
      <c r="AF11" s="84">
        <f t="shared" si="2"/>
        <v>0</v>
      </c>
      <c r="AG11" s="84">
        <f>0</f>
        <v>0</v>
      </c>
      <c r="AH11" s="84">
        <f t="shared" si="2"/>
        <v>0</v>
      </c>
      <c r="AI11" s="84">
        <f t="shared" si="2"/>
        <v>0</v>
      </c>
      <c r="AJ11" s="84">
        <f t="shared" si="2"/>
        <v>0</v>
      </c>
      <c r="AK11" s="84">
        <f t="shared" si="2"/>
        <v>0</v>
      </c>
      <c r="AL11" s="84">
        <f t="shared" si="2"/>
        <v>0</v>
      </c>
      <c r="AM11" s="84">
        <f t="shared" si="2"/>
        <v>0</v>
      </c>
      <c r="AN11" s="84">
        <f>+AN153-AG11</f>
        <v>0</v>
      </c>
      <c r="AO11" s="84">
        <f t="shared" si="2"/>
        <v>0</v>
      </c>
      <c r="AP11" s="85">
        <f>+AP153</f>
        <v>0</v>
      </c>
      <c r="AQ11" s="86"/>
      <c r="AR11" s="86">
        <f>+AR153</f>
        <v>0</v>
      </c>
      <c r="AS11" s="84"/>
      <c r="AT11" s="84">
        <f t="shared" si="0"/>
        <v>0</v>
      </c>
      <c r="AU11" s="84">
        <f t="shared" si="1"/>
        <v>0</v>
      </c>
      <c r="AV11" s="21"/>
      <c r="AW11" s="21"/>
      <c r="AX11" s="21"/>
      <c r="AY11" s="21"/>
      <c r="AZ11" s="21"/>
    </row>
    <row r="12" spans="1:52" s="9" customFormat="1" x14ac:dyDescent="0.2">
      <c r="A12" s="8"/>
      <c r="B12" s="82" t="s">
        <v>162</v>
      </c>
      <c r="D12" s="83">
        <v>-1766734943.1099999</v>
      </c>
      <c r="E12" s="10"/>
      <c r="F12" s="17"/>
      <c r="G12" s="10"/>
      <c r="H12" s="17"/>
      <c r="I12" s="10"/>
      <c r="J12" s="17"/>
      <c r="K12" s="17"/>
      <c r="L12" s="17"/>
      <c r="M12" s="10"/>
      <c r="N12" s="17"/>
      <c r="O12" s="17"/>
      <c r="P12" s="17"/>
      <c r="Q12" s="17"/>
      <c r="R12" s="17"/>
      <c r="S12" s="17"/>
      <c r="T12" s="17"/>
      <c r="U12" s="10"/>
      <c r="V12" s="83">
        <v>-1867793289.1600001</v>
      </c>
      <c r="W12" s="83"/>
      <c r="X12" s="84">
        <f>+X257</f>
        <v>-157552803.5</v>
      </c>
      <c r="Y12" s="84">
        <f>+Y257</f>
        <v>0</v>
      </c>
      <c r="Z12" s="84">
        <f>+Z257</f>
        <v>-17662550.57</v>
      </c>
      <c r="AA12" s="84">
        <f>-AA16</f>
        <v>0</v>
      </c>
      <c r="AB12" s="84">
        <f>+AB257</f>
        <v>0</v>
      </c>
      <c r="AC12" s="84">
        <f>+AC257</f>
        <v>0</v>
      </c>
      <c r="AD12" s="84">
        <f>+AD257</f>
        <v>0</v>
      </c>
      <c r="AE12" s="84">
        <f>+AE257-AH12-18557.33-6845.56-5110.33</f>
        <v>54218090.350000009</v>
      </c>
      <c r="AF12" s="84">
        <f>+AF257</f>
        <v>0</v>
      </c>
      <c r="AG12" s="84">
        <v>0</v>
      </c>
      <c r="AH12" s="84">
        <f>-AH10</f>
        <v>21144505.470000003</v>
      </c>
      <c r="AI12" s="84">
        <f>+AI257</f>
        <v>0</v>
      </c>
      <c r="AJ12" s="84">
        <v>0</v>
      </c>
      <c r="AK12" s="84">
        <f>+AK257</f>
        <v>0</v>
      </c>
      <c r="AL12" s="84">
        <f>+AL257</f>
        <v>0</v>
      </c>
      <c r="AM12" s="84">
        <f>+AM257</f>
        <v>0</v>
      </c>
      <c r="AN12" s="84">
        <f>+AN257-AG12</f>
        <v>1151.5299999999952</v>
      </c>
      <c r="AO12" s="84">
        <f>+AO257-AA12</f>
        <v>-1206739.33</v>
      </c>
      <c r="AP12" s="85">
        <f>+AP257</f>
        <v>0</v>
      </c>
      <c r="AQ12" s="86"/>
      <c r="AR12" s="86">
        <f>+AR257</f>
        <v>0</v>
      </c>
      <c r="AS12" s="84"/>
      <c r="AT12" s="84">
        <f>SUM(X12:AR12)</f>
        <v>-101058346.04999998</v>
      </c>
      <c r="AU12" s="84">
        <f t="shared" si="1"/>
        <v>-2.0861625671386719E-7</v>
      </c>
      <c r="AV12" s="21"/>
      <c r="AW12" s="21"/>
      <c r="AX12" s="21"/>
      <c r="AY12" s="21"/>
      <c r="AZ12" s="21"/>
    </row>
    <row r="13" spans="1:52" s="9" customFormat="1" x14ac:dyDescent="0.2">
      <c r="A13" s="8"/>
      <c r="B13" s="82" t="s">
        <v>163</v>
      </c>
      <c r="D13" s="83">
        <v>-63360.36</v>
      </c>
      <c r="E13" s="10"/>
      <c r="F13" s="17"/>
      <c r="G13" s="10"/>
      <c r="H13" s="17"/>
      <c r="I13" s="10"/>
      <c r="J13" s="17"/>
      <c r="K13" s="17"/>
      <c r="L13" s="17"/>
      <c r="M13" s="10"/>
      <c r="N13" s="17"/>
      <c r="O13" s="17"/>
      <c r="P13" s="17"/>
      <c r="Q13" s="17"/>
      <c r="R13" s="17"/>
      <c r="S13" s="17"/>
      <c r="T13" s="17"/>
      <c r="U13" s="10"/>
      <c r="V13" s="83">
        <v>-63360.36</v>
      </c>
      <c r="W13" s="83"/>
      <c r="X13" s="84">
        <v>0</v>
      </c>
      <c r="Y13" s="84"/>
      <c r="Z13" s="84"/>
      <c r="AA13" s="84"/>
      <c r="AB13" s="84"/>
      <c r="AC13" s="84"/>
      <c r="AD13" s="84"/>
      <c r="AE13" s="84"/>
      <c r="AF13" s="84"/>
      <c r="AG13" s="84">
        <v>0</v>
      </c>
      <c r="AH13" s="84"/>
      <c r="AI13" s="84"/>
      <c r="AJ13" s="84"/>
      <c r="AK13" s="84"/>
      <c r="AL13" s="84"/>
      <c r="AM13" s="84"/>
      <c r="AN13" s="84">
        <v>0</v>
      </c>
      <c r="AO13" s="84"/>
      <c r="AP13" s="85"/>
      <c r="AQ13" s="86"/>
      <c r="AR13" s="86"/>
      <c r="AS13" s="84"/>
      <c r="AT13" s="84">
        <f t="shared" si="0"/>
        <v>0</v>
      </c>
      <c r="AU13" s="84">
        <f t="shared" si="1"/>
        <v>0</v>
      </c>
      <c r="AV13" s="21"/>
      <c r="AW13" s="21"/>
      <c r="AX13" s="21"/>
      <c r="AY13" s="21"/>
      <c r="AZ13" s="21"/>
    </row>
    <row r="14" spans="1:52" s="9" customFormat="1" x14ac:dyDescent="0.2">
      <c r="A14" s="8"/>
      <c r="B14" s="82" t="s">
        <v>164</v>
      </c>
      <c r="D14" s="83">
        <v>133728165.62</v>
      </c>
      <c r="E14" s="10"/>
      <c r="F14" s="17"/>
      <c r="G14" s="10"/>
      <c r="H14" s="17"/>
      <c r="I14" s="10"/>
      <c r="J14" s="17"/>
      <c r="K14" s="17"/>
      <c r="L14" s="17"/>
      <c r="M14" s="10"/>
      <c r="N14" s="17"/>
      <c r="O14" s="17"/>
      <c r="P14" s="17"/>
      <c r="Q14" s="17"/>
      <c r="R14" s="17"/>
      <c r="S14" s="17"/>
      <c r="T14" s="17"/>
      <c r="U14" s="10"/>
      <c r="V14" s="83">
        <v>304939291.38999999</v>
      </c>
      <c r="W14" s="83"/>
      <c r="X14" s="84">
        <f>+X164</f>
        <v>0</v>
      </c>
      <c r="Y14" s="84">
        <f>+Y164</f>
        <v>0</v>
      </c>
      <c r="Z14" s="84">
        <f>+Z164</f>
        <v>0</v>
      </c>
      <c r="AA14" s="84"/>
      <c r="AB14" s="84">
        <f>+AB164</f>
        <v>0</v>
      </c>
      <c r="AC14" s="84">
        <f>+AC164-AC11</f>
        <v>-299123554.93000007</v>
      </c>
      <c r="AD14" s="84">
        <f t="shared" ref="AD14:AM15" si="3">+AD164</f>
        <v>0</v>
      </c>
      <c r="AE14" s="84">
        <f t="shared" si="3"/>
        <v>0</v>
      </c>
      <c r="AF14" s="84">
        <f t="shared" si="3"/>
        <v>0</v>
      </c>
      <c r="AG14" s="84">
        <f t="shared" si="3"/>
        <v>0</v>
      </c>
      <c r="AH14" s="84">
        <f t="shared" si="3"/>
        <v>0</v>
      </c>
      <c r="AI14" s="84">
        <f t="shared" si="3"/>
        <v>0</v>
      </c>
      <c r="AJ14" s="84">
        <f t="shared" si="3"/>
        <v>0</v>
      </c>
      <c r="AK14" s="84">
        <f t="shared" si="3"/>
        <v>0</v>
      </c>
      <c r="AL14" s="84">
        <f t="shared" si="3"/>
        <v>0</v>
      </c>
      <c r="AM14" s="84">
        <f t="shared" si="3"/>
        <v>0</v>
      </c>
      <c r="AN14" s="84">
        <f>+AN164</f>
        <v>0</v>
      </c>
      <c r="AO14" s="84">
        <v>0</v>
      </c>
      <c r="AP14" s="85">
        <f>+AP164</f>
        <v>0</v>
      </c>
      <c r="AQ14" s="86"/>
      <c r="AR14" s="86">
        <f>+AR164-AO14</f>
        <v>470334680.70000005</v>
      </c>
      <c r="AS14" s="84"/>
      <c r="AT14" s="84">
        <f>SUM(X14:AR14)</f>
        <v>171211125.76999998</v>
      </c>
      <c r="AU14" s="84">
        <f t="shared" si="1"/>
        <v>0</v>
      </c>
      <c r="AV14" s="21"/>
      <c r="AW14" s="21"/>
      <c r="AX14" s="21"/>
      <c r="AY14" s="21"/>
      <c r="AZ14" s="21"/>
    </row>
    <row r="15" spans="1:52" s="9" customFormat="1" x14ac:dyDescent="0.2">
      <c r="A15" s="8"/>
      <c r="B15" s="87" t="s">
        <v>165</v>
      </c>
      <c r="D15" s="83">
        <v>6029549.1900000004</v>
      </c>
      <c r="E15" s="10"/>
      <c r="F15" s="17"/>
      <c r="G15" s="10"/>
      <c r="H15" s="17"/>
      <c r="I15" s="10"/>
      <c r="J15" s="17"/>
      <c r="K15" s="17"/>
      <c r="L15" s="17"/>
      <c r="M15" s="10"/>
      <c r="N15" s="17"/>
      <c r="O15" s="17"/>
      <c r="P15" s="17"/>
      <c r="Q15" s="17"/>
      <c r="R15" s="17"/>
      <c r="S15" s="17"/>
      <c r="T15" s="17"/>
      <c r="U15" s="10"/>
      <c r="V15" s="83">
        <v>5915245.8300000001</v>
      </c>
      <c r="W15" s="83"/>
      <c r="X15" s="84">
        <f>+X196</f>
        <v>-114303.36</v>
      </c>
      <c r="Y15" s="84">
        <f>+Y196</f>
        <v>0</v>
      </c>
      <c r="Z15" s="84">
        <f>+Z196</f>
        <v>0</v>
      </c>
      <c r="AA15" s="84"/>
      <c r="AB15" s="84">
        <f t="shared" ref="AB15:AO15" si="4">+AB196</f>
        <v>0</v>
      </c>
      <c r="AC15" s="84">
        <f t="shared" si="4"/>
        <v>0</v>
      </c>
      <c r="AD15" s="84">
        <f t="shared" si="4"/>
        <v>0</v>
      </c>
      <c r="AE15" s="84">
        <f t="shared" si="4"/>
        <v>0</v>
      </c>
      <c r="AF15" s="84">
        <f t="shared" si="4"/>
        <v>0</v>
      </c>
      <c r="AG15" s="84">
        <f t="shared" si="4"/>
        <v>0</v>
      </c>
      <c r="AH15" s="84">
        <f t="shared" si="4"/>
        <v>0</v>
      </c>
      <c r="AI15" s="84">
        <f t="shared" si="4"/>
        <v>0</v>
      </c>
      <c r="AJ15" s="84">
        <f t="shared" si="4"/>
        <v>0</v>
      </c>
      <c r="AK15" s="84">
        <f t="shared" si="4"/>
        <v>0</v>
      </c>
      <c r="AL15" s="84">
        <f t="shared" si="4"/>
        <v>0</v>
      </c>
      <c r="AM15" s="84">
        <f t="shared" si="3"/>
        <v>0</v>
      </c>
      <c r="AN15" s="84">
        <f>+AN196</f>
        <v>0</v>
      </c>
      <c r="AO15" s="84">
        <f t="shared" si="4"/>
        <v>0</v>
      </c>
      <c r="AP15" s="85">
        <f>+AP196</f>
        <v>0</v>
      </c>
      <c r="AQ15" s="86"/>
      <c r="AR15" s="86">
        <f>+AR196</f>
        <v>0</v>
      </c>
      <c r="AS15" s="84"/>
      <c r="AT15" s="84">
        <f t="shared" si="0"/>
        <v>-114303.36</v>
      </c>
      <c r="AU15" s="84">
        <f t="shared" si="1"/>
        <v>-3.3469405025243759E-10</v>
      </c>
      <c r="AV15" s="21"/>
      <c r="AW15" s="21"/>
      <c r="AX15" s="21"/>
      <c r="AY15" s="21"/>
      <c r="AZ15" s="21"/>
    </row>
    <row r="16" spans="1:52" s="9" customFormat="1" x14ac:dyDescent="0.2">
      <c r="A16" s="8"/>
      <c r="B16" s="82" t="s">
        <v>166</v>
      </c>
      <c r="D16" s="83">
        <v>-304963304.07999998</v>
      </c>
      <c r="E16" s="10"/>
      <c r="F16" s="17"/>
      <c r="G16" s="10"/>
      <c r="H16" s="17"/>
      <c r="I16" s="10"/>
      <c r="J16" s="17"/>
      <c r="K16" s="17"/>
      <c r="L16" s="17"/>
      <c r="M16" s="10"/>
      <c r="N16" s="17"/>
      <c r="O16" s="17"/>
      <c r="P16" s="17"/>
      <c r="Q16" s="17"/>
      <c r="R16" s="17"/>
      <c r="S16" s="17"/>
      <c r="T16" s="17"/>
      <c r="U16" s="10"/>
      <c r="V16" s="83">
        <v>-281521563.18000001</v>
      </c>
      <c r="W16" s="83"/>
      <c r="X16" s="84">
        <f>+X317</f>
        <v>-25313526.289999995</v>
      </c>
      <c r="Y16" s="84">
        <f t="shared" ref="Y16:AE16" si="5">+Y317</f>
        <v>0</v>
      </c>
      <c r="Z16" s="84">
        <f t="shared" si="5"/>
        <v>0</v>
      </c>
      <c r="AA16" s="84">
        <f t="shared" si="5"/>
        <v>0</v>
      </c>
      <c r="AB16" s="84">
        <f t="shared" si="5"/>
        <v>0</v>
      </c>
      <c r="AC16" s="84">
        <f t="shared" si="5"/>
        <v>0</v>
      </c>
      <c r="AD16" s="84">
        <f t="shared" si="5"/>
        <v>0</v>
      </c>
      <c r="AE16" s="84">
        <f t="shared" si="5"/>
        <v>0</v>
      </c>
      <c r="AF16" s="84">
        <f>+AF317</f>
        <v>0</v>
      </c>
      <c r="AG16" s="84">
        <f>+AG317</f>
        <v>52327.22</v>
      </c>
      <c r="AH16" s="84">
        <v>26400995.579999998</v>
      </c>
      <c r="AI16" s="84">
        <f>+AI317</f>
        <v>0</v>
      </c>
      <c r="AJ16" s="84">
        <v>0</v>
      </c>
      <c r="AK16" s="84">
        <f>+AK317</f>
        <v>0</v>
      </c>
      <c r="AL16" s="84">
        <f>+AL317</f>
        <v>0</v>
      </c>
      <c r="AM16" s="84">
        <f>+AM317</f>
        <v>0</v>
      </c>
      <c r="AN16" s="84">
        <f>+AN317-AO16</f>
        <v>-1151.5299999999988</v>
      </c>
      <c r="AO16" s="84">
        <v>0</v>
      </c>
      <c r="AP16" s="85">
        <f>+AP317</f>
        <v>22303095.919999998</v>
      </c>
      <c r="AQ16" s="86"/>
      <c r="AR16" s="86">
        <f>+AR317</f>
        <v>0</v>
      </c>
      <c r="AS16" s="84"/>
      <c r="AT16" s="84">
        <f t="shared" si="0"/>
        <v>23441740.899999999</v>
      </c>
      <c r="AU16" s="84">
        <f>+V16-D16-AT16</f>
        <v>0</v>
      </c>
      <c r="AV16" s="21"/>
      <c r="AW16" s="21"/>
      <c r="AX16" s="21"/>
      <c r="AY16" s="21"/>
      <c r="AZ16" s="21"/>
    </row>
    <row r="17" spans="1:52" s="9" customFormat="1" x14ac:dyDescent="0.2">
      <c r="A17" s="8"/>
      <c r="B17" s="84" t="s">
        <v>167</v>
      </c>
      <c r="D17" s="84">
        <v>70306410.849999994</v>
      </c>
      <c r="E17" s="10"/>
      <c r="F17" s="17"/>
      <c r="G17" s="10"/>
      <c r="H17" s="17"/>
      <c r="I17" s="10"/>
      <c r="J17" s="17"/>
      <c r="K17" s="17"/>
      <c r="L17" s="17"/>
      <c r="M17" s="10"/>
      <c r="N17" s="17"/>
      <c r="O17" s="17"/>
      <c r="P17" s="17"/>
      <c r="Q17" s="17"/>
      <c r="R17" s="17"/>
      <c r="S17" s="17"/>
      <c r="T17" s="17"/>
      <c r="U17" s="10"/>
      <c r="V17" s="92">
        <v>61303941.219999999</v>
      </c>
      <c r="W17" s="83"/>
      <c r="X17" s="84"/>
      <c r="Y17" s="84"/>
      <c r="Z17" s="84">
        <f>-Z12</f>
        <v>17662550.57</v>
      </c>
      <c r="AA17" s="84"/>
      <c r="AB17" s="92">
        <v>6811431.6699999999</v>
      </c>
      <c r="AC17" s="84"/>
      <c r="AD17" s="84"/>
      <c r="AE17" s="84"/>
      <c r="AF17" s="84"/>
      <c r="AG17" s="84"/>
      <c r="AH17" s="84">
        <v>-33777234.960000001</v>
      </c>
      <c r="AI17" s="84"/>
      <c r="AJ17" s="84">
        <v>300783.09000000003</v>
      </c>
      <c r="AK17" s="84">
        <f>0</f>
        <v>0</v>
      </c>
      <c r="AL17" s="84"/>
      <c r="AM17" s="84"/>
      <c r="AN17" s="84"/>
      <c r="AO17" s="84">
        <v>0</v>
      </c>
      <c r="AP17" s="85">
        <v>0</v>
      </c>
      <c r="AQ17" s="86"/>
      <c r="AR17" s="86"/>
      <c r="AS17" s="84"/>
      <c r="AT17" s="84">
        <f>SUM(X17:AR17)</f>
        <v>-9002469.629999999</v>
      </c>
      <c r="AU17" s="84">
        <f>+V17-D17-AT17</f>
        <v>0</v>
      </c>
      <c r="AV17" s="21"/>
      <c r="AW17" s="21"/>
      <c r="AX17" s="21"/>
      <c r="AY17" s="21"/>
      <c r="AZ17" s="21"/>
    </row>
    <row r="18" spans="1:52" s="9" customFormat="1" x14ac:dyDescent="0.2">
      <c r="A18" s="8"/>
      <c r="B18" s="84" t="s">
        <v>168</v>
      </c>
      <c r="D18" s="84">
        <v>-41436984.090000004</v>
      </c>
      <c r="E18" s="10"/>
      <c r="F18" s="17"/>
      <c r="G18" s="10"/>
      <c r="H18" s="17"/>
      <c r="I18" s="10"/>
      <c r="J18" s="17"/>
      <c r="K18" s="17"/>
      <c r="L18" s="17"/>
      <c r="M18" s="10"/>
      <c r="N18" s="17"/>
      <c r="O18" s="17"/>
      <c r="P18" s="17"/>
      <c r="Q18" s="17"/>
      <c r="R18" s="17"/>
      <c r="S18" s="17"/>
      <c r="T18" s="17"/>
      <c r="U18" s="10"/>
      <c r="V18" s="92">
        <v>-24352915.789999999</v>
      </c>
      <c r="W18" s="83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>
        <v>0</v>
      </c>
      <c r="AI18" s="84"/>
      <c r="AJ18" s="84"/>
      <c r="AK18" s="84"/>
      <c r="AL18" s="84"/>
      <c r="AM18" s="84"/>
      <c r="AN18" s="197">
        <v>17084068.299999997</v>
      </c>
      <c r="AO18" s="84">
        <v>0</v>
      </c>
      <c r="AP18" s="85"/>
      <c r="AQ18" s="86"/>
      <c r="AR18" s="86"/>
      <c r="AS18" s="84"/>
      <c r="AT18" s="84">
        <f t="shared" si="0"/>
        <v>17084068.299999997</v>
      </c>
      <c r="AU18" s="84">
        <f>+V18-D18-AT18</f>
        <v>0</v>
      </c>
      <c r="AV18" s="21"/>
      <c r="AW18" s="21"/>
      <c r="AX18" s="21"/>
      <c r="AY18" s="21"/>
      <c r="AZ18" s="21"/>
    </row>
    <row r="19" spans="1:52" s="9" customFormat="1" x14ac:dyDescent="0.2">
      <c r="A19" s="8"/>
      <c r="B19" s="84" t="s">
        <v>169</v>
      </c>
      <c r="D19" s="84">
        <v>-104279365.47</v>
      </c>
      <c r="E19" s="10"/>
      <c r="F19" s="17"/>
      <c r="G19" s="10"/>
      <c r="H19" s="17"/>
      <c r="I19" s="10"/>
      <c r="J19" s="17"/>
      <c r="K19" s="17"/>
      <c r="L19" s="17"/>
      <c r="M19" s="10"/>
      <c r="N19" s="17"/>
      <c r="O19" s="17"/>
      <c r="P19" s="17"/>
      <c r="Q19" s="17"/>
      <c r="R19" s="17"/>
      <c r="S19" s="17"/>
      <c r="T19" s="17"/>
      <c r="U19" s="10"/>
      <c r="V19" s="83">
        <v>-96932257.030000001</v>
      </c>
      <c r="W19" s="83"/>
      <c r="X19" s="84"/>
      <c r="Y19" s="84"/>
      <c r="Z19" s="84"/>
      <c r="AA19" s="84"/>
      <c r="AB19" s="84">
        <f>-AB17</f>
        <v>-6811431.6699999999</v>
      </c>
      <c r="AC19" s="84"/>
      <c r="AD19" s="84"/>
      <c r="AE19" s="84"/>
      <c r="AF19" s="84"/>
      <c r="AG19" s="84"/>
      <c r="AH19" s="84">
        <v>7376239.379999999</v>
      </c>
      <c r="AI19" s="84"/>
      <c r="AJ19" s="84">
        <f>-AJ10-AJ17</f>
        <v>8317754.5299999975</v>
      </c>
      <c r="AK19" s="84"/>
      <c r="AL19" s="84"/>
      <c r="AM19" s="84"/>
      <c r="AN19" s="84">
        <f>-AN18</f>
        <v>-17084068.299999997</v>
      </c>
      <c r="AO19" s="84">
        <f>-AO18-AO14</f>
        <v>0</v>
      </c>
      <c r="AP19" s="85">
        <f>+P307+R307+T307</f>
        <v>12694780.27</v>
      </c>
      <c r="AQ19" s="86">
        <v>2853834.23</v>
      </c>
      <c r="AR19" s="86"/>
      <c r="AS19" s="84"/>
      <c r="AT19" s="84">
        <f>SUM(X19:AR19)</f>
        <v>7347108.4399999995</v>
      </c>
      <c r="AU19" s="84">
        <f>+V19-D19-AT19</f>
        <v>0</v>
      </c>
      <c r="AV19" s="21"/>
      <c r="AW19" s="21"/>
      <c r="AX19" s="21"/>
      <c r="AY19" s="21"/>
      <c r="AZ19" s="21"/>
    </row>
    <row r="20" spans="1:52" s="9" customFormat="1" x14ac:dyDescent="0.2">
      <c r="A20" s="8"/>
      <c r="B20" s="82"/>
      <c r="D20" s="83"/>
      <c r="E20" s="10"/>
      <c r="F20" s="17"/>
      <c r="G20" s="10"/>
      <c r="H20" s="17"/>
      <c r="I20" s="10"/>
      <c r="J20" s="17"/>
      <c r="K20" s="17"/>
      <c r="L20" s="17"/>
      <c r="M20" s="10"/>
      <c r="N20" s="17"/>
      <c r="O20" s="17"/>
      <c r="P20" s="17"/>
      <c r="Q20" s="17"/>
      <c r="R20" s="17"/>
      <c r="S20" s="17"/>
      <c r="T20" s="17"/>
      <c r="U20" s="10"/>
      <c r="V20" s="83"/>
      <c r="W20" s="83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5"/>
      <c r="AQ20" s="86"/>
      <c r="AR20" s="86"/>
      <c r="AS20" s="84"/>
      <c r="AT20" s="84"/>
      <c r="AU20" s="84"/>
      <c r="AV20" s="21"/>
      <c r="AW20" s="21"/>
      <c r="AX20" s="21"/>
      <c r="AY20" s="21"/>
      <c r="AZ20" s="21"/>
    </row>
    <row r="21" spans="1:52" s="9" customFormat="1" x14ac:dyDescent="0.2">
      <c r="A21" s="8"/>
      <c r="D21" s="17">
        <v>-161169938.72999996</v>
      </c>
      <c r="E21" s="10"/>
      <c r="F21" s="17"/>
      <c r="G21" s="10"/>
      <c r="H21" s="17"/>
      <c r="I21" s="10"/>
      <c r="J21" s="17"/>
      <c r="K21" s="17"/>
      <c r="L21" s="17"/>
      <c r="M21" s="10"/>
      <c r="N21" s="17"/>
      <c r="O21" s="17"/>
      <c r="P21" s="17"/>
      <c r="Q21" s="17"/>
      <c r="R21" s="17"/>
      <c r="S21" s="17"/>
      <c r="T21" s="17"/>
      <c r="U21" s="10"/>
      <c r="V21" s="17"/>
      <c r="W21" s="17"/>
      <c r="X21" s="88">
        <f>SUM(X10:X20)</f>
        <v>-182980633.15000001</v>
      </c>
      <c r="Y21" s="88">
        <f t="shared" ref="Y21:AO21" si="6">SUM(Y10:Y20)</f>
        <v>0</v>
      </c>
      <c r="Z21" s="88">
        <f t="shared" si="6"/>
        <v>0</v>
      </c>
      <c r="AA21" s="88">
        <f t="shared" si="6"/>
        <v>0</v>
      </c>
      <c r="AB21" s="88">
        <f t="shared" si="6"/>
        <v>0</v>
      </c>
      <c r="AC21" s="88">
        <f>SUM(AC10:AC20)</f>
        <v>0</v>
      </c>
      <c r="AD21" s="88">
        <f t="shared" si="6"/>
        <v>0</v>
      </c>
      <c r="AE21" s="88">
        <f t="shared" si="6"/>
        <v>1.4901161193847656E-8</v>
      </c>
      <c r="AF21" s="88">
        <f t="shared" si="6"/>
        <v>0</v>
      </c>
      <c r="AG21" s="88">
        <f>SUM(AG10:AG20)</f>
        <v>21814</v>
      </c>
      <c r="AH21" s="88">
        <f>SUM(AH10:AH20)</f>
        <v>0</v>
      </c>
      <c r="AI21" s="88">
        <f t="shared" si="6"/>
        <v>0</v>
      </c>
      <c r="AJ21" s="88">
        <f t="shared" si="6"/>
        <v>0</v>
      </c>
      <c r="AK21" s="88">
        <f t="shared" si="6"/>
        <v>0</v>
      </c>
      <c r="AL21" s="88">
        <f t="shared" si="6"/>
        <v>0</v>
      </c>
      <c r="AM21" s="88">
        <f t="shared" si="6"/>
        <v>0</v>
      </c>
      <c r="AN21" s="88">
        <f>SUM(AN10:AN20)</f>
        <v>76448.429999999702</v>
      </c>
      <c r="AO21" s="88">
        <f t="shared" si="6"/>
        <v>-1206739.33</v>
      </c>
      <c r="AP21" s="89">
        <f>SUM(AP10:AP19)</f>
        <v>34997876.189999998</v>
      </c>
      <c r="AQ21" s="88"/>
      <c r="AR21" s="88">
        <f>SUM(AR10:AR19)</f>
        <v>470334680.70000005</v>
      </c>
      <c r="AS21" s="83"/>
      <c r="AT21" s="84"/>
      <c r="AU21" s="21"/>
      <c r="AV21" s="21"/>
      <c r="AW21" s="21"/>
      <c r="AX21" s="21"/>
      <c r="AY21" s="21"/>
      <c r="AZ21" s="21"/>
    </row>
    <row r="22" spans="1:52" s="9" customFormat="1" x14ac:dyDescent="0.2">
      <c r="A22" s="8"/>
      <c r="D22" s="17"/>
      <c r="E22" s="10"/>
      <c r="F22" s="17"/>
      <c r="G22" s="10"/>
      <c r="H22" s="17"/>
      <c r="I22" s="10"/>
      <c r="J22" s="17"/>
      <c r="K22" s="17"/>
      <c r="L22" s="17"/>
      <c r="M22" s="10"/>
      <c r="N22" s="17"/>
      <c r="O22" s="17"/>
      <c r="P22" s="17"/>
      <c r="Q22" s="17"/>
      <c r="R22" s="17"/>
      <c r="S22" s="17"/>
      <c r="T22" s="17"/>
      <c r="U22" s="10"/>
      <c r="V22" s="17"/>
      <c r="W22" s="17"/>
      <c r="X22" s="83"/>
      <c r="Y22" s="83"/>
      <c r="Z22" s="83"/>
      <c r="AA22" s="83"/>
      <c r="AB22" s="83"/>
      <c r="AC22" s="83"/>
      <c r="AD22" s="83"/>
      <c r="AE22" s="21"/>
      <c r="AF22" s="21"/>
      <c r="AG22" s="21"/>
      <c r="AH22" s="21"/>
      <c r="AI22" s="21"/>
      <c r="AJ22" s="21"/>
      <c r="AK22" s="21"/>
      <c r="AL22" s="84"/>
      <c r="AM22" s="21"/>
      <c r="AN22" s="84"/>
      <c r="AO22" s="21"/>
      <c r="AP22" s="79"/>
      <c r="AQ22" s="80"/>
      <c r="AR22" s="80"/>
      <c r="AS22" s="21"/>
      <c r="AT22" s="21"/>
      <c r="AU22" s="21"/>
      <c r="AV22" s="21"/>
      <c r="AW22" s="21"/>
      <c r="AX22" s="21"/>
      <c r="AY22" s="21"/>
      <c r="AZ22" s="21"/>
    </row>
    <row r="23" spans="1:52" s="9" customFormat="1" x14ac:dyDescent="0.2">
      <c r="A23" s="8"/>
      <c r="D23" s="17"/>
      <c r="E23" s="10"/>
      <c r="F23" s="17"/>
      <c r="G23" s="10"/>
      <c r="H23" s="17"/>
      <c r="I23" s="10"/>
      <c r="J23" s="17"/>
      <c r="K23" s="17"/>
      <c r="L23" s="17"/>
      <c r="M23" s="10"/>
      <c r="N23" s="17"/>
      <c r="O23" s="17"/>
      <c r="P23" s="17"/>
      <c r="Q23" s="17"/>
      <c r="R23" s="17"/>
      <c r="S23" s="17"/>
      <c r="T23" s="17"/>
      <c r="U23" s="10"/>
      <c r="V23" s="17" t="s">
        <v>170</v>
      </c>
      <c r="W23" s="17"/>
      <c r="X23" s="83">
        <v>182980633.16999999</v>
      </c>
      <c r="Y23" s="83"/>
      <c r="Z23" s="83"/>
      <c r="AA23" s="83"/>
      <c r="AB23" s="83"/>
      <c r="AC23" s="83">
        <v>0</v>
      </c>
      <c r="AD23" s="83"/>
      <c r="AE23" s="83">
        <v>0</v>
      </c>
      <c r="AF23" s="83"/>
      <c r="AG23" s="83"/>
      <c r="AH23" s="83"/>
      <c r="AI23" s="83"/>
      <c r="AJ23" s="83"/>
      <c r="AK23" s="83"/>
      <c r="AL23" s="83"/>
      <c r="AM23" s="83"/>
      <c r="AN23" s="83">
        <v>76448.429999999702</v>
      </c>
      <c r="AO23" s="84">
        <v>1206739.33</v>
      </c>
      <c r="AP23" s="85">
        <v>34997876.189999998</v>
      </c>
      <c r="AQ23" s="86"/>
      <c r="AR23" s="86">
        <v>470334680.70000005</v>
      </c>
      <c r="AS23" s="21"/>
      <c r="AT23" s="21"/>
      <c r="AU23" s="21"/>
      <c r="AV23" s="21"/>
      <c r="AW23" s="21"/>
      <c r="AX23" s="21"/>
      <c r="AY23" s="21"/>
      <c r="AZ23" s="21"/>
    </row>
    <row r="24" spans="1:52" x14ac:dyDescent="0.2">
      <c r="B24" s="21"/>
      <c r="D24" s="30"/>
      <c r="E24" s="10"/>
      <c r="F24" s="30"/>
      <c r="G24" s="10"/>
      <c r="H24" s="30"/>
      <c r="I24" s="10"/>
      <c r="J24" s="30"/>
      <c r="K24" s="30"/>
      <c r="L24" s="30"/>
      <c r="M24" s="10"/>
      <c r="N24" s="30"/>
      <c r="O24" s="30"/>
      <c r="P24" s="30"/>
      <c r="Q24" s="30"/>
      <c r="R24" s="30"/>
      <c r="S24" s="30"/>
      <c r="T24" s="30"/>
      <c r="U24" s="10"/>
      <c r="V24" s="30"/>
      <c r="W24" s="30"/>
      <c r="X24" s="83">
        <f>+X21+X23+Y21</f>
        <v>1.9999980926513672E-2</v>
      </c>
      <c r="Y24" s="83"/>
      <c r="Z24" s="83"/>
      <c r="AA24" s="83"/>
      <c r="AB24" s="83"/>
      <c r="AC24" s="83">
        <f>+AC21-AC23</f>
        <v>0</v>
      </c>
      <c r="AD24" s="83"/>
      <c r="AE24" s="83">
        <f>+AE21-AE23</f>
        <v>1.4901161193847656E-8</v>
      </c>
      <c r="AF24" s="83"/>
      <c r="AG24" s="83"/>
      <c r="AH24" s="83"/>
      <c r="AI24" s="83"/>
      <c r="AJ24" s="83"/>
      <c r="AK24" s="83"/>
      <c r="AL24" s="83"/>
      <c r="AM24" s="83"/>
      <c r="AN24" s="83"/>
      <c r="AO24" s="84"/>
      <c r="AP24" s="84">
        <f>+AP21-AP23</f>
        <v>0</v>
      </c>
      <c r="AQ24" s="84"/>
      <c r="AR24" s="84">
        <f>+AR21-AR23</f>
        <v>0</v>
      </c>
    </row>
    <row r="25" spans="1:52" x14ac:dyDescent="0.2">
      <c r="B25" s="21" t="s">
        <v>171</v>
      </c>
      <c r="C25" s="21" t="s">
        <v>172</v>
      </c>
      <c r="D25" s="30"/>
      <c r="E25" s="10"/>
      <c r="F25" s="30"/>
      <c r="G25" s="10"/>
      <c r="H25" s="30"/>
      <c r="I25" s="10"/>
      <c r="J25" s="30"/>
      <c r="K25" s="30"/>
      <c r="L25" s="30"/>
      <c r="M25" s="10"/>
      <c r="N25" s="30"/>
      <c r="O25" s="30"/>
      <c r="P25" s="30"/>
      <c r="Q25" s="30"/>
      <c r="R25" s="30"/>
      <c r="S25" s="30"/>
      <c r="T25" s="30"/>
      <c r="U25" s="10"/>
      <c r="V25" s="30"/>
      <c r="W25" s="30"/>
      <c r="X25" s="83"/>
      <c r="Y25" s="83"/>
      <c r="Z25" s="83"/>
      <c r="AA25" s="83"/>
      <c r="AB25" s="83"/>
      <c r="AC25" s="83"/>
      <c r="AD25" s="83"/>
      <c r="AR25" s="91">
        <f>'CWIP Spend by Project P3B (Reg)'!C1141</f>
        <v>470334680.70000118</v>
      </c>
    </row>
    <row r="26" spans="1:52" x14ac:dyDescent="0.2">
      <c r="B26" s="21"/>
      <c r="C26" s="21" t="s">
        <v>173</v>
      </c>
      <c r="D26" s="30"/>
      <c r="E26" s="10"/>
      <c r="F26" s="30"/>
      <c r="G26" s="10"/>
      <c r="H26" s="30"/>
      <c r="I26" s="10"/>
      <c r="J26" s="30"/>
      <c r="K26" s="30"/>
      <c r="L26" s="30"/>
      <c r="M26" s="10"/>
      <c r="N26" s="30"/>
      <c r="O26" s="30"/>
      <c r="P26" s="30"/>
      <c r="Q26" s="30"/>
      <c r="R26" s="30"/>
      <c r="S26" s="30"/>
      <c r="T26" s="30"/>
      <c r="U26" s="10"/>
      <c r="V26" s="30"/>
      <c r="W26" s="30"/>
      <c r="X26" s="83"/>
      <c r="Y26" s="83"/>
      <c r="Z26" s="83"/>
      <c r="AA26" s="83"/>
      <c r="AB26" s="83"/>
      <c r="AC26" s="83"/>
      <c r="AD26" s="83"/>
      <c r="AR26" s="84">
        <f>AR21-AR25</f>
        <v>-1.1324882507324219E-6</v>
      </c>
    </row>
    <row r="27" spans="1:52" x14ac:dyDescent="0.2">
      <c r="B27" s="21"/>
      <c r="D27" s="30"/>
      <c r="E27" s="10"/>
      <c r="F27" s="30"/>
      <c r="G27" s="10"/>
      <c r="H27" s="30"/>
      <c r="I27" s="10"/>
      <c r="J27" s="30"/>
      <c r="K27" s="30"/>
      <c r="L27" s="30"/>
      <c r="M27" s="10"/>
      <c r="N27" s="30"/>
      <c r="O27" s="30"/>
      <c r="P27" s="30"/>
      <c r="Q27" s="30"/>
      <c r="R27" s="30"/>
      <c r="S27" s="30"/>
      <c r="T27" s="30"/>
      <c r="U27" s="10"/>
      <c r="V27" s="30"/>
      <c r="W27" s="30"/>
      <c r="X27" s="83"/>
      <c r="Y27" s="83"/>
      <c r="Z27" s="83"/>
      <c r="AA27" s="83"/>
      <c r="AB27" s="83"/>
      <c r="AC27" s="83"/>
      <c r="AD27" s="83"/>
    </row>
    <row r="28" spans="1:52" x14ac:dyDescent="0.2">
      <c r="B28" s="21"/>
      <c r="D28" s="30"/>
      <c r="E28" s="10"/>
      <c r="F28" s="30"/>
      <c r="G28" s="10"/>
      <c r="H28" s="30"/>
      <c r="I28" s="10"/>
      <c r="J28" s="30"/>
      <c r="K28" s="30"/>
      <c r="L28" s="30"/>
      <c r="M28" s="10"/>
      <c r="N28" s="30"/>
      <c r="O28" s="30"/>
      <c r="P28" s="30"/>
      <c r="Q28" s="30"/>
      <c r="R28" s="30"/>
      <c r="S28" s="30"/>
      <c r="T28" s="30"/>
      <c r="U28" s="10"/>
      <c r="V28" s="30"/>
      <c r="W28" s="30"/>
      <c r="X28" s="83"/>
      <c r="Y28" s="83"/>
      <c r="Z28" s="83"/>
      <c r="AA28" s="83"/>
      <c r="AB28" s="83"/>
      <c r="AC28" s="83"/>
      <c r="AD28" s="83"/>
    </row>
    <row r="29" spans="1:52" x14ac:dyDescent="0.2">
      <c r="B29" s="21"/>
      <c r="D29" s="30"/>
      <c r="E29" s="10"/>
      <c r="F29" s="30"/>
      <c r="G29" s="10"/>
      <c r="H29" s="30"/>
      <c r="I29" s="10"/>
      <c r="J29" s="30"/>
      <c r="K29" s="30"/>
      <c r="L29" s="30"/>
      <c r="M29" s="10"/>
      <c r="N29" s="30"/>
      <c r="O29" s="30"/>
      <c r="P29" s="30"/>
      <c r="Q29" s="30"/>
      <c r="R29" s="30"/>
      <c r="S29" s="30"/>
      <c r="T29" s="30"/>
      <c r="U29" s="10"/>
      <c r="V29" s="30"/>
      <c r="W29" s="30"/>
      <c r="X29" s="83"/>
      <c r="Y29" s="83"/>
      <c r="Z29" s="83"/>
      <c r="AA29" s="83"/>
      <c r="AB29" s="83"/>
      <c r="AC29" s="83"/>
      <c r="AD29" s="83"/>
      <c r="AP29" s="93"/>
      <c r="AQ29" s="93"/>
    </row>
    <row r="30" spans="1:52" x14ac:dyDescent="0.2">
      <c r="A30" s="13" t="s">
        <v>174</v>
      </c>
      <c r="B30" s="3"/>
      <c r="C30" s="3"/>
      <c r="D30" s="17"/>
      <c r="E30" s="10"/>
      <c r="F30" s="17"/>
      <c r="G30" s="10"/>
      <c r="H30" s="17"/>
      <c r="I30" s="10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0"/>
      <c r="V30" s="17"/>
      <c r="W30" s="3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M30" s="3"/>
      <c r="AN30" s="3"/>
      <c r="AO30" s="3"/>
      <c r="AP30" s="37"/>
      <c r="AQ30" s="37"/>
      <c r="AR30" s="37"/>
      <c r="AS30" s="3"/>
      <c r="AT30" s="3"/>
      <c r="AU30" s="3"/>
      <c r="AV30" s="3"/>
      <c r="AW30" s="3"/>
      <c r="AX30" s="3"/>
      <c r="AY30" s="3"/>
      <c r="AZ30" s="3"/>
    </row>
    <row r="31" spans="1:52" s="3" customFormat="1" x14ac:dyDescent="0.2">
      <c r="A31" s="13"/>
      <c r="B31" s="3" t="s">
        <v>175</v>
      </c>
      <c r="D31" s="17"/>
      <c r="E31" s="10"/>
      <c r="F31" s="17"/>
      <c r="G31" s="10"/>
      <c r="H31" s="17"/>
      <c r="I31" s="1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0"/>
      <c r="V31" s="1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21"/>
      <c r="AO31" s="37">
        <v>441049.24000000005</v>
      </c>
      <c r="AP31" s="37"/>
      <c r="AQ31" s="37"/>
      <c r="AR31" s="37"/>
    </row>
    <row r="32" spans="1:52" s="3" customFormat="1" x14ac:dyDescent="0.2">
      <c r="A32" s="13"/>
      <c r="B32" s="3" t="s">
        <v>176</v>
      </c>
      <c r="D32" s="17"/>
      <c r="E32" s="10"/>
      <c r="F32" s="17"/>
      <c r="G32" s="10"/>
      <c r="H32" s="17"/>
      <c r="I32" s="10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0"/>
      <c r="V32" s="17"/>
      <c r="X32" s="37"/>
      <c r="Y32" s="37"/>
      <c r="AM32" s="37"/>
      <c r="AO32" s="37">
        <v>765690.09</v>
      </c>
    </row>
    <row r="33" spans="1:52" s="3" customFormat="1" x14ac:dyDescent="0.2">
      <c r="A33" s="13"/>
      <c r="B33" s="21" t="s">
        <v>177</v>
      </c>
      <c r="D33" s="17"/>
      <c r="E33" s="10"/>
      <c r="F33" s="17"/>
      <c r="G33" s="10"/>
      <c r="H33" s="17"/>
      <c r="I33" s="1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0"/>
      <c r="V33" s="17"/>
      <c r="X33" s="37"/>
      <c r="Y33" s="37"/>
      <c r="AM33" s="37"/>
      <c r="AO33" s="37">
        <f>AO16</f>
        <v>0</v>
      </c>
    </row>
    <row r="34" spans="1:52" s="3" customFormat="1" ht="13.5" thickBot="1" x14ac:dyDescent="0.25">
      <c r="A34" s="13"/>
      <c r="D34" s="17"/>
      <c r="E34" s="10"/>
      <c r="F34" s="17"/>
      <c r="G34" s="10"/>
      <c r="H34" s="17"/>
      <c r="I34" s="1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0"/>
      <c r="V34" s="17"/>
      <c r="X34" s="37"/>
      <c r="Y34" s="37"/>
      <c r="AM34" s="37"/>
      <c r="AO34" s="94">
        <f>AO12+AO31+AO32+AO33</f>
        <v>-1.1641532182693481E-10</v>
      </c>
      <c r="AP34" s="3" t="s">
        <v>178</v>
      </c>
    </row>
    <row r="35" spans="1:52" s="3" customFormat="1" ht="13.5" thickTop="1" x14ac:dyDescent="0.2">
      <c r="A35" s="8"/>
      <c r="B35" s="9"/>
      <c r="C35" s="9"/>
      <c r="D35" s="11" t="s">
        <v>7</v>
      </c>
      <c r="E35" s="10"/>
      <c r="F35" s="11" t="s">
        <v>8</v>
      </c>
      <c r="G35" s="10"/>
      <c r="H35" s="11" t="s">
        <v>9</v>
      </c>
      <c r="I35" s="10"/>
      <c r="J35" s="11" t="s">
        <v>10</v>
      </c>
      <c r="K35" s="17"/>
      <c r="L35" s="17"/>
      <c r="M35" s="10"/>
      <c r="N35" s="11" t="s">
        <v>11</v>
      </c>
      <c r="O35" s="17"/>
      <c r="P35" s="17"/>
      <c r="Q35" s="17"/>
      <c r="R35" s="17"/>
      <c r="S35" s="17"/>
      <c r="T35" s="17"/>
      <c r="U35" s="10"/>
      <c r="V35" s="11" t="s">
        <v>7</v>
      </c>
      <c r="W35" s="17"/>
      <c r="X35" s="83"/>
      <c r="Y35" s="83"/>
      <c r="Z35" s="83"/>
      <c r="AA35" s="83"/>
      <c r="AB35" s="83"/>
      <c r="AC35" s="83"/>
      <c r="AD35" s="8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9"/>
      <c r="AQ35" s="9"/>
      <c r="AR35" s="9"/>
      <c r="AS35" s="21"/>
      <c r="AT35" s="21"/>
      <c r="AU35" s="21"/>
      <c r="AV35" s="21"/>
      <c r="AW35" s="21"/>
      <c r="AX35" s="21"/>
      <c r="AY35" s="21"/>
      <c r="AZ35" s="21"/>
    </row>
    <row r="36" spans="1:52" x14ac:dyDescent="0.2">
      <c r="A36" s="90">
        <v>101</v>
      </c>
      <c r="B36" s="9" t="s">
        <v>12</v>
      </c>
    </row>
    <row r="37" spans="1:52" x14ac:dyDescent="0.2">
      <c r="B37" s="9" t="s">
        <v>13</v>
      </c>
    </row>
    <row r="38" spans="1:52" s="9" customFormat="1" x14ac:dyDescent="0.2">
      <c r="A38" s="90"/>
      <c r="C38" s="21" t="s">
        <v>14</v>
      </c>
      <c r="D38" s="83">
        <f>+'Summary - Cost - PG 1 (Reg)'!D10</f>
        <v>150302454.68000001</v>
      </c>
      <c r="E38" s="35"/>
      <c r="F38" s="83">
        <f>+'Summary - Cost - PG 1 (Reg)'!F10</f>
        <v>14424550.77</v>
      </c>
      <c r="G38" s="35"/>
      <c r="H38" s="83">
        <f>+'Summary - Cost - PG 1 (Reg)'!H10</f>
        <v>-8421276.8100000005</v>
      </c>
      <c r="I38" s="35"/>
      <c r="J38" s="83">
        <f>+'Summary - Cost - PG 1 (Reg)'!J10</f>
        <v>0</v>
      </c>
      <c r="K38" s="83"/>
      <c r="L38" s="83"/>
      <c r="M38" s="35"/>
      <c r="N38" s="35">
        <f>F38+H38+J38</f>
        <v>6003273.959999999</v>
      </c>
      <c r="O38" s="35"/>
      <c r="P38" s="35"/>
      <c r="Q38" s="35"/>
      <c r="R38" s="35"/>
      <c r="S38" s="35"/>
      <c r="T38" s="35"/>
      <c r="U38" s="35"/>
      <c r="V38" s="35">
        <f>D38+N38</f>
        <v>156305728.64000002</v>
      </c>
      <c r="W38" s="35"/>
      <c r="X38" s="74"/>
      <c r="Y38" s="74"/>
      <c r="Z38" s="74"/>
      <c r="AA38" s="74"/>
      <c r="AB38" s="74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s="9" customFormat="1" outlineLevel="1" x14ac:dyDescent="0.2">
      <c r="A39" s="90"/>
      <c r="C39" s="21" t="s">
        <v>15</v>
      </c>
      <c r="D39" s="149">
        <f>+'Summary - Cost - PG 1 (Reg)'!D11</f>
        <v>91755545.50999999</v>
      </c>
      <c r="E39" s="83"/>
      <c r="F39" s="149">
        <f>+'Summary - Cost - PG 1 (Reg)'!F11</f>
        <v>9409045.7200000007</v>
      </c>
      <c r="G39" s="83"/>
      <c r="H39" s="149">
        <f>+'Summary - Cost - PG 1 (Reg)'!H11</f>
        <v>-8008540.6900000004</v>
      </c>
      <c r="I39" s="83"/>
      <c r="J39" s="149">
        <f>+'Summary - Cost - PG 1 (Reg)'!J11</f>
        <v>0</v>
      </c>
      <c r="K39" s="83"/>
      <c r="L39" s="83"/>
      <c r="M39" s="83"/>
      <c r="N39" s="149">
        <f>F39+H39+J39</f>
        <v>1400505.0300000003</v>
      </c>
      <c r="O39" s="83"/>
      <c r="P39" s="83"/>
      <c r="Q39" s="83"/>
      <c r="R39" s="83"/>
      <c r="S39" s="83"/>
      <c r="T39" s="83"/>
      <c r="U39" s="83"/>
      <c r="V39" s="149">
        <f>D39+N39</f>
        <v>93156050.539999992</v>
      </c>
      <c r="W39" s="83"/>
      <c r="X39" s="30"/>
      <c r="Y39" s="30"/>
      <c r="Z39" s="30"/>
      <c r="AA39" s="30"/>
      <c r="AB39" s="30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outlineLevel="3" x14ac:dyDescent="0.2">
      <c r="C40" s="18"/>
      <c r="D40" s="83">
        <f>D38+D39</f>
        <v>242058000.19</v>
      </c>
      <c r="E40" s="83"/>
      <c r="F40" s="83">
        <f>F38+F39</f>
        <v>23833596.490000002</v>
      </c>
      <c r="G40" s="83"/>
      <c r="H40" s="83">
        <f>H38+H39</f>
        <v>-16429817.5</v>
      </c>
      <c r="I40" s="83"/>
      <c r="J40" s="83">
        <f>J38+J39</f>
        <v>0</v>
      </c>
      <c r="K40" s="83"/>
      <c r="L40" s="83"/>
      <c r="M40" s="83"/>
      <c r="N40" s="83">
        <f>N38+N39</f>
        <v>7403778.9899999993</v>
      </c>
      <c r="O40" s="83"/>
      <c r="P40" s="83"/>
      <c r="Q40" s="83"/>
      <c r="R40" s="83"/>
      <c r="S40" s="83"/>
      <c r="T40" s="83"/>
      <c r="U40" s="83"/>
      <c r="V40" s="83">
        <f>V38+V39</f>
        <v>249461779.18000001</v>
      </c>
      <c r="W40" s="83"/>
      <c r="X40" s="30"/>
      <c r="Y40" s="30"/>
      <c r="Z40" s="30"/>
      <c r="AA40" s="30"/>
      <c r="AB40" s="30"/>
    </row>
    <row r="41" spans="1:52" outlineLevel="3" x14ac:dyDescent="0.2"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30"/>
      <c r="Y41" s="30"/>
      <c r="Z41" s="30"/>
      <c r="AA41" s="30"/>
      <c r="AB41" s="30"/>
    </row>
    <row r="42" spans="1:52" outlineLevel="3" x14ac:dyDescent="0.2">
      <c r="B42" s="9" t="s">
        <v>17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30"/>
      <c r="Y42" s="30"/>
      <c r="Z42" s="30"/>
      <c r="AA42" s="30"/>
      <c r="AB42" s="30"/>
    </row>
    <row r="43" spans="1:52" outlineLevel="3" x14ac:dyDescent="0.2">
      <c r="C43" s="21" t="s">
        <v>18</v>
      </c>
      <c r="D43" s="83">
        <f>+'Summary - Cost - PG 1 (Reg)'!D15</f>
        <v>1237247453.3799999</v>
      </c>
      <c r="E43" s="35"/>
      <c r="F43" s="83">
        <f>+'Summary - Cost - PG 1 (Reg)'!F15</f>
        <v>78890089.560000002</v>
      </c>
      <c r="G43" s="35"/>
      <c r="H43" s="83">
        <f>+'Summary - Cost - PG 1 (Reg)'!H15</f>
        <v>-14941152</v>
      </c>
      <c r="I43" s="35"/>
      <c r="J43" s="83">
        <f>+'Summary - Cost - PG 1 (Reg)'!J15</f>
        <v>-934796.77</v>
      </c>
      <c r="K43" s="83"/>
      <c r="L43" s="83"/>
      <c r="M43" s="83"/>
      <c r="N43" s="83">
        <f t="shared" ref="N43:N49" si="7">F43+H43+J43</f>
        <v>63014140.789999999</v>
      </c>
      <c r="O43" s="83"/>
      <c r="P43" s="83"/>
      <c r="Q43" s="83"/>
      <c r="R43" s="83"/>
      <c r="S43" s="83"/>
      <c r="T43" s="83"/>
      <c r="U43" s="83"/>
      <c r="V43" s="83">
        <f t="shared" ref="V43:V49" si="8">D43+N43</f>
        <v>1300261594.1699998</v>
      </c>
      <c r="W43" s="83"/>
      <c r="X43" s="30"/>
      <c r="Y43" s="30"/>
      <c r="Z43" s="30"/>
      <c r="AA43" s="30"/>
      <c r="AB43" s="30"/>
    </row>
    <row r="44" spans="1:52" outlineLevel="3" x14ac:dyDescent="0.2">
      <c r="C44" s="21" t="s">
        <v>19</v>
      </c>
      <c r="D44" s="83">
        <f>+'Summary - Cost - PG 1 (Reg)'!D16</f>
        <v>20032094.799999997</v>
      </c>
      <c r="E44" s="35"/>
      <c r="F44" s="83">
        <f>+'Summary - Cost - PG 1 (Reg)'!F16</f>
        <v>1558146.64</v>
      </c>
      <c r="G44" s="35"/>
      <c r="H44" s="83">
        <f>+'Summary - Cost - PG 1 (Reg)'!H16</f>
        <v>-729805.85</v>
      </c>
      <c r="I44" s="35"/>
      <c r="J44" s="83">
        <f>+'Summary - Cost - PG 1 (Reg)'!J16</f>
        <v>0</v>
      </c>
      <c r="K44" s="83"/>
      <c r="L44" s="83"/>
      <c r="M44" s="83"/>
      <c r="N44" s="83">
        <f t="shared" si="7"/>
        <v>828340.78999999992</v>
      </c>
      <c r="O44" s="83"/>
      <c r="P44" s="83"/>
      <c r="Q44" s="83"/>
      <c r="R44" s="83"/>
      <c r="S44" s="83"/>
      <c r="T44" s="83"/>
      <c r="U44" s="83"/>
      <c r="V44" s="83">
        <f t="shared" si="8"/>
        <v>20860435.589999996</v>
      </c>
      <c r="W44" s="83"/>
      <c r="X44" s="30"/>
      <c r="Y44" s="30"/>
      <c r="Z44" s="30"/>
      <c r="AA44" s="30"/>
      <c r="AB44" s="30"/>
    </row>
    <row r="45" spans="1:52" outlineLevel="3" x14ac:dyDescent="0.2">
      <c r="C45" s="21" t="s">
        <v>20</v>
      </c>
      <c r="D45" s="83">
        <f>+'Summary - Cost - PG 1 (Reg)'!D17</f>
        <v>62593968.409999996</v>
      </c>
      <c r="E45" s="35"/>
      <c r="F45" s="83">
        <f>+'Summary - Cost - PG 1 (Reg)'!F17</f>
        <v>0</v>
      </c>
      <c r="G45" s="35"/>
      <c r="H45" s="83">
        <f>+'Summary - Cost - PG 1 (Reg)'!H17</f>
        <v>-213911.37</v>
      </c>
      <c r="I45" s="35"/>
      <c r="J45" s="83">
        <f>+'Summary - Cost - PG 1 (Reg)'!J17</f>
        <v>0</v>
      </c>
      <c r="K45" s="83"/>
      <c r="L45" s="83"/>
      <c r="M45" s="83"/>
      <c r="N45" s="83">
        <f t="shared" si="7"/>
        <v>-213911.37</v>
      </c>
      <c r="O45" s="83"/>
      <c r="P45" s="83"/>
      <c r="Q45" s="83"/>
      <c r="R45" s="83"/>
      <c r="S45" s="83"/>
      <c r="T45" s="83"/>
      <c r="U45" s="83"/>
      <c r="V45" s="83">
        <f t="shared" si="8"/>
        <v>62380057.039999999</v>
      </c>
      <c r="W45" s="83"/>
      <c r="X45" s="30"/>
      <c r="Y45" s="30"/>
      <c r="Z45" s="30"/>
      <c r="AA45" s="30"/>
      <c r="AB45" s="30"/>
    </row>
    <row r="46" spans="1:52" outlineLevel="3" x14ac:dyDescent="0.2">
      <c r="C46" s="21" t="s">
        <v>21</v>
      </c>
      <c r="D46" s="83">
        <f>+'Summary - Cost - PG 1 (Reg)'!D18</f>
        <v>2240.29</v>
      </c>
      <c r="E46" s="35"/>
      <c r="F46" s="83">
        <f>+'Summary - Cost - PG 1 (Reg)'!F18</f>
        <v>0</v>
      </c>
      <c r="G46" s="35"/>
      <c r="H46" s="83">
        <f>+'Summary - Cost - PG 1 (Reg)'!H18</f>
        <v>0</v>
      </c>
      <c r="I46" s="35"/>
      <c r="J46" s="83">
        <f>+'Summary - Cost - PG 1 (Reg)'!J18</f>
        <v>0</v>
      </c>
      <c r="K46" s="83"/>
      <c r="L46" s="83"/>
      <c r="M46" s="83"/>
      <c r="N46" s="83">
        <f t="shared" si="7"/>
        <v>0</v>
      </c>
      <c r="O46" s="83"/>
      <c r="P46" s="83"/>
      <c r="Q46" s="83"/>
      <c r="R46" s="83"/>
      <c r="S46" s="83"/>
      <c r="T46" s="83"/>
      <c r="U46" s="83"/>
      <c r="V46" s="83">
        <f t="shared" si="8"/>
        <v>2240.29</v>
      </c>
      <c r="W46" s="83"/>
      <c r="X46" s="30"/>
      <c r="Y46" s="30"/>
      <c r="Z46" s="30"/>
      <c r="AA46" s="30"/>
      <c r="AB46" s="30"/>
    </row>
    <row r="47" spans="1:52" outlineLevel="3" x14ac:dyDescent="0.2">
      <c r="C47" s="21" t="s">
        <v>22</v>
      </c>
      <c r="D47" s="83">
        <f>+'Summary - Cost - PG 1 (Reg)'!D19</f>
        <v>365230308.22000003</v>
      </c>
      <c r="E47" s="35"/>
      <c r="F47" s="83">
        <f>+'Summary - Cost - PG 1 (Reg)'!F19</f>
        <v>20199593.419999998</v>
      </c>
      <c r="G47" s="35"/>
      <c r="H47" s="83">
        <f>+'Summary - Cost - PG 1 (Reg)'!H19</f>
        <v>-1242800.1399999999</v>
      </c>
      <c r="I47" s="35"/>
      <c r="J47" s="83">
        <f>+'Summary - Cost - PG 1 (Reg)'!J19</f>
        <v>33884.6</v>
      </c>
      <c r="K47" s="83"/>
      <c r="L47" s="83"/>
      <c r="M47" s="83"/>
      <c r="N47" s="83">
        <f t="shared" si="7"/>
        <v>18990677.879999999</v>
      </c>
      <c r="O47" s="83"/>
      <c r="P47" s="83"/>
      <c r="Q47" s="83"/>
      <c r="R47" s="83"/>
      <c r="S47" s="83"/>
      <c r="T47" s="83"/>
      <c r="U47" s="83"/>
      <c r="V47" s="83">
        <f t="shared" si="8"/>
        <v>384220986.10000002</v>
      </c>
      <c r="W47" s="83"/>
      <c r="X47" s="30"/>
      <c r="Y47" s="30"/>
      <c r="Z47" s="30"/>
      <c r="AA47" s="30"/>
      <c r="AB47" s="30"/>
    </row>
    <row r="48" spans="1:52" outlineLevel="3" x14ac:dyDescent="0.2">
      <c r="C48" s="21" t="s">
        <v>23</v>
      </c>
      <c r="D48" s="83">
        <f>+'Summary - Cost - PG 1 (Reg)'!D20</f>
        <v>1862889344.4099996</v>
      </c>
      <c r="E48" s="35"/>
      <c r="F48" s="83">
        <f>+'Summary - Cost - PG 1 (Reg)'!F20</f>
        <v>140358982.02000001</v>
      </c>
      <c r="G48" s="35"/>
      <c r="H48" s="83">
        <f>+'Summary - Cost - PG 1 (Reg)'!H20</f>
        <v>-35554931.539999999</v>
      </c>
      <c r="I48" s="35"/>
      <c r="J48" s="83">
        <f>+'Summary - Cost - PG 1 (Reg)'!J20</f>
        <v>-9116131.9699999988</v>
      </c>
      <c r="K48" s="83"/>
      <c r="L48" s="83"/>
      <c r="M48" s="83"/>
      <c r="N48" s="83">
        <f t="shared" si="7"/>
        <v>95687918.51000002</v>
      </c>
      <c r="O48" s="83"/>
      <c r="P48" s="83"/>
      <c r="Q48" s="83"/>
      <c r="R48" s="83"/>
      <c r="S48" s="83"/>
      <c r="T48" s="83"/>
      <c r="U48" s="83"/>
      <c r="V48" s="83">
        <f t="shared" si="8"/>
        <v>1958577262.9199996</v>
      </c>
      <c r="W48" s="83"/>
      <c r="X48" s="30"/>
      <c r="Y48" s="30"/>
      <c r="Z48" s="30"/>
      <c r="AA48" s="30"/>
      <c r="AB48" s="30"/>
    </row>
    <row r="49" spans="1:28" outlineLevel="3" x14ac:dyDescent="0.2">
      <c r="C49" s="21" t="s">
        <v>24</v>
      </c>
      <c r="D49" s="83">
        <f>+'Summary - Cost - PG 1 (Reg)'!D21</f>
        <v>409476344.40999997</v>
      </c>
      <c r="E49" s="35"/>
      <c r="F49" s="83">
        <f>+'Summary - Cost - PG 1 (Reg)'!F21</f>
        <v>14402671.040000001</v>
      </c>
      <c r="G49" s="35"/>
      <c r="H49" s="83">
        <f>+'Summary - Cost - PG 1 (Reg)'!H21</f>
        <v>-1976506.64</v>
      </c>
      <c r="I49" s="35"/>
      <c r="J49" s="83">
        <f>+'Summary - Cost - PG 1 (Reg)'!J21</f>
        <v>899860.99</v>
      </c>
      <c r="K49" s="83"/>
      <c r="L49" s="83"/>
      <c r="M49" s="83"/>
      <c r="N49" s="149">
        <f t="shared" si="7"/>
        <v>13326025.390000001</v>
      </c>
      <c r="O49" s="83"/>
      <c r="P49" s="83"/>
      <c r="Q49" s="83"/>
      <c r="R49" s="83"/>
      <c r="S49" s="83"/>
      <c r="T49" s="83"/>
      <c r="U49" s="83"/>
      <c r="V49" s="149">
        <f t="shared" si="8"/>
        <v>422802369.79999995</v>
      </c>
      <c r="W49" s="83"/>
      <c r="X49" s="30"/>
      <c r="Y49" s="30"/>
      <c r="Z49" s="30"/>
      <c r="AA49" s="30"/>
      <c r="AB49" s="30"/>
    </row>
    <row r="50" spans="1:28" outlineLevel="3" x14ac:dyDescent="0.2">
      <c r="C50" s="18"/>
      <c r="D50" s="110">
        <f>SUM(D43:D49)</f>
        <v>3957471753.9199991</v>
      </c>
      <c r="E50" s="83"/>
      <c r="F50" s="110">
        <f>SUM(F43:F49)</f>
        <v>255409482.68000001</v>
      </c>
      <c r="G50" s="83"/>
      <c r="H50" s="110">
        <f>SUM(H43:H49)</f>
        <v>-54659107.539999999</v>
      </c>
      <c r="I50" s="83"/>
      <c r="J50" s="110">
        <f>SUM(J43:J49)</f>
        <v>-9117183.1499999985</v>
      </c>
      <c r="K50" s="83"/>
      <c r="L50" s="83"/>
      <c r="M50" s="83"/>
      <c r="N50" s="83">
        <f>SUM(N43:N49)</f>
        <v>191633191.99000001</v>
      </c>
      <c r="O50" s="83"/>
      <c r="P50" s="83"/>
      <c r="Q50" s="83"/>
      <c r="R50" s="83"/>
      <c r="S50" s="83"/>
      <c r="T50" s="83"/>
      <c r="U50" s="83"/>
      <c r="V50" s="83">
        <f>SUM(V43:V49)</f>
        <v>4149104945.9099989</v>
      </c>
      <c r="W50" s="83"/>
      <c r="X50" s="30"/>
      <c r="Y50" s="30"/>
      <c r="Z50" s="30"/>
      <c r="AA50" s="30"/>
      <c r="AB50" s="30"/>
    </row>
    <row r="51" spans="1:28" outlineLevel="3" x14ac:dyDescent="0.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30"/>
      <c r="Y51" s="30"/>
      <c r="Z51" s="30"/>
      <c r="AA51" s="30"/>
      <c r="AB51" s="30"/>
    </row>
    <row r="52" spans="1:28" outlineLevel="3" x14ac:dyDescent="0.2">
      <c r="B52" s="9" t="s">
        <v>26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74"/>
      <c r="Y52" s="74"/>
      <c r="Z52" s="74"/>
      <c r="AA52" s="74"/>
      <c r="AB52" s="74"/>
    </row>
    <row r="53" spans="1:28" outlineLevel="3" x14ac:dyDescent="0.2">
      <c r="C53" s="21" t="s">
        <v>27</v>
      </c>
      <c r="D53" s="83">
        <f>+'Summary - Cost - PG 1 (Reg)'!D25</f>
        <v>834108469.9000001</v>
      </c>
      <c r="E53" s="35"/>
      <c r="F53" s="83">
        <f>+'Summary - Cost - PG 1 (Reg)'!F25</f>
        <v>84924877.159999996</v>
      </c>
      <c r="G53" s="35"/>
      <c r="H53" s="83">
        <f>+'Summary - Cost - PG 1 (Reg)'!H25</f>
        <v>-2576036.1800000002</v>
      </c>
      <c r="I53" s="35"/>
      <c r="J53" s="83">
        <f>+'Summary - Cost - PG 1 (Reg)'!J25</f>
        <v>1120194</v>
      </c>
      <c r="K53" s="83"/>
      <c r="L53" s="83"/>
      <c r="M53" s="35"/>
      <c r="N53" s="35">
        <f>F53+H53+J53</f>
        <v>83469034.979999989</v>
      </c>
      <c r="O53" s="35"/>
      <c r="P53" s="35"/>
      <c r="Q53" s="35"/>
      <c r="R53" s="35"/>
      <c r="S53" s="35"/>
      <c r="T53" s="35"/>
      <c r="U53" s="35"/>
      <c r="V53" s="35">
        <f>D53+N53</f>
        <v>917577504.88000011</v>
      </c>
      <c r="W53" s="35"/>
      <c r="X53" s="74"/>
      <c r="Y53" s="74"/>
      <c r="Z53" s="74"/>
      <c r="AA53" s="74"/>
      <c r="AB53" s="74"/>
    </row>
    <row r="54" spans="1:28" outlineLevel="3" x14ac:dyDescent="0.2">
      <c r="C54" s="21" t="s">
        <v>28</v>
      </c>
      <c r="D54" s="83">
        <f>+'Summary - Cost - PG 1 (Reg)'!D26</f>
        <v>11599522.27</v>
      </c>
      <c r="E54" s="35"/>
      <c r="F54" s="83">
        <f>+'Summary - Cost - PG 1 (Reg)'!F26</f>
        <v>1150675.75</v>
      </c>
      <c r="G54" s="35"/>
      <c r="H54" s="83">
        <f>+'Summary - Cost - PG 1 (Reg)'!H26</f>
        <v>-794145.75</v>
      </c>
      <c r="I54" s="35"/>
      <c r="J54" s="83">
        <f>+'Summary - Cost - PG 1 (Reg)'!J26</f>
        <v>0</v>
      </c>
      <c r="K54" s="83"/>
      <c r="L54" s="83"/>
      <c r="M54" s="35"/>
      <c r="N54" s="35">
        <f>F54+H54+J54</f>
        <v>356530</v>
      </c>
      <c r="O54" s="35"/>
      <c r="P54" s="35"/>
      <c r="Q54" s="35"/>
      <c r="R54" s="35"/>
      <c r="S54" s="35"/>
      <c r="T54" s="35"/>
      <c r="U54" s="35"/>
      <c r="V54" s="35">
        <f>D54+N54</f>
        <v>11956052.27</v>
      </c>
      <c r="W54" s="35"/>
      <c r="X54" s="74"/>
      <c r="Y54" s="74"/>
      <c r="Z54" s="74"/>
      <c r="AA54" s="74"/>
      <c r="AB54" s="74"/>
    </row>
    <row r="55" spans="1:28" outlineLevel="3" x14ac:dyDescent="0.2">
      <c r="C55" s="21" t="s">
        <v>29</v>
      </c>
      <c r="D55" s="83">
        <f>+'Summary - Cost - PG 1 (Reg)'!D27</f>
        <v>387.49</v>
      </c>
      <c r="E55" s="35"/>
      <c r="F55" s="83">
        <f>+'Summary - Cost - PG 1 (Reg)'!F27</f>
        <v>0</v>
      </c>
      <c r="G55" s="35"/>
      <c r="H55" s="83">
        <f>+'Summary - Cost - PG 1 (Reg)'!H27</f>
        <v>0</v>
      </c>
      <c r="I55" s="35"/>
      <c r="J55" s="83">
        <f>+'Summary - Cost - PG 1 (Reg)'!J27</f>
        <v>0</v>
      </c>
      <c r="K55" s="83"/>
      <c r="L55" s="83"/>
      <c r="M55" s="35"/>
      <c r="N55" s="35">
        <f>F55+H55+J55</f>
        <v>0</v>
      </c>
      <c r="O55" s="35"/>
      <c r="P55" s="35"/>
      <c r="Q55" s="35"/>
      <c r="R55" s="35"/>
      <c r="S55" s="35"/>
      <c r="T55" s="35"/>
      <c r="U55" s="35"/>
      <c r="V55" s="35">
        <f>D55+N55</f>
        <v>387.49</v>
      </c>
      <c r="W55" s="35"/>
      <c r="X55" s="74"/>
      <c r="Y55" s="74"/>
      <c r="Z55" s="74"/>
      <c r="AA55" s="74"/>
      <c r="AB55" s="74"/>
    </row>
    <row r="56" spans="1:28" outlineLevel="3" x14ac:dyDescent="0.2">
      <c r="C56" s="21" t="s">
        <v>30</v>
      </c>
      <c r="D56" s="83">
        <f>+'Summary - Cost - PG 1 (Reg)'!D28</f>
        <v>144514821</v>
      </c>
      <c r="E56" s="35"/>
      <c r="F56" s="83">
        <f>+'Summary - Cost - PG 1 (Reg)'!F28</f>
        <v>11505124.029999999</v>
      </c>
      <c r="G56" s="35"/>
      <c r="H56" s="83">
        <f>+'Summary - Cost - PG 1 (Reg)'!H28</f>
        <v>-673797.68</v>
      </c>
      <c r="I56" s="35"/>
      <c r="J56" s="83">
        <f>+'Summary - Cost - PG 1 (Reg)'!J28</f>
        <v>-650064.75</v>
      </c>
      <c r="K56" s="83"/>
      <c r="L56" s="83"/>
      <c r="M56" s="35"/>
      <c r="N56" s="35">
        <f>F56+H56+J56</f>
        <v>10181261.6</v>
      </c>
      <c r="O56" s="35"/>
      <c r="P56" s="35"/>
      <c r="Q56" s="35"/>
      <c r="R56" s="35"/>
      <c r="S56" s="35"/>
      <c r="T56" s="35"/>
      <c r="U56" s="35"/>
      <c r="V56" s="35">
        <f>D56+N56</f>
        <v>154696082.59999999</v>
      </c>
      <c r="W56" s="35"/>
      <c r="X56" s="74"/>
      <c r="Y56" s="74"/>
      <c r="Z56" s="74"/>
      <c r="AA56" s="74"/>
      <c r="AB56" s="74"/>
    </row>
    <row r="57" spans="1:28" outlineLevel="3" x14ac:dyDescent="0.2">
      <c r="C57" s="21" t="s">
        <v>31</v>
      </c>
      <c r="D57" s="83">
        <f>+'Summary - Cost - PG 1 (Reg)'!D29</f>
        <v>49359491.030000001</v>
      </c>
      <c r="E57" s="35"/>
      <c r="F57" s="83">
        <f>+'Summary - Cost - PG 1 (Reg)'!F29</f>
        <v>4123769.1</v>
      </c>
      <c r="G57" s="35"/>
      <c r="H57" s="83">
        <f>+'Summary - Cost - PG 1 (Reg)'!H29</f>
        <v>-260204.39</v>
      </c>
      <c r="I57" s="35"/>
      <c r="J57" s="83">
        <f>+'Summary - Cost - PG 1 (Reg)'!J29</f>
        <v>28516.28</v>
      </c>
      <c r="K57" s="83"/>
      <c r="L57" s="83"/>
      <c r="M57" s="35"/>
      <c r="N57" s="149">
        <f>F57+H57+J57</f>
        <v>3892080.9899999998</v>
      </c>
      <c r="O57" s="83"/>
      <c r="P57" s="83"/>
      <c r="Q57" s="83"/>
      <c r="R57" s="83"/>
      <c r="S57" s="83"/>
      <c r="T57" s="83"/>
      <c r="U57" s="35"/>
      <c r="V57" s="149">
        <f>D57+N57</f>
        <v>53251572.020000003</v>
      </c>
      <c r="W57" s="83"/>
      <c r="X57" s="74"/>
      <c r="Y57" s="74"/>
      <c r="Z57" s="74"/>
      <c r="AA57" s="74"/>
      <c r="AB57" s="74"/>
    </row>
    <row r="58" spans="1:28" outlineLevel="3" x14ac:dyDescent="0.2">
      <c r="C58" s="18"/>
      <c r="D58" s="110">
        <f>SUM(D53:D57)</f>
        <v>1039582691.6900001</v>
      </c>
      <c r="E58" s="83"/>
      <c r="F58" s="110">
        <f>SUM(F53:F57)</f>
        <v>101704446.03999999</v>
      </c>
      <c r="G58" s="83"/>
      <c r="H58" s="110">
        <f>SUM(H53:H57)</f>
        <v>-4304184</v>
      </c>
      <c r="I58" s="83"/>
      <c r="J58" s="110">
        <f>SUM(J53:J57)</f>
        <v>498645.53</v>
      </c>
      <c r="K58" s="83"/>
      <c r="L58" s="83"/>
      <c r="M58" s="83"/>
      <c r="N58" s="83">
        <f>SUM(N53:N57)</f>
        <v>97898907.569999978</v>
      </c>
      <c r="O58" s="83"/>
      <c r="P58" s="83"/>
      <c r="Q58" s="83"/>
      <c r="R58" s="83"/>
      <c r="S58" s="83"/>
      <c r="T58" s="83"/>
      <c r="U58" s="83"/>
      <c r="V58" s="83">
        <f>SUM(V53:V57)</f>
        <v>1137481599.26</v>
      </c>
      <c r="W58" s="83"/>
      <c r="X58" s="74"/>
      <c r="Y58" s="74"/>
      <c r="Z58" s="74"/>
      <c r="AA58" s="74"/>
      <c r="AB58" s="74"/>
    </row>
    <row r="59" spans="1:28" outlineLevel="3" x14ac:dyDescent="0.2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74"/>
      <c r="Y59" s="74"/>
      <c r="Z59" s="74"/>
      <c r="AA59" s="74"/>
      <c r="AB59" s="74"/>
    </row>
    <row r="60" spans="1:28" outlineLevel="3" x14ac:dyDescent="0.2">
      <c r="C60" s="9" t="s">
        <v>33</v>
      </c>
      <c r="D60" s="88">
        <f>D40+D50+D58</f>
        <v>5239112445.7999992</v>
      </c>
      <c r="E60" s="35"/>
      <c r="F60" s="88">
        <f>F40+F50+F58</f>
        <v>380947525.21000004</v>
      </c>
      <c r="G60" s="35"/>
      <c r="H60" s="88">
        <f>H40+H50+H58</f>
        <v>-75393109.039999992</v>
      </c>
      <c r="I60" s="35"/>
      <c r="J60" s="88">
        <f>J40+J50+J58</f>
        <v>-8618537.6199999992</v>
      </c>
      <c r="K60" s="83"/>
      <c r="L60" s="83"/>
      <c r="M60" s="35"/>
      <c r="N60" s="88">
        <f>N40+N50+N58</f>
        <v>296935878.55000001</v>
      </c>
      <c r="O60" s="83"/>
      <c r="P60" s="83"/>
      <c r="Q60" s="83"/>
      <c r="R60" s="83"/>
      <c r="S60" s="83"/>
      <c r="T60" s="83"/>
      <c r="U60" s="35"/>
      <c r="V60" s="88">
        <f>V40+V50+V58</f>
        <v>5536048324.3499994</v>
      </c>
      <c r="W60" s="83"/>
      <c r="X60" s="74"/>
      <c r="Y60" s="74"/>
      <c r="Z60" s="74"/>
      <c r="AA60" s="74"/>
      <c r="AB60" s="74"/>
    </row>
    <row r="61" spans="1:28" outlineLevel="3" x14ac:dyDescent="0.2">
      <c r="C61" s="9"/>
      <c r="D61" s="83"/>
      <c r="E61" s="35"/>
      <c r="F61" s="83"/>
      <c r="G61" s="35"/>
      <c r="H61" s="83"/>
      <c r="I61" s="35"/>
      <c r="J61" s="83"/>
      <c r="K61" s="83"/>
      <c r="L61" s="83"/>
      <c r="M61" s="35"/>
      <c r="N61" s="83"/>
      <c r="O61" s="83"/>
      <c r="P61" s="83"/>
      <c r="Q61" s="83"/>
      <c r="R61" s="83"/>
      <c r="S61" s="83"/>
      <c r="T61" s="83"/>
      <c r="U61" s="35"/>
      <c r="V61" s="83"/>
      <c r="W61" s="83"/>
      <c r="X61" s="74"/>
      <c r="Y61" s="74"/>
      <c r="Z61" s="74"/>
      <c r="AA61" s="74"/>
      <c r="AB61" s="74"/>
    </row>
    <row r="62" spans="1:28" outlineLevel="3" x14ac:dyDescent="0.2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74"/>
      <c r="Y62" s="74"/>
      <c r="Z62" s="74"/>
      <c r="AA62" s="74"/>
      <c r="AB62" s="74"/>
    </row>
    <row r="63" spans="1:28" outlineLevel="3" x14ac:dyDescent="0.2">
      <c r="A63" s="90">
        <v>101.1</v>
      </c>
      <c r="B63" s="9" t="s">
        <v>34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74"/>
      <c r="Y63" s="74"/>
      <c r="Z63" s="74"/>
      <c r="AA63" s="74"/>
      <c r="AB63" s="74"/>
    </row>
    <row r="64" spans="1:28" outlineLevel="3" x14ac:dyDescent="0.2">
      <c r="B64" s="9" t="s">
        <v>17</v>
      </c>
      <c r="C64" s="21" t="s">
        <v>35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74"/>
      <c r="Y64" s="74"/>
      <c r="Z64" s="74"/>
      <c r="AA64" s="74"/>
      <c r="AB64" s="74"/>
    </row>
    <row r="65" spans="1:28" outlineLevel="3" x14ac:dyDescent="0.2">
      <c r="C65" s="21" t="s">
        <v>23</v>
      </c>
      <c r="D65" s="149">
        <f>+'Summary - Cost - PG 1 (Reg)'!D37</f>
        <v>0</v>
      </c>
      <c r="E65" s="35"/>
      <c r="F65" s="149">
        <f>+'Summary - Cost - PG 1 (Reg)'!F37</f>
        <v>0</v>
      </c>
      <c r="G65" s="35"/>
      <c r="H65" s="149">
        <f>+'Summary - Cost - PG 1 (Reg)'!H37</f>
        <v>0</v>
      </c>
      <c r="I65" s="35"/>
      <c r="J65" s="149">
        <f>+'Summary - Cost - PG 1 (Reg)'!J37</f>
        <v>0</v>
      </c>
      <c r="K65" s="83"/>
      <c r="L65" s="83"/>
      <c r="M65" s="35"/>
      <c r="N65" s="149">
        <f>F65+H65+J65</f>
        <v>0</v>
      </c>
      <c r="O65" s="83"/>
      <c r="P65" s="83"/>
      <c r="Q65" s="83"/>
      <c r="R65" s="83"/>
      <c r="S65" s="83"/>
      <c r="T65" s="83"/>
      <c r="U65" s="35"/>
      <c r="V65" s="149">
        <f>D65+N65</f>
        <v>0</v>
      </c>
      <c r="W65" s="83"/>
      <c r="X65" s="74"/>
      <c r="Y65" s="74"/>
      <c r="Z65" s="74"/>
      <c r="AA65" s="74"/>
      <c r="AB65" s="74"/>
    </row>
    <row r="66" spans="1:28" outlineLevel="3" x14ac:dyDescent="0.2">
      <c r="C66" s="18"/>
      <c r="D66" s="83">
        <f>SUM(D65)</f>
        <v>0</v>
      </c>
      <c r="E66" s="83"/>
      <c r="F66" s="83">
        <f>SUM(F65)</f>
        <v>0</v>
      </c>
      <c r="G66" s="83"/>
      <c r="H66" s="83">
        <f>SUM(H65)</f>
        <v>0</v>
      </c>
      <c r="I66" s="83"/>
      <c r="J66" s="83">
        <f>SUM(J65)</f>
        <v>0</v>
      </c>
      <c r="K66" s="83"/>
      <c r="L66" s="83"/>
      <c r="M66" s="83"/>
      <c r="N66" s="83">
        <f>SUM(N65)</f>
        <v>0</v>
      </c>
      <c r="O66" s="83"/>
      <c r="P66" s="83"/>
      <c r="Q66" s="83"/>
      <c r="R66" s="83"/>
      <c r="S66" s="83"/>
      <c r="T66" s="83"/>
      <c r="U66" s="83"/>
      <c r="V66" s="83">
        <f>SUM(V65)</f>
        <v>0</v>
      </c>
      <c r="W66" s="83"/>
      <c r="X66" s="74"/>
      <c r="Y66" s="74"/>
      <c r="Z66" s="74"/>
      <c r="AA66" s="74"/>
      <c r="AB66" s="74"/>
    </row>
    <row r="67" spans="1:28" outlineLevel="3" x14ac:dyDescent="0.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74"/>
      <c r="Y67" s="74"/>
      <c r="Z67" s="74"/>
      <c r="AA67" s="74"/>
      <c r="AB67" s="74"/>
    </row>
    <row r="68" spans="1:28" outlineLevel="3" x14ac:dyDescent="0.2">
      <c r="C68" s="9" t="s">
        <v>36</v>
      </c>
      <c r="D68" s="88">
        <f>D66</f>
        <v>0</v>
      </c>
      <c r="E68" s="35"/>
      <c r="F68" s="88">
        <f>F66</f>
        <v>0</v>
      </c>
      <c r="G68" s="35"/>
      <c r="H68" s="88">
        <f>H66</f>
        <v>0</v>
      </c>
      <c r="I68" s="35"/>
      <c r="J68" s="88">
        <f>J66</f>
        <v>0</v>
      </c>
      <c r="K68" s="83"/>
      <c r="L68" s="83"/>
      <c r="M68" s="35"/>
      <c r="N68" s="88">
        <f>N66</f>
        <v>0</v>
      </c>
      <c r="O68" s="83"/>
      <c r="P68" s="83"/>
      <c r="Q68" s="83"/>
      <c r="R68" s="83"/>
      <c r="S68" s="83"/>
      <c r="T68" s="83"/>
      <c r="U68" s="35"/>
      <c r="V68" s="88">
        <f>V66</f>
        <v>0</v>
      </c>
      <c r="W68" s="83"/>
      <c r="X68" s="74"/>
      <c r="Y68" s="74"/>
      <c r="Z68" s="74"/>
      <c r="AA68" s="74"/>
      <c r="AB68" s="74"/>
    </row>
    <row r="69" spans="1:28" outlineLevel="3" x14ac:dyDescent="0.2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74"/>
      <c r="Y69" s="74"/>
      <c r="Z69" s="74"/>
      <c r="AA69" s="74"/>
      <c r="AB69" s="74"/>
    </row>
    <row r="70" spans="1:28" outlineLevel="3" x14ac:dyDescent="0.2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74"/>
      <c r="Y70" s="74"/>
      <c r="Z70" s="74"/>
      <c r="AA70" s="74"/>
      <c r="AB70" s="74"/>
    </row>
    <row r="71" spans="1:28" outlineLevel="3" x14ac:dyDescent="0.2">
      <c r="A71" s="90">
        <v>102</v>
      </c>
      <c r="B71" s="9" t="s">
        <v>37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74"/>
      <c r="Y71" s="74"/>
      <c r="Z71" s="74"/>
      <c r="AA71" s="74"/>
      <c r="AB71" s="74"/>
    </row>
    <row r="72" spans="1:28" outlineLevel="3" x14ac:dyDescent="0.2">
      <c r="B72" s="9" t="s">
        <v>17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74"/>
      <c r="Y72" s="74"/>
      <c r="Z72" s="74"/>
      <c r="AA72" s="74"/>
      <c r="AB72" s="74"/>
    </row>
    <row r="73" spans="1:28" outlineLevel="3" x14ac:dyDescent="0.2">
      <c r="C73" s="21" t="s">
        <v>23</v>
      </c>
      <c r="D73" s="149">
        <f>+'Summary - Cost - PG 1 (Reg)'!D45</f>
        <v>-76448.429999999993</v>
      </c>
      <c r="E73" s="35"/>
      <c r="F73" s="149">
        <f>+'Summary - Cost - PG 1 (Reg)'!F45</f>
        <v>0</v>
      </c>
      <c r="G73" s="35"/>
      <c r="H73" s="149">
        <f>+'Summary - Cost - PG 1 (Reg)'!H45</f>
        <v>0</v>
      </c>
      <c r="I73" s="35"/>
      <c r="J73" s="149">
        <f>+'Summary - Cost - PG 1 (Reg)'!J45</f>
        <v>76448.429999999993</v>
      </c>
      <c r="K73" s="83"/>
      <c r="L73" s="83"/>
      <c r="M73" s="83"/>
      <c r="N73" s="149">
        <f>F73+H73+J73</f>
        <v>76448.429999999993</v>
      </c>
      <c r="O73" s="83"/>
      <c r="P73" s="83"/>
      <c r="Q73" s="83"/>
      <c r="R73" s="83"/>
      <c r="S73" s="83"/>
      <c r="T73" s="83"/>
      <c r="U73" s="83"/>
      <c r="V73" s="149">
        <f>D73+N73</f>
        <v>0</v>
      </c>
      <c r="W73" s="83"/>
      <c r="X73" s="74"/>
      <c r="Y73" s="74"/>
      <c r="Z73" s="74"/>
      <c r="AA73" s="74"/>
      <c r="AB73" s="74"/>
    </row>
    <row r="74" spans="1:28" outlineLevel="3" x14ac:dyDescent="0.2">
      <c r="C74" s="18"/>
      <c r="D74" s="83">
        <f>SUM(D73:D73)</f>
        <v>-76448.429999999993</v>
      </c>
      <c r="E74" s="83"/>
      <c r="F74" s="83">
        <f>SUM(F73)</f>
        <v>0</v>
      </c>
      <c r="G74" s="83"/>
      <c r="H74" s="83">
        <f>SUM(H73)</f>
        <v>0</v>
      </c>
      <c r="I74" s="83"/>
      <c r="J74" s="83">
        <f>SUM(J73)</f>
        <v>76448.429999999993</v>
      </c>
      <c r="K74" s="83"/>
      <c r="L74" s="83"/>
      <c r="M74" s="83"/>
      <c r="N74" s="83">
        <f>SUM(N73)</f>
        <v>76448.429999999993</v>
      </c>
      <c r="O74" s="83"/>
      <c r="P74" s="83"/>
      <c r="Q74" s="83"/>
      <c r="R74" s="83"/>
      <c r="S74" s="83"/>
      <c r="T74" s="83"/>
      <c r="U74" s="83"/>
      <c r="V74" s="83">
        <f>SUM(V73:V73)</f>
        <v>0</v>
      </c>
      <c r="W74" s="83"/>
      <c r="X74" s="74"/>
      <c r="Y74" s="74"/>
      <c r="Z74" s="74"/>
      <c r="AA74" s="74"/>
      <c r="AB74" s="74"/>
    </row>
    <row r="75" spans="1:28" outlineLevel="3" x14ac:dyDescent="0.2">
      <c r="B75" s="9" t="s">
        <v>13</v>
      </c>
      <c r="C75" s="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74"/>
      <c r="Y75" s="74"/>
      <c r="Z75" s="74"/>
      <c r="AA75" s="74"/>
      <c r="AB75" s="74"/>
    </row>
    <row r="76" spans="1:28" outlineLevel="3" x14ac:dyDescent="0.2">
      <c r="C76" s="21" t="s">
        <v>14</v>
      </c>
      <c r="D76" s="149">
        <f>+'Summary - Cost - PG 1 (Reg)'!D48</f>
        <v>0</v>
      </c>
      <c r="E76" s="35"/>
      <c r="F76" s="149">
        <f>+'Summary - Cost - PG 1 (Reg)'!F48</f>
        <v>0</v>
      </c>
      <c r="G76" s="35"/>
      <c r="H76" s="149">
        <f>+'Summary - Cost - PG 1 (Reg)'!H48</f>
        <v>0</v>
      </c>
      <c r="I76" s="35"/>
      <c r="J76" s="149">
        <f>+'Summary - Cost - PG 1 (Reg)'!J48</f>
        <v>0</v>
      </c>
      <c r="K76" s="35"/>
      <c r="L76" s="35"/>
      <c r="M76" s="35"/>
      <c r="N76" s="149">
        <f>F76+H76+J76</f>
        <v>0</v>
      </c>
      <c r="O76" s="35"/>
      <c r="P76" s="35"/>
      <c r="Q76" s="35"/>
      <c r="R76" s="35"/>
      <c r="S76" s="35"/>
      <c r="T76" s="35"/>
      <c r="U76" s="35"/>
      <c r="V76" s="149">
        <f>D76+N76</f>
        <v>0</v>
      </c>
      <c r="W76" s="35"/>
      <c r="X76" s="74"/>
      <c r="Y76" s="74"/>
      <c r="Z76" s="74"/>
      <c r="AA76" s="74"/>
      <c r="AB76" s="74"/>
    </row>
    <row r="77" spans="1:28" outlineLevel="3" x14ac:dyDescent="0.2">
      <c r="D77" s="83">
        <f>SUM(D76:D76)</f>
        <v>0</v>
      </c>
      <c r="E77" s="83"/>
      <c r="F77" s="83">
        <f>SUM(F76)</f>
        <v>0</v>
      </c>
      <c r="G77" s="83"/>
      <c r="H77" s="83">
        <f>SUM(H76)</f>
        <v>0</v>
      </c>
      <c r="I77" s="83"/>
      <c r="J77" s="83">
        <f>SUM(J76)</f>
        <v>0</v>
      </c>
      <c r="K77" s="35"/>
      <c r="L77" s="35"/>
      <c r="M77" s="35"/>
      <c r="N77" s="83">
        <f>SUM(N76)</f>
        <v>0</v>
      </c>
      <c r="O77" s="35"/>
      <c r="P77" s="35"/>
      <c r="Q77" s="35"/>
      <c r="R77" s="35"/>
      <c r="S77" s="35"/>
      <c r="T77" s="35"/>
      <c r="U77" s="35"/>
      <c r="V77" s="83">
        <f>SUM(V76:V76)</f>
        <v>0</v>
      </c>
      <c r="W77" s="35"/>
      <c r="X77" s="74"/>
      <c r="Y77" s="74"/>
      <c r="Z77" s="74"/>
      <c r="AA77" s="74"/>
      <c r="AB77" s="74"/>
    </row>
    <row r="78" spans="1:28" outlineLevel="3" x14ac:dyDescent="0.2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74"/>
      <c r="Y78" s="74"/>
      <c r="Z78" s="74"/>
      <c r="AA78" s="74"/>
      <c r="AB78" s="74"/>
    </row>
    <row r="79" spans="1:28" outlineLevel="3" x14ac:dyDescent="0.2">
      <c r="C79" s="9" t="s">
        <v>179</v>
      </c>
      <c r="D79" s="88">
        <f>D74+D77</f>
        <v>-76448.429999999993</v>
      </c>
      <c r="E79" s="35"/>
      <c r="F79" s="88">
        <f>F74+F77</f>
        <v>0</v>
      </c>
      <c r="G79" s="35"/>
      <c r="H79" s="88">
        <f>H74+H77</f>
        <v>0</v>
      </c>
      <c r="I79" s="35"/>
      <c r="J79" s="88">
        <f>J74+J77</f>
        <v>76448.429999999993</v>
      </c>
      <c r="K79" s="83"/>
      <c r="L79" s="83"/>
      <c r="M79" s="35"/>
      <c r="N79" s="88">
        <f>N74+N77</f>
        <v>76448.429999999993</v>
      </c>
      <c r="O79" s="83"/>
      <c r="P79" s="83"/>
      <c r="Q79" s="83"/>
      <c r="R79" s="83"/>
      <c r="S79" s="83"/>
      <c r="T79" s="83"/>
      <c r="U79" s="35"/>
      <c r="V79" s="88">
        <f>V74+V77</f>
        <v>0</v>
      </c>
      <c r="W79" s="83"/>
      <c r="X79" s="74"/>
      <c r="Y79" s="74"/>
      <c r="Z79" s="74"/>
      <c r="AA79" s="74"/>
      <c r="AB79" s="74"/>
    </row>
    <row r="80" spans="1:28" outlineLevel="3" x14ac:dyDescent="0.2">
      <c r="C80" s="9"/>
      <c r="D80" s="83"/>
      <c r="E80" s="35"/>
      <c r="F80" s="83"/>
      <c r="G80" s="35"/>
      <c r="H80" s="83"/>
      <c r="I80" s="35"/>
      <c r="J80" s="83"/>
      <c r="K80" s="83"/>
      <c r="L80" s="83"/>
      <c r="M80" s="35"/>
      <c r="N80" s="83"/>
      <c r="O80" s="83"/>
      <c r="P80" s="83"/>
      <c r="Q80" s="83"/>
      <c r="R80" s="83"/>
      <c r="S80" s="83"/>
      <c r="T80" s="83"/>
      <c r="U80" s="35"/>
      <c r="V80" s="83"/>
      <c r="W80" s="83"/>
      <c r="X80" s="74"/>
      <c r="Y80" s="74"/>
      <c r="Z80" s="74"/>
      <c r="AA80" s="74"/>
      <c r="AB80" s="74"/>
    </row>
    <row r="81" spans="1:28" outlineLevel="3" x14ac:dyDescent="0.2">
      <c r="C81" s="9"/>
      <c r="D81" s="83"/>
      <c r="E81" s="35"/>
      <c r="F81" s="83"/>
      <c r="G81" s="35"/>
      <c r="H81" s="83"/>
      <c r="I81" s="35"/>
      <c r="J81" s="83"/>
      <c r="K81" s="83"/>
      <c r="L81" s="83"/>
      <c r="M81" s="35"/>
      <c r="N81" s="83"/>
      <c r="O81" s="83"/>
      <c r="P81" s="83"/>
      <c r="Q81" s="83"/>
      <c r="R81" s="83"/>
      <c r="S81" s="83"/>
      <c r="T81" s="83"/>
      <c r="U81" s="35"/>
      <c r="V81" s="83"/>
      <c r="W81" s="83"/>
      <c r="X81" s="74"/>
      <c r="Y81" s="74"/>
      <c r="Z81" s="74"/>
      <c r="AA81" s="74"/>
      <c r="AB81" s="74"/>
    </row>
    <row r="82" spans="1:28" outlineLevel="3" x14ac:dyDescent="0.2">
      <c r="A82" s="90">
        <v>105</v>
      </c>
      <c r="B82" s="9" t="s">
        <v>40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74"/>
      <c r="Y82" s="74"/>
      <c r="Z82" s="74"/>
      <c r="AA82" s="74"/>
      <c r="AB82" s="74"/>
    </row>
    <row r="83" spans="1:28" outlineLevel="3" x14ac:dyDescent="0.2">
      <c r="B83" s="9" t="s">
        <v>17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74"/>
      <c r="Y83" s="74"/>
      <c r="Z83" s="74"/>
      <c r="AA83" s="74"/>
      <c r="AB83" s="74"/>
    </row>
    <row r="84" spans="1:28" outlineLevel="3" x14ac:dyDescent="0.2">
      <c r="C84" s="21" t="s">
        <v>18</v>
      </c>
      <c r="D84" s="83">
        <f>'Summary - Cost - PG 1 (Reg)'!D56</f>
        <v>2396331.2899999996</v>
      </c>
      <c r="E84" s="35"/>
      <c r="F84" s="83">
        <f>'Summary - Cost - PG 1 (Reg)'!F56</f>
        <v>0</v>
      </c>
      <c r="G84" s="35"/>
      <c r="H84" s="83">
        <f>'Summary - Cost - PG 1 (Reg)'!H56</f>
        <v>0</v>
      </c>
      <c r="I84" s="35"/>
      <c r="J84" s="83">
        <f>'Summary - Cost - PG 1 (Reg)'!J56</f>
        <v>0</v>
      </c>
      <c r="K84" s="83"/>
      <c r="L84" s="83"/>
      <c r="M84" s="35"/>
      <c r="N84" s="83">
        <f>F84+H84+J84</f>
        <v>0</v>
      </c>
      <c r="O84" s="83"/>
      <c r="P84" s="83"/>
      <c r="Q84" s="83"/>
      <c r="R84" s="83"/>
      <c r="S84" s="83"/>
      <c r="T84" s="83"/>
      <c r="U84" s="35"/>
      <c r="V84" s="83">
        <f>D84+N84</f>
        <v>2396331.2899999996</v>
      </c>
      <c r="W84" s="83"/>
      <c r="X84" s="74"/>
      <c r="Y84" s="74"/>
      <c r="Z84" s="74"/>
      <c r="AA84" s="74"/>
      <c r="AB84" s="74"/>
    </row>
    <row r="85" spans="1:28" outlineLevel="3" x14ac:dyDescent="0.2">
      <c r="C85" s="21" t="s">
        <v>22</v>
      </c>
      <c r="D85" s="83">
        <f>'Summary - Cost - PG 1 (Reg)'!D57</f>
        <v>211409.5</v>
      </c>
      <c r="E85" s="35"/>
      <c r="F85" s="83">
        <f>'Summary - Cost - PG 1 (Reg)'!F57</f>
        <v>0</v>
      </c>
      <c r="G85" s="35"/>
      <c r="H85" s="83">
        <f>'Summary - Cost - PG 1 (Reg)'!H57</f>
        <v>0</v>
      </c>
      <c r="I85" s="35"/>
      <c r="J85" s="83">
        <f>'Summary - Cost - PG 1 (Reg)'!J57</f>
        <v>0</v>
      </c>
      <c r="K85" s="83"/>
      <c r="L85" s="83"/>
      <c r="M85" s="35"/>
      <c r="N85" s="83"/>
      <c r="O85" s="83"/>
      <c r="P85" s="83"/>
      <c r="Q85" s="83"/>
      <c r="R85" s="83"/>
      <c r="S85" s="83"/>
      <c r="T85" s="83"/>
      <c r="U85" s="35"/>
      <c r="V85" s="83">
        <f>D85+N85</f>
        <v>211409.5</v>
      </c>
      <c r="W85" s="83"/>
      <c r="X85" s="74"/>
      <c r="Y85" s="74"/>
      <c r="Z85" s="74"/>
      <c r="AA85" s="74"/>
      <c r="AB85" s="74"/>
    </row>
    <row r="86" spans="1:28" outlineLevel="3" x14ac:dyDescent="0.2">
      <c r="C86" s="21" t="s">
        <v>23</v>
      </c>
      <c r="D86" s="83">
        <f>'Summary - Cost - PG 1 (Reg)'!D58</f>
        <v>0</v>
      </c>
      <c r="E86" s="35"/>
      <c r="F86" s="83">
        <f>'Summary - Cost - PG 1 (Reg)'!F58</f>
        <v>0</v>
      </c>
      <c r="G86" s="35"/>
      <c r="H86" s="83">
        <f>'Summary - Cost - PG 1 (Reg)'!H58</f>
        <v>0</v>
      </c>
      <c r="I86" s="35"/>
      <c r="J86" s="83">
        <f>'Summary - Cost - PG 1 (Reg)'!J58</f>
        <v>0</v>
      </c>
      <c r="K86" s="83"/>
      <c r="L86" s="83"/>
      <c r="M86" s="83"/>
      <c r="N86" s="149">
        <f>F86+H86+J86</f>
        <v>0</v>
      </c>
      <c r="O86" s="83"/>
      <c r="P86" s="83"/>
      <c r="Q86" s="83"/>
      <c r="R86" s="83"/>
      <c r="S86" s="83"/>
      <c r="T86" s="83"/>
      <c r="U86" s="83"/>
      <c r="V86" s="149">
        <f>D86+N86</f>
        <v>0</v>
      </c>
      <c r="W86" s="83"/>
      <c r="X86" s="74"/>
      <c r="Y86" s="74"/>
      <c r="Z86" s="74"/>
      <c r="AA86" s="74"/>
      <c r="AB86" s="74"/>
    </row>
    <row r="87" spans="1:28" outlineLevel="3" x14ac:dyDescent="0.2">
      <c r="C87" s="18"/>
      <c r="D87" s="110">
        <f>SUM(D84:D86)</f>
        <v>2607740.7899999996</v>
      </c>
      <c r="E87" s="83"/>
      <c r="F87" s="110">
        <f>SUM(F84:F86)</f>
        <v>0</v>
      </c>
      <c r="G87" s="83"/>
      <c r="H87" s="110">
        <f>SUM(H84:H86)</f>
        <v>0</v>
      </c>
      <c r="I87" s="83"/>
      <c r="J87" s="110">
        <f>SUM(J84:J86)</f>
        <v>0</v>
      </c>
      <c r="K87" s="83"/>
      <c r="L87" s="83"/>
      <c r="M87" s="83"/>
      <c r="N87" s="83">
        <f>SUM(N84:N86)</f>
        <v>0</v>
      </c>
      <c r="O87" s="83"/>
      <c r="P87" s="83"/>
      <c r="Q87" s="83"/>
      <c r="R87" s="83"/>
      <c r="S87" s="83"/>
      <c r="T87" s="83"/>
      <c r="U87" s="83"/>
      <c r="V87" s="83">
        <f>SUM(V84:V86)</f>
        <v>2607740.7899999996</v>
      </c>
      <c r="W87" s="83"/>
      <c r="X87" s="74"/>
      <c r="Y87" s="74"/>
      <c r="Z87" s="74"/>
      <c r="AA87" s="74"/>
      <c r="AB87" s="74"/>
    </row>
    <row r="88" spans="1:28" outlineLevel="3" x14ac:dyDescent="0.2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74"/>
      <c r="Y88" s="74"/>
      <c r="Z88" s="74"/>
      <c r="AA88" s="74"/>
      <c r="AB88" s="74"/>
    </row>
    <row r="89" spans="1:28" outlineLevel="3" x14ac:dyDescent="0.2">
      <c r="C89" s="9" t="s">
        <v>179</v>
      </c>
      <c r="D89" s="88">
        <f>D87</f>
        <v>2607740.7899999996</v>
      </c>
      <c r="E89" s="35"/>
      <c r="F89" s="88">
        <f>F87</f>
        <v>0</v>
      </c>
      <c r="G89" s="35"/>
      <c r="H89" s="88">
        <f>H87</f>
        <v>0</v>
      </c>
      <c r="I89" s="35"/>
      <c r="J89" s="88">
        <f>J87</f>
        <v>0</v>
      </c>
      <c r="K89" s="83"/>
      <c r="L89" s="83"/>
      <c r="M89" s="35"/>
      <c r="N89" s="88">
        <f>N87</f>
        <v>0</v>
      </c>
      <c r="O89" s="83"/>
      <c r="P89" s="83"/>
      <c r="Q89" s="83"/>
      <c r="R89" s="83"/>
      <c r="S89" s="83"/>
      <c r="T89" s="83"/>
      <c r="U89" s="35"/>
      <c r="V89" s="88">
        <f>V87</f>
        <v>2607740.7899999996</v>
      </c>
      <c r="W89" s="83"/>
      <c r="X89" s="74"/>
      <c r="Y89" s="74"/>
      <c r="Z89" s="74"/>
      <c r="AA89" s="74"/>
      <c r="AB89" s="74"/>
    </row>
    <row r="90" spans="1:28" outlineLevel="3" x14ac:dyDescent="0.2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74"/>
      <c r="Y90" s="74"/>
      <c r="Z90" s="74"/>
      <c r="AA90" s="74"/>
      <c r="AB90" s="74"/>
    </row>
    <row r="91" spans="1:28" outlineLevel="3" x14ac:dyDescent="0.2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74"/>
      <c r="Y91" s="74"/>
      <c r="Z91" s="74"/>
      <c r="AA91" s="74"/>
      <c r="AB91" s="74"/>
    </row>
    <row r="92" spans="1:28" outlineLevel="3" x14ac:dyDescent="0.2">
      <c r="A92" s="90">
        <v>106</v>
      </c>
      <c r="B92" s="9" t="s">
        <v>45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74"/>
      <c r="Y92" s="74"/>
      <c r="Z92" s="74"/>
      <c r="AA92" s="74"/>
      <c r="AB92" s="74"/>
    </row>
    <row r="93" spans="1:28" outlineLevel="3" x14ac:dyDescent="0.2">
      <c r="B93" s="9" t="s">
        <v>13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74"/>
      <c r="Y93" s="74"/>
      <c r="Z93" s="74"/>
      <c r="AA93" s="74"/>
      <c r="AB93" s="74"/>
    </row>
    <row r="94" spans="1:28" outlineLevel="3" x14ac:dyDescent="0.2">
      <c r="C94" s="21" t="s">
        <v>14</v>
      </c>
      <c r="D94" s="83">
        <f>'Summary - Cost - PG 1 (Reg)'!D77</f>
        <v>9814678.9400000013</v>
      </c>
      <c r="E94" s="35"/>
      <c r="F94" s="83">
        <f>'Summary - Cost - PG 1 (Reg)'!F77</f>
        <v>-7297456.3300000001</v>
      </c>
      <c r="G94" s="35"/>
      <c r="H94" s="83">
        <f>'Summary - Cost - PG 1 (Reg)'!H77</f>
        <v>0</v>
      </c>
      <c r="I94" s="35"/>
      <c r="J94" s="83">
        <f>'Summary - Cost - PG 1 (Reg)'!J77</f>
        <v>0</v>
      </c>
      <c r="K94" s="83"/>
      <c r="L94" s="83"/>
      <c r="M94" s="35"/>
      <c r="N94" s="35">
        <f>F94+H94+J94</f>
        <v>-7297456.3300000001</v>
      </c>
      <c r="O94" s="35"/>
      <c r="P94" s="35"/>
      <c r="Q94" s="35"/>
      <c r="R94" s="35"/>
      <c r="S94" s="35"/>
      <c r="T94" s="35"/>
      <c r="U94" s="35"/>
      <c r="V94" s="35">
        <f>D94+N94</f>
        <v>2517222.6100000013</v>
      </c>
      <c r="W94" s="35"/>
      <c r="X94" s="74"/>
      <c r="Y94" s="74"/>
      <c r="Z94" s="74"/>
      <c r="AA94" s="74"/>
      <c r="AB94" s="74"/>
    </row>
    <row r="95" spans="1:28" outlineLevel="3" x14ac:dyDescent="0.2">
      <c r="C95" s="21" t="s">
        <v>15</v>
      </c>
      <c r="D95" s="83">
        <f>'Summary - Cost - PG 1 (Reg)'!D78</f>
        <v>7731602.6299999962</v>
      </c>
      <c r="E95" s="35"/>
      <c r="F95" s="83">
        <f>'Summary - Cost - PG 1 (Reg)'!F78</f>
        <v>12888837.389999999</v>
      </c>
      <c r="G95" s="35"/>
      <c r="H95" s="83">
        <f>'Summary - Cost - PG 1 (Reg)'!H78</f>
        <v>0</v>
      </c>
      <c r="I95" s="35"/>
      <c r="J95" s="83">
        <f>'Summary - Cost - PG 1 (Reg)'!J78</f>
        <v>0</v>
      </c>
      <c r="K95" s="83"/>
      <c r="L95" s="83"/>
      <c r="M95" s="83"/>
      <c r="N95" s="149">
        <f>F95+H95+J95</f>
        <v>12888837.389999999</v>
      </c>
      <c r="O95" s="83"/>
      <c r="P95" s="83"/>
      <c r="Q95" s="83"/>
      <c r="R95" s="83"/>
      <c r="S95" s="83"/>
      <c r="T95" s="83"/>
      <c r="U95" s="83"/>
      <c r="V95" s="149">
        <f>D95+N95</f>
        <v>20620440.019999996</v>
      </c>
      <c r="W95" s="83"/>
      <c r="X95" s="30"/>
      <c r="Y95" s="30"/>
      <c r="Z95" s="30"/>
      <c r="AA95" s="30"/>
      <c r="AB95" s="30"/>
    </row>
    <row r="96" spans="1:28" outlineLevel="3" x14ac:dyDescent="0.2">
      <c r="C96" s="18"/>
      <c r="D96" s="110">
        <f>D94+D95</f>
        <v>17546281.569999997</v>
      </c>
      <c r="E96" s="83"/>
      <c r="F96" s="110">
        <f>F94+F95</f>
        <v>5591381.0599999987</v>
      </c>
      <c r="G96" s="83"/>
      <c r="H96" s="110">
        <f>H94+H95</f>
        <v>0</v>
      </c>
      <c r="I96" s="83"/>
      <c r="J96" s="110">
        <f>J94+J95</f>
        <v>0</v>
      </c>
      <c r="K96" s="83"/>
      <c r="L96" s="83"/>
      <c r="M96" s="83"/>
      <c r="N96" s="83">
        <f>N94+N95</f>
        <v>5591381.0599999987</v>
      </c>
      <c r="O96" s="83"/>
      <c r="P96" s="83"/>
      <c r="Q96" s="83"/>
      <c r="R96" s="83"/>
      <c r="S96" s="83"/>
      <c r="T96" s="83"/>
      <c r="U96" s="83"/>
      <c r="V96" s="83">
        <f>V94+V95</f>
        <v>23137662.629999995</v>
      </c>
      <c r="W96" s="83"/>
      <c r="X96" s="30"/>
      <c r="Y96" s="30"/>
      <c r="Z96" s="30"/>
      <c r="AA96" s="30"/>
      <c r="AB96" s="30"/>
    </row>
    <row r="97" spans="2:28" outlineLevel="3" x14ac:dyDescent="0.2"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30"/>
      <c r="Y97" s="30"/>
      <c r="Z97" s="30"/>
      <c r="AA97" s="30"/>
      <c r="AB97" s="30"/>
    </row>
    <row r="98" spans="2:28" outlineLevel="3" x14ac:dyDescent="0.2">
      <c r="B98" s="9" t="s">
        <v>17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30"/>
      <c r="Y98" s="30"/>
      <c r="Z98" s="30"/>
      <c r="AA98" s="30"/>
      <c r="AB98" s="30"/>
    </row>
    <row r="99" spans="2:28" outlineLevel="3" x14ac:dyDescent="0.2">
      <c r="C99" s="21" t="s">
        <v>18</v>
      </c>
      <c r="D99" s="83">
        <f>'Summary - Cost - PG 1 (Reg)'!D82</f>
        <v>63284363.429999992</v>
      </c>
      <c r="E99" s="35"/>
      <c r="F99" s="83">
        <f>'Summary - Cost - PG 1 (Reg)'!F82</f>
        <v>7003964.6500000004</v>
      </c>
      <c r="G99" s="35"/>
      <c r="H99" s="83">
        <f>'Summary - Cost - PG 1 (Reg)'!H82</f>
        <v>0</v>
      </c>
      <c r="I99" s="35"/>
      <c r="J99" s="83">
        <f>'Summary - Cost - PG 1 (Reg)'!J82</f>
        <v>0</v>
      </c>
      <c r="K99" s="83"/>
      <c r="L99" s="83"/>
      <c r="M99" s="83"/>
      <c r="N99" s="83">
        <f t="shared" ref="N99:N105" si="9">F99+H99+J99</f>
        <v>7003964.6500000004</v>
      </c>
      <c r="O99" s="83"/>
      <c r="P99" s="83"/>
      <c r="Q99" s="83"/>
      <c r="R99" s="83"/>
      <c r="S99" s="83"/>
      <c r="T99" s="83"/>
      <c r="U99" s="83"/>
      <c r="V99" s="83">
        <f t="shared" ref="V99:V105" si="10">D99+N99</f>
        <v>70288328.079999998</v>
      </c>
      <c r="W99" s="83"/>
      <c r="X99" s="30"/>
      <c r="Y99" s="30"/>
      <c r="Z99" s="30"/>
      <c r="AA99" s="30"/>
      <c r="AB99" s="30"/>
    </row>
    <row r="100" spans="2:28" outlineLevel="3" x14ac:dyDescent="0.2">
      <c r="C100" s="21" t="s">
        <v>19</v>
      </c>
      <c r="D100" s="83">
        <f>'Summary - Cost - PG 1 (Reg)'!D83</f>
        <v>675232.17000000016</v>
      </c>
      <c r="E100" s="35"/>
      <c r="F100" s="83">
        <f>'Summary - Cost - PG 1 (Reg)'!F83</f>
        <v>-324135.67999999999</v>
      </c>
      <c r="G100" s="35"/>
      <c r="H100" s="83">
        <f>'Summary - Cost - PG 1 (Reg)'!H83</f>
        <v>0</v>
      </c>
      <c r="I100" s="35"/>
      <c r="J100" s="83">
        <f>'Summary - Cost - PG 1 (Reg)'!J83</f>
        <v>0</v>
      </c>
      <c r="K100" s="83"/>
      <c r="L100" s="83"/>
      <c r="M100" s="83"/>
      <c r="N100" s="83">
        <f t="shared" si="9"/>
        <v>-324135.67999999999</v>
      </c>
      <c r="O100" s="83"/>
      <c r="P100" s="83"/>
      <c r="Q100" s="83"/>
      <c r="R100" s="83"/>
      <c r="S100" s="83"/>
      <c r="T100" s="83"/>
      <c r="U100" s="83"/>
      <c r="V100" s="83">
        <f t="shared" si="10"/>
        <v>351096.49000000017</v>
      </c>
      <c r="W100" s="83"/>
      <c r="X100" s="30"/>
      <c r="Y100" s="30"/>
      <c r="Z100" s="30"/>
      <c r="AA100" s="30"/>
      <c r="AB100" s="30"/>
    </row>
    <row r="101" spans="2:28" outlineLevel="3" x14ac:dyDescent="0.2">
      <c r="C101" s="21" t="s">
        <v>20</v>
      </c>
      <c r="D101" s="83">
        <f>'Summary - Cost - PG 1 (Reg)'!D84</f>
        <v>64898946.01000002</v>
      </c>
      <c r="E101" s="35"/>
      <c r="F101" s="83">
        <f>'Summary - Cost - PG 1 (Reg)'!F84</f>
        <v>18865056.23</v>
      </c>
      <c r="G101" s="35"/>
      <c r="H101" s="83">
        <f>'Summary - Cost - PG 1 (Reg)'!H84</f>
        <v>0</v>
      </c>
      <c r="I101" s="35"/>
      <c r="J101" s="83">
        <f>'Summary - Cost - PG 1 (Reg)'!J84</f>
        <v>0</v>
      </c>
      <c r="K101" s="83"/>
      <c r="L101" s="83"/>
      <c r="M101" s="83"/>
      <c r="N101" s="83">
        <f t="shared" si="9"/>
        <v>18865056.23</v>
      </c>
      <c r="O101" s="83"/>
      <c r="P101" s="83"/>
      <c r="Q101" s="83"/>
      <c r="R101" s="83"/>
      <c r="S101" s="83"/>
      <c r="T101" s="83"/>
      <c r="U101" s="83"/>
      <c r="V101" s="83">
        <f t="shared" si="10"/>
        <v>83764002.240000024</v>
      </c>
      <c r="W101" s="83"/>
      <c r="X101" s="30"/>
      <c r="Y101" s="30"/>
      <c r="Z101" s="30"/>
      <c r="AA101" s="30"/>
      <c r="AB101" s="30"/>
    </row>
    <row r="102" spans="2:28" outlineLevel="3" x14ac:dyDescent="0.2">
      <c r="C102" s="21" t="s">
        <v>21</v>
      </c>
      <c r="D102" s="83">
        <f>'Summary - Cost - PG 1 (Reg)'!D85</f>
        <v>0</v>
      </c>
      <c r="E102" s="35"/>
      <c r="F102" s="83">
        <f>'Summary - Cost - PG 1 (Reg)'!F85</f>
        <v>0</v>
      </c>
      <c r="G102" s="35"/>
      <c r="H102" s="83">
        <f>'Summary - Cost - PG 1 (Reg)'!H85</f>
        <v>0</v>
      </c>
      <c r="I102" s="35"/>
      <c r="J102" s="83">
        <f>'Summary - Cost - PG 1 (Reg)'!J85</f>
        <v>0</v>
      </c>
      <c r="K102" s="83"/>
      <c r="L102" s="83"/>
      <c r="M102" s="83"/>
      <c r="N102" s="83">
        <f t="shared" si="9"/>
        <v>0</v>
      </c>
      <c r="O102" s="83"/>
      <c r="P102" s="83"/>
      <c r="Q102" s="83"/>
      <c r="R102" s="83"/>
      <c r="S102" s="83"/>
      <c r="T102" s="83"/>
      <c r="U102" s="83"/>
      <c r="V102" s="83">
        <f t="shared" si="10"/>
        <v>0</v>
      </c>
      <c r="W102" s="83"/>
      <c r="X102" s="30"/>
      <c r="Y102" s="30"/>
      <c r="Z102" s="30"/>
      <c r="AA102" s="30"/>
      <c r="AB102" s="30"/>
    </row>
    <row r="103" spans="2:28" outlineLevel="3" x14ac:dyDescent="0.2">
      <c r="C103" s="21" t="s">
        <v>22</v>
      </c>
      <c r="D103" s="83">
        <f>'Summary - Cost - PG 1 (Reg)'!D86</f>
        <v>19689531.609999999</v>
      </c>
      <c r="E103" s="35"/>
      <c r="F103" s="83">
        <f>'Summary - Cost - PG 1 (Reg)'!F86</f>
        <v>-5272560.72</v>
      </c>
      <c r="G103" s="35"/>
      <c r="H103" s="83">
        <f>'Summary - Cost - PG 1 (Reg)'!H86</f>
        <v>0</v>
      </c>
      <c r="I103" s="35"/>
      <c r="J103" s="83">
        <f>'Summary - Cost - PG 1 (Reg)'!J86</f>
        <v>0</v>
      </c>
      <c r="K103" s="83"/>
      <c r="L103" s="83"/>
      <c r="M103" s="83"/>
      <c r="N103" s="83">
        <f t="shared" si="9"/>
        <v>-5272560.72</v>
      </c>
      <c r="O103" s="83"/>
      <c r="P103" s="83"/>
      <c r="Q103" s="83"/>
      <c r="R103" s="83"/>
      <c r="S103" s="83"/>
      <c r="T103" s="83"/>
      <c r="U103" s="83"/>
      <c r="V103" s="83">
        <f t="shared" si="10"/>
        <v>14416970.890000001</v>
      </c>
      <c r="W103" s="83"/>
      <c r="X103" s="30"/>
      <c r="Y103" s="30"/>
      <c r="Z103" s="30"/>
      <c r="AA103" s="30"/>
      <c r="AB103" s="30"/>
    </row>
    <row r="104" spans="2:28" outlineLevel="3" x14ac:dyDescent="0.2">
      <c r="C104" s="21" t="s">
        <v>23</v>
      </c>
      <c r="D104" s="83">
        <f>'Summary - Cost - PG 1 (Reg)'!D87</f>
        <v>1138963435.29</v>
      </c>
      <c r="E104" s="35"/>
      <c r="F104" s="83">
        <f>'Summary - Cost - PG 1 (Reg)'!F87</f>
        <v>-73443106.959999993</v>
      </c>
      <c r="G104" s="35"/>
      <c r="H104" s="83">
        <f>'Summary - Cost - PG 1 (Reg)'!H87</f>
        <v>0</v>
      </c>
      <c r="I104" s="35"/>
      <c r="J104" s="83">
        <f>'Summary - Cost - PG 1 (Reg)'!J87</f>
        <v>0</v>
      </c>
      <c r="K104" s="83"/>
      <c r="L104" s="83"/>
      <c r="M104" s="83"/>
      <c r="N104" s="83">
        <f t="shared" si="9"/>
        <v>-73443106.959999993</v>
      </c>
      <c r="O104" s="83"/>
      <c r="P104" s="83"/>
      <c r="Q104" s="83"/>
      <c r="R104" s="83"/>
      <c r="S104" s="83"/>
      <c r="T104" s="83"/>
      <c r="U104" s="83"/>
      <c r="V104" s="83">
        <f t="shared" si="10"/>
        <v>1065520328.3299999</v>
      </c>
      <c r="W104" s="83"/>
      <c r="X104" s="30"/>
      <c r="Y104" s="30"/>
      <c r="Z104" s="30"/>
      <c r="AA104" s="30"/>
      <c r="AB104" s="30"/>
    </row>
    <row r="105" spans="2:28" outlineLevel="3" x14ac:dyDescent="0.2">
      <c r="C105" s="21" t="s">
        <v>24</v>
      </c>
      <c r="D105" s="83">
        <f>'Summary - Cost - PG 1 (Reg)'!D88</f>
        <v>15479518.890000004</v>
      </c>
      <c r="E105" s="35"/>
      <c r="F105" s="83">
        <f>'Summary - Cost - PG 1 (Reg)'!F88</f>
        <v>-5452098.4900000002</v>
      </c>
      <c r="G105" s="35"/>
      <c r="H105" s="83">
        <f>'Summary - Cost - PG 1 (Reg)'!H88</f>
        <v>0</v>
      </c>
      <c r="I105" s="35"/>
      <c r="J105" s="83">
        <f>'Summary - Cost - PG 1 (Reg)'!J88</f>
        <v>0</v>
      </c>
      <c r="K105" s="83"/>
      <c r="L105" s="83"/>
      <c r="M105" s="83"/>
      <c r="N105" s="149">
        <f t="shared" si="9"/>
        <v>-5452098.4900000002</v>
      </c>
      <c r="O105" s="83"/>
      <c r="P105" s="83"/>
      <c r="Q105" s="83"/>
      <c r="R105" s="83"/>
      <c r="S105" s="83"/>
      <c r="T105" s="83"/>
      <c r="U105" s="83"/>
      <c r="V105" s="149">
        <f t="shared" si="10"/>
        <v>10027420.400000004</v>
      </c>
      <c r="W105" s="83"/>
      <c r="X105" s="30"/>
      <c r="Y105" s="30"/>
      <c r="Z105" s="30"/>
      <c r="AA105" s="30"/>
      <c r="AB105" s="30"/>
    </row>
    <row r="106" spans="2:28" outlineLevel="3" x14ac:dyDescent="0.2">
      <c r="C106" s="18"/>
      <c r="D106" s="110">
        <f>SUM(D99:D105)</f>
        <v>1302991027.4000001</v>
      </c>
      <c r="E106" s="83"/>
      <c r="F106" s="110">
        <f>SUM(F99:F105)</f>
        <v>-58622880.969999991</v>
      </c>
      <c r="G106" s="83"/>
      <c r="H106" s="110">
        <f>SUM(H99:H105)</f>
        <v>0</v>
      </c>
      <c r="I106" s="83"/>
      <c r="J106" s="110">
        <f>SUM(J99:J105)</f>
        <v>0</v>
      </c>
      <c r="K106" s="83"/>
      <c r="L106" s="83"/>
      <c r="M106" s="83"/>
      <c r="N106" s="83">
        <f>SUM(N99:N105)</f>
        <v>-58622880.969999991</v>
      </c>
      <c r="O106" s="83"/>
      <c r="P106" s="83"/>
      <c r="Q106" s="83"/>
      <c r="R106" s="83"/>
      <c r="S106" s="83"/>
      <c r="T106" s="83"/>
      <c r="U106" s="83"/>
      <c r="V106" s="83">
        <f>SUM(V99:V105)</f>
        <v>1244368146.4300001</v>
      </c>
      <c r="W106" s="83"/>
      <c r="X106" s="30"/>
      <c r="Y106" s="30"/>
      <c r="Z106" s="30"/>
      <c r="AA106" s="30"/>
      <c r="AB106" s="30"/>
    </row>
    <row r="107" spans="2:28" outlineLevel="3" x14ac:dyDescent="0.2"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30"/>
      <c r="Y107" s="30"/>
      <c r="Z107" s="30"/>
      <c r="AA107" s="30"/>
      <c r="AB107" s="30"/>
    </row>
    <row r="108" spans="2:28" outlineLevel="3" x14ac:dyDescent="0.2">
      <c r="B108" s="9" t="s">
        <v>26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30"/>
      <c r="Y108" s="30"/>
      <c r="Z108" s="30"/>
      <c r="AA108" s="30"/>
      <c r="AB108" s="30"/>
    </row>
    <row r="109" spans="2:28" outlineLevel="3" x14ac:dyDescent="0.2">
      <c r="C109" s="21" t="s">
        <v>27</v>
      </c>
      <c r="D109" s="83">
        <f>'Summary - Cost - PG 1 (Reg)'!D92</f>
        <v>49366683.269999996</v>
      </c>
      <c r="E109" s="35"/>
      <c r="F109" s="83">
        <f>'Summary - Cost - PG 1 (Reg)'!F92</f>
        <v>-22981192.129999999</v>
      </c>
      <c r="G109" s="35"/>
      <c r="H109" s="83">
        <f>'Summary - Cost - PG 1 (Reg)'!H92</f>
        <v>0</v>
      </c>
      <c r="I109" s="35"/>
      <c r="J109" s="83">
        <f>'Summary - Cost - PG 1 (Reg)'!J92</f>
        <v>0</v>
      </c>
      <c r="K109" s="83"/>
      <c r="L109" s="83"/>
      <c r="M109" s="35"/>
      <c r="N109" s="35">
        <f>F109+H109+J109</f>
        <v>-22981192.129999999</v>
      </c>
      <c r="O109" s="35"/>
      <c r="P109" s="35"/>
      <c r="Q109" s="35"/>
      <c r="R109" s="35"/>
      <c r="S109" s="35"/>
      <c r="T109" s="35"/>
      <c r="U109" s="35"/>
      <c r="V109" s="35">
        <f>D109+N109</f>
        <v>26385491.139999997</v>
      </c>
      <c r="W109" s="35"/>
      <c r="X109" s="74"/>
      <c r="Y109" s="74"/>
      <c r="Z109" s="74"/>
      <c r="AA109" s="74"/>
      <c r="AB109" s="74"/>
    </row>
    <row r="110" spans="2:28" outlineLevel="3" x14ac:dyDescent="0.2">
      <c r="C110" s="21" t="s">
        <v>28</v>
      </c>
      <c r="D110" s="83">
        <f>'Summary - Cost - PG 1 (Reg)'!D93</f>
        <v>501696.09</v>
      </c>
      <c r="E110" s="35"/>
      <c r="F110" s="83">
        <f>'Summary - Cost - PG 1 (Reg)'!F93</f>
        <v>-75389.23</v>
      </c>
      <c r="G110" s="35"/>
      <c r="H110" s="83">
        <f>'Summary - Cost - PG 1 (Reg)'!H93</f>
        <v>0</v>
      </c>
      <c r="I110" s="35"/>
      <c r="J110" s="83">
        <f>'Summary - Cost - PG 1 (Reg)'!J93</f>
        <v>0</v>
      </c>
      <c r="K110" s="83"/>
      <c r="L110" s="83"/>
      <c r="M110" s="35"/>
      <c r="N110" s="35">
        <f>F110+H110+J110</f>
        <v>-75389.23</v>
      </c>
      <c r="O110" s="35"/>
      <c r="P110" s="35"/>
      <c r="Q110" s="35"/>
      <c r="R110" s="35"/>
      <c r="S110" s="35"/>
      <c r="T110" s="35"/>
      <c r="U110" s="35"/>
      <c r="V110" s="35">
        <f>D110+N110</f>
        <v>426306.86000000004</v>
      </c>
      <c r="W110" s="35"/>
      <c r="X110" s="74"/>
      <c r="Y110" s="74"/>
      <c r="Z110" s="74"/>
      <c r="AA110" s="74"/>
      <c r="AB110" s="74"/>
    </row>
    <row r="111" spans="2:28" outlineLevel="3" x14ac:dyDescent="0.2">
      <c r="C111" s="21" t="s">
        <v>29</v>
      </c>
      <c r="D111" s="83">
        <f>'Summary - Cost - PG 1 (Reg)'!D94</f>
        <v>0</v>
      </c>
      <c r="E111" s="35"/>
      <c r="F111" s="83">
        <f>'Summary - Cost - PG 1 (Reg)'!F94</f>
        <v>0</v>
      </c>
      <c r="G111" s="35"/>
      <c r="H111" s="83">
        <f>'Summary - Cost - PG 1 (Reg)'!H94</f>
        <v>0</v>
      </c>
      <c r="I111" s="35"/>
      <c r="J111" s="83">
        <f>'Summary - Cost - PG 1 (Reg)'!J94</f>
        <v>0</v>
      </c>
      <c r="K111" s="83"/>
      <c r="L111" s="83"/>
      <c r="M111" s="35"/>
      <c r="N111" s="35">
        <f>F111+H111+J111</f>
        <v>0</v>
      </c>
      <c r="O111" s="35"/>
      <c r="P111" s="35"/>
      <c r="Q111" s="35"/>
      <c r="R111" s="35"/>
      <c r="S111" s="35"/>
      <c r="T111" s="35"/>
      <c r="U111" s="35"/>
      <c r="V111" s="35">
        <f>D111+N111</f>
        <v>0</v>
      </c>
      <c r="W111" s="35"/>
      <c r="X111" s="74"/>
      <c r="Y111" s="74"/>
      <c r="Z111" s="74"/>
      <c r="AA111" s="74"/>
      <c r="AB111" s="74"/>
    </row>
    <row r="112" spans="2:28" outlineLevel="3" x14ac:dyDescent="0.2">
      <c r="C112" s="21" t="s">
        <v>30</v>
      </c>
      <c r="D112" s="83">
        <f>'Summary - Cost - PG 1 (Reg)'!D95</f>
        <v>14965091.390000002</v>
      </c>
      <c r="E112" s="35"/>
      <c r="F112" s="83">
        <f>'Summary - Cost - PG 1 (Reg)'!F95</f>
        <v>-1951826.15</v>
      </c>
      <c r="G112" s="35"/>
      <c r="H112" s="83">
        <f>'Summary - Cost - PG 1 (Reg)'!H95</f>
        <v>0</v>
      </c>
      <c r="I112" s="35"/>
      <c r="J112" s="83">
        <f>'Summary - Cost - PG 1 (Reg)'!J95</f>
        <v>0</v>
      </c>
      <c r="K112" s="83"/>
      <c r="L112" s="83"/>
      <c r="M112" s="35"/>
      <c r="N112" s="35">
        <f>F112+H112+J112</f>
        <v>-1951826.15</v>
      </c>
      <c r="O112" s="35"/>
      <c r="P112" s="35"/>
      <c r="Q112" s="35"/>
      <c r="R112" s="35"/>
      <c r="S112" s="35"/>
      <c r="T112" s="35"/>
      <c r="U112" s="35"/>
      <c r="V112" s="35">
        <f>D112+N112</f>
        <v>13013265.240000002</v>
      </c>
      <c r="W112" s="35"/>
      <c r="X112" s="74"/>
      <c r="Y112" s="74"/>
      <c r="Z112" s="74"/>
      <c r="AA112" s="74"/>
      <c r="AB112" s="74"/>
    </row>
    <row r="113" spans="1:28" outlineLevel="3" x14ac:dyDescent="0.2">
      <c r="C113" s="21" t="s">
        <v>31</v>
      </c>
      <c r="D113" s="83">
        <f>'Summary - Cost - PG 1 (Reg)'!D96</f>
        <v>5695600.6799999997</v>
      </c>
      <c r="E113" s="35"/>
      <c r="F113" s="83">
        <f>'Summary - Cost - PG 1 (Reg)'!F96</f>
        <v>-3784062.86</v>
      </c>
      <c r="G113" s="35"/>
      <c r="H113" s="83">
        <f>'Summary - Cost - PG 1 (Reg)'!H96</f>
        <v>0</v>
      </c>
      <c r="I113" s="35"/>
      <c r="J113" s="83">
        <f>'Summary - Cost - PG 1 (Reg)'!J96</f>
        <v>0</v>
      </c>
      <c r="K113" s="83"/>
      <c r="L113" s="83"/>
      <c r="M113" s="35"/>
      <c r="N113" s="149">
        <f>F113+H113+J113</f>
        <v>-3784062.86</v>
      </c>
      <c r="O113" s="83"/>
      <c r="P113" s="83"/>
      <c r="Q113" s="83"/>
      <c r="R113" s="83"/>
      <c r="S113" s="83"/>
      <c r="T113" s="83"/>
      <c r="U113" s="35"/>
      <c r="V113" s="149">
        <f>D113+N113</f>
        <v>1911537.8199999998</v>
      </c>
      <c r="W113" s="83"/>
      <c r="X113" s="74"/>
      <c r="Y113" s="74"/>
      <c r="Z113" s="74"/>
      <c r="AA113" s="74"/>
      <c r="AB113" s="74"/>
    </row>
    <row r="114" spans="1:28" outlineLevel="3" x14ac:dyDescent="0.2">
      <c r="C114" s="18"/>
      <c r="D114" s="110">
        <f>SUM(D109:D113)</f>
        <v>70529071.430000007</v>
      </c>
      <c r="E114" s="83"/>
      <c r="F114" s="110">
        <f>SUM(F109:F113)</f>
        <v>-28792470.369999997</v>
      </c>
      <c r="G114" s="83"/>
      <c r="H114" s="110">
        <f>SUM(H109:H113)</f>
        <v>0</v>
      </c>
      <c r="I114" s="83"/>
      <c r="J114" s="110">
        <f>SUM(J109:J113)</f>
        <v>0</v>
      </c>
      <c r="K114" s="83"/>
      <c r="L114" s="83"/>
      <c r="M114" s="83"/>
      <c r="N114" s="83">
        <f>SUM(N109:N113)</f>
        <v>-28792470.369999997</v>
      </c>
      <c r="O114" s="83"/>
      <c r="P114" s="83"/>
      <c r="Q114" s="83"/>
      <c r="R114" s="83"/>
      <c r="S114" s="83"/>
      <c r="T114" s="83"/>
      <c r="U114" s="83"/>
      <c r="V114" s="83">
        <f>SUM(V109:V113)</f>
        <v>41736601.059999995</v>
      </c>
      <c r="W114" s="83"/>
      <c r="X114" s="74"/>
      <c r="Y114" s="74"/>
      <c r="Z114" s="74"/>
      <c r="AA114" s="74"/>
      <c r="AB114" s="74"/>
    </row>
    <row r="115" spans="1:28" outlineLevel="3" x14ac:dyDescent="0.2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74"/>
      <c r="Y115" s="74"/>
      <c r="Z115" s="74"/>
      <c r="AA115" s="74"/>
      <c r="AB115" s="74"/>
    </row>
    <row r="116" spans="1:28" outlineLevel="3" x14ac:dyDescent="0.2">
      <c r="C116" s="9" t="s">
        <v>49</v>
      </c>
      <c r="D116" s="88">
        <f>D96+D106+D114</f>
        <v>1391066380.4000001</v>
      </c>
      <c r="E116" s="35"/>
      <c r="F116" s="88">
        <f>F96+F106+F114</f>
        <v>-81823970.280000001</v>
      </c>
      <c r="G116" s="35"/>
      <c r="H116" s="88">
        <f>H96+H106+H114</f>
        <v>0</v>
      </c>
      <c r="I116" s="35"/>
      <c r="J116" s="88">
        <f>J96+J106+J114</f>
        <v>0</v>
      </c>
      <c r="K116" s="83"/>
      <c r="L116" s="83"/>
      <c r="M116" s="35"/>
      <c r="N116" s="88">
        <f>N96+N106+N114</f>
        <v>-81823970.280000001</v>
      </c>
      <c r="O116" s="83"/>
      <c r="P116" s="83"/>
      <c r="Q116" s="83"/>
      <c r="R116" s="83"/>
      <c r="S116" s="83"/>
      <c r="T116" s="83"/>
      <c r="U116" s="35"/>
      <c r="V116" s="88">
        <f>V96+V106+V114</f>
        <v>1309242410.1199999</v>
      </c>
      <c r="W116" s="83"/>
      <c r="X116" s="74"/>
      <c r="Y116" s="74"/>
      <c r="Z116" s="74"/>
      <c r="AA116" s="74"/>
      <c r="AB116" s="74"/>
    </row>
    <row r="117" spans="1:28" outlineLevel="3" x14ac:dyDescent="0.2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74"/>
      <c r="Y117" s="74"/>
      <c r="Z117" s="74"/>
      <c r="AA117" s="74"/>
      <c r="AB117" s="74"/>
    </row>
    <row r="118" spans="1:28" outlineLevel="3" x14ac:dyDescent="0.2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>
        <f>+V60+V116</f>
        <v>6845290734.4699993</v>
      </c>
      <c r="W118" s="35"/>
      <c r="X118" s="74"/>
      <c r="Y118" s="74"/>
      <c r="Z118" s="74"/>
      <c r="AA118" s="74"/>
      <c r="AB118" s="74"/>
    </row>
    <row r="119" spans="1:28" outlineLevel="3" x14ac:dyDescent="0.2">
      <c r="A119" s="90">
        <v>117</v>
      </c>
      <c r="B119" s="9" t="s">
        <v>50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74"/>
      <c r="Y119" s="74"/>
      <c r="Z119" s="74"/>
      <c r="AA119" s="74"/>
      <c r="AB119" s="74"/>
    </row>
    <row r="120" spans="1:28" outlineLevel="3" x14ac:dyDescent="0.2">
      <c r="B120" s="9" t="s">
        <v>26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74"/>
      <c r="Y120" s="74"/>
      <c r="Z120" s="74"/>
      <c r="AA120" s="74"/>
      <c r="AB120" s="74"/>
    </row>
    <row r="121" spans="1:28" outlineLevel="3" x14ac:dyDescent="0.2">
      <c r="C121" s="21" t="s">
        <v>51</v>
      </c>
      <c r="D121" s="149">
        <f>'Summary - Cost - PG 1 (Reg)'!D103</f>
        <v>2139990</v>
      </c>
      <c r="E121" s="35"/>
      <c r="F121" s="149">
        <f>'Summary - Cost - PG 1 (Reg)'!F103</f>
        <v>0</v>
      </c>
      <c r="G121" s="35"/>
      <c r="H121" s="149">
        <f>'Summary - Cost - PG 1 (Reg)'!H103</f>
        <v>0</v>
      </c>
      <c r="I121" s="35"/>
      <c r="J121" s="149">
        <f>'Summary - Cost - PG 1 (Reg)'!J103</f>
        <v>0</v>
      </c>
      <c r="K121" s="83"/>
      <c r="L121" s="83"/>
      <c r="M121" s="83"/>
      <c r="N121" s="149">
        <f>F121+H121+J121</f>
        <v>0</v>
      </c>
      <c r="O121" s="83"/>
      <c r="P121" s="83"/>
      <c r="Q121" s="83"/>
      <c r="R121" s="83"/>
      <c r="S121" s="83"/>
      <c r="T121" s="83"/>
      <c r="U121" s="83"/>
      <c r="V121" s="149">
        <f>D121+N121</f>
        <v>2139990</v>
      </c>
      <c r="W121" s="83"/>
      <c r="X121" s="74"/>
      <c r="Y121" s="74"/>
      <c r="Z121" s="74"/>
      <c r="AA121" s="74"/>
      <c r="AB121" s="74"/>
    </row>
    <row r="122" spans="1:28" outlineLevel="3" x14ac:dyDescent="0.2">
      <c r="C122" s="18"/>
      <c r="D122" s="83">
        <f>SUM(D121)</f>
        <v>2139990</v>
      </c>
      <c r="E122" s="83"/>
      <c r="F122" s="83">
        <f>SUM(F121)</f>
        <v>0</v>
      </c>
      <c r="G122" s="83"/>
      <c r="H122" s="83">
        <f>SUM(H121)</f>
        <v>0</v>
      </c>
      <c r="I122" s="83"/>
      <c r="J122" s="83">
        <f>SUM(J121)</f>
        <v>0</v>
      </c>
      <c r="K122" s="83"/>
      <c r="L122" s="83"/>
      <c r="M122" s="83"/>
      <c r="N122" s="83">
        <f>SUM(N121)</f>
        <v>0</v>
      </c>
      <c r="O122" s="83"/>
      <c r="P122" s="83"/>
      <c r="Q122" s="83"/>
      <c r="R122" s="83"/>
      <c r="S122" s="83"/>
      <c r="T122" s="83"/>
      <c r="U122" s="83"/>
      <c r="V122" s="83">
        <f>SUM(V121)</f>
        <v>2139990</v>
      </c>
      <c r="W122" s="83"/>
      <c r="X122" s="74"/>
      <c r="Y122" s="74"/>
      <c r="Z122" s="74"/>
      <c r="AA122" s="74"/>
      <c r="AB122" s="74"/>
    </row>
    <row r="123" spans="1:28" outlineLevel="3" x14ac:dyDescent="0.2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74"/>
      <c r="Y123" s="74"/>
      <c r="Z123" s="74"/>
      <c r="AA123" s="74"/>
      <c r="AB123" s="74"/>
    </row>
    <row r="124" spans="1:28" outlineLevel="3" x14ac:dyDescent="0.2">
      <c r="C124" s="9" t="s">
        <v>52</v>
      </c>
      <c r="D124" s="88">
        <f>D122</f>
        <v>2139990</v>
      </c>
      <c r="E124" s="35"/>
      <c r="F124" s="88">
        <f>F122</f>
        <v>0</v>
      </c>
      <c r="G124" s="35"/>
      <c r="H124" s="88">
        <f>H122</f>
        <v>0</v>
      </c>
      <c r="I124" s="35"/>
      <c r="J124" s="88">
        <f>J122</f>
        <v>0</v>
      </c>
      <c r="K124" s="83"/>
      <c r="L124" s="83"/>
      <c r="M124" s="35"/>
      <c r="N124" s="88">
        <f>N122</f>
        <v>0</v>
      </c>
      <c r="O124" s="83"/>
      <c r="P124" s="83"/>
      <c r="Q124" s="83"/>
      <c r="R124" s="83"/>
      <c r="S124" s="83"/>
      <c r="T124" s="83"/>
      <c r="U124" s="35"/>
      <c r="V124" s="88">
        <f>V122</f>
        <v>2139990</v>
      </c>
      <c r="W124" s="83"/>
      <c r="X124" s="74"/>
      <c r="Y124" s="74"/>
      <c r="Z124" s="74"/>
      <c r="AA124" s="74"/>
      <c r="AB124" s="74"/>
    </row>
    <row r="125" spans="1:28" outlineLevel="3" x14ac:dyDescent="0.2">
      <c r="C125" s="9"/>
      <c r="D125" s="83"/>
      <c r="E125" s="35"/>
      <c r="F125" s="83"/>
      <c r="G125" s="35"/>
      <c r="H125" s="83"/>
      <c r="I125" s="35"/>
      <c r="J125" s="83"/>
      <c r="K125" s="83"/>
      <c r="L125" s="83"/>
      <c r="M125" s="35"/>
      <c r="N125" s="83"/>
      <c r="O125" s="83"/>
      <c r="P125" s="83"/>
      <c r="Q125" s="83"/>
      <c r="R125" s="83"/>
      <c r="S125" s="83"/>
      <c r="T125" s="83"/>
      <c r="U125" s="35"/>
      <c r="V125" s="83"/>
      <c r="W125" s="83"/>
      <c r="X125" s="74"/>
      <c r="Y125" s="74"/>
      <c r="Z125" s="74"/>
      <c r="AA125" s="74"/>
      <c r="AB125" s="74"/>
    </row>
    <row r="126" spans="1:28" outlineLevel="3" x14ac:dyDescent="0.2">
      <c r="C126" s="9"/>
      <c r="D126" s="83"/>
      <c r="E126" s="35"/>
      <c r="F126" s="83"/>
      <c r="G126" s="35"/>
      <c r="H126" s="83"/>
      <c r="I126" s="35"/>
      <c r="J126" s="83"/>
      <c r="K126" s="83"/>
      <c r="L126" s="83"/>
      <c r="M126" s="35"/>
      <c r="N126" s="83"/>
      <c r="O126" s="83"/>
      <c r="P126" s="83"/>
      <c r="Q126" s="83"/>
      <c r="R126" s="83"/>
      <c r="S126" s="83"/>
      <c r="T126" s="83"/>
      <c r="U126" s="35"/>
      <c r="V126" s="83"/>
      <c r="W126" s="83"/>
      <c r="X126" s="74"/>
      <c r="Y126" s="74"/>
      <c r="Z126" s="74"/>
      <c r="AA126" s="74"/>
      <c r="AB126" s="74"/>
    </row>
    <row r="127" spans="1:28" outlineLevel="3" x14ac:dyDescent="0.2">
      <c r="B127" s="9" t="s">
        <v>180</v>
      </c>
      <c r="C127" s="9"/>
      <c r="D127" s="83"/>
      <c r="E127" s="35"/>
      <c r="F127" s="83"/>
      <c r="G127" s="35"/>
      <c r="H127" s="83"/>
      <c r="I127" s="35"/>
      <c r="J127" s="83"/>
      <c r="K127" s="83"/>
      <c r="L127" s="83"/>
      <c r="M127" s="35"/>
      <c r="N127" s="83"/>
      <c r="O127" s="83"/>
      <c r="P127" s="83"/>
      <c r="Q127" s="83"/>
      <c r="R127" s="83"/>
      <c r="S127" s="83"/>
      <c r="T127" s="83"/>
      <c r="U127" s="35"/>
      <c r="V127" s="83"/>
      <c r="W127" s="83"/>
      <c r="X127" s="74"/>
      <c r="Y127" s="74"/>
      <c r="Z127" s="74"/>
      <c r="AA127" s="74"/>
      <c r="AB127" s="74"/>
    </row>
    <row r="128" spans="1:28" outlineLevel="3" x14ac:dyDescent="0.2">
      <c r="C128" s="9"/>
      <c r="D128" s="83"/>
      <c r="E128" s="35"/>
      <c r="F128" s="83"/>
      <c r="G128" s="35"/>
      <c r="H128" s="83"/>
      <c r="I128" s="35"/>
      <c r="J128" s="83"/>
      <c r="K128" s="83"/>
      <c r="L128" s="83"/>
      <c r="M128" s="35"/>
      <c r="N128" s="83"/>
      <c r="O128" s="83"/>
      <c r="P128" s="83"/>
      <c r="Q128" s="83"/>
      <c r="R128" s="83"/>
      <c r="S128" s="83"/>
      <c r="T128" s="83"/>
      <c r="U128" s="35"/>
      <c r="V128" s="83"/>
      <c r="W128" s="83"/>
      <c r="X128" s="74"/>
      <c r="Y128" s="74"/>
      <c r="Z128" s="74"/>
      <c r="AA128" s="74"/>
      <c r="AB128" s="74"/>
    </row>
    <row r="129" spans="1:47" outlineLevel="3" x14ac:dyDescent="0.2">
      <c r="A129" s="120" t="s">
        <v>181</v>
      </c>
      <c r="C129" s="9" t="s">
        <v>182</v>
      </c>
      <c r="D129" s="83">
        <f>+'Total Comm PIS_NBV-P5 (Reg)'!B12</f>
        <v>0</v>
      </c>
      <c r="E129" s="35"/>
      <c r="F129" s="83">
        <f>+'Total Comm PIS_NBV-P5 (Reg)'!D12</f>
        <v>0</v>
      </c>
      <c r="G129" s="35"/>
      <c r="H129" s="83">
        <f>+'Total Comm PIS_NBV-P5 (Reg)'!F12</f>
        <v>0</v>
      </c>
      <c r="I129" s="35"/>
      <c r="J129" s="83">
        <f>+'Total Comm PIS_NBV-P5 (Reg)'!H12</f>
        <v>0</v>
      </c>
      <c r="K129" s="83"/>
      <c r="L129" s="83"/>
      <c r="M129" s="35"/>
      <c r="N129" s="83">
        <f>+'Total Comm PIS_NBV-P5 (Reg)'!J12</f>
        <v>0</v>
      </c>
      <c r="O129" s="83"/>
      <c r="P129" s="83"/>
      <c r="Q129" s="83"/>
      <c r="R129" s="83"/>
      <c r="S129" s="83"/>
      <c r="T129" s="83"/>
      <c r="U129" s="35"/>
      <c r="V129" s="83">
        <f>+'Total Comm PIS_NBV-P5 (Reg)'!L12</f>
        <v>0</v>
      </c>
      <c r="W129" s="83"/>
      <c r="X129" s="74"/>
      <c r="Y129" s="74"/>
      <c r="Z129" s="74"/>
      <c r="AA129" s="74"/>
      <c r="AB129" s="74"/>
    </row>
    <row r="130" spans="1:47" outlineLevel="3" x14ac:dyDescent="0.2">
      <c r="A130" s="120" t="s">
        <v>183</v>
      </c>
      <c r="C130" s="9" t="s">
        <v>184</v>
      </c>
      <c r="D130" s="83">
        <f>+'Total Gas PIS_NBV-P17 (Reg)'!B48</f>
        <v>101212.48999999999</v>
      </c>
      <c r="E130" s="35"/>
      <c r="F130" s="83">
        <f>+'Total Gas PIS_NBV-P17 (Reg)'!D48</f>
        <v>0</v>
      </c>
      <c r="G130" s="35"/>
      <c r="H130" s="83">
        <f>+'Total Gas PIS_NBV-P17 (Reg)'!F48</f>
        <v>0</v>
      </c>
      <c r="I130" s="35"/>
      <c r="J130" s="83">
        <f>+'Total Gas PIS_NBV-P17 (Reg)'!H48</f>
        <v>0</v>
      </c>
      <c r="K130" s="83"/>
      <c r="L130" s="83"/>
      <c r="M130" s="35"/>
      <c r="N130" s="83">
        <f>+'Total Gas PIS_NBV-P17 (Reg)'!J48</f>
        <v>0</v>
      </c>
      <c r="O130" s="83"/>
      <c r="P130" s="83"/>
      <c r="Q130" s="83"/>
      <c r="R130" s="83"/>
      <c r="S130" s="83"/>
      <c r="T130" s="83"/>
      <c r="U130" s="35"/>
      <c r="V130" s="83">
        <f>+'Total Gas PIS_NBV-P17 (Reg)'!L48</f>
        <v>101212.48999999999</v>
      </c>
      <c r="W130" s="83"/>
      <c r="X130" s="74"/>
      <c r="Y130" s="74"/>
      <c r="Z130" s="74"/>
      <c r="AA130" s="74"/>
      <c r="AB130" s="74"/>
    </row>
    <row r="131" spans="1:47" outlineLevel="3" x14ac:dyDescent="0.2">
      <c r="A131" s="120" t="s">
        <v>185</v>
      </c>
      <c r="C131" s="9" t="s">
        <v>184</v>
      </c>
      <c r="D131" s="83">
        <f>+'Total Gas PIS_NBV-P17 (Reg)'!B12</f>
        <v>74018.23</v>
      </c>
      <c r="E131" s="35"/>
      <c r="F131" s="83">
        <f>+'Total Gas PIS_NBV-P17 (Reg)'!D12</f>
        <v>0</v>
      </c>
      <c r="G131" s="35"/>
      <c r="H131" s="83">
        <f>+'Total Gas PIS_NBV-P17 (Reg)'!F12</f>
        <v>0</v>
      </c>
      <c r="I131" s="35"/>
      <c r="J131" s="83">
        <f>+'Total Gas PIS_NBV-P17 (Reg)'!H12</f>
        <v>0</v>
      </c>
      <c r="K131" s="83"/>
      <c r="L131" s="83"/>
      <c r="M131" s="35"/>
      <c r="N131" s="83">
        <f>+'Total Gas PIS_NBV-P17 (Reg)'!J12</f>
        <v>0</v>
      </c>
      <c r="O131" s="83"/>
      <c r="P131" s="83"/>
      <c r="Q131" s="83"/>
      <c r="R131" s="83"/>
      <c r="S131" s="83"/>
      <c r="T131" s="83"/>
      <c r="U131" s="35"/>
      <c r="V131" s="83">
        <f>+'Total Gas PIS_NBV-P17 (Reg)'!L12</f>
        <v>74018.23</v>
      </c>
      <c r="W131" s="83"/>
      <c r="X131" s="74"/>
      <c r="Y131" s="74"/>
      <c r="Z131" s="74"/>
      <c r="AA131" s="74"/>
      <c r="AB131" s="74"/>
    </row>
    <row r="132" spans="1:47" outlineLevel="3" x14ac:dyDescent="0.2">
      <c r="A132" s="120" t="s">
        <v>186</v>
      </c>
      <c r="C132" s="9" t="s">
        <v>184</v>
      </c>
      <c r="D132" s="83">
        <f>+'Total Gas PIS_NBV-P17 (Reg)'!B52</f>
        <v>548241.14</v>
      </c>
      <c r="E132" s="35"/>
      <c r="F132" s="83">
        <f>+'Total Gas PIS_NBV-P17 (Reg)'!D52</f>
        <v>0</v>
      </c>
      <c r="G132" s="35"/>
      <c r="H132" s="83">
        <f>+'Total Gas PIS_NBV-P17 (Reg)'!F52</f>
        <v>0</v>
      </c>
      <c r="I132" s="35"/>
      <c r="J132" s="83">
        <f>+'Total Gas PIS_NBV-P17 (Reg)'!H52</f>
        <v>0</v>
      </c>
      <c r="K132" s="83"/>
      <c r="L132" s="83"/>
      <c r="M132" s="35"/>
      <c r="N132" s="83">
        <f>+'Total Gas PIS_NBV-P17 (Reg)'!J52</f>
        <v>0</v>
      </c>
      <c r="O132" s="83"/>
      <c r="P132" s="83"/>
      <c r="Q132" s="83"/>
      <c r="R132" s="83"/>
      <c r="S132" s="83"/>
      <c r="T132" s="83"/>
      <c r="U132" s="35"/>
      <c r="V132" s="83">
        <f>+'Total Gas PIS_NBV-P17 (Reg)'!L52</f>
        <v>548241.14</v>
      </c>
      <c r="W132" s="83"/>
      <c r="X132" s="74"/>
      <c r="Y132" s="74"/>
      <c r="Z132" s="74"/>
      <c r="AA132" s="74"/>
      <c r="AB132" s="74"/>
    </row>
    <row r="133" spans="1:47" outlineLevel="3" x14ac:dyDescent="0.2">
      <c r="A133" s="120" t="s">
        <v>187</v>
      </c>
      <c r="C133" s="9" t="s">
        <v>188</v>
      </c>
      <c r="D133" s="83">
        <f>+'Total Elec PIS_NBV-P11 (Reg)'!B11</f>
        <v>0</v>
      </c>
      <c r="E133" s="35"/>
      <c r="F133" s="83">
        <f>+'Total Elec PIS_NBV-P11 (Reg)'!D11</f>
        <v>0</v>
      </c>
      <c r="G133" s="35"/>
      <c r="H133" s="83">
        <f>+'Total Elec PIS_NBV-P11 (Reg)'!F11</f>
        <v>0</v>
      </c>
      <c r="I133" s="35"/>
      <c r="J133" s="83">
        <f>+'Total Elec PIS_NBV-P11 (Reg)'!H11</f>
        <v>0</v>
      </c>
      <c r="K133" s="83"/>
      <c r="L133" s="83"/>
      <c r="M133" s="35"/>
      <c r="N133" s="83">
        <f>+'Total Elec PIS_NBV-P11 (Reg)'!J11</f>
        <v>0</v>
      </c>
      <c r="O133" s="83"/>
      <c r="P133" s="83"/>
      <c r="Q133" s="83"/>
      <c r="R133" s="83"/>
      <c r="S133" s="83"/>
      <c r="T133" s="83"/>
      <c r="U133" s="35"/>
      <c r="V133" s="83">
        <f>+'Total Elec PIS_NBV-P11 (Reg)'!L11</f>
        <v>0</v>
      </c>
      <c r="W133" s="83"/>
      <c r="X133" s="74"/>
      <c r="Y133" s="74"/>
      <c r="Z133" s="74"/>
      <c r="AA133" s="74"/>
      <c r="AB133" s="74"/>
    </row>
    <row r="134" spans="1:47" outlineLevel="3" x14ac:dyDescent="0.2">
      <c r="A134" s="120" t="s">
        <v>187</v>
      </c>
      <c r="C134" s="9" t="s">
        <v>189</v>
      </c>
      <c r="D134" s="83">
        <f>'Summary - Cost - PG 1 (Reg)'!N64</f>
        <v>519009.11</v>
      </c>
      <c r="E134" s="35"/>
      <c r="F134" s="83">
        <f>+'Summary - Cost - PG 1 (Reg)'!F64</f>
        <v>0</v>
      </c>
      <c r="G134" s="35"/>
      <c r="H134" s="83">
        <f>+'Summary - Cost - PG 1 (Reg)'!H64</f>
        <v>0</v>
      </c>
      <c r="I134" s="35"/>
      <c r="J134" s="83">
        <f>+'Summary - Cost - PG 1 (Reg)'!J64</f>
        <v>0</v>
      </c>
      <c r="K134" s="83"/>
      <c r="L134" s="83"/>
      <c r="M134" s="35"/>
      <c r="N134" s="83">
        <f>+'Summary - Cost - PG 1 (Reg)'!N64</f>
        <v>519009.11</v>
      </c>
      <c r="O134" s="83"/>
      <c r="P134" s="83"/>
      <c r="Q134" s="83"/>
      <c r="R134" s="83"/>
      <c r="S134" s="83"/>
      <c r="T134" s="83"/>
      <c r="U134" s="35"/>
      <c r="V134" s="83">
        <f>+'Summary - Cost - PG 1 (Reg)'!N64</f>
        <v>519009.11</v>
      </c>
      <c r="W134" s="83"/>
      <c r="X134" s="74"/>
      <c r="Y134" s="74"/>
      <c r="Z134" s="74"/>
      <c r="AA134" s="74"/>
      <c r="AB134" s="74"/>
    </row>
    <row r="135" spans="1:47" outlineLevel="3" x14ac:dyDescent="0.2">
      <c r="A135" s="120" t="s">
        <v>190</v>
      </c>
      <c r="C135" s="9" t="s">
        <v>184</v>
      </c>
      <c r="D135" s="83">
        <f>'Total Gas PIS_NBV-P17 (Reg)'!B67</f>
        <v>220659.05</v>
      </c>
      <c r="E135" s="35"/>
      <c r="F135" s="83">
        <f>'Total Gas PIS_NBV-P17 (Reg)'!D67</f>
        <v>0</v>
      </c>
      <c r="G135" s="35"/>
      <c r="H135" s="83">
        <f>'Total Gas PIS_NBV-P17 (Reg)'!F67</f>
        <v>0</v>
      </c>
      <c r="I135" s="35"/>
      <c r="J135" s="83">
        <f>'Total Gas PIS_NBV-P17 (Reg)'!H67</f>
        <v>0</v>
      </c>
      <c r="K135" s="83"/>
      <c r="L135" s="83"/>
      <c r="M135" s="35"/>
      <c r="N135" s="83">
        <f>'Total Gas PIS_NBV-P17 (Reg)'!J67</f>
        <v>0</v>
      </c>
      <c r="O135" s="83"/>
      <c r="P135" s="83"/>
      <c r="Q135" s="83"/>
      <c r="R135" s="83"/>
      <c r="S135" s="83"/>
      <c r="T135" s="83"/>
      <c r="U135" s="35"/>
      <c r="V135" s="83">
        <f>'Total Gas PIS_NBV-P17 (Reg)'!L67</f>
        <v>220659.05</v>
      </c>
      <c r="W135" s="83"/>
      <c r="X135" s="74"/>
      <c r="Y135" s="74"/>
      <c r="Z135" s="74"/>
      <c r="AA135" s="74"/>
      <c r="AB135" s="74"/>
    </row>
    <row r="136" spans="1:47" outlineLevel="3" x14ac:dyDescent="0.2">
      <c r="A136" s="120" t="s">
        <v>191</v>
      </c>
      <c r="C136" s="9" t="s">
        <v>192</v>
      </c>
      <c r="D136" s="83">
        <f>'Total Elec PIS_NBV-P11 (Reg)'!B88</f>
        <v>8587652.5899999999</v>
      </c>
      <c r="E136" s="83">
        <v>0</v>
      </c>
      <c r="F136" s="83">
        <f>'Total Elec PIS_NBV-P11 (Reg)'!D88</f>
        <v>0</v>
      </c>
      <c r="G136" s="35"/>
      <c r="H136" s="83">
        <f>'Total Elec PIS_NBV-P11 (Reg)'!F88</f>
        <v>0</v>
      </c>
      <c r="I136" s="35"/>
      <c r="J136" s="83">
        <f>'Total Elec PIS_NBV-P11 (Reg)'!H88</f>
        <v>0</v>
      </c>
      <c r="K136" s="83"/>
      <c r="L136" s="83"/>
      <c r="M136" s="35"/>
      <c r="N136" s="83">
        <f>'Total Elec PIS_NBV-P11 (Reg)'!J88</f>
        <v>0</v>
      </c>
      <c r="O136" s="83"/>
      <c r="P136" s="83"/>
      <c r="Q136" s="83"/>
      <c r="R136" s="83"/>
      <c r="S136" s="83"/>
      <c r="T136" s="83"/>
      <c r="U136" s="35"/>
      <c r="V136" s="83">
        <f>'Total Elec PIS_NBV-P11 (Reg)'!L88</f>
        <v>8587652.5899999999</v>
      </c>
      <c r="W136" s="83"/>
      <c r="X136" s="74"/>
      <c r="Y136" s="74"/>
      <c r="Z136" s="74"/>
      <c r="AA136" s="74"/>
      <c r="AB136" s="74"/>
    </row>
    <row r="137" spans="1:47" outlineLevel="3" x14ac:dyDescent="0.2">
      <c r="A137" s="120" t="s">
        <v>193</v>
      </c>
      <c r="C137" s="9" t="s">
        <v>194</v>
      </c>
      <c r="D137" s="83">
        <f>+'Total Comm PIS_NBV-P5 (Reg)'!B37</f>
        <v>0</v>
      </c>
      <c r="E137" s="35"/>
      <c r="F137" s="83">
        <f>+'Total Comm PIS_NBV-P5 (Reg)'!D37</f>
        <v>0</v>
      </c>
      <c r="G137" s="35"/>
      <c r="H137" s="83">
        <f>+'Total Comm PIS_NBV-P5 (Reg)'!F37</f>
        <v>0</v>
      </c>
      <c r="I137" s="35"/>
      <c r="J137" s="83">
        <f>+'Total Comm PIS_NBV-P5 (Reg)'!H37</f>
        <v>0</v>
      </c>
      <c r="K137" s="83"/>
      <c r="L137" s="83"/>
      <c r="M137" s="35"/>
      <c r="N137" s="83">
        <f>+'Total Comm PIS_NBV-P5 (Reg)'!J37</f>
        <v>0</v>
      </c>
      <c r="O137" s="83"/>
      <c r="P137" s="83"/>
      <c r="Q137" s="83"/>
      <c r="R137" s="83"/>
      <c r="S137" s="83"/>
      <c r="T137" s="83"/>
      <c r="U137" s="35"/>
      <c r="V137" s="83">
        <f>+'Total Comm PIS_NBV-P5 (Reg)'!L37</f>
        <v>0</v>
      </c>
      <c r="W137" s="83"/>
      <c r="X137" s="74"/>
      <c r="Y137" s="74"/>
      <c r="Z137" s="74"/>
      <c r="AA137" s="74"/>
      <c r="AB137" s="74"/>
    </row>
    <row r="138" spans="1:47" outlineLevel="3" x14ac:dyDescent="0.2">
      <c r="A138" s="120" t="s">
        <v>193</v>
      </c>
      <c r="C138" s="9" t="s">
        <v>195</v>
      </c>
      <c r="D138" s="83">
        <f>+'Total Elec PIS_NBV-P11 (Reg)'!B56</f>
        <v>0</v>
      </c>
      <c r="E138" s="35"/>
      <c r="F138" s="83">
        <f>+'Total Elec PIS_NBV-P11 (Reg)'!D56</f>
        <v>0</v>
      </c>
      <c r="G138" s="35"/>
      <c r="H138" s="83">
        <f>+'Total Elec PIS_NBV-P11 (Reg)'!F56</f>
        <v>0</v>
      </c>
      <c r="I138" s="35"/>
      <c r="J138" s="83">
        <f>+'Total Elec PIS_NBV-P11 (Reg)'!H56</f>
        <v>0</v>
      </c>
      <c r="K138" s="83"/>
      <c r="L138" s="83"/>
      <c r="M138" s="35"/>
      <c r="N138" s="83">
        <f>+'Total Elec PIS_NBV-P11 (Reg)'!J56</f>
        <v>0</v>
      </c>
      <c r="O138" s="83"/>
      <c r="P138" s="83"/>
      <c r="Q138" s="83"/>
      <c r="R138" s="83"/>
      <c r="S138" s="83"/>
      <c r="T138" s="83"/>
      <c r="U138" s="35"/>
      <c r="V138" s="83">
        <f>+'Total Elec PIS_NBV-P11 (Reg)'!L56</f>
        <v>0</v>
      </c>
      <c r="W138" s="83"/>
      <c r="X138" s="74"/>
      <c r="Y138" s="74"/>
      <c r="Z138" s="74"/>
      <c r="AA138" s="74"/>
      <c r="AB138" s="74"/>
    </row>
    <row r="139" spans="1:47" outlineLevel="3" x14ac:dyDescent="0.2">
      <c r="A139" s="120" t="s">
        <v>193</v>
      </c>
      <c r="C139" s="9" t="s">
        <v>196</v>
      </c>
      <c r="D139" s="83">
        <f>+'Total Gas PIS_NBV-P17 (Reg)'!B43</f>
        <v>387.49</v>
      </c>
      <c r="E139" s="35"/>
      <c r="F139" s="83">
        <f>+'Total Gas PIS_NBV-P17 (Reg)'!D43</f>
        <v>0</v>
      </c>
      <c r="G139" s="35"/>
      <c r="H139" s="83">
        <f>+'Total Gas PIS_NBV-P17 (Reg)'!F43</f>
        <v>0</v>
      </c>
      <c r="I139" s="35"/>
      <c r="J139" s="83">
        <f>+'Total Gas PIS_NBV-P17 (Reg)'!H43</f>
        <v>0</v>
      </c>
      <c r="K139" s="83"/>
      <c r="L139" s="83"/>
      <c r="M139" s="35"/>
      <c r="N139" s="83">
        <f>+'Total Gas PIS_NBV-P17 (Reg)'!J43</f>
        <v>0</v>
      </c>
      <c r="O139" s="83"/>
      <c r="P139" s="83"/>
      <c r="Q139" s="83"/>
      <c r="R139" s="83"/>
      <c r="S139" s="83"/>
      <c r="T139" s="83"/>
      <c r="U139" s="35"/>
      <c r="V139" s="83">
        <f>'Total Gas PIS_NBV-P17 (Reg)'!L43</f>
        <v>387.49</v>
      </c>
      <c r="W139" s="83"/>
      <c r="X139" s="74"/>
      <c r="Y139" s="74"/>
      <c r="Z139" s="74"/>
      <c r="AA139" s="74"/>
      <c r="AB139" s="74"/>
    </row>
    <row r="140" spans="1:47" outlineLevel="3" x14ac:dyDescent="0.2">
      <c r="A140" s="120"/>
      <c r="C140" s="9"/>
      <c r="D140" s="88">
        <f>SUM(D129:D139)</f>
        <v>10051180.1</v>
      </c>
      <c r="E140" s="35"/>
      <c r="F140" s="88">
        <f>SUM(F129:F139)</f>
        <v>0</v>
      </c>
      <c r="G140" s="35"/>
      <c r="H140" s="88">
        <f>SUM(H129:H139)</f>
        <v>0</v>
      </c>
      <c r="I140" s="35"/>
      <c r="J140" s="88">
        <f>SUM(J129:J139)</f>
        <v>0</v>
      </c>
      <c r="K140" s="83"/>
      <c r="L140" s="83"/>
      <c r="M140" s="35"/>
      <c r="N140" s="88">
        <f>SUM(N129:N139)</f>
        <v>519009.11</v>
      </c>
      <c r="O140" s="83"/>
      <c r="P140" s="83"/>
      <c r="Q140" s="83"/>
      <c r="R140" s="83"/>
      <c r="S140" s="83"/>
      <c r="T140" s="83"/>
      <c r="U140" s="35"/>
      <c r="V140" s="88">
        <f>SUM(V129:V139)</f>
        <v>10051180.1</v>
      </c>
      <c r="W140" s="83"/>
      <c r="X140" s="74"/>
      <c r="Y140" s="74"/>
      <c r="Z140" s="74"/>
      <c r="AA140" s="74"/>
      <c r="AB140" s="74"/>
    </row>
    <row r="141" spans="1:47" outlineLevel="3" x14ac:dyDescent="0.2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74"/>
      <c r="Y141" s="74"/>
      <c r="Z141" s="74"/>
      <c r="AA141" s="74"/>
      <c r="AB141" s="74"/>
    </row>
    <row r="142" spans="1:47" outlineLevel="3" x14ac:dyDescent="0.2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74"/>
      <c r="Y142" s="74"/>
      <c r="Z142" s="74"/>
      <c r="AA142" s="74"/>
      <c r="AB142" s="74"/>
      <c r="AE142" s="84"/>
    </row>
    <row r="143" spans="1:47" outlineLevel="3" x14ac:dyDescent="0.2">
      <c r="B143" s="95" t="s">
        <v>160</v>
      </c>
      <c r="D143" s="35">
        <f>+D60+D68+D79+D89+D116+D124-D140+D134</f>
        <v>6625317937.5699987</v>
      </c>
      <c r="E143" s="35"/>
      <c r="F143" s="35">
        <f>+F60+F68+F79+F89+F116+F124-F140</f>
        <v>299123554.93000007</v>
      </c>
      <c r="G143" s="35"/>
      <c r="H143" s="35">
        <f>+H60+H68+H79+H89+H116+H124-H140</f>
        <v>-75393109.039999992</v>
      </c>
      <c r="I143" s="35"/>
      <c r="J143" s="35">
        <f>+J60+J68+J79+J89+J116+J124-J140</f>
        <v>-8542089.1899999995</v>
      </c>
      <c r="K143" s="35"/>
      <c r="L143" s="35"/>
      <c r="M143" s="35"/>
      <c r="N143" s="35">
        <f>+N60+N68+N79+N89+N116+N124-N140</f>
        <v>214669347.59</v>
      </c>
      <c r="O143" s="35"/>
      <c r="P143" s="35">
        <f>+P60+P68+P79+P89+P116+P124-P140</f>
        <v>0</v>
      </c>
      <c r="Q143" s="35"/>
      <c r="R143" s="35">
        <f>+R60+R68+R79+R89+R116+R124-R140</f>
        <v>0</v>
      </c>
      <c r="S143" s="35"/>
      <c r="T143" s="35">
        <f>+T60+T68+T79+T89+T116+T124-T140</f>
        <v>0</v>
      </c>
      <c r="U143" s="35"/>
      <c r="V143" s="35">
        <f>+V60+V68+V79+V89+V116+V124-V140+V134</f>
        <v>6840506294.2699986</v>
      </c>
      <c r="W143" s="35"/>
      <c r="X143" s="74"/>
      <c r="Y143" s="74"/>
      <c r="Z143" s="74"/>
      <c r="AA143" s="74"/>
      <c r="AB143" s="74"/>
      <c r="AC143" s="84">
        <f>+F143-AD143</f>
        <v>299123554.93000007</v>
      </c>
      <c r="AD143" s="84">
        <v>0</v>
      </c>
      <c r="AE143" s="84">
        <f>+H143</f>
        <v>-75393109.039999992</v>
      </c>
      <c r="AF143" s="84">
        <v>0</v>
      </c>
      <c r="AG143" s="84"/>
      <c r="AH143" s="84"/>
      <c r="AI143" s="84"/>
      <c r="AJ143" s="84"/>
      <c r="AK143" s="84"/>
      <c r="AL143" s="84"/>
      <c r="AM143" s="84"/>
      <c r="AN143" s="84">
        <f>+J143-AG143-AL143-AM143</f>
        <v>-8542089.1899999995</v>
      </c>
      <c r="AO143" s="84"/>
      <c r="AP143" s="84"/>
      <c r="AQ143" s="84"/>
      <c r="AT143" s="84">
        <f>SUM(X143:AR143)</f>
        <v>215188356.70000008</v>
      </c>
      <c r="AU143" s="84">
        <f>+N143-AT143+D134</f>
        <v>-7.3923729360103607E-8</v>
      </c>
    </row>
    <row r="144" spans="1:47" outlineLevel="3" x14ac:dyDescent="0.2">
      <c r="C144" s="21" t="s">
        <v>157</v>
      </c>
      <c r="D144" s="35">
        <f>+D143-D10</f>
        <v>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>
        <f>+V143-V10</f>
        <v>0</v>
      </c>
      <c r="W144" s="35"/>
      <c r="X144" s="74"/>
      <c r="Y144" s="74"/>
      <c r="Z144" s="74"/>
      <c r="AA144" s="74"/>
      <c r="AB144" s="74"/>
    </row>
    <row r="145" spans="1:47" outlineLevel="3" x14ac:dyDescent="0.2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74"/>
      <c r="Y145" s="74"/>
      <c r="Z145" s="74"/>
      <c r="AA145" s="74"/>
      <c r="AB145" s="74"/>
      <c r="AN145" s="84"/>
    </row>
    <row r="146" spans="1:47" outlineLevel="3" x14ac:dyDescent="0.2">
      <c r="A146" s="90">
        <v>121</v>
      </c>
      <c r="B146" s="9" t="s">
        <v>53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74"/>
      <c r="Y146" s="74"/>
      <c r="Z146" s="74"/>
      <c r="AA146" s="74"/>
      <c r="AB146" s="74"/>
    </row>
    <row r="147" spans="1:47" outlineLevel="1" x14ac:dyDescent="0.2">
      <c r="B147" s="9" t="s">
        <v>13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74"/>
      <c r="Y147" s="74"/>
      <c r="Z147" s="74"/>
      <c r="AA147" s="74"/>
      <c r="AB147" s="74"/>
    </row>
    <row r="148" spans="1:47" outlineLevel="1" x14ac:dyDescent="0.2">
      <c r="C148" s="21" t="s">
        <v>54</v>
      </c>
      <c r="D148" s="149">
        <f>+'Summary - Cost - PG 1 (Reg)'!D114</f>
        <v>630896.97999999986</v>
      </c>
      <c r="E148" s="35"/>
      <c r="F148" s="149">
        <f>+'Summary - Cost - PG 1 (Reg)'!F114</f>
        <v>0</v>
      </c>
      <c r="G148" s="35"/>
      <c r="H148" s="149">
        <f>+'Summary - Cost - PG 1 (Reg)'!H114</f>
        <v>0</v>
      </c>
      <c r="I148" s="35"/>
      <c r="J148" s="149">
        <f>+'Summary - Cost - PG 1 (Reg)'!J114</f>
        <v>0</v>
      </c>
      <c r="K148" s="83"/>
      <c r="L148" s="83"/>
      <c r="M148" s="35"/>
      <c r="N148" s="149">
        <f>F148+H148+J148</f>
        <v>0</v>
      </c>
      <c r="O148" s="83"/>
      <c r="P148" s="83"/>
      <c r="Q148" s="83"/>
      <c r="R148" s="83"/>
      <c r="S148" s="83"/>
      <c r="T148" s="83"/>
      <c r="U148" s="35"/>
      <c r="V148" s="149">
        <f>D148+N148</f>
        <v>630896.97999999986</v>
      </c>
      <c r="W148" s="83"/>
      <c r="X148" s="74"/>
      <c r="Y148" s="74"/>
      <c r="Z148" s="74"/>
      <c r="AA148" s="74"/>
      <c r="AB148" s="74"/>
    </row>
    <row r="149" spans="1:47" outlineLevel="1" x14ac:dyDescent="0.2">
      <c r="C149" s="18"/>
      <c r="D149" s="83">
        <f>SUM(D148)</f>
        <v>630896.97999999986</v>
      </c>
      <c r="E149" s="83"/>
      <c r="F149" s="83">
        <f>SUM(F148)</f>
        <v>0</v>
      </c>
      <c r="G149" s="83"/>
      <c r="H149" s="83">
        <f>SUM(H148)</f>
        <v>0</v>
      </c>
      <c r="I149" s="83"/>
      <c r="J149" s="83">
        <f>SUM(J148)</f>
        <v>0</v>
      </c>
      <c r="K149" s="83"/>
      <c r="L149" s="83"/>
      <c r="M149" s="83"/>
      <c r="N149" s="83">
        <f>SUM(N148)</f>
        <v>0</v>
      </c>
      <c r="O149" s="83"/>
      <c r="P149" s="83"/>
      <c r="Q149" s="83"/>
      <c r="R149" s="83"/>
      <c r="S149" s="83"/>
      <c r="T149" s="83"/>
      <c r="U149" s="83"/>
      <c r="V149" s="83">
        <f>SUM(V148)</f>
        <v>630896.97999999986</v>
      </c>
      <c r="W149" s="83"/>
      <c r="X149" s="74"/>
      <c r="Y149" s="74"/>
      <c r="Z149" s="74"/>
      <c r="AA149" s="74"/>
      <c r="AB149" s="74"/>
    </row>
    <row r="150" spans="1:47" outlineLevel="3" x14ac:dyDescent="0.2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74"/>
      <c r="Y150" s="74"/>
      <c r="Z150" s="74"/>
      <c r="AA150" s="74"/>
      <c r="AB150" s="74"/>
    </row>
    <row r="151" spans="1:47" outlineLevel="3" x14ac:dyDescent="0.2">
      <c r="C151" s="9" t="s">
        <v>55</v>
      </c>
      <c r="D151" s="88">
        <f>D149</f>
        <v>630896.97999999986</v>
      </c>
      <c r="E151" s="35"/>
      <c r="F151" s="88">
        <f>F149</f>
        <v>0</v>
      </c>
      <c r="G151" s="35"/>
      <c r="H151" s="88">
        <f>H149</f>
        <v>0</v>
      </c>
      <c r="I151" s="35"/>
      <c r="J151" s="88">
        <f>J149</f>
        <v>0</v>
      </c>
      <c r="K151" s="83"/>
      <c r="L151" s="83"/>
      <c r="M151" s="35"/>
      <c r="N151" s="88">
        <f>N149</f>
        <v>0</v>
      </c>
      <c r="O151" s="83"/>
      <c r="P151" s="83"/>
      <c r="Q151" s="83"/>
      <c r="R151" s="83"/>
      <c r="S151" s="83"/>
      <c r="T151" s="83"/>
      <c r="U151" s="35"/>
      <c r="V151" s="88">
        <f>V149</f>
        <v>630896.97999999986</v>
      </c>
      <c r="W151" s="83"/>
      <c r="X151" s="74"/>
      <c r="Y151" s="74"/>
      <c r="Z151" s="74"/>
      <c r="AA151" s="74"/>
      <c r="AB151" s="74"/>
    </row>
    <row r="152" spans="1:47" outlineLevel="3" x14ac:dyDescent="0.2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74"/>
      <c r="Y152" s="74"/>
      <c r="Z152" s="74"/>
      <c r="AA152" s="74"/>
      <c r="AB152" s="74"/>
    </row>
    <row r="153" spans="1:47" outlineLevel="3" x14ac:dyDescent="0.2">
      <c r="B153" s="95" t="s">
        <v>161</v>
      </c>
      <c r="D153" s="35">
        <f>+D151</f>
        <v>630896.97999999986</v>
      </c>
      <c r="E153" s="35"/>
      <c r="F153" s="35">
        <f>+F151</f>
        <v>0</v>
      </c>
      <c r="G153" s="35"/>
      <c r="H153" s="35">
        <f>+H151</f>
        <v>0</v>
      </c>
      <c r="I153" s="35"/>
      <c r="J153" s="35">
        <f>+J151</f>
        <v>0</v>
      </c>
      <c r="K153" s="35"/>
      <c r="L153" s="35"/>
      <c r="M153" s="35"/>
      <c r="N153" s="35">
        <f>+N151</f>
        <v>0</v>
      </c>
      <c r="O153" s="35"/>
      <c r="P153" s="35"/>
      <c r="Q153" s="35"/>
      <c r="R153" s="35"/>
      <c r="S153" s="35"/>
      <c r="T153" s="35"/>
      <c r="U153" s="35"/>
      <c r="V153" s="35">
        <f>+V151</f>
        <v>630896.97999999986</v>
      </c>
      <c r="W153" s="35"/>
      <c r="X153" s="74"/>
      <c r="Y153" s="74"/>
      <c r="Z153" s="74"/>
      <c r="AA153" s="74"/>
      <c r="AB153" s="74"/>
      <c r="AC153" s="84">
        <f>+F153</f>
        <v>0</v>
      </c>
      <c r="AM153" s="84">
        <v>0</v>
      </c>
      <c r="AN153" s="84">
        <f>+N153-AC153</f>
        <v>0</v>
      </c>
      <c r="AT153" s="84">
        <f>SUM(X153:AR153)</f>
        <v>0</v>
      </c>
      <c r="AU153" s="84">
        <f>+N153-AT153</f>
        <v>0</v>
      </c>
    </row>
    <row r="154" spans="1:47" outlineLevel="3" x14ac:dyDescent="0.2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74"/>
      <c r="Y154" s="74"/>
      <c r="Z154" s="74"/>
      <c r="AA154" s="74"/>
      <c r="AB154" s="74"/>
    </row>
    <row r="155" spans="1:47" outlineLevel="3" x14ac:dyDescent="0.2">
      <c r="A155" s="90">
        <v>107</v>
      </c>
      <c r="B155" s="9" t="s">
        <v>56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74"/>
      <c r="Y155" s="74"/>
      <c r="Z155" s="74"/>
      <c r="AA155" s="74"/>
      <c r="AB155" s="74"/>
    </row>
    <row r="156" spans="1:47" outlineLevel="3" x14ac:dyDescent="0.2">
      <c r="B156" s="9" t="s">
        <v>57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74"/>
      <c r="Y156" s="74"/>
      <c r="Z156" s="74"/>
      <c r="AA156" s="74"/>
      <c r="AB156" s="74"/>
    </row>
    <row r="157" spans="1:47" outlineLevel="1" x14ac:dyDescent="0.2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74"/>
      <c r="Y157" s="74"/>
      <c r="Z157" s="74"/>
      <c r="AA157" s="74"/>
      <c r="AB157" s="74"/>
    </row>
    <row r="158" spans="1:47" outlineLevel="1" x14ac:dyDescent="0.2">
      <c r="C158" s="21" t="s">
        <v>13</v>
      </c>
      <c r="D158" s="35">
        <f>'Summary - Cost - PG 1 (Reg)'!D120</f>
        <v>17648508.77</v>
      </c>
      <c r="E158" s="35"/>
      <c r="F158" s="35">
        <f>'Summary - Cost - PG 1 (Reg)'!F120</f>
        <v>-1612525.2699999996</v>
      </c>
      <c r="G158" s="35"/>
      <c r="H158" s="35">
        <f>'Summary - Cost - PG 1 (Reg)'!H120</f>
        <v>0</v>
      </c>
      <c r="I158" s="35"/>
      <c r="J158" s="35">
        <f>+'Summary - Cost - PG 1 (Reg)'!J122</f>
        <v>0</v>
      </c>
      <c r="K158" s="35"/>
      <c r="L158" s="35"/>
      <c r="M158" s="35"/>
      <c r="N158" s="35">
        <f>F158+H158+J158</f>
        <v>-1612525.2699999996</v>
      </c>
      <c r="O158" s="35"/>
      <c r="P158" s="35"/>
      <c r="Q158" s="35"/>
      <c r="R158" s="35"/>
      <c r="S158" s="35"/>
      <c r="T158" s="35"/>
      <c r="U158" s="35"/>
      <c r="V158" s="35">
        <f>D158+N158</f>
        <v>16035983.5</v>
      </c>
      <c r="W158" s="35"/>
      <c r="X158" s="74"/>
      <c r="Y158" s="74"/>
      <c r="Z158" s="74"/>
      <c r="AA158" s="74"/>
      <c r="AB158" s="74"/>
      <c r="AC158" s="99"/>
      <c r="AD158" s="99"/>
    </row>
    <row r="159" spans="1:47" outlineLevel="2" x14ac:dyDescent="0.2">
      <c r="C159" s="21" t="s">
        <v>17</v>
      </c>
      <c r="D159" s="35">
        <f>'Summary - Cost - PG 1 (Reg)'!D121</f>
        <v>103536421.06999999</v>
      </c>
      <c r="E159" s="35"/>
      <c r="F159" s="35">
        <f>'Summary - Cost - PG 1 (Reg)'!F121</f>
        <v>165110423.05000001</v>
      </c>
      <c r="G159" s="35"/>
      <c r="H159" s="35">
        <f>'Summary - Cost - PG 1 (Reg)'!H121</f>
        <v>0</v>
      </c>
      <c r="I159" s="35"/>
      <c r="J159" s="35">
        <f>+'Summary - Cost - PG 1 (Reg)'!J123</f>
        <v>0</v>
      </c>
      <c r="K159" s="35"/>
      <c r="L159" s="35"/>
      <c r="M159" s="35"/>
      <c r="N159" s="35">
        <f>F159+H159+J159</f>
        <v>165110423.05000001</v>
      </c>
      <c r="O159" s="35"/>
      <c r="P159" s="35"/>
      <c r="Q159" s="35"/>
      <c r="R159" s="35"/>
      <c r="S159" s="35"/>
      <c r="T159" s="35"/>
      <c r="U159" s="35"/>
      <c r="V159" s="35">
        <f>D159+N159</f>
        <v>268646844.12</v>
      </c>
      <c r="W159" s="35"/>
      <c r="X159" s="74"/>
      <c r="Y159" s="74"/>
      <c r="Z159" s="74"/>
      <c r="AA159" s="74"/>
      <c r="AB159" s="74"/>
      <c r="AC159" s="99"/>
      <c r="AD159" s="99"/>
    </row>
    <row r="160" spans="1:47" outlineLevel="2" x14ac:dyDescent="0.2">
      <c r="C160" s="21" t="s">
        <v>26</v>
      </c>
      <c r="D160" s="149">
        <f>'Summary - Cost - PG 1 (Reg)'!D122</f>
        <v>12543235.779999999</v>
      </c>
      <c r="E160" s="35"/>
      <c r="F160" s="149">
        <f>'Summary - Cost - PG 1 (Reg)'!F122</f>
        <v>7713227.9900000002</v>
      </c>
      <c r="G160" s="35"/>
      <c r="H160" s="149">
        <f>'Summary - Cost - PG 1 (Reg)'!H122</f>
        <v>0</v>
      </c>
      <c r="I160" s="35"/>
      <c r="J160" s="149">
        <f>+'Summary - Cost - PG 1 (Reg)'!J124</f>
        <v>0</v>
      </c>
      <c r="K160" s="83"/>
      <c r="L160" s="83"/>
      <c r="M160" s="35"/>
      <c r="N160" s="149">
        <f>F160+H160+J160</f>
        <v>7713227.9900000002</v>
      </c>
      <c r="O160" s="83"/>
      <c r="P160" s="83"/>
      <c r="Q160" s="83"/>
      <c r="R160" s="83"/>
      <c r="S160" s="83"/>
      <c r="T160" s="83"/>
      <c r="U160" s="35"/>
      <c r="V160" s="149">
        <f>D160+N160</f>
        <v>20256463.77</v>
      </c>
      <c r="W160" s="83"/>
      <c r="X160" s="74"/>
      <c r="Y160" s="74"/>
      <c r="Z160" s="74"/>
      <c r="AA160" s="74"/>
      <c r="AB160" s="74"/>
      <c r="AC160" s="99"/>
      <c r="AD160" s="99"/>
    </row>
    <row r="161" spans="1:47" outlineLevel="2" x14ac:dyDescent="0.2">
      <c r="C161" s="18"/>
      <c r="D161" s="83">
        <f>SUM(D158:D160)</f>
        <v>133728165.61999999</v>
      </c>
      <c r="E161" s="83"/>
      <c r="F161" s="83">
        <f>SUM(F158:F160)</f>
        <v>171211125.77000001</v>
      </c>
      <c r="G161" s="83"/>
      <c r="H161" s="83">
        <f>SUM(H158:H160)</f>
        <v>0</v>
      </c>
      <c r="I161" s="83"/>
      <c r="J161" s="83">
        <f>SUM(J158:J160)</f>
        <v>0</v>
      </c>
      <c r="K161" s="83"/>
      <c r="L161" s="83"/>
      <c r="M161" s="83"/>
      <c r="N161" s="83">
        <f>SUM(N158:N160)</f>
        <v>171211125.77000001</v>
      </c>
      <c r="O161" s="83"/>
      <c r="P161" s="83"/>
      <c r="Q161" s="83"/>
      <c r="R161" s="83"/>
      <c r="S161" s="83"/>
      <c r="T161" s="83"/>
      <c r="U161" s="83"/>
      <c r="V161" s="83">
        <f>SUM(V158:V160)</f>
        <v>304939291.38999999</v>
      </c>
      <c r="W161" s="83"/>
      <c r="X161" s="74"/>
      <c r="Y161" s="74"/>
      <c r="Z161" s="74"/>
      <c r="AA161" s="74"/>
      <c r="AB161" s="74"/>
    </row>
    <row r="162" spans="1:47" outlineLevel="2" x14ac:dyDescent="0.2">
      <c r="C162" s="18"/>
      <c r="D162" s="83"/>
      <c r="E162" s="35"/>
      <c r="F162" s="83"/>
      <c r="G162" s="35"/>
      <c r="H162" s="83"/>
      <c r="I162" s="35"/>
      <c r="J162" s="83"/>
      <c r="K162" s="83"/>
      <c r="L162" s="83"/>
      <c r="M162" s="35"/>
      <c r="N162" s="83"/>
      <c r="O162" s="83"/>
      <c r="P162" s="83"/>
      <c r="Q162" s="83"/>
      <c r="R162" s="83"/>
      <c r="S162" s="83"/>
      <c r="T162" s="83"/>
      <c r="U162" s="35"/>
      <c r="V162" s="83"/>
      <c r="W162" s="83"/>
      <c r="X162" s="74"/>
      <c r="Y162" s="74"/>
      <c r="Z162" s="74"/>
      <c r="AA162" s="74"/>
      <c r="AB162" s="74"/>
    </row>
    <row r="163" spans="1:47" outlineLevel="2" x14ac:dyDescent="0.2">
      <c r="B163" s="21"/>
      <c r="C163" s="18"/>
      <c r="D163" s="83"/>
      <c r="E163" s="35"/>
      <c r="F163" s="83"/>
      <c r="G163" s="35"/>
      <c r="H163" s="83"/>
      <c r="I163" s="35"/>
      <c r="J163" s="83"/>
      <c r="K163" s="83"/>
      <c r="L163" s="83"/>
      <c r="M163" s="35"/>
      <c r="N163" s="83"/>
      <c r="O163" s="83"/>
      <c r="P163" s="83"/>
      <c r="Q163" s="83"/>
      <c r="R163" s="83"/>
      <c r="S163" s="83"/>
      <c r="T163" s="83"/>
      <c r="U163" s="35"/>
      <c r="V163" s="83"/>
      <c r="W163" s="83"/>
      <c r="X163" s="74"/>
      <c r="Y163" s="74"/>
      <c r="Z163" s="74"/>
      <c r="AA163" s="74"/>
      <c r="AB163" s="74"/>
    </row>
    <row r="164" spans="1:47" outlineLevel="2" x14ac:dyDescent="0.2">
      <c r="B164" s="95" t="s">
        <v>164</v>
      </c>
      <c r="D164" s="35"/>
      <c r="E164" s="35"/>
      <c r="F164" s="35">
        <f>+F161</f>
        <v>171211125.77000001</v>
      </c>
      <c r="G164" s="35"/>
      <c r="H164" s="35">
        <f>+H161</f>
        <v>0</v>
      </c>
      <c r="I164" s="35"/>
      <c r="J164" s="35">
        <f>+J161</f>
        <v>0</v>
      </c>
      <c r="K164" s="35"/>
      <c r="L164" s="35"/>
      <c r="M164" s="35"/>
      <c r="N164" s="35">
        <f>+N161</f>
        <v>171211125.77000001</v>
      </c>
      <c r="O164" s="35"/>
      <c r="P164" s="35"/>
      <c r="Q164" s="35"/>
      <c r="R164" s="35"/>
      <c r="S164" s="35"/>
      <c r="T164" s="35"/>
      <c r="U164" s="35"/>
      <c r="V164" s="35">
        <f>+V161</f>
        <v>304939291.38999999</v>
      </c>
      <c r="W164" s="35"/>
      <c r="X164" s="74"/>
      <c r="Y164" s="74"/>
      <c r="Z164" s="74"/>
      <c r="AA164" s="74"/>
      <c r="AB164" s="74"/>
      <c r="AC164" s="84">
        <f>-AC143-AC196</f>
        <v>-299123554.93000007</v>
      </c>
      <c r="AD164" s="84">
        <v>0</v>
      </c>
      <c r="AN164" s="84">
        <f>J164</f>
        <v>0</v>
      </c>
      <c r="AR164" s="84">
        <f>+'Summary - Cost - PG 1 (Reg)'!F130</f>
        <v>470334680.70000005</v>
      </c>
      <c r="AS164" s="84"/>
      <c r="AT164" s="84">
        <f>SUM(X164:AR164)</f>
        <v>171211125.76999998</v>
      </c>
      <c r="AU164" s="84">
        <f>+N164-AT164</f>
        <v>0</v>
      </c>
    </row>
    <row r="165" spans="1:47" outlineLevel="2" x14ac:dyDescent="0.2"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47" outlineLevel="2" x14ac:dyDescent="0.2">
      <c r="B166" s="9" t="s">
        <v>180</v>
      </c>
      <c r="C166" s="9"/>
      <c r="D166" s="83"/>
      <c r="E166" s="35"/>
      <c r="F166" s="83"/>
      <c r="G166" s="35"/>
      <c r="H166" s="83"/>
      <c r="I166" s="35"/>
      <c r="J166" s="83"/>
      <c r="K166" s="83"/>
      <c r="L166" s="83"/>
      <c r="M166" s="35"/>
      <c r="N166" s="83"/>
      <c r="O166" s="83"/>
      <c r="P166" s="83"/>
      <c r="Q166" s="83"/>
      <c r="R166" s="83"/>
      <c r="S166" s="83"/>
      <c r="T166" s="83"/>
      <c r="U166" s="35"/>
      <c r="V166" s="83"/>
      <c r="W166" s="83"/>
      <c r="X166" s="74"/>
      <c r="Y166" s="74"/>
      <c r="Z166" s="74"/>
      <c r="AA166" s="74"/>
      <c r="AB166" s="74"/>
    </row>
    <row r="167" spans="1:47" outlineLevel="2" x14ac:dyDescent="0.2">
      <c r="C167" s="9"/>
      <c r="D167" s="83"/>
      <c r="E167" s="35"/>
      <c r="F167" s="83"/>
      <c r="G167" s="35"/>
      <c r="H167" s="83"/>
      <c r="I167" s="35"/>
      <c r="J167" s="83"/>
      <c r="K167" s="83"/>
      <c r="L167" s="83"/>
      <c r="M167" s="35"/>
      <c r="N167" s="83"/>
      <c r="O167" s="83"/>
      <c r="P167" s="83"/>
      <c r="Q167" s="83"/>
      <c r="R167" s="83"/>
      <c r="S167" s="83"/>
      <c r="T167" s="83"/>
      <c r="U167" s="35"/>
      <c r="V167" s="83"/>
      <c r="W167" s="83"/>
      <c r="X167" s="74"/>
      <c r="Y167" s="74"/>
      <c r="Z167" s="74"/>
      <c r="AA167" s="74"/>
      <c r="AB167" s="74"/>
    </row>
    <row r="168" spans="1:47" outlineLevel="1" x14ac:dyDescent="0.2">
      <c r="A168" s="120" t="s">
        <v>181</v>
      </c>
      <c r="C168" s="9" t="s">
        <v>182</v>
      </c>
      <c r="D168" s="83">
        <f t="shared" ref="D168:D178" si="11">+D129</f>
        <v>0</v>
      </c>
      <c r="E168" s="35"/>
      <c r="F168" s="83">
        <f t="shared" ref="F168:F178" si="12">+F129</f>
        <v>0</v>
      </c>
      <c r="G168" s="35"/>
      <c r="H168" s="83">
        <f t="shared" ref="H168:H178" si="13">+H129</f>
        <v>0</v>
      </c>
      <c r="I168" s="35"/>
      <c r="J168" s="83">
        <f t="shared" ref="J168:J178" si="14">+J129</f>
        <v>0</v>
      </c>
      <c r="K168" s="83"/>
      <c r="L168" s="83"/>
      <c r="M168" s="35"/>
      <c r="N168" s="83">
        <f t="shared" ref="N168:N178" si="15">+N129</f>
        <v>0</v>
      </c>
      <c r="O168" s="83"/>
      <c r="P168" s="83">
        <f>+P129</f>
        <v>0</v>
      </c>
      <c r="Q168" s="83"/>
      <c r="R168" s="83">
        <f>+R129</f>
        <v>0</v>
      </c>
      <c r="S168" s="83"/>
      <c r="T168" s="83">
        <f>+T129</f>
        <v>0</v>
      </c>
      <c r="U168" s="35"/>
      <c r="V168" s="83">
        <f t="shared" ref="V168:V178" si="16">+V129</f>
        <v>0</v>
      </c>
      <c r="W168" s="83"/>
      <c r="X168" s="74"/>
      <c r="Y168" s="74"/>
      <c r="Z168" s="74"/>
      <c r="AA168" s="74"/>
      <c r="AB168" s="74"/>
    </row>
    <row r="169" spans="1:47" outlineLevel="1" x14ac:dyDescent="0.2">
      <c r="A169" s="120" t="s">
        <v>183</v>
      </c>
      <c r="C169" s="9" t="s">
        <v>184</v>
      </c>
      <c r="D169" s="83">
        <f t="shared" si="11"/>
        <v>101212.48999999999</v>
      </c>
      <c r="E169" s="35"/>
      <c r="F169" s="83">
        <f t="shared" si="12"/>
        <v>0</v>
      </c>
      <c r="G169" s="35"/>
      <c r="H169" s="83">
        <f t="shared" si="13"/>
        <v>0</v>
      </c>
      <c r="I169" s="35"/>
      <c r="J169" s="83">
        <f>+J130</f>
        <v>0</v>
      </c>
      <c r="K169" s="83"/>
      <c r="L169" s="83"/>
      <c r="M169" s="35"/>
      <c r="N169" s="83">
        <f>+N130</f>
        <v>0</v>
      </c>
      <c r="O169" s="83"/>
      <c r="P169" s="83">
        <f>+P130</f>
        <v>0</v>
      </c>
      <c r="Q169" s="83"/>
      <c r="R169" s="83">
        <f>+R130</f>
        <v>0</v>
      </c>
      <c r="S169" s="83"/>
      <c r="T169" s="83">
        <f>+T130</f>
        <v>0</v>
      </c>
      <c r="U169" s="35"/>
      <c r="V169" s="83">
        <f>+V130</f>
        <v>101212.48999999999</v>
      </c>
      <c r="W169" s="83"/>
      <c r="X169" s="74"/>
      <c r="Y169" s="74"/>
      <c r="Z169" s="74"/>
      <c r="AA169" s="74"/>
      <c r="AB169" s="74"/>
    </row>
    <row r="170" spans="1:47" outlineLevel="2" x14ac:dyDescent="0.2">
      <c r="A170" s="120" t="s">
        <v>185</v>
      </c>
      <c r="C170" s="9" t="s">
        <v>184</v>
      </c>
      <c r="D170" s="83">
        <f t="shared" si="11"/>
        <v>74018.23</v>
      </c>
      <c r="E170" s="35"/>
      <c r="F170" s="83">
        <f t="shared" si="12"/>
        <v>0</v>
      </c>
      <c r="G170" s="35"/>
      <c r="H170" s="83">
        <f t="shared" si="13"/>
        <v>0</v>
      </c>
      <c r="I170" s="35"/>
      <c r="J170" s="83">
        <f t="shared" si="14"/>
        <v>0</v>
      </c>
      <c r="K170" s="83"/>
      <c r="L170" s="83"/>
      <c r="M170" s="35"/>
      <c r="N170" s="83">
        <f t="shared" si="15"/>
        <v>0</v>
      </c>
      <c r="O170" s="83"/>
      <c r="P170" s="83">
        <f>+P131</f>
        <v>0</v>
      </c>
      <c r="Q170" s="83"/>
      <c r="R170" s="83">
        <f>+R131</f>
        <v>0</v>
      </c>
      <c r="S170" s="83"/>
      <c r="T170" s="83">
        <f>+T131</f>
        <v>0</v>
      </c>
      <c r="U170" s="35"/>
      <c r="V170" s="83">
        <f t="shared" si="16"/>
        <v>74018.23</v>
      </c>
      <c r="W170" s="83"/>
      <c r="X170" s="74"/>
      <c r="Y170" s="74"/>
      <c r="Z170" s="74"/>
      <c r="AA170" s="74"/>
      <c r="AB170" s="74"/>
    </row>
    <row r="171" spans="1:47" outlineLevel="2" x14ac:dyDescent="0.2">
      <c r="A171" s="120" t="s">
        <v>186</v>
      </c>
      <c r="C171" s="9" t="s">
        <v>184</v>
      </c>
      <c r="D171" s="83">
        <f t="shared" si="11"/>
        <v>548241.14</v>
      </c>
      <c r="E171" s="35"/>
      <c r="F171" s="83">
        <f t="shared" si="12"/>
        <v>0</v>
      </c>
      <c r="G171" s="35"/>
      <c r="H171" s="83">
        <f t="shared" si="13"/>
        <v>0</v>
      </c>
      <c r="I171" s="35"/>
      <c r="J171" s="83">
        <f t="shared" si="14"/>
        <v>0</v>
      </c>
      <c r="K171" s="83"/>
      <c r="L171" s="83"/>
      <c r="M171" s="35"/>
      <c r="N171" s="83">
        <f t="shared" si="15"/>
        <v>0</v>
      </c>
      <c r="O171" s="83"/>
      <c r="P171" s="83">
        <f>+P132</f>
        <v>0</v>
      </c>
      <c r="Q171" s="83"/>
      <c r="R171" s="83">
        <f>+R132</f>
        <v>0</v>
      </c>
      <c r="S171" s="83"/>
      <c r="T171" s="83">
        <f>+T132</f>
        <v>0</v>
      </c>
      <c r="U171" s="35"/>
      <c r="V171" s="83">
        <f t="shared" si="16"/>
        <v>548241.14</v>
      </c>
      <c r="W171" s="83"/>
      <c r="X171" s="74"/>
      <c r="Y171" s="74"/>
      <c r="Z171" s="74"/>
      <c r="AA171" s="74"/>
      <c r="AB171" s="74"/>
    </row>
    <row r="172" spans="1:47" outlineLevel="2" x14ac:dyDescent="0.2">
      <c r="A172" s="120" t="s">
        <v>187</v>
      </c>
      <c r="C172" s="9" t="s">
        <v>188</v>
      </c>
      <c r="D172" s="83">
        <f t="shared" si="11"/>
        <v>0</v>
      </c>
      <c r="E172" s="35"/>
      <c r="F172" s="83">
        <f t="shared" si="12"/>
        <v>0</v>
      </c>
      <c r="G172" s="35"/>
      <c r="H172" s="83">
        <f t="shared" si="13"/>
        <v>0</v>
      </c>
      <c r="I172" s="35"/>
      <c r="J172" s="83">
        <f t="shared" si="14"/>
        <v>0</v>
      </c>
      <c r="K172" s="83"/>
      <c r="L172" s="83"/>
      <c r="M172" s="35"/>
      <c r="N172" s="83">
        <f t="shared" si="15"/>
        <v>0</v>
      </c>
      <c r="O172" s="83"/>
      <c r="P172" s="83">
        <f>+P133</f>
        <v>0</v>
      </c>
      <c r="Q172" s="83"/>
      <c r="R172" s="83">
        <f>+R133</f>
        <v>0</v>
      </c>
      <c r="S172" s="83"/>
      <c r="T172" s="83">
        <f>+T133</f>
        <v>0</v>
      </c>
      <c r="U172" s="35"/>
      <c r="V172" s="83">
        <f t="shared" si="16"/>
        <v>0</v>
      </c>
      <c r="W172" s="83"/>
      <c r="X172" s="74"/>
      <c r="Y172" s="74"/>
      <c r="Z172" s="74"/>
      <c r="AA172" s="74"/>
      <c r="AB172" s="74"/>
    </row>
    <row r="173" spans="1:47" outlineLevel="2" x14ac:dyDescent="0.2">
      <c r="A173" s="120" t="s">
        <v>187</v>
      </c>
      <c r="C173" s="9" t="s">
        <v>189</v>
      </c>
      <c r="D173" s="83">
        <f t="shared" si="11"/>
        <v>519009.11</v>
      </c>
      <c r="E173" s="35"/>
      <c r="F173" s="83">
        <f t="shared" si="12"/>
        <v>0</v>
      </c>
      <c r="G173" s="35"/>
      <c r="H173" s="83">
        <f t="shared" si="13"/>
        <v>0</v>
      </c>
      <c r="I173" s="35"/>
      <c r="J173" s="83">
        <f t="shared" si="14"/>
        <v>0</v>
      </c>
      <c r="K173" s="83"/>
      <c r="L173" s="83"/>
      <c r="M173" s="35"/>
      <c r="N173" s="83">
        <f t="shared" si="15"/>
        <v>519009.11</v>
      </c>
      <c r="O173" s="83"/>
      <c r="P173" s="83"/>
      <c r="Q173" s="83"/>
      <c r="R173" s="83"/>
      <c r="S173" s="83"/>
      <c r="T173" s="83"/>
      <c r="U173" s="35"/>
      <c r="V173" s="83">
        <f t="shared" si="16"/>
        <v>519009.11</v>
      </c>
      <c r="W173" s="83"/>
      <c r="X173" s="74"/>
      <c r="Y173" s="74"/>
      <c r="Z173" s="74"/>
      <c r="AA173" s="74"/>
      <c r="AB173" s="74"/>
    </row>
    <row r="174" spans="1:47" outlineLevel="2" x14ac:dyDescent="0.2">
      <c r="A174" s="120" t="s">
        <v>190</v>
      </c>
      <c r="C174" s="9" t="s">
        <v>184</v>
      </c>
      <c r="D174" s="83">
        <f t="shared" si="11"/>
        <v>220659.05</v>
      </c>
      <c r="E174" s="35"/>
      <c r="F174" s="83">
        <f t="shared" si="12"/>
        <v>0</v>
      </c>
      <c r="G174" s="35"/>
      <c r="H174" s="83">
        <f t="shared" si="13"/>
        <v>0</v>
      </c>
      <c r="I174" s="35"/>
      <c r="J174" s="83">
        <f t="shared" si="14"/>
        <v>0</v>
      </c>
      <c r="K174" s="83"/>
      <c r="L174" s="83"/>
      <c r="M174" s="35"/>
      <c r="N174" s="83">
        <f t="shared" si="15"/>
        <v>0</v>
      </c>
      <c r="O174" s="83"/>
      <c r="P174" s="83">
        <f>+P135</f>
        <v>0</v>
      </c>
      <c r="Q174" s="83"/>
      <c r="R174" s="83">
        <f>+R135</f>
        <v>0</v>
      </c>
      <c r="S174" s="83"/>
      <c r="T174" s="83">
        <f>+T135</f>
        <v>0</v>
      </c>
      <c r="U174" s="35"/>
      <c r="V174" s="83">
        <f t="shared" si="16"/>
        <v>220659.05</v>
      </c>
      <c r="W174" s="83"/>
      <c r="X174" s="74"/>
      <c r="Y174" s="74"/>
      <c r="Z174" s="74"/>
      <c r="AA174" s="74"/>
      <c r="AB174" s="74"/>
    </row>
    <row r="175" spans="1:47" outlineLevel="2" x14ac:dyDescent="0.2">
      <c r="A175" s="120" t="s">
        <v>191</v>
      </c>
      <c r="C175" s="9" t="s">
        <v>192</v>
      </c>
      <c r="D175" s="83">
        <f t="shared" si="11"/>
        <v>8587652.5899999999</v>
      </c>
      <c r="E175" s="35"/>
      <c r="F175" s="83">
        <f t="shared" si="12"/>
        <v>0</v>
      </c>
      <c r="G175" s="35"/>
      <c r="H175" s="83">
        <f t="shared" si="13"/>
        <v>0</v>
      </c>
      <c r="I175" s="35"/>
      <c r="J175" s="83">
        <f t="shared" si="14"/>
        <v>0</v>
      </c>
      <c r="K175" s="83"/>
      <c r="L175" s="83"/>
      <c r="M175" s="35"/>
      <c r="N175" s="83">
        <f t="shared" si="15"/>
        <v>0</v>
      </c>
      <c r="O175" s="83"/>
      <c r="P175" s="83">
        <f>+P136</f>
        <v>0</v>
      </c>
      <c r="Q175" s="83"/>
      <c r="R175" s="83">
        <f>+R136</f>
        <v>0</v>
      </c>
      <c r="S175" s="83"/>
      <c r="T175" s="83">
        <f>+T136</f>
        <v>0</v>
      </c>
      <c r="U175" s="35"/>
      <c r="V175" s="83">
        <f t="shared" si="16"/>
        <v>8587652.5899999999</v>
      </c>
      <c r="W175" s="83"/>
      <c r="X175" s="74"/>
      <c r="Y175" s="74"/>
      <c r="Z175" s="74"/>
      <c r="AA175" s="74"/>
      <c r="AB175" s="74"/>
    </row>
    <row r="176" spans="1:47" outlineLevel="2" x14ac:dyDescent="0.2">
      <c r="A176" s="120" t="s">
        <v>193</v>
      </c>
      <c r="C176" s="9" t="s">
        <v>194</v>
      </c>
      <c r="D176" s="83">
        <f t="shared" si="11"/>
        <v>0</v>
      </c>
      <c r="E176" s="35"/>
      <c r="F176" s="83">
        <f t="shared" si="12"/>
        <v>0</v>
      </c>
      <c r="G176" s="35"/>
      <c r="H176" s="83">
        <f t="shared" si="13"/>
        <v>0</v>
      </c>
      <c r="I176" s="35"/>
      <c r="J176" s="83">
        <f t="shared" si="14"/>
        <v>0</v>
      </c>
      <c r="K176" s="83"/>
      <c r="L176" s="83"/>
      <c r="M176" s="35"/>
      <c r="N176" s="83">
        <f t="shared" si="15"/>
        <v>0</v>
      </c>
      <c r="O176" s="83"/>
      <c r="P176" s="83">
        <f>+P137</f>
        <v>0</v>
      </c>
      <c r="Q176" s="83"/>
      <c r="R176" s="83">
        <f>+R137</f>
        <v>0</v>
      </c>
      <c r="S176" s="83"/>
      <c r="T176" s="83">
        <f>+T137</f>
        <v>0</v>
      </c>
      <c r="U176" s="35"/>
      <c r="V176" s="83">
        <f t="shared" si="16"/>
        <v>0</v>
      </c>
      <c r="W176" s="83"/>
      <c r="X176" s="74"/>
      <c r="Y176" s="74"/>
      <c r="Z176" s="74"/>
      <c r="AA176" s="74"/>
      <c r="AB176" s="74"/>
    </row>
    <row r="177" spans="1:28" outlineLevel="3" x14ac:dyDescent="0.2">
      <c r="A177" s="120" t="s">
        <v>193</v>
      </c>
      <c r="C177" s="9" t="s">
        <v>195</v>
      </c>
      <c r="D177" s="83">
        <f t="shared" si="11"/>
        <v>0</v>
      </c>
      <c r="E177" s="35"/>
      <c r="F177" s="83">
        <f t="shared" si="12"/>
        <v>0</v>
      </c>
      <c r="G177" s="35"/>
      <c r="H177" s="83">
        <f t="shared" si="13"/>
        <v>0</v>
      </c>
      <c r="I177" s="35"/>
      <c r="J177" s="83">
        <f t="shared" si="14"/>
        <v>0</v>
      </c>
      <c r="K177" s="83"/>
      <c r="L177" s="83"/>
      <c r="M177" s="35"/>
      <c r="N177" s="83">
        <f t="shared" si="15"/>
        <v>0</v>
      </c>
      <c r="O177" s="83"/>
      <c r="P177" s="83">
        <f>+P138</f>
        <v>0</v>
      </c>
      <c r="Q177" s="83"/>
      <c r="R177" s="83">
        <f>+R138</f>
        <v>0</v>
      </c>
      <c r="S177" s="83"/>
      <c r="T177" s="83">
        <f>+T138</f>
        <v>0</v>
      </c>
      <c r="U177" s="35"/>
      <c r="V177" s="83">
        <f t="shared" si="16"/>
        <v>0</v>
      </c>
      <c r="W177" s="83"/>
      <c r="X177" s="74"/>
      <c r="Y177" s="74"/>
      <c r="Z177" s="74"/>
      <c r="AA177" s="74"/>
      <c r="AB177" s="74"/>
    </row>
    <row r="178" spans="1:28" outlineLevel="2" x14ac:dyDescent="0.2">
      <c r="A178" s="120" t="s">
        <v>193</v>
      </c>
      <c r="C178" s="9" t="s">
        <v>196</v>
      </c>
      <c r="D178" s="83">
        <f t="shared" si="11"/>
        <v>387.49</v>
      </c>
      <c r="E178" s="35"/>
      <c r="F178" s="83">
        <f t="shared" si="12"/>
        <v>0</v>
      </c>
      <c r="G178" s="35"/>
      <c r="H178" s="83">
        <f t="shared" si="13"/>
        <v>0</v>
      </c>
      <c r="I178" s="35"/>
      <c r="J178" s="83">
        <f t="shared" si="14"/>
        <v>0</v>
      </c>
      <c r="K178" s="83"/>
      <c r="L178" s="83"/>
      <c r="M178" s="35"/>
      <c r="N178" s="83">
        <f t="shared" si="15"/>
        <v>0</v>
      </c>
      <c r="O178" s="83"/>
      <c r="P178" s="83">
        <f>+P139</f>
        <v>0</v>
      </c>
      <c r="Q178" s="83"/>
      <c r="R178" s="83">
        <f>+R139</f>
        <v>0</v>
      </c>
      <c r="S178" s="83"/>
      <c r="T178" s="83">
        <f>+T139</f>
        <v>0</v>
      </c>
      <c r="U178" s="35"/>
      <c r="V178" s="83">
        <f t="shared" si="16"/>
        <v>387.49</v>
      </c>
      <c r="W178" s="83"/>
      <c r="X178" s="74"/>
      <c r="Y178" s="74"/>
      <c r="Z178" s="74"/>
      <c r="AA178" s="74"/>
      <c r="AB178" s="74"/>
    </row>
    <row r="179" spans="1:28" outlineLevel="2" x14ac:dyDescent="0.2">
      <c r="A179" s="120"/>
      <c r="C179" s="9" t="s">
        <v>197</v>
      </c>
      <c r="D179" s="88">
        <f>SUM(D168:D178)</f>
        <v>10051180.1</v>
      </c>
      <c r="E179" s="35"/>
      <c r="F179" s="88">
        <f>SUM(F168:F178)</f>
        <v>0</v>
      </c>
      <c r="G179" s="35"/>
      <c r="H179" s="88">
        <f>SUM(H168:H178)</f>
        <v>0</v>
      </c>
      <c r="I179" s="35"/>
      <c r="J179" s="88">
        <f>SUM(J168:J178)</f>
        <v>0</v>
      </c>
      <c r="K179" s="83"/>
      <c r="L179" s="83"/>
      <c r="M179" s="35"/>
      <c r="N179" s="88">
        <f>SUM(N168:N178)</f>
        <v>519009.11</v>
      </c>
      <c r="O179" s="83"/>
      <c r="P179" s="88">
        <f>SUM(P168:P178)</f>
        <v>0</v>
      </c>
      <c r="Q179" s="83"/>
      <c r="R179" s="88">
        <f>SUM(R168:R178)</f>
        <v>0</v>
      </c>
      <c r="S179" s="83"/>
      <c r="T179" s="88">
        <f>SUM(T168:T178)</f>
        <v>0</v>
      </c>
      <c r="U179" s="35"/>
      <c r="V179" s="88">
        <f>SUM(V168:V178)</f>
        <v>10051180.1</v>
      </c>
      <c r="W179" s="83"/>
      <c r="X179" s="74"/>
      <c r="Y179" s="74"/>
      <c r="Z179" s="74"/>
      <c r="AA179" s="74"/>
      <c r="AB179" s="74"/>
    </row>
    <row r="180" spans="1:28" outlineLevel="2" x14ac:dyDescent="0.2"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8" outlineLevel="2" x14ac:dyDescent="0.2"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8" outlineLevel="2" x14ac:dyDescent="0.2">
      <c r="B182" s="21"/>
      <c r="D182" s="7" t="s">
        <v>3</v>
      </c>
      <c r="F182" s="35"/>
      <c r="H182" s="35"/>
      <c r="J182" s="7" t="s">
        <v>4</v>
      </c>
      <c r="K182" s="7"/>
      <c r="L182" s="7" t="s">
        <v>66</v>
      </c>
      <c r="N182" s="7" t="s">
        <v>67</v>
      </c>
      <c r="P182" s="17" t="s">
        <v>68</v>
      </c>
      <c r="R182" s="7"/>
      <c r="T182" s="7" t="s">
        <v>69</v>
      </c>
      <c r="V182" s="7" t="s">
        <v>5</v>
      </c>
      <c r="W182" s="7"/>
    </row>
    <row r="183" spans="1:28" ht="12" customHeight="1" outlineLevel="2" x14ac:dyDescent="0.2">
      <c r="B183" s="21"/>
      <c r="D183" s="11" t="s">
        <v>7</v>
      </c>
      <c r="F183" s="11" t="s">
        <v>70</v>
      </c>
      <c r="H183" s="11" t="s">
        <v>9</v>
      </c>
      <c r="J183" s="11" t="s">
        <v>10</v>
      </c>
      <c r="K183" s="17"/>
      <c r="L183" s="11" t="s">
        <v>71</v>
      </c>
      <c r="N183" s="11" t="s">
        <v>72</v>
      </c>
      <c r="P183" s="11" t="s">
        <v>73</v>
      </c>
      <c r="R183" s="11" t="s">
        <v>74</v>
      </c>
      <c r="T183" s="11" t="s">
        <v>75</v>
      </c>
      <c r="V183" s="11" t="s">
        <v>7</v>
      </c>
      <c r="W183" s="17"/>
    </row>
    <row r="184" spans="1:28" outlineLevel="2" x14ac:dyDescent="0.2">
      <c r="A184" s="120" t="s">
        <v>191</v>
      </c>
      <c r="C184" s="9" t="s">
        <v>198</v>
      </c>
      <c r="D184" s="96">
        <f>+'KY_Res by Plant Acct-P29 (Reg)'!B370+'IN_Res by Plant Acct-P30 (Reg)'!B15+'KY_Res by Plant Acct-P29 (Reg)'!B11+0.04+7.82-0.36</f>
        <v>-3093843.8200000003</v>
      </c>
      <c r="E184" s="96"/>
      <c r="F184" s="96">
        <f>+'KY_Res by Plant Acct-P29 (Reg)'!D370+'IN_Res by Plant Acct-P30 (Reg)'!D15+'KY_Res by Plant Acct-P29 (Reg)'!D11</f>
        <v>-113356.98</v>
      </c>
      <c r="G184" s="96"/>
      <c r="H184" s="96">
        <f>+'KY_Res by Plant Acct-P29 (Reg)'!F370+'IN_Res by Plant Acct-P30 (Reg)'!F15+'KY_Res by Plant Acct-P29 (Reg)'!F11</f>
        <v>0</v>
      </c>
      <c r="I184" s="96"/>
      <c r="J184" s="96">
        <f>+'KY_Res by Plant Acct-P29 (Reg)'!H370+'IN_Res by Plant Acct-P30 (Reg)'!H15+'KY_Res by Plant Acct-P29 (Reg)'!H11</f>
        <v>0</v>
      </c>
      <c r="K184" s="96"/>
      <c r="L184" s="96"/>
      <c r="M184" s="96"/>
      <c r="N184" s="96">
        <f>+'KY_Res by Plant Acct-P29 (Reg)'!J370+'IN_Res by Plant Acct-P30 (Reg)'!J15+'KY_Res by Plant Acct-P29 (Reg)'!J11</f>
        <v>0</v>
      </c>
      <c r="O184" s="96"/>
      <c r="P184" s="96">
        <f>+'KY_Res by Plant Acct-P29 (Reg)'!L370+'IN_Res by Plant Acct-P30 (Reg)'!L15+'KY_Res by Plant Acct-P29 (Reg)'!L11</f>
        <v>0</v>
      </c>
      <c r="Q184" s="96"/>
      <c r="R184" s="96">
        <f>+'KY_Res by Plant Acct-P29 (Reg)'!N370+'IN_Res by Plant Acct-P30 (Reg)'!N15+'KY_Res by Plant Acct-P29 (Reg)'!N11</f>
        <v>0</v>
      </c>
      <c r="S184" s="96"/>
      <c r="T184" s="96">
        <f>+'KY_Res by Plant Acct-P29 (Reg)'!P370+'IN_Res by Plant Acct-P30 (Reg)'!P15+'KY_Res by Plant Acct-P29 (Reg)'!P11</f>
        <v>0</v>
      </c>
      <c r="U184" s="96"/>
      <c r="V184" s="35">
        <f>T184+R184+P184+N184+J184+H184+F184+D184</f>
        <v>-3207200.8000000003</v>
      </c>
      <c r="W184" s="96"/>
    </row>
    <row r="185" spans="1:28" outlineLevel="2" x14ac:dyDescent="0.2">
      <c r="A185" s="120" t="s">
        <v>183</v>
      </c>
      <c r="C185" s="9" t="s">
        <v>184</v>
      </c>
      <c r="D185" s="35">
        <f>+'KY_Res by Plant Acct-P29 (Reg)'!B440</f>
        <v>-69747.849999999991</v>
      </c>
      <c r="E185" s="35"/>
      <c r="F185" s="35">
        <f>+'KY_Res by Plant Acct-P29 (Reg)'!D440</f>
        <v>-581.94000000000005</v>
      </c>
      <c r="G185" s="35"/>
      <c r="H185" s="35">
        <f>+'KY_Res by Plant Acct-P29 (Reg)'!F440</f>
        <v>0</v>
      </c>
      <c r="I185" s="35"/>
      <c r="J185" s="35">
        <f>+'KY_Res by Plant Acct-P29 (Reg)'!H440</f>
        <v>0</v>
      </c>
      <c r="K185" s="35"/>
      <c r="L185" s="35"/>
      <c r="M185" s="35"/>
      <c r="N185" s="35">
        <f>+'KY_Res by Plant Acct-P29 (Reg)'!J440</f>
        <v>0</v>
      </c>
      <c r="O185" s="35"/>
      <c r="P185" s="35">
        <f>+'KY_Res by Plant Acct-P29 (Reg)'!L440</f>
        <v>0</v>
      </c>
      <c r="Q185" s="35"/>
      <c r="R185" s="35">
        <f>+'KY_Res by Plant Acct-P29 (Reg)'!N440</f>
        <v>0</v>
      </c>
      <c r="S185" s="35"/>
      <c r="T185" s="35">
        <f>+'KY_Res by Plant Acct-P29 (Reg)'!P440</f>
        <v>0</v>
      </c>
      <c r="U185" s="35"/>
      <c r="V185" s="35">
        <f t="shared" ref="V185:V192" si="17">T185+R185+P185+N185+J185+H185+F185+D185</f>
        <v>-70329.789999999994</v>
      </c>
      <c r="W185" s="35"/>
    </row>
    <row r="186" spans="1:28" outlineLevel="2" x14ac:dyDescent="0.2">
      <c r="A186" s="120" t="s">
        <v>185</v>
      </c>
      <c r="C186" s="9" t="s">
        <v>184</v>
      </c>
      <c r="D186" s="35">
        <f>'KY_Res by Plant Acct-P29 (Reg)'!B407</f>
        <v>-77439.69</v>
      </c>
      <c r="E186" s="35"/>
      <c r="F186" s="35">
        <f>+'KY_Res by Plant Acct-P29 (Reg)'!D407</f>
        <v>0</v>
      </c>
      <c r="G186" s="35"/>
      <c r="H186" s="35">
        <f>+'KY_Res by Plant Acct-P29 (Reg)'!F407</f>
        <v>0</v>
      </c>
      <c r="I186" s="35"/>
      <c r="J186" s="35">
        <f>+'KY_Res by Plant Acct-P29 (Reg)'!H407</f>
        <v>0</v>
      </c>
      <c r="K186" s="35"/>
      <c r="L186" s="35"/>
      <c r="M186" s="35"/>
      <c r="N186" s="35">
        <f>+'KY_Res by Plant Acct-P29 (Reg)'!J407</f>
        <v>0</v>
      </c>
      <c r="O186" s="35"/>
      <c r="P186" s="35">
        <f>+'KY_Res by Plant Acct-P29 (Reg)'!L407</f>
        <v>0</v>
      </c>
      <c r="Q186" s="35"/>
      <c r="R186" s="35">
        <f>+'KY_Res by Plant Acct-P29 (Reg)'!N407</f>
        <v>0</v>
      </c>
      <c r="S186" s="35"/>
      <c r="T186" s="35">
        <f>+'KY_Res by Plant Acct-P29 (Reg)'!P407</f>
        <v>0</v>
      </c>
      <c r="U186" s="35"/>
      <c r="V186" s="35">
        <f t="shared" si="17"/>
        <v>-77439.69</v>
      </c>
      <c r="W186" s="35"/>
    </row>
    <row r="187" spans="1:28" outlineLevel="2" x14ac:dyDescent="0.2">
      <c r="A187" s="120" t="s">
        <v>186</v>
      </c>
      <c r="C187" s="9" t="s">
        <v>184</v>
      </c>
      <c r="D187" s="35">
        <f>+'KY_Res by Plant Acct-P29 (Reg)'!B444</f>
        <v>-569589.96</v>
      </c>
      <c r="E187" s="35"/>
      <c r="F187" s="35">
        <f>+'KY_Res by Plant Acct-P29 (Reg)'!D444</f>
        <v>0</v>
      </c>
      <c r="G187" s="35"/>
      <c r="H187" s="35">
        <f>+'KY_Res by Plant Acct-P29 (Reg)'!F444</f>
        <v>0</v>
      </c>
      <c r="I187" s="35"/>
      <c r="J187" s="35">
        <f>+'KY_Res by Plant Acct-P29 (Reg)'!H444</f>
        <v>0</v>
      </c>
      <c r="K187" s="35"/>
      <c r="L187" s="35"/>
      <c r="M187" s="35"/>
      <c r="N187" s="35">
        <f>+'KY_Res by Plant Acct-P29 (Reg)'!J444</f>
        <v>0</v>
      </c>
      <c r="O187" s="35"/>
      <c r="P187" s="35">
        <f>+'KY_Res by Plant Acct-P29 (Reg)'!L444</f>
        <v>0</v>
      </c>
      <c r="Q187" s="35"/>
      <c r="R187" s="35">
        <f>+'KY_Res by Plant Acct-P29 (Reg)'!N444</f>
        <v>0</v>
      </c>
      <c r="S187" s="35"/>
      <c r="T187" s="35">
        <f>+'KY_Res by Plant Acct-P29 (Reg)'!P444</f>
        <v>0</v>
      </c>
      <c r="U187" s="35"/>
      <c r="V187" s="35">
        <f>T187+R187+P187+N187+J187+H187+F187+D187</f>
        <v>-569589.96</v>
      </c>
      <c r="W187" s="35"/>
    </row>
    <row r="188" spans="1:28" outlineLevel="2" x14ac:dyDescent="0.2">
      <c r="A188" s="120" t="s">
        <v>187</v>
      </c>
      <c r="C188" s="9" t="s">
        <v>188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</row>
    <row r="189" spans="1:28" outlineLevel="2" x14ac:dyDescent="0.2">
      <c r="A189" s="120" t="s">
        <v>190</v>
      </c>
      <c r="C189" s="9" t="s">
        <v>184</v>
      </c>
      <c r="D189" s="35">
        <f>'KY_Res by Plant Acct-P29 (Reg)'!B460</f>
        <v>-210845.43</v>
      </c>
      <c r="E189" s="35"/>
      <c r="F189" s="35">
        <f>'KY_Res by Plant Acct-P29 (Reg)'!D460</f>
        <v>-319.92</v>
      </c>
      <c r="G189" s="35"/>
      <c r="H189" s="35">
        <f>'KY_Res by Plant Acct-P29 (Reg)'!F460</f>
        <v>0</v>
      </c>
      <c r="I189" s="35"/>
      <c r="J189" s="35">
        <f>'KY_Res by Plant Acct-P29 (Reg)'!H460</f>
        <v>0</v>
      </c>
      <c r="K189" s="35"/>
      <c r="L189" s="35"/>
      <c r="M189" s="35"/>
      <c r="N189" s="35">
        <f>'KY_Res by Plant Acct-P29 (Reg)'!J460</f>
        <v>0</v>
      </c>
      <c r="O189" s="35"/>
      <c r="P189" s="35">
        <f>'KY_Res by Plant Acct-P29 (Reg)'!L460</f>
        <v>0</v>
      </c>
      <c r="Q189" s="35"/>
      <c r="R189" s="35">
        <f>'KY_Res by Plant Acct-P29 (Reg)'!N460</f>
        <v>0</v>
      </c>
      <c r="S189" s="35"/>
      <c r="T189" s="35">
        <f>'KY_Res by Plant Acct-P29 (Reg)'!P460</f>
        <v>0</v>
      </c>
      <c r="U189" s="35"/>
      <c r="V189" s="35">
        <f t="shared" si="17"/>
        <v>-211165.35</v>
      </c>
      <c r="W189" s="35"/>
    </row>
    <row r="190" spans="1:28" outlineLevel="2" x14ac:dyDescent="0.2">
      <c r="A190" s="120" t="s">
        <v>181</v>
      </c>
      <c r="C190" s="9" t="s">
        <v>182</v>
      </c>
      <c r="D190" s="35">
        <f>+'KY_Res by Plant Acct-P29 (Reg)'!B479</f>
        <v>0</v>
      </c>
      <c r="E190" s="35"/>
      <c r="F190" s="35">
        <f>+'KY_Res by Plant Acct-P29 (Reg)'!D479</f>
        <v>0</v>
      </c>
      <c r="G190" s="35"/>
      <c r="H190" s="35">
        <f>+'KY_Res by Plant Acct-P29 (Reg)'!F479</f>
        <v>0</v>
      </c>
      <c r="I190" s="35"/>
      <c r="J190" s="35">
        <f>+'KY_Res by Plant Acct-P29 (Reg)'!H479</f>
        <v>0</v>
      </c>
      <c r="K190" s="35"/>
      <c r="L190" s="35"/>
      <c r="M190" s="35"/>
      <c r="N190" s="35">
        <f>+'KY_Res by Plant Acct-P29 (Reg)'!J479</f>
        <v>0</v>
      </c>
      <c r="O190" s="35"/>
      <c r="P190" s="35">
        <f>+'KY_Res by Plant Acct-P29 (Reg)'!L479</f>
        <v>0</v>
      </c>
      <c r="Q190" s="35"/>
      <c r="R190" s="35">
        <f>+'KY_Res by Plant Acct-P29 (Reg)'!N479</f>
        <v>0</v>
      </c>
      <c r="S190" s="35"/>
      <c r="T190" s="35">
        <f>+'KY_Res by Plant Acct-P29 (Reg)'!P479</f>
        <v>0</v>
      </c>
      <c r="U190" s="35"/>
      <c r="V190" s="35">
        <f>T190+R190+P190+N190+J190+H190+F190+D190</f>
        <v>0</v>
      </c>
      <c r="W190" s="35"/>
    </row>
    <row r="191" spans="1:28" outlineLevel="2" x14ac:dyDescent="0.2">
      <c r="A191" s="120" t="s">
        <v>193</v>
      </c>
      <c r="C191" s="9" t="s">
        <v>194</v>
      </c>
      <c r="D191" s="35">
        <f>+'KY_Res by Plant Acct-P29 (Reg)'!B523</f>
        <v>0</v>
      </c>
      <c r="E191" s="35"/>
      <c r="F191" s="35">
        <f>+'KY_Res by Plant Acct-P29 (Reg)'!D523</f>
        <v>0</v>
      </c>
      <c r="G191" s="35"/>
      <c r="H191" s="35">
        <f>+'KY_Res by Plant Acct-P29 (Reg)'!F523</f>
        <v>0</v>
      </c>
      <c r="I191" s="35"/>
      <c r="J191" s="35">
        <f>+'KY_Res by Plant Acct-P29 (Reg)'!H523</f>
        <v>0</v>
      </c>
      <c r="K191" s="35"/>
      <c r="L191" s="35"/>
      <c r="M191" s="35"/>
      <c r="N191" s="35">
        <f>+'KY_Res by Plant Acct-P29 (Reg)'!J523</f>
        <v>0</v>
      </c>
      <c r="O191" s="35"/>
      <c r="P191" s="35">
        <f>+'KY_Res by Plant Acct-P29 (Reg)'!L523</f>
        <v>0</v>
      </c>
      <c r="Q191" s="35"/>
      <c r="R191" s="35">
        <f>+'KY_Res by Plant Acct-P29 (Reg)'!N523</f>
        <v>0</v>
      </c>
      <c r="S191" s="35"/>
      <c r="T191" s="35">
        <f>+'KY_Res by Plant Acct-P29 (Reg)'!P523</f>
        <v>0</v>
      </c>
      <c r="U191" s="35"/>
      <c r="V191" s="35">
        <f>T191+R191+P191+N191+J191+H191+F191+D191</f>
        <v>0</v>
      </c>
      <c r="W191" s="35"/>
    </row>
    <row r="192" spans="1:28" outlineLevel="2" x14ac:dyDescent="0.2">
      <c r="A192" s="120" t="s">
        <v>193</v>
      </c>
      <c r="C192" s="9" t="s">
        <v>195</v>
      </c>
      <c r="D192" s="35">
        <f>+'KY_Res by Plant Acct-P29 (Reg)'!B397</f>
        <v>0</v>
      </c>
      <c r="E192" s="35"/>
      <c r="F192" s="35">
        <f>+'KY_Res by Plant Acct-P29 (Reg)'!D397</f>
        <v>0</v>
      </c>
      <c r="G192" s="35"/>
      <c r="H192" s="35">
        <f>+'KY_Res by Plant Acct-P29 (Reg)'!F397</f>
        <v>0</v>
      </c>
      <c r="I192" s="35"/>
      <c r="J192" s="35">
        <f>+'KY_Res by Plant Acct-P29 (Reg)'!H397</f>
        <v>0</v>
      </c>
      <c r="K192" s="35"/>
      <c r="L192" s="35"/>
      <c r="M192" s="35"/>
      <c r="N192" s="35">
        <f>+'KY_Res by Plant Acct-P29 (Reg)'!J397</f>
        <v>0</v>
      </c>
      <c r="O192" s="35"/>
      <c r="P192" s="35">
        <f>+'KY_Res by Plant Acct-P29 (Reg)'!L397</f>
        <v>0</v>
      </c>
      <c r="Q192" s="35"/>
      <c r="R192" s="35">
        <f>+'KY_Res by Plant Acct-P29 (Reg)'!N397</f>
        <v>0</v>
      </c>
      <c r="S192" s="35"/>
      <c r="T192" s="35">
        <f>+'KY_Res by Plant Acct-P29 (Reg)'!P397</f>
        <v>0</v>
      </c>
      <c r="U192" s="35"/>
      <c r="V192" s="35">
        <f t="shared" si="17"/>
        <v>0</v>
      </c>
      <c r="W192" s="35"/>
    </row>
    <row r="193" spans="1:47" outlineLevel="2" x14ac:dyDescent="0.2">
      <c r="A193" s="120" t="s">
        <v>193</v>
      </c>
      <c r="C193" s="9" t="s">
        <v>196</v>
      </c>
      <c r="D193" s="35">
        <f>+'KY_Res by Plant Acct-P29 (Reg)'!B470</f>
        <v>-164.16000000000003</v>
      </c>
      <c r="E193" s="35"/>
      <c r="F193" s="35">
        <f>+'KY_Res by Plant Acct-P29 (Reg)'!D470</f>
        <v>-44.52</v>
      </c>
      <c r="G193" s="35"/>
      <c r="H193" s="35">
        <f>+'KY_Res by Plant Acct-P29 (Reg)'!F470</f>
        <v>0</v>
      </c>
      <c r="I193" s="35"/>
      <c r="J193" s="35">
        <f>+'KY_Res by Plant Acct-P29 (Reg)'!H470</f>
        <v>0</v>
      </c>
      <c r="K193" s="35"/>
      <c r="L193" s="35"/>
      <c r="M193" s="35"/>
      <c r="N193" s="35">
        <f>+'KY_Res by Plant Acct-P29 (Reg)'!J470</f>
        <v>0</v>
      </c>
      <c r="O193" s="35"/>
      <c r="P193" s="35">
        <f>+'KY_Res by Plant Acct-P29 (Reg)'!L470</f>
        <v>0</v>
      </c>
      <c r="Q193" s="35"/>
      <c r="R193" s="35">
        <f>+'KY_Res by Plant Acct-P29 (Reg)'!N470</f>
        <v>0</v>
      </c>
      <c r="S193" s="35"/>
      <c r="T193" s="35">
        <f>+'KY_Res by Plant Acct-P29 (Reg)'!P470</f>
        <v>0</v>
      </c>
      <c r="U193" s="35"/>
      <c r="V193" s="35">
        <f>'KY_Res by Plant Acct-P29 (Reg)'!R470</f>
        <v>-208.68000000000004</v>
      </c>
      <c r="W193" s="35"/>
    </row>
    <row r="194" spans="1:47" outlineLevel="2" x14ac:dyDescent="0.2">
      <c r="C194" s="21" t="s">
        <v>199</v>
      </c>
      <c r="D194" s="88">
        <f>SUM(D184:D193)</f>
        <v>-4021630.9100000006</v>
      </c>
      <c r="E194" s="35"/>
      <c r="F194" s="88">
        <f>SUM(F184:F193)</f>
        <v>-114303.36</v>
      </c>
      <c r="G194" s="35"/>
      <c r="H194" s="88">
        <f>SUM(H184:H193)</f>
        <v>0</v>
      </c>
      <c r="I194" s="35"/>
      <c r="J194" s="88">
        <f>SUM(J184:J193)</f>
        <v>0</v>
      </c>
      <c r="K194" s="83"/>
      <c r="L194" s="83"/>
      <c r="M194" s="35"/>
      <c r="N194" s="88">
        <f>SUM(N184:N193)</f>
        <v>0</v>
      </c>
      <c r="O194" s="83"/>
      <c r="P194" s="88">
        <f>SUM(P184:P193)</f>
        <v>0</v>
      </c>
      <c r="Q194" s="83"/>
      <c r="R194" s="88">
        <f>SUM(R184:R193)</f>
        <v>0</v>
      </c>
      <c r="S194" s="83"/>
      <c r="T194" s="88">
        <f>SUM(T184:T193)</f>
        <v>0</v>
      </c>
      <c r="U194" s="35"/>
      <c r="V194" s="88">
        <f>SUM(V184:V193)</f>
        <v>-4135934.2700000005</v>
      </c>
      <c r="W194" s="83"/>
    </row>
    <row r="195" spans="1:47" outlineLevel="2" x14ac:dyDescent="0.2"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47" outlineLevel="2" x14ac:dyDescent="0.2">
      <c r="B196" s="87" t="s">
        <v>200</v>
      </c>
      <c r="D196" s="96">
        <f>+D179+D194</f>
        <v>6029549.1899999995</v>
      </c>
      <c r="E196" s="96"/>
      <c r="F196" s="96">
        <f>+F179+F194</f>
        <v>-114303.36</v>
      </c>
      <c r="G196" s="96"/>
      <c r="H196" s="96">
        <f>+H179+H194</f>
        <v>0</v>
      </c>
      <c r="I196" s="96"/>
      <c r="J196" s="96">
        <f>+J179+J194</f>
        <v>0</v>
      </c>
      <c r="K196" s="96"/>
      <c r="L196" s="96"/>
      <c r="M196" s="96"/>
      <c r="N196" s="96">
        <f>+N194</f>
        <v>0</v>
      </c>
      <c r="O196" s="96"/>
      <c r="P196" s="96">
        <f>+P179+P194</f>
        <v>0</v>
      </c>
      <c r="Q196" s="96"/>
      <c r="R196" s="96">
        <f>+R179+R194</f>
        <v>0</v>
      </c>
      <c r="S196" s="96"/>
      <c r="T196" s="96">
        <f>+T179+T194</f>
        <v>0</v>
      </c>
      <c r="U196" s="96"/>
      <c r="V196" s="96">
        <f>+V179+V194</f>
        <v>5915245.8299999991</v>
      </c>
      <c r="W196" s="96"/>
      <c r="X196" s="97">
        <f>+F194</f>
        <v>-114303.36</v>
      </c>
      <c r="Y196" s="97"/>
      <c r="Z196" s="97"/>
      <c r="AA196" s="97"/>
      <c r="AB196" s="97"/>
      <c r="AC196" s="84">
        <f>+F179</f>
        <v>0</v>
      </c>
      <c r="AD196" s="84"/>
      <c r="AL196" s="84"/>
      <c r="AN196" s="84">
        <f>+J179+J194</f>
        <v>0</v>
      </c>
      <c r="AT196" s="84">
        <f>SUM(X196:AR196)</f>
        <v>-114303.36</v>
      </c>
      <c r="AU196" s="84">
        <f>+V196-D196-AT196</f>
        <v>-3.3469405025243759E-10</v>
      </c>
    </row>
    <row r="197" spans="1:47" outlineLevel="2" x14ac:dyDescent="0.2">
      <c r="D197" s="96">
        <f>D196-D15</f>
        <v>0</v>
      </c>
      <c r="E197" s="96"/>
      <c r="F197" s="96">
        <v>0</v>
      </c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>
        <f>+V196-V15</f>
        <v>0</v>
      </c>
      <c r="W197" s="96"/>
    </row>
    <row r="198" spans="1:47" outlineLevel="2" x14ac:dyDescent="0.2"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47" outlineLevel="2" x14ac:dyDescent="0.2">
      <c r="B199" s="21"/>
      <c r="D199" s="7" t="s">
        <v>3</v>
      </c>
      <c r="F199" s="35"/>
      <c r="H199" s="35"/>
      <c r="J199" s="7" t="s">
        <v>4</v>
      </c>
      <c r="K199" s="7"/>
      <c r="L199" s="7" t="s">
        <v>66</v>
      </c>
      <c r="N199" s="7" t="s">
        <v>67</v>
      </c>
      <c r="P199" s="17" t="s">
        <v>68</v>
      </c>
      <c r="R199" s="7"/>
      <c r="T199" s="7" t="s">
        <v>69</v>
      </c>
      <c r="V199" s="7" t="s">
        <v>5</v>
      </c>
      <c r="W199" s="7"/>
    </row>
    <row r="200" spans="1:47" outlineLevel="1" x14ac:dyDescent="0.2">
      <c r="B200" s="21"/>
      <c r="D200" s="11" t="s">
        <v>7</v>
      </c>
      <c r="F200" s="11" t="s">
        <v>70</v>
      </c>
      <c r="H200" s="11" t="s">
        <v>9</v>
      </c>
      <c r="J200" s="11" t="s">
        <v>10</v>
      </c>
      <c r="K200" s="17"/>
      <c r="L200" s="11" t="s">
        <v>71</v>
      </c>
      <c r="N200" s="11" t="s">
        <v>72</v>
      </c>
      <c r="P200" s="11" t="s">
        <v>73</v>
      </c>
      <c r="R200" s="11" t="s">
        <v>74</v>
      </c>
      <c r="T200" s="11" t="s">
        <v>75</v>
      </c>
      <c r="V200" s="11" t="s">
        <v>7</v>
      </c>
      <c r="W200" s="17"/>
    </row>
    <row r="201" spans="1:47" outlineLevel="1" x14ac:dyDescent="0.2">
      <c r="B201" s="21"/>
      <c r="D201" s="17"/>
      <c r="F201" s="17"/>
      <c r="H201" s="17"/>
      <c r="J201" s="17"/>
      <c r="K201" s="17"/>
      <c r="L201" s="17"/>
      <c r="N201" s="17"/>
      <c r="P201" s="17"/>
      <c r="R201" s="17"/>
      <c r="T201" s="17"/>
      <c r="V201" s="17"/>
      <c r="W201" s="17"/>
    </row>
    <row r="202" spans="1:47" outlineLevel="1" x14ac:dyDescent="0.2">
      <c r="B202" s="9" t="s">
        <v>76</v>
      </c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</row>
    <row r="203" spans="1:47" outlineLevel="3" x14ac:dyDescent="0.2">
      <c r="B203" s="21"/>
      <c r="C203" s="21" t="s">
        <v>14</v>
      </c>
      <c r="D203" s="35">
        <f>+'Summary - Reserve - PG 2 (Reg)'!C10</f>
        <v>-79973717.86999999</v>
      </c>
      <c r="E203" s="35"/>
      <c r="F203" s="35">
        <f>+'Summary - Reserve - PG 2 (Reg)'!E10</f>
        <v>-8898287.4299999997</v>
      </c>
      <c r="G203" s="35"/>
      <c r="H203" s="35">
        <f>+'Summary - Reserve - PG 2 (Reg)'!G10</f>
        <v>8421276.8100000005</v>
      </c>
      <c r="I203" s="35"/>
      <c r="J203" s="35">
        <f>+'Summary - Reserve - PG 2 (Reg)'!I10</f>
        <v>0</v>
      </c>
      <c r="K203" s="35"/>
      <c r="L203" s="35"/>
      <c r="M203" s="35"/>
      <c r="N203" s="35">
        <f>+'Summary - Reserve - PG 2 (Reg)'!M10</f>
        <v>0</v>
      </c>
      <c r="O203" s="35"/>
      <c r="P203" s="35">
        <f>+'Summary - Reserve - PG 2 (Reg)'!O10</f>
        <v>0</v>
      </c>
      <c r="Q203" s="35"/>
      <c r="R203" s="35">
        <f>+'Summary - Reserve - PG 2 (Reg)'!Q10</f>
        <v>0</v>
      </c>
      <c r="S203" s="35"/>
      <c r="T203" s="35">
        <f>+'Summary - Reserve - PG 2 (Reg)'!S10</f>
        <v>0</v>
      </c>
      <c r="U203" s="35"/>
      <c r="V203" s="35">
        <f>T203+R203+P203+N203+J203+H203+F203+D203</f>
        <v>-80450728.489999995</v>
      </c>
      <c r="W203" s="35"/>
    </row>
    <row r="204" spans="1:47" outlineLevel="3" x14ac:dyDescent="0.2">
      <c r="B204" s="21"/>
      <c r="C204" s="21" t="s">
        <v>77</v>
      </c>
      <c r="D204" s="35">
        <f>+'Summary - Reserve - PG 2 (Reg)'!C11</f>
        <v>0</v>
      </c>
      <c r="E204" s="35"/>
      <c r="F204" s="35">
        <f>+'Summary - Reserve - PG 2 (Reg)'!E11</f>
        <v>0</v>
      </c>
      <c r="G204" s="35"/>
      <c r="H204" s="35">
        <f>+'Summary - Reserve - PG 2 (Reg)'!G11</f>
        <v>0</v>
      </c>
      <c r="I204" s="35"/>
      <c r="J204" s="35">
        <f>+'Summary - Reserve - PG 2 (Reg)'!I11</f>
        <v>0</v>
      </c>
      <c r="K204" s="35"/>
      <c r="L204" s="35"/>
      <c r="M204" s="35"/>
      <c r="N204" s="35">
        <f>+'Summary - Reserve - PG 2 (Reg)'!M11</f>
        <v>0</v>
      </c>
      <c r="O204" s="35"/>
      <c r="P204" s="35">
        <f>+'Summary - Reserve - PG 2 (Reg)'!O11</f>
        <v>0</v>
      </c>
      <c r="Q204" s="35"/>
      <c r="R204" s="35">
        <f>+'Summary - Reserve - PG 2 (Reg)'!Q11</f>
        <v>0</v>
      </c>
      <c r="S204" s="35"/>
      <c r="T204" s="35">
        <f>+'Summary - Reserve - PG 2 (Reg)'!S11</f>
        <v>0</v>
      </c>
      <c r="U204" s="35"/>
      <c r="V204" s="35">
        <f t="shared" ref="V204:V225" si="18">T204+R204+P204+N204+J204+H204+F204+D204</f>
        <v>0</v>
      </c>
      <c r="W204" s="35"/>
    </row>
    <row r="205" spans="1:47" outlineLevel="3" x14ac:dyDescent="0.2">
      <c r="B205" s="21"/>
      <c r="C205" s="21" t="s">
        <v>18</v>
      </c>
      <c r="D205" s="35">
        <f>+'Summary - Reserve - PG 2 (Reg)'!C12</f>
        <v>-356864212.81999999</v>
      </c>
      <c r="E205" s="35"/>
      <c r="F205" s="35">
        <f>+'Summary - Reserve - PG 2 (Reg)'!E12</f>
        <v>-25168934.100000001</v>
      </c>
      <c r="G205" s="35"/>
      <c r="H205" s="35">
        <f>+'Summary - Reserve - PG 2 (Reg)'!G12</f>
        <v>14899000.75</v>
      </c>
      <c r="I205" s="35"/>
      <c r="J205" s="35">
        <f>+'Summary - Reserve - PG 2 (Reg)'!I12</f>
        <v>272159.09000000003</v>
      </c>
      <c r="K205" s="35"/>
      <c r="L205" s="35"/>
      <c r="M205" s="35"/>
      <c r="N205" s="35">
        <f>+'Summary - Reserve - PG 2 (Reg)'!M12</f>
        <v>0</v>
      </c>
      <c r="O205" s="35"/>
      <c r="P205" s="35">
        <f>+'Summary - Reserve - PG 2 (Reg)'!O12</f>
        <v>0</v>
      </c>
      <c r="Q205" s="35"/>
      <c r="R205" s="35">
        <f>+'Summary - Reserve - PG 2 (Reg)'!Q12</f>
        <v>0</v>
      </c>
      <c r="S205" s="35"/>
      <c r="T205" s="35">
        <f>+'Summary - Reserve - PG 2 (Reg)'!S12</f>
        <v>0</v>
      </c>
      <c r="U205" s="35"/>
      <c r="V205" s="35">
        <f t="shared" si="18"/>
        <v>-366861987.07999998</v>
      </c>
      <c r="W205" s="35"/>
    </row>
    <row r="206" spans="1:47" outlineLevel="3" x14ac:dyDescent="0.2">
      <c r="B206" s="21"/>
      <c r="C206" s="21" t="s">
        <v>78</v>
      </c>
      <c r="D206" s="35">
        <f>+'Summary - Reserve - PG 2 (Reg)'!C13</f>
        <v>-50028.710000000065</v>
      </c>
      <c r="E206" s="35"/>
      <c r="F206" s="35">
        <f>+'Summary - Reserve - PG 2 (Reg)'!E13</f>
        <v>-41530.18</v>
      </c>
      <c r="G206" s="35"/>
      <c r="H206" s="35">
        <f>+'Summary - Reserve - PG 2 (Reg)'!G13</f>
        <v>42151.25</v>
      </c>
      <c r="I206" s="35"/>
      <c r="J206" s="35">
        <f>+'Summary - Reserve - PG 2 (Reg)'!I13</f>
        <v>0</v>
      </c>
      <c r="K206" s="35"/>
      <c r="L206" s="35"/>
      <c r="M206" s="35"/>
      <c r="N206" s="35">
        <f>+'Summary - Reserve - PG 2 (Reg)'!M13</f>
        <v>0</v>
      </c>
      <c r="O206" s="35"/>
      <c r="P206" s="35">
        <f>+'Summary - Reserve - PG 2 (Reg)'!O13</f>
        <v>0</v>
      </c>
      <c r="Q206" s="35"/>
      <c r="R206" s="35">
        <f>+'Summary - Reserve - PG 2 (Reg)'!Q13</f>
        <v>0</v>
      </c>
      <c r="S206" s="35"/>
      <c r="T206" s="35">
        <f>+'Summary - Reserve - PG 2 (Reg)'!S13</f>
        <v>0</v>
      </c>
      <c r="U206" s="35"/>
      <c r="V206" s="35">
        <f>T206+R206+P206+N206+J206+H206+F206+D206</f>
        <v>-49407.640000000065</v>
      </c>
      <c r="W206" s="35"/>
    </row>
    <row r="207" spans="1:47" outlineLevel="3" x14ac:dyDescent="0.2">
      <c r="B207" s="21"/>
      <c r="C207" s="21" t="s">
        <v>19</v>
      </c>
      <c r="D207" s="35">
        <f>+'Summary - Reserve - PG 2 (Reg)'!C14</f>
        <v>-9041188.5799999982</v>
      </c>
      <c r="E207" s="35"/>
      <c r="F207" s="35">
        <f>+'Summary - Reserve - PG 2 (Reg)'!E14</f>
        <v>-1562744.86</v>
      </c>
      <c r="G207" s="35"/>
      <c r="H207" s="35">
        <f>+'Summary - Reserve - PG 2 (Reg)'!G14</f>
        <v>729805.85</v>
      </c>
      <c r="I207" s="35"/>
      <c r="J207" s="35">
        <f>+'Summary - Reserve - PG 2 (Reg)'!I14</f>
        <v>-16563.850000000009</v>
      </c>
      <c r="K207" s="35"/>
      <c r="L207" s="35"/>
      <c r="M207" s="35"/>
      <c r="N207" s="35">
        <f>+'Summary - Reserve - PG 2 (Reg)'!M14</f>
        <v>0</v>
      </c>
      <c r="O207" s="35"/>
      <c r="P207" s="35">
        <f>+'Summary - Reserve - PG 2 (Reg)'!O14</f>
        <v>0</v>
      </c>
      <c r="Q207" s="35"/>
      <c r="R207" s="35">
        <f>+'Summary - Reserve - PG 2 (Reg)'!Q14</f>
        <v>0</v>
      </c>
      <c r="S207" s="35"/>
      <c r="T207" s="35">
        <f>+'Summary - Reserve - PG 2 (Reg)'!S14</f>
        <v>0</v>
      </c>
      <c r="U207" s="35"/>
      <c r="V207" s="35">
        <f>T207+R207+P207+N207+J207+H207+F207+D207</f>
        <v>-9890691.4399999976</v>
      </c>
      <c r="W207" s="35"/>
    </row>
    <row r="208" spans="1:47" outlineLevel="3" x14ac:dyDescent="0.2">
      <c r="B208" s="21"/>
      <c r="C208" s="21" t="s">
        <v>20</v>
      </c>
      <c r="D208" s="35">
        <f>+'Summary - Reserve - PG 2 (Reg)'!C15</f>
        <v>-18574456.290000003</v>
      </c>
      <c r="E208" s="35"/>
      <c r="F208" s="35">
        <f>+'Summary - Reserve - PG 2 (Reg)'!E15</f>
        <v>-3292887.91</v>
      </c>
      <c r="G208" s="35"/>
      <c r="H208" s="35">
        <f>+'Summary - Reserve - PG 2 (Reg)'!G15</f>
        <v>213911.37</v>
      </c>
      <c r="I208" s="35"/>
      <c r="J208" s="35">
        <f>+'Summary - Reserve - PG 2 (Reg)'!I15</f>
        <v>0</v>
      </c>
      <c r="K208" s="35"/>
      <c r="L208" s="35"/>
      <c r="M208" s="35"/>
      <c r="N208" s="35">
        <f>+'Summary - Reserve - PG 2 (Reg)'!M15</f>
        <v>0</v>
      </c>
      <c r="O208" s="35"/>
      <c r="P208" s="35">
        <f>+'Summary - Reserve - PG 2 (Reg)'!O15</f>
        <v>0</v>
      </c>
      <c r="Q208" s="35"/>
      <c r="R208" s="35">
        <f>+'Summary - Reserve - PG 2 (Reg)'!Q15</f>
        <v>0</v>
      </c>
      <c r="S208" s="35"/>
      <c r="T208" s="35">
        <f>+'Summary - Reserve - PG 2 (Reg)'!S15</f>
        <v>0</v>
      </c>
      <c r="U208" s="35"/>
      <c r="V208" s="35">
        <f t="shared" si="18"/>
        <v>-21653432.830000002</v>
      </c>
      <c r="W208" s="35"/>
    </row>
    <row r="209" spans="2:23" outlineLevel="3" x14ac:dyDescent="0.2">
      <c r="B209" s="21"/>
      <c r="C209" s="21" t="s">
        <v>79</v>
      </c>
      <c r="D209" s="35">
        <f>+'Summary - Reserve - PG 2 (Reg)'!C16</f>
        <v>-10638.64000000001</v>
      </c>
      <c r="E209" s="35"/>
      <c r="F209" s="35">
        <f>+'Summary - Reserve - PG 2 (Reg)'!E16</f>
        <v>-11692.49</v>
      </c>
      <c r="G209" s="35"/>
      <c r="H209" s="35">
        <f>+'Summary - Reserve - PG 2 (Reg)'!G16</f>
        <v>0</v>
      </c>
      <c r="I209" s="35"/>
      <c r="J209" s="35">
        <f>+'Summary - Reserve - PG 2 (Reg)'!I16</f>
        <v>0</v>
      </c>
      <c r="K209" s="35"/>
      <c r="L209" s="35"/>
      <c r="M209" s="35"/>
      <c r="N209" s="35">
        <f>+'Summary - Reserve - PG 2 (Reg)'!M16</f>
        <v>0</v>
      </c>
      <c r="O209" s="35"/>
      <c r="P209" s="35">
        <f>+'Summary - Reserve - PG 2 (Reg)'!O16</f>
        <v>0</v>
      </c>
      <c r="Q209" s="35"/>
      <c r="R209" s="35">
        <f>+'Summary - Reserve - PG 2 (Reg)'!Q16</f>
        <v>0</v>
      </c>
      <c r="S209" s="35"/>
      <c r="T209" s="35">
        <f>+'Summary - Reserve - PG 2 (Reg)'!S16</f>
        <v>0</v>
      </c>
      <c r="U209" s="35"/>
      <c r="V209" s="35">
        <f t="shared" si="18"/>
        <v>-22331.130000000012</v>
      </c>
      <c r="W209" s="35"/>
    </row>
    <row r="210" spans="2:23" outlineLevel="3" x14ac:dyDescent="0.2">
      <c r="B210" s="21"/>
      <c r="C210" s="21" t="s">
        <v>22</v>
      </c>
      <c r="D210" s="35">
        <f>+'Summary - Reserve - PG 2 (Reg)'!C17</f>
        <v>-117132945.51000001</v>
      </c>
      <c r="E210" s="35"/>
      <c r="F210" s="35">
        <f>+'Summary - Reserve - PG 2 (Reg)'!E17</f>
        <v>-14397266.35</v>
      </c>
      <c r="G210" s="35"/>
      <c r="H210" s="35">
        <f>+'Summary - Reserve - PG 2 (Reg)'!G17</f>
        <v>1242800.1399999999</v>
      </c>
      <c r="I210" s="35"/>
      <c r="J210" s="35">
        <f>+'Summary - Reserve - PG 2 (Reg)'!I17</f>
        <v>0</v>
      </c>
      <c r="K210" s="35"/>
      <c r="L210" s="35"/>
      <c r="M210" s="35"/>
      <c r="N210" s="35">
        <f>+'Summary - Reserve - PG 2 (Reg)'!M17</f>
        <v>0</v>
      </c>
      <c r="O210" s="35"/>
      <c r="P210" s="35">
        <f>+'Summary - Reserve - PG 2 (Reg)'!O17</f>
        <v>0</v>
      </c>
      <c r="Q210" s="35"/>
      <c r="R210" s="35">
        <f>+'Summary - Reserve - PG 2 (Reg)'!Q17</f>
        <v>0</v>
      </c>
      <c r="S210" s="35"/>
      <c r="T210" s="35">
        <f>+'Summary - Reserve - PG 2 (Reg)'!S17</f>
        <v>0</v>
      </c>
      <c r="U210" s="35"/>
      <c r="V210" s="35">
        <f t="shared" si="18"/>
        <v>-130287411.72</v>
      </c>
      <c r="W210" s="35"/>
    </row>
    <row r="211" spans="2:23" outlineLevel="3" x14ac:dyDescent="0.2">
      <c r="B211" s="21"/>
      <c r="C211" s="21" t="s">
        <v>80</v>
      </c>
      <c r="D211" s="35">
        <f>+'Summary - Reserve - PG 2 (Reg)'!C18</f>
        <v>-8977.0100000001239</v>
      </c>
      <c r="E211" s="35"/>
      <c r="F211" s="35">
        <f>+'Summary - Reserve - PG 2 (Reg)'!E18</f>
        <v>-4641.8</v>
      </c>
      <c r="G211" s="35"/>
      <c r="H211" s="35">
        <f>+'Summary - Reserve - PG 2 (Reg)'!G18</f>
        <v>0</v>
      </c>
      <c r="I211" s="35"/>
      <c r="J211" s="35">
        <f>+'Summary - Reserve - PG 2 (Reg)'!I18</f>
        <v>0</v>
      </c>
      <c r="K211" s="35"/>
      <c r="L211" s="35"/>
      <c r="M211" s="35"/>
      <c r="N211" s="35">
        <f>+'Summary - Reserve - PG 2 (Reg)'!M18</f>
        <v>0</v>
      </c>
      <c r="O211" s="35"/>
      <c r="P211" s="35">
        <f>+'Summary - Reserve - PG 2 (Reg)'!O18</f>
        <v>0</v>
      </c>
      <c r="Q211" s="35"/>
      <c r="R211" s="35">
        <f>+'Summary - Reserve - PG 2 (Reg)'!Q18</f>
        <v>0</v>
      </c>
      <c r="S211" s="35"/>
      <c r="T211" s="35">
        <f>+'Summary - Reserve - PG 2 (Reg)'!S18</f>
        <v>0</v>
      </c>
      <c r="U211" s="35"/>
      <c r="V211" s="35">
        <f>T211+R211+P211+N211+J211+H211+F211+D211</f>
        <v>-13618.810000000125</v>
      </c>
      <c r="W211" s="35"/>
    </row>
    <row r="212" spans="2:23" outlineLevel="3" x14ac:dyDescent="0.2">
      <c r="B212" s="21"/>
      <c r="C212" s="21" t="s">
        <v>23</v>
      </c>
      <c r="D212" s="35">
        <f>+'Summary - Reserve - PG 2 (Reg)'!C19</f>
        <v>-734670837.12</v>
      </c>
      <c r="E212" s="35"/>
      <c r="F212" s="35">
        <f>+'Summary - Reserve - PG 2 (Reg)'!E19</f>
        <v>-62601524.93</v>
      </c>
      <c r="G212" s="35"/>
      <c r="H212" s="35">
        <f>+'Summary - Reserve - PG 2 (Reg)'!G19</f>
        <v>14736965.74</v>
      </c>
      <c r="I212" s="35"/>
      <c r="J212" s="35">
        <f>+'Summary - Reserve - PG 2 (Reg)'!I19</f>
        <v>0</v>
      </c>
      <c r="K212" s="35"/>
      <c r="L212" s="35"/>
      <c r="M212" s="35"/>
      <c r="N212" s="35">
        <f>+'Summary - Reserve - PG 2 (Reg)'!M19</f>
        <v>0</v>
      </c>
      <c r="O212" s="35"/>
      <c r="P212" s="35">
        <f>+'Summary - Reserve - PG 2 (Reg)'!O19</f>
        <v>0</v>
      </c>
      <c r="Q212" s="35"/>
      <c r="R212" s="35">
        <f>+'Summary - Reserve - PG 2 (Reg)'!Q19</f>
        <v>0</v>
      </c>
      <c r="S212" s="35"/>
      <c r="T212" s="35">
        <f>+'Summary - Reserve - PG 2 (Reg)'!S19</f>
        <v>0</v>
      </c>
      <c r="U212" s="35"/>
      <c r="V212" s="35">
        <f t="shared" si="18"/>
        <v>-782535396.30999994</v>
      </c>
      <c r="W212" s="35"/>
    </row>
    <row r="213" spans="2:23" outlineLevel="3" x14ac:dyDescent="0.2">
      <c r="B213" s="21"/>
      <c r="C213" s="21" t="s">
        <v>81</v>
      </c>
      <c r="D213" s="35">
        <f>+'Summary - Reserve - PG 2 (Reg)'!C20</f>
        <v>-39822147.699999996</v>
      </c>
      <c r="E213" s="35"/>
      <c r="F213" s="35">
        <f>+'Summary - Reserve - PG 2 (Reg)'!E20</f>
        <v>-17008435.280000001</v>
      </c>
      <c r="G213" s="35"/>
      <c r="H213" s="35">
        <f>+'Summary - Reserve - PG 2 (Reg)'!G20</f>
        <v>20817965.800000001</v>
      </c>
      <c r="I213" s="35"/>
      <c r="J213" s="35">
        <f>+'Summary - Reserve - PG 2 (Reg)'!I20</f>
        <v>0</v>
      </c>
      <c r="K213" s="35"/>
      <c r="L213" s="35"/>
      <c r="M213" s="35"/>
      <c r="N213" s="35">
        <f>+'Summary - Reserve - PG 2 (Reg)'!M20</f>
        <v>0</v>
      </c>
      <c r="O213" s="35"/>
      <c r="P213" s="35">
        <f>+'Summary - Reserve - PG 2 (Reg)'!O20</f>
        <v>0</v>
      </c>
      <c r="Q213" s="35"/>
      <c r="R213" s="35">
        <f>+'Summary - Reserve - PG 2 (Reg)'!Q20</f>
        <v>0</v>
      </c>
      <c r="S213" s="35"/>
      <c r="T213" s="35">
        <f>+'Summary - Reserve - PG 2 (Reg)'!S20</f>
        <v>0</v>
      </c>
      <c r="U213" s="35"/>
      <c r="V213" s="35">
        <f t="shared" si="18"/>
        <v>-36012617.179999992</v>
      </c>
      <c r="W213" s="35"/>
    </row>
    <row r="214" spans="2:23" outlineLevel="3" x14ac:dyDescent="0.2">
      <c r="B214" s="21"/>
      <c r="C214" s="21" t="s">
        <v>24</v>
      </c>
      <c r="D214" s="35">
        <f>+'Summary - Reserve - PG 2 (Reg)'!C21</f>
        <v>-134905244.73999998</v>
      </c>
      <c r="E214" s="35"/>
      <c r="F214" s="35">
        <f>+'Summary - Reserve - PG 2 (Reg)'!E21</f>
        <v>-6480011.6100000003</v>
      </c>
      <c r="G214" s="35"/>
      <c r="H214" s="35">
        <f>+'Summary - Reserve - PG 2 (Reg)'!G21</f>
        <v>1969135.76</v>
      </c>
      <c r="I214" s="35"/>
      <c r="J214" s="35">
        <f>+'Summary - Reserve - PG 2 (Reg)'!I21</f>
        <v>-272159.09000000003</v>
      </c>
      <c r="K214" s="35"/>
      <c r="L214" s="35"/>
      <c r="M214" s="35"/>
      <c r="N214" s="35">
        <f>+'Summary - Reserve - PG 2 (Reg)'!M21</f>
        <v>0</v>
      </c>
      <c r="O214" s="35"/>
      <c r="P214" s="35">
        <f>+'Summary - Reserve - PG 2 (Reg)'!O21</f>
        <v>0</v>
      </c>
      <c r="Q214" s="35"/>
      <c r="R214" s="35">
        <f>+'Summary - Reserve - PG 2 (Reg)'!Q21</f>
        <v>0</v>
      </c>
      <c r="S214" s="35"/>
      <c r="T214" s="35">
        <f>+'Summary - Reserve - PG 2 (Reg)'!S21</f>
        <v>0</v>
      </c>
      <c r="U214" s="35"/>
      <c r="V214" s="35">
        <f t="shared" si="18"/>
        <v>-139688279.67999998</v>
      </c>
      <c r="W214" s="35"/>
    </row>
    <row r="215" spans="2:23" outlineLevel="3" x14ac:dyDescent="0.2">
      <c r="B215" s="21"/>
      <c r="C215" s="21" t="s">
        <v>82</v>
      </c>
      <c r="D215" s="35">
        <f>+'Summary - Reserve - PG 2 (Reg)'!C22</f>
        <v>-30161.289999999997</v>
      </c>
      <c r="E215" s="35"/>
      <c r="F215" s="35">
        <f>+'Summary - Reserve - PG 2 (Reg)'!E22</f>
        <v>-12858.85</v>
      </c>
      <c r="G215" s="35"/>
      <c r="H215" s="35">
        <f>+'Summary - Reserve - PG 2 (Reg)'!G22</f>
        <v>7370.88</v>
      </c>
      <c r="I215" s="35"/>
      <c r="J215" s="35">
        <f>+'Summary - Reserve - PG 2 (Reg)'!I22</f>
        <v>0</v>
      </c>
      <c r="K215" s="35"/>
      <c r="L215" s="35"/>
      <c r="M215" s="35"/>
      <c r="N215" s="35">
        <f>+'Summary - Reserve - PG 2 (Reg)'!M22</f>
        <v>0</v>
      </c>
      <c r="O215" s="35"/>
      <c r="P215" s="35">
        <f>+'Summary - Reserve - PG 2 (Reg)'!O22</f>
        <v>0</v>
      </c>
      <c r="Q215" s="35"/>
      <c r="R215" s="35">
        <f>+'Summary - Reserve - PG 2 (Reg)'!Q22</f>
        <v>0</v>
      </c>
      <c r="S215" s="35"/>
      <c r="T215" s="35">
        <f>+'Summary - Reserve - PG 2 (Reg)'!S22</f>
        <v>0</v>
      </c>
      <c r="U215" s="35"/>
      <c r="V215" s="35">
        <f t="shared" si="18"/>
        <v>-35649.259999999995</v>
      </c>
      <c r="W215" s="35"/>
    </row>
    <row r="216" spans="2:23" outlineLevel="3" x14ac:dyDescent="0.2">
      <c r="B216" s="21"/>
      <c r="C216" s="21" t="s">
        <v>27</v>
      </c>
      <c r="D216" s="35">
        <f>+'Summary - Reserve - PG 2 (Reg)'!C23</f>
        <v>-171453599.78000006</v>
      </c>
      <c r="E216" s="35"/>
      <c r="F216" s="35">
        <f>+'Summary - Reserve - PG 2 (Reg)'!E23</f>
        <v>-17398788.789999999</v>
      </c>
      <c r="G216" s="35"/>
      <c r="H216" s="35">
        <f>+'Summary - Reserve - PG 2 (Reg)'!G23</f>
        <v>2515897.66</v>
      </c>
      <c r="I216" s="35"/>
      <c r="J216" s="35">
        <f>+'Summary - Reserve - PG 2 (Reg)'!I23</f>
        <v>0</v>
      </c>
      <c r="K216" s="35"/>
      <c r="L216" s="35"/>
      <c r="M216" s="35"/>
      <c r="N216" s="35">
        <f>+'Summary - Reserve - PG 2 (Reg)'!M23</f>
        <v>0</v>
      </c>
      <c r="O216" s="35"/>
      <c r="P216" s="35">
        <f>+'Summary - Reserve - PG 2 (Reg)'!O23</f>
        <v>0</v>
      </c>
      <c r="Q216" s="35"/>
      <c r="R216" s="35">
        <f>+'Summary - Reserve - PG 2 (Reg)'!Q23</f>
        <v>0</v>
      </c>
      <c r="S216" s="35"/>
      <c r="T216" s="35">
        <f>+'Summary - Reserve - PG 2 (Reg)'!S23</f>
        <v>0</v>
      </c>
      <c r="U216" s="35"/>
      <c r="V216" s="35">
        <f t="shared" si="18"/>
        <v>-186336490.91000006</v>
      </c>
      <c r="W216" s="35"/>
    </row>
    <row r="217" spans="2:23" outlineLevel="3" x14ac:dyDescent="0.2">
      <c r="B217" s="21"/>
      <c r="C217" s="21" t="s">
        <v>83</v>
      </c>
      <c r="D217" s="35">
        <f>+'Summary - Reserve - PG 2 (Reg)'!C24</f>
        <v>-1378383.8099999991</v>
      </c>
      <c r="E217" s="35"/>
      <c r="F217" s="35">
        <f>+'Summary - Reserve - PG 2 (Reg)'!E24</f>
        <v>-284389.57</v>
      </c>
      <c r="G217" s="35"/>
      <c r="H217" s="35">
        <f>+'Summary - Reserve - PG 2 (Reg)'!G24</f>
        <v>60138.52</v>
      </c>
      <c r="I217" s="35"/>
      <c r="J217" s="35">
        <f>+'Summary - Reserve - PG 2 (Reg)'!I24</f>
        <v>0</v>
      </c>
      <c r="K217" s="35"/>
      <c r="L217" s="35"/>
      <c r="M217" s="35"/>
      <c r="N217" s="35">
        <f>+'Summary - Reserve - PG 2 (Reg)'!M24</f>
        <v>0</v>
      </c>
      <c r="O217" s="35"/>
      <c r="P217" s="35">
        <f>+'Summary - Reserve - PG 2 (Reg)'!O24</f>
        <v>0</v>
      </c>
      <c r="Q217" s="35"/>
      <c r="R217" s="35">
        <f>+'Summary - Reserve - PG 2 (Reg)'!Q24</f>
        <v>0</v>
      </c>
      <c r="S217" s="35"/>
      <c r="T217" s="35">
        <f>+'Summary - Reserve - PG 2 (Reg)'!S24</f>
        <v>0</v>
      </c>
      <c r="U217" s="35"/>
      <c r="V217" s="35">
        <f t="shared" si="18"/>
        <v>-1602634.8599999992</v>
      </c>
      <c r="W217" s="35"/>
    </row>
    <row r="218" spans="2:23" outlineLevel="3" x14ac:dyDescent="0.2">
      <c r="B218" s="21"/>
      <c r="C218" s="21" t="s">
        <v>28</v>
      </c>
      <c r="D218" s="35">
        <f>+'Summary - Reserve - PG 2 (Reg)'!C25</f>
        <v>-6010330.6799999997</v>
      </c>
      <c r="E218" s="35"/>
      <c r="F218" s="35">
        <f>+'Summary - Reserve - PG 2 (Reg)'!E25</f>
        <v>-698300.07</v>
      </c>
      <c r="G218" s="35"/>
      <c r="H218" s="35">
        <f>+'Summary - Reserve - PG 2 (Reg)'!G25</f>
        <v>794145.75</v>
      </c>
      <c r="I218" s="35"/>
      <c r="J218" s="35">
        <f>+'Summary - Reserve - PG 2 (Reg)'!I25</f>
        <v>-12797.84</v>
      </c>
      <c r="K218" s="35"/>
      <c r="L218" s="35"/>
      <c r="M218" s="35"/>
      <c r="N218" s="35">
        <f>+'Summary - Reserve - PG 2 (Reg)'!M25</f>
        <v>0</v>
      </c>
      <c r="O218" s="35"/>
      <c r="P218" s="35">
        <f>+'Summary - Reserve - PG 2 (Reg)'!O25</f>
        <v>0</v>
      </c>
      <c r="Q218" s="35"/>
      <c r="R218" s="35">
        <f>+'Summary - Reserve - PG 2 (Reg)'!Q25</f>
        <v>0</v>
      </c>
      <c r="S218" s="35"/>
      <c r="T218" s="35">
        <f>+'Summary - Reserve - PG 2 (Reg)'!S25</f>
        <v>0</v>
      </c>
      <c r="U218" s="35"/>
      <c r="V218" s="35">
        <f t="shared" si="18"/>
        <v>-5927282.8399999999</v>
      </c>
      <c r="W218" s="35"/>
    </row>
    <row r="219" spans="2:23" outlineLevel="3" x14ac:dyDescent="0.2">
      <c r="B219" s="21"/>
      <c r="C219" s="21" t="s">
        <v>30</v>
      </c>
      <c r="D219" s="35">
        <f>+'Summary - Reserve - PG 2 (Reg)'!C26</f>
        <v>-38225888.900000006</v>
      </c>
      <c r="E219" s="35"/>
      <c r="F219" s="35">
        <f>+'Summary - Reserve - PG 2 (Reg)'!E26</f>
        <v>-2970597.74</v>
      </c>
      <c r="G219" s="35"/>
      <c r="H219" s="35">
        <f>+'Summary - Reserve - PG 2 (Reg)'!G26</f>
        <v>499422.99</v>
      </c>
      <c r="I219" s="35"/>
      <c r="J219" s="35">
        <f>+'Summary - Reserve - PG 2 (Reg)'!I26</f>
        <v>0</v>
      </c>
      <c r="K219" s="35"/>
      <c r="L219" s="35"/>
      <c r="M219" s="35"/>
      <c r="N219" s="35">
        <f>+'Summary - Reserve - PG 2 (Reg)'!M26</f>
        <v>0</v>
      </c>
      <c r="O219" s="35"/>
      <c r="P219" s="35">
        <f>+'Summary - Reserve - PG 2 (Reg)'!O26</f>
        <v>0</v>
      </c>
      <c r="Q219" s="35"/>
      <c r="R219" s="35">
        <f>+'Summary - Reserve - PG 2 (Reg)'!Q26</f>
        <v>0</v>
      </c>
      <c r="S219" s="35"/>
      <c r="T219" s="35">
        <f>+'Summary - Reserve - PG 2 (Reg)'!S26</f>
        <v>0</v>
      </c>
      <c r="U219" s="35"/>
      <c r="V219" s="35">
        <f t="shared" si="18"/>
        <v>-40697063.650000006</v>
      </c>
      <c r="W219" s="35"/>
    </row>
    <row r="220" spans="2:23" outlineLevel="3" x14ac:dyDescent="0.2">
      <c r="B220" s="21"/>
      <c r="C220" s="21" t="s">
        <v>84</v>
      </c>
      <c r="D220" s="35">
        <f>+'Summary - Reserve - PG 2 (Reg)'!C27</f>
        <v>-973691.83000000007</v>
      </c>
      <c r="E220" s="35"/>
      <c r="F220" s="35">
        <f>+'Summary - Reserve - PG 2 (Reg)'!E27</f>
        <v>-225974.57</v>
      </c>
      <c r="G220" s="35"/>
      <c r="H220" s="35">
        <f>+'Summary - Reserve - PG 2 (Reg)'!G27</f>
        <v>174374.69</v>
      </c>
      <c r="I220" s="35"/>
      <c r="J220" s="35">
        <f>+'Summary - Reserve - PG 2 (Reg)'!I27</f>
        <v>0</v>
      </c>
      <c r="K220" s="35"/>
      <c r="L220" s="35"/>
      <c r="M220" s="35"/>
      <c r="N220" s="35">
        <f>+'Summary - Reserve - PG 2 (Reg)'!M27</f>
        <v>0</v>
      </c>
      <c r="O220" s="35"/>
      <c r="P220" s="35">
        <f>+'Summary - Reserve - PG 2 (Reg)'!O27</f>
        <v>0</v>
      </c>
      <c r="Q220" s="35"/>
      <c r="R220" s="35">
        <f>+'Summary - Reserve - PG 2 (Reg)'!Q27</f>
        <v>0</v>
      </c>
      <c r="S220" s="35"/>
      <c r="T220" s="35">
        <f>+'Summary - Reserve - PG 2 (Reg)'!S27</f>
        <v>0</v>
      </c>
      <c r="U220" s="35"/>
      <c r="V220" s="35">
        <f t="shared" si="18"/>
        <v>-1025291.7100000001</v>
      </c>
      <c r="W220" s="35"/>
    </row>
    <row r="221" spans="2:23" outlineLevel="3" x14ac:dyDescent="0.2">
      <c r="B221" s="21"/>
      <c r="C221" s="21" t="s">
        <v>51</v>
      </c>
      <c r="D221" s="35">
        <f>+'Summary - Reserve - PG 2 (Reg)'!C28</f>
        <v>0</v>
      </c>
      <c r="E221" s="35"/>
      <c r="F221" s="35">
        <f>+'Summary - Reserve - PG 2 (Reg)'!E28</f>
        <v>0</v>
      </c>
      <c r="G221" s="35"/>
      <c r="H221" s="35">
        <f>+'Summary - Reserve - PG 2 (Reg)'!G28</f>
        <v>0</v>
      </c>
      <c r="I221" s="35"/>
      <c r="J221" s="35">
        <f>+'Summary - Reserve - PG 2 (Reg)'!I28</f>
        <v>0</v>
      </c>
      <c r="K221" s="35"/>
      <c r="L221" s="35"/>
      <c r="M221" s="35"/>
      <c r="N221" s="35">
        <f>+'Summary - Reserve - PG 2 (Reg)'!M28</f>
        <v>0</v>
      </c>
      <c r="O221" s="35"/>
      <c r="P221" s="35">
        <f>+'Summary - Reserve - PG 2 (Reg)'!O28</f>
        <v>0</v>
      </c>
      <c r="Q221" s="35"/>
      <c r="R221" s="35">
        <f>+'Summary - Reserve - PG 2 (Reg)'!Q28</f>
        <v>0</v>
      </c>
      <c r="S221" s="35"/>
      <c r="T221" s="35">
        <f>+'Summary - Reserve - PG 2 (Reg)'!S28</f>
        <v>0</v>
      </c>
      <c r="U221" s="35"/>
      <c r="V221" s="35">
        <f t="shared" si="18"/>
        <v>0</v>
      </c>
      <c r="W221" s="35"/>
    </row>
    <row r="222" spans="2:23" outlineLevel="3" x14ac:dyDescent="0.2">
      <c r="B222" s="21"/>
      <c r="C222" s="21" t="s">
        <v>31</v>
      </c>
      <c r="D222" s="35">
        <f>+'Summary - Reserve - PG 2 (Reg)'!C29</f>
        <v>-9787563.0600000042</v>
      </c>
      <c r="E222" s="83"/>
      <c r="F222" s="35">
        <f>+'Summary - Reserve - PG 2 (Reg)'!E29</f>
        <v>-585886.49</v>
      </c>
      <c r="G222" s="83"/>
      <c r="H222" s="35">
        <f>+'Summary - Reserve - PG 2 (Reg)'!G29</f>
        <v>217700.06</v>
      </c>
      <c r="I222" s="83"/>
      <c r="J222" s="35">
        <f>+'Summary - Reserve - PG 2 (Reg)'!I29</f>
        <v>0</v>
      </c>
      <c r="K222" s="35"/>
      <c r="L222" s="35"/>
      <c r="M222" s="83"/>
      <c r="N222" s="35">
        <f>+'Summary - Reserve - PG 2 (Reg)'!M29</f>
        <v>0</v>
      </c>
      <c r="O222" s="83"/>
      <c r="P222" s="35">
        <f>+'Summary - Reserve - PG 2 (Reg)'!O29</f>
        <v>0</v>
      </c>
      <c r="Q222" s="83"/>
      <c r="R222" s="35">
        <f>+'Summary - Reserve - PG 2 (Reg)'!Q29</f>
        <v>0</v>
      </c>
      <c r="S222" s="83"/>
      <c r="T222" s="35">
        <f>+'Summary - Reserve - PG 2 (Reg)'!S29</f>
        <v>0</v>
      </c>
      <c r="U222" s="83"/>
      <c r="V222" s="83">
        <f t="shared" si="18"/>
        <v>-10155749.490000004</v>
      </c>
      <c r="W222" s="83"/>
    </row>
    <row r="223" spans="2:23" outlineLevel="3" x14ac:dyDescent="0.2">
      <c r="B223" s="21"/>
      <c r="C223" s="21" t="s">
        <v>31</v>
      </c>
      <c r="D223" s="35">
        <f>+'Summary - Reserve - PG 2 (Reg)'!C30</f>
        <v>-341676.46</v>
      </c>
      <c r="E223" s="83"/>
      <c r="F223" s="35">
        <f>+'Summary - Reserve - PG 2 (Reg)'!E30</f>
        <v>-73027.83</v>
      </c>
      <c r="G223" s="83"/>
      <c r="H223" s="35">
        <f>+'Summary - Reserve - PG 2 (Reg)'!G30</f>
        <v>42504.33</v>
      </c>
      <c r="I223" s="83"/>
      <c r="J223" s="35">
        <f>+'Summary - Reserve - PG 2 (Reg)'!I30</f>
        <v>0</v>
      </c>
      <c r="K223" s="35"/>
      <c r="L223" s="35"/>
      <c r="M223" s="83"/>
      <c r="N223" s="35">
        <f>+'Summary - Reserve - PG 2 (Reg)'!M30</f>
        <v>0</v>
      </c>
      <c r="O223" s="83"/>
      <c r="P223" s="35">
        <f>+'Summary - Reserve - PG 2 (Reg)'!O30</f>
        <v>0</v>
      </c>
      <c r="Q223" s="83"/>
      <c r="R223" s="35">
        <f>+'Summary - Reserve - PG 2 (Reg)'!Q30</f>
        <v>0</v>
      </c>
      <c r="S223" s="83"/>
      <c r="T223" s="35">
        <f>+'Summary - Reserve - PG 2 (Reg)'!S30</f>
        <v>0</v>
      </c>
      <c r="U223" s="83"/>
      <c r="V223" s="83">
        <f>T223+R223+P223+N223+J223+H223+F223+D223</f>
        <v>-372199.96</v>
      </c>
      <c r="W223" s="83"/>
    </row>
    <row r="224" spans="2:23" outlineLevel="3" x14ac:dyDescent="0.2">
      <c r="B224" s="21"/>
      <c r="C224" s="21" t="s">
        <v>201</v>
      </c>
      <c r="D224" s="35">
        <f>+'Summary - Reserve - PG 2 (Reg)'!C31</f>
        <v>0</v>
      </c>
      <c r="E224" s="83"/>
      <c r="F224" s="35">
        <f>+'Summary - Reserve - PG 2 (Reg)'!E31</f>
        <v>0</v>
      </c>
      <c r="G224" s="83"/>
      <c r="H224" s="35">
        <f>+'Summary - Reserve - PG 2 (Reg)'!G31</f>
        <v>0</v>
      </c>
      <c r="I224" s="83"/>
      <c r="J224" s="35">
        <f>+'Summary - Reserve - PG 2 (Reg)'!I31</f>
        <v>0</v>
      </c>
      <c r="K224" s="35"/>
      <c r="L224" s="35"/>
      <c r="M224" s="83"/>
      <c r="N224" s="35">
        <f>+'Summary - Reserve - PG 2 (Reg)'!M31</f>
        <v>0</v>
      </c>
      <c r="O224" s="83"/>
      <c r="P224" s="35">
        <f>+'Summary - Reserve - PG 2 (Reg)'!O31</f>
        <v>0</v>
      </c>
      <c r="Q224" s="83"/>
      <c r="R224" s="35">
        <f>+'Summary - Reserve - PG 2 (Reg)'!Q31</f>
        <v>0</v>
      </c>
      <c r="S224" s="83"/>
      <c r="T224" s="35">
        <f>+'Summary - Reserve - PG 2 (Reg)'!S31</f>
        <v>0</v>
      </c>
      <c r="U224" s="83"/>
      <c r="V224" s="83">
        <f>T224+R224+P224+N224+J224+H224+F224+D224</f>
        <v>0</v>
      </c>
      <c r="W224" s="83"/>
    </row>
    <row r="225" spans="1:28" outlineLevel="3" x14ac:dyDescent="0.2">
      <c r="B225" s="21"/>
      <c r="C225" s="21" t="s">
        <v>88</v>
      </c>
      <c r="D225" s="35">
        <f>+'Summary - Reserve - PG 2 (Reg)'!C32</f>
        <v>-63360.360000000008</v>
      </c>
      <c r="E225" s="83"/>
      <c r="F225" s="35">
        <f>+'Summary - Reserve - PG 2 (Reg)'!E32</f>
        <v>0</v>
      </c>
      <c r="G225" s="83"/>
      <c r="H225" s="35">
        <f>+'Summary - Reserve - PG 2 (Reg)'!G32</f>
        <v>0</v>
      </c>
      <c r="I225" s="83"/>
      <c r="J225" s="35">
        <f>+'Summary - Reserve - PG 2 (Reg)'!I32</f>
        <v>0</v>
      </c>
      <c r="K225" s="83"/>
      <c r="L225" s="83"/>
      <c r="M225" s="83"/>
      <c r="N225" s="35">
        <f>+'Summary - Reserve - PG 2 (Reg)'!M32</f>
        <v>0</v>
      </c>
      <c r="O225" s="83"/>
      <c r="P225" s="35">
        <f>+'Summary - Reserve - PG 2 (Reg)'!O32</f>
        <v>0</v>
      </c>
      <c r="Q225" s="83"/>
      <c r="R225" s="35">
        <f>+'Summary - Reserve - PG 2 (Reg)'!Q32</f>
        <v>0</v>
      </c>
      <c r="S225" s="83"/>
      <c r="T225" s="35">
        <f>+'Summary - Reserve - PG 2 (Reg)'!S32</f>
        <v>0</v>
      </c>
      <c r="U225" s="83"/>
      <c r="V225" s="149">
        <f t="shared" si="18"/>
        <v>-63360.360000000008</v>
      </c>
      <c r="W225" s="83"/>
    </row>
    <row r="226" spans="1:28" outlineLevel="3" x14ac:dyDescent="0.2">
      <c r="B226" s="21"/>
      <c r="C226" s="18"/>
      <c r="D226" s="110">
        <f>SUM(D203:D225)</f>
        <v>-1719319051.1599998</v>
      </c>
      <c r="E226" s="83"/>
      <c r="F226" s="110">
        <f>SUM(F203:F225)</f>
        <v>-161717780.85000002</v>
      </c>
      <c r="G226" s="83"/>
      <c r="H226" s="110">
        <f>SUM(H203:H225)</f>
        <v>67384568.350000009</v>
      </c>
      <c r="I226" s="83"/>
      <c r="J226" s="110">
        <f>SUM(J203:J225)</f>
        <v>-29361.690000000006</v>
      </c>
      <c r="K226" s="83"/>
      <c r="L226" s="83"/>
      <c r="M226" s="83"/>
      <c r="N226" s="110">
        <f>SUM(N203:N225)</f>
        <v>0</v>
      </c>
      <c r="O226" s="83"/>
      <c r="P226" s="110">
        <f>SUM(P203:P225)</f>
        <v>0</v>
      </c>
      <c r="Q226" s="83"/>
      <c r="R226" s="110">
        <f>SUM(R203:R225)</f>
        <v>0</v>
      </c>
      <c r="S226" s="83"/>
      <c r="T226" s="110">
        <f>SUM(T203:T225)</f>
        <v>0</v>
      </c>
      <c r="U226" s="83"/>
      <c r="V226" s="83">
        <f>SUM(V203:V225)</f>
        <v>-1813681625.3499999</v>
      </c>
      <c r="W226" s="83"/>
    </row>
    <row r="227" spans="1:28" outlineLevel="3" x14ac:dyDescent="0.2">
      <c r="B227" s="21"/>
      <c r="D227" s="80"/>
      <c r="E227" s="80"/>
      <c r="F227" s="80"/>
      <c r="G227" s="80"/>
      <c r="H227" s="80"/>
      <c r="I227" s="80"/>
      <c r="J227" s="30"/>
      <c r="K227" s="30"/>
      <c r="L227" s="3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</row>
    <row r="228" spans="1:28" outlineLevel="3" x14ac:dyDescent="0.2">
      <c r="B228" s="9" t="s">
        <v>95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</row>
    <row r="229" spans="1:28" outlineLevel="3" x14ac:dyDescent="0.2">
      <c r="B229" s="21"/>
      <c r="C229" s="21" t="s">
        <v>13</v>
      </c>
      <c r="D229" s="35">
        <f>+'Summary - Reserve - PG 2 (Reg)'!C82</f>
        <v>-51500719.059999995</v>
      </c>
      <c r="E229" s="35"/>
      <c r="F229" s="35">
        <f>+'Summary - Reserve - PG 2 (Reg)'!E82</f>
        <v>-14818571.390000001</v>
      </c>
      <c r="G229" s="35"/>
      <c r="H229" s="35">
        <f>+'Summary - Reserve - PG 2 (Reg)'!G82</f>
        <v>8008540.6900000004</v>
      </c>
      <c r="I229" s="35"/>
      <c r="J229" s="35">
        <f>+'Summary - Reserve - PG 2 (Reg)'!I82</f>
        <v>0</v>
      </c>
      <c r="K229" s="35"/>
      <c r="L229" s="35"/>
      <c r="M229" s="35"/>
      <c r="N229" s="35">
        <f>+'Summary - Reserve - PG 2 (Reg)'!M82</f>
        <v>0</v>
      </c>
      <c r="O229" s="35"/>
      <c r="P229" s="35">
        <f>+'Summary - Reserve - PG 2 (Reg)'!O82</f>
        <v>0</v>
      </c>
      <c r="Q229" s="35"/>
      <c r="R229" s="35">
        <f>+'Summary - Reserve - PG 2 (Reg)'!Q82</f>
        <v>0</v>
      </c>
      <c r="S229" s="35"/>
      <c r="T229" s="35">
        <f>+'Summary - Reserve - PG 2 (Reg)'!S82</f>
        <v>0</v>
      </c>
      <c r="U229" s="35"/>
      <c r="V229" s="35">
        <f>T229+R229+P229+N229+J229+H229+F229+D229</f>
        <v>-58310749.759999998</v>
      </c>
      <c r="W229" s="35"/>
    </row>
    <row r="230" spans="1:28" outlineLevel="3" x14ac:dyDescent="0.2">
      <c r="B230" s="21"/>
      <c r="C230" s="21" t="s">
        <v>17</v>
      </c>
      <c r="D230" s="35">
        <f>+'Summary - Reserve - PG 2 (Reg)'!C83</f>
        <v>0</v>
      </c>
      <c r="E230" s="35"/>
      <c r="F230" s="35">
        <f>+'Summary - Reserve - PG 2 (Reg)'!E83</f>
        <v>0</v>
      </c>
      <c r="G230" s="35"/>
      <c r="H230" s="35">
        <f>+'Summary - Reserve - PG 2 (Reg)'!G83</f>
        <v>0</v>
      </c>
      <c r="I230" s="35"/>
      <c r="J230" s="35">
        <f>+'Summary - Reserve - PG 2 (Reg)'!I83</f>
        <v>0</v>
      </c>
      <c r="K230" s="35"/>
      <c r="L230" s="35"/>
      <c r="M230" s="35"/>
      <c r="N230" s="35">
        <f>+'Summary - Reserve - PG 2 (Reg)'!M83</f>
        <v>0</v>
      </c>
      <c r="O230" s="35"/>
      <c r="P230" s="35">
        <f>+'Summary - Reserve - PG 2 (Reg)'!O83</f>
        <v>0</v>
      </c>
      <c r="Q230" s="35"/>
      <c r="R230" s="35">
        <f>+'Summary - Reserve - PG 2 (Reg)'!Q83</f>
        <v>0</v>
      </c>
      <c r="S230" s="35"/>
      <c r="T230" s="35">
        <f>+'Summary - Reserve - PG 2 (Reg)'!S83</f>
        <v>0</v>
      </c>
      <c r="U230" s="35"/>
      <c r="V230" s="35">
        <f>T230+R230+P230+N230+J230+H230+F230+D230</f>
        <v>0</v>
      </c>
      <c r="W230" s="35"/>
    </row>
    <row r="231" spans="1:28" outlineLevel="3" x14ac:dyDescent="0.2">
      <c r="B231" s="21"/>
      <c r="C231" s="21" t="s">
        <v>26</v>
      </c>
      <c r="D231" s="35">
        <f>+'Summary - Reserve - PG 2 (Reg)'!C84</f>
        <v>-164.16000000000003</v>
      </c>
      <c r="E231" s="35"/>
      <c r="F231" s="35">
        <f>+'Summary - Reserve - PG 2 (Reg)'!E84</f>
        <v>-44.52</v>
      </c>
      <c r="G231" s="35"/>
      <c r="H231" s="35">
        <f>+'Summary - Reserve - PG 2 (Reg)'!G84</f>
        <v>0</v>
      </c>
      <c r="I231" s="35"/>
      <c r="J231" s="35">
        <f>+'Summary - Reserve - PG 2 (Reg)'!I84</f>
        <v>0</v>
      </c>
      <c r="K231" s="83"/>
      <c r="L231" s="83"/>
      <c r="M231" s="35"/>
      <c r="N231" s="35">
        <f>+'Summary - Reserve - PG 2 (Reg)'!M84</f>
        <v>0</v>
      </c>
      <c r="O231" s="35"/>
      <c r="P231" s="35">
        <f>+'Summary - Reserve - PG 2 (Reg)'!O84</f>
        <v>0</v>
      </c>
      <c r="Q231" s="35"/>
      <c r="R231" s="35">
        <f>+'Summary - Reserve - PG 2 (Reg)'!Q84</f>
        <v>0</v>
      </c>
      <c r="S231" s="35"/>
      <c r="T231" s="35">
        <f>+'Summary - Reserve - PG 2 (Reg)'!S84</f>
        <v>0</v>
      </c>
      <c r="U231" s="35"/>
      <c r="V231" s="149">
        <f>T231+R231+P231+N231+J231+H231+F231+D231</f>
        <v>-208.68000000000004</v>
      </c>
      <c r="W231" s="83"/>
    </row>
    <row r="232" spans="1:28" outlineLevel="3" x14ac:dyDescent="0.2">
      <c r="B232" s="21"/>
      <c r="C232" s="18" t="s">
        <v>99</v>
      </c>
      <c r="D232" s="110">
        <f>SUM(D229:D231)</f>
        <v>-51500883.219999991</v>
      </c>
      <c r="E232" s="83"/>
      <c r="F232" s="110">
        <f>SUM(F229:F231)</f>
        <v>-14818615.91</v>
      </c>
      <c r="G232" s="83"/>
      <c r="H232" s="110">
        <f>SUM(H229:H231)</f>
        <v>8008540.6900000004</v>
      </c>
      <c r="I232" s="83"/>
      <c r="J232" s="110">
        <f>SUM(J229:J231)</f>
        <v>0</v>
      </c>
      <c r="K232" s="83"/>
      <c r="L232" s="83"/>
      <c r="M232" s="83"/>
      <c r="N232" s="110">
        <f>SUM(N229:N231)</f>
        <v>0</v>
      </c>
      <c r="O232" s="83"/>
      <c r="P232" s="110">
        <f>SUM(P229:P231)</f>
        <v>0</v>
      </c>
      <c r="Q232" s="83"/>
      <c r="R232" s="110">
        <f>SUM(R229:R231)</f>
        <v>0</v>
      </c>
      <c r="S232" s="83"/>
      <c r="T232" s="110">
        <f>SUM(T229:T231)</f>
        <v>0</v>
      </c>
      <c r="U232" s="83"/>
      <c r="V232" s="83">
        <f>SUM(V229:V231)</f>
        <v>-58310958.439999998</v>
      </c>
      <c r="W232" s="83"/>
    </row>
    <row r="233" spans="1:28" outlineLevel="3" x14ac:dyDescent="0.2">
      <c r="B233" s="21"/>
      <c r="C233" s="18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</row>
    <row r="234" spans="1:28" outlineLevel="3" x14ac:dyDescent="0.2">
      <c r="A234" s="21" t="s">
        <v>202</v>
      </c>
      <c r="B234" s="9" t="s">
        <v>129</v>
      </c>
      <c r="X234" s="21"/>
      <c r="Y234" s="21"/>
      <c r="Z234" s="21"/>
      <c r="AA234" s="21"/>
      <c r="AB234" s="21"/>
    </row>
    <row r="235" spans="1:28" outlineLevel="3" x14ac:dyDescent="0.2">
      <c r="A235" s="21"/>
      <c r="B235" s="21"/>
      <c r="C235" s="21" t="s">
        <v>13</v>
      </c>
      <c r="D235" s="35">
        <v>0</v>
      </c>
      <c r="F235" s="35">
        <v>0</v>
      </c>
      <c r="H235" s="35">
        <v>0</v>
      </c>
      <c r="J235" s="35">
        <v>0</v>
      </c>
      <c r="K235" s="35"/>
      <c r="L235" s="35"/>
      <c r="N235" s="35">
        <v>0</v>
      </c>
      <c r="P235" s="35">
        <v>0</v>
      </c>
      <c r="R235" s="35">
        <v>0</v>
      </c>
      <c r="T235" s="35">
        <v>0</v>
      </c>
      <c r="V235" s="35">
        <v>0</v>
      </c>
      <c r="W235" s="35"/>
      <c r="X235" s="21"/>
      <c r="Y235" s="21"/>
      <c r="Z235" s="21"/>
      <c r="AA235" s="21"/>
      <c r="AB235" s="21"/>
    </row>
    <row r="236" spans="1:28" outlineLevel="3" x14ac:dyDescent="0.2">
      <c r="A236" s="21"/>
      <c r="B236" s="21"/>
      <c r="C236" s="21" t="s">
        <v>17</v>
      </c>
      <c r="D236" s="35">
        <v>0</v>
      </c>
      <c r="F236" s="35">
        <v>0</v>
      </c>
      <c r="H236" s="35">
        <v>0</v>
      </c>
      <c r="J236" s="35">
        <v>0</v>
      </c>
      <c r="K236" s="35"/>
      <c r="L236" s="35"/>
      <c r="N236" s="35">
        <v>0</v>
      </c>
      <c r="P236" s="35">
        <v>0</v>
      </c>
      <c r="R236" s="35">
        <v>0</v>
      </c>
      <c r="T236" s="35">
        <v>0</v>
      </c>
      <c r="V236" s="35">
        <v>0</v>
      </c>
      <c r="W236" s="35"/>
      <c r="X236" s="21"/>
      <c r="Y236" s="21"/>
      <c r="Z236" s="21"/>
      <c r="AA236" s="21"/>
      <c r="AB236" s="21"/>
    </row>
    <row r="237" spans="1:28" outlineLevel="3" x14ac:dyDescent="0.2">
      <c r="A237" s="21"/>
      <c r="B237" s="21"/>
      <c r="C237" s="21" t="s">
        <v>26</v>
      </c>
      <c r="D237" s="35">
        <v>0</v>
      </c>
      <c r="F237" s="35">
        <v>0</v>
      </c>
      <c r="H237" s="35">
        <v>0</v>
      </c>
      <c r="J237" s="35">
        <v>0</v>
      </c>
      <c r="K237" s="35"/>
      <c r="L237" s="35"/>
      <c r="N237" s="35">
        <v>0</v>
      </c>
      <c r="P237" s="35">
        <v>0</v>
      </c>
      <c r="R237" s="35">
        <v>0</v>
      </c>
      <c r="T237" s="35">
        <v>0</v>
      </c>
      <c r="V237" s="35">
        <v>0</v>
      </c>
      <c r="W237" s="35"/>
      <c r="X237" s="21"/>
      <c r="Y237" s="21"/>
      <c r="Z237" s="21"/>
      <c r="AA237" s="21"/>
      <c r="AB237" s="21"/>
    </row>
    <row r="238" spans="1:28" outlineLevel="3" x14ac:dyDescent="0.2">
      <c r="A238" s="21"/>
      <c r="B238" s="21"/>
      <c r="D238" s="88">
        <f>SUM(D235:D237)</f>
        <v>0</v>
      </c>
      <c r="F238" s="88">
        <f>SUM(F235:F237)</f>
        <v>0</v>
      </c>
      <c r="H238" s="88">
        <f>SUM(H235:H237)</f>
        <v>0</v>
      </c>
      <c r="J238" s="88">
        <f>SUM(J235:J237)</f>
        <v>0</v>
      </c>
      <c r="K238" s="83"/>
      <c r="L238" s="83"/>
      <c r="N238" s="88">
        <f>SUM(N235:N237)</f>
        <v>0</v>
      </c>
      <c r="P238" s="88">
        <f>SUM(P235:P237)</f>
        <v>0</v>
      </c>
      <c r="R238" s="88">
        <f>SUM(R235:R237)</f>
        <v>0</v>
      </c>
      <c r="T238" s="88">
        <f>SUM(T235:T237)</f>
        <v>0</v>
      </c>
      <c r="V238" s="88">
        <f>SUM(V235:V237)</f>
        <v>0</v>
      </c>
      <c r="W238" s="83"/>
      <c r="X238" s="21"/>
      <c r="Y238" s="21"/>
      <c r="Z238" s="21"/>
      <c r="AA238" s="21"/>
      <c r="AB238" s="21"/>
    </row>
    <row r="239" spans="1:28" outlineLevel="3" x14ac:dyDescent="0.2">
      <c r="B239" s="9" t="s">
        <v>180</v>
      </c>
      <c r="C239" s="18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</row>
    <row r="240" spans="1:28" outlineLevel="3" x14ac:dyDescent="0.2">
      <c r="B240" s="21"/>
      <c r="C240" s="18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</row>
    <row r="241" spans="1:25" outlineLevel="3" x14ac:dyDescent="0.2">
      <c r="A241" s="120" t="s">
        <v>191</v>
      </c>
      <c r="C241" s="9" t="s">
        <v>198</v>
      </c>
      <c r="D241" s="35">
        <f>+D184</f>
        <v>-3093843.8200000003</v>
      </c>
      <c r="E241" s="96"/>
      <c r="F241" s="35">
        <f>+F184</f>
        <v>-113356.98</v>
      </c>
      <c r="G241" s="96"/>
      <c r="H241" s="35">
        <f>+H184</f>
        <v>0</v>
      </c>
      <c r="I241" s="96"/>
      <c r="J241" s="35">
        <f>+J184</f>
        <v>0</v>
      </c>
      <c r="K241" s="35"/>
      <c r="L241" s="35"/>
      <c r="M241" s="96"/>
      <c r="N241" s="35">
        <f>+N184</f>
        <v>0</v>
      </c>
      <c r="O241" s="96"/>
      <c r="P241" s="35">
        <f>+P184</f>
        <v>0</v>
      </c>
      <c r="Q241" s="96"/>
      <c r="R241" s="35">
        <f>+R184</f>
        <v>0</v>
      </c>
      <c r="S241" s="96"/>
      <c r="T241" s="35">
        <f>+T184</f>
        <v>0</v>
      </c>
      <c r="U241" s="96"/>
      <c r="V241" s="35">
        <f>+V184</f>
        <v>-3207200.8000000003</v>
      </c>
      <c r="W241" s="35"/>
    </row>
    <row r="242" spans="1:25" outlineLevel="3" x14ac:dyDescent="0.2">
      <c r="A242" s="120" t="s">
        <v>183</v>
      </c>
      <c r="C242" s="9" t="s">
        <v>184</v>
      </c>
      <c r="D242" s="35">
        <f>+D185</f>
        <v>-69747.849999999991</v>
      </c>
      <c r="E242" s="96"/>
      <c r="F242" s="35">
        <f>+F185</f>
        <v>-581.94000000000005</v>
      </c>
      <c r="G242" s="96"/>
      <c r="H242" s="35">
        <f>+H185</f>
        <v>0</v>
      </c>
      <c r="I242" s="96"/>
      <c r="J242" s="35">
        <f>+J185</f>
        <v>0</v>
      </c>
      <c r="K242" s="35"/>
      <c r="L242" s="35"/>
      <c r="M242" s="96"/>
      <c r="N242" s="35">
        <f>+N185</f>
        <v>0</v>
      </c>
      <c r="O242" s="96"/>
      <c r="P242" s="35">
        <f>+P185</f>
        <v>0</v>
      </c>
      <c r="Q242" s="96"/>
      <c r="R242" s="35">
        <f>+R185</f>
        <v>0</v>
      </c>
      <c r="S242" s="96"/>
      <c r="T242" s="35">
        <f>+T185</f>
        <v>0</v>
      </c>
      <c r="U242" s="96"/>
      <c r="V242" s="35">
        <f>+V185</f>
        <v>-70329.789999999994</v>
      </c>
      <c r="W242" s="35"/>
    </row>
    <row r="243" spans="1:25" outlineLevel="3" x14ac:dyDescent="0.2">
      <c r="A243" s="120" t="s">
        <v>185</v>
      </c>
      <c r="C243" s="9" t="s">
        <v>184</v>
      </c>
      <c r="D243" s="35">
        <f>+D186</f>
        <v>-77439.69</v>
      </c>
      <c r="E243" s="96"/>
      <c r="F243" s="35">
        <f>+F186</f>
        <v>0</v>
      </c>
      <c r="G243" s="96"/>
      <c r="H243" s="35">
        <f>+H186</f>
        <v>0</v>
      </c>
      <c r="I243" s="96"/>
      <c r="J243" s="35">
        <f>+J186</f>
        <v>0</v>
      </c>
      <c r="K243" s="35"/>
      <c r="L243" s="35"/>
      <c r="M243" s="96"/>
      <c r="N243" s="35">
        <f>+N186</f>
        <v>0</v>
      </c>
      <c r="O243" s="96"/>
      <c r="P243" s="35">
        <f>+P186</f>
        <v>0</v>
      </c>
      <c r="Q243" s="96"/>
      <c r="R243" s="35">
        <f>+R186</f>
        <v>0</v>
      </c>
      <c r="S243" s="96"/>
      <c r="T243" s="35">
        <f>+T186</f>
        <v>0</v>
      </c>
      <c r="U243" s="96"/>
      <c r="V243" s="35">
        <f>+V186</f>
        <v>-77439.69</v>
      </c>
      <c r="W243" s="35"/>
    </row>
    <row r="244" spans="1:25" ht="13.5" customHeight="1" outlineLevel="3" x14ac:dyDescent="0.2">
      <c r="A244" s="120" t="s">
        <v>186</v>
      </c>
      <c r="C244" s="9" t="s">
        <v>184</v>
      </c>
      <c r="D244" s="35">
        <f>+D187</f>
        <v>-569589.96</v>
      </c>
      <c r="E244" s="96"/>
      <c r="F244" s="35">
        <f>+F187</f>
        <v>0</v>
      </c>
      <c r="G244" s="96"/>
      <c r="H244" s="35">
        <f>+H187</f>
        <v>0</v>
      </c>
      <c r="I244" s="96"/>
      <c r="J244" s="35">
        <f>+J187</f>
        <v>0</v>
      </c>
      <c r="K244" s="35"/>
      <c r="L244" s="35"/>
      <c r="M244" s="96"/>
      <c r="N244" s="35">
        <f>+N187</f>
        <v>0</v>
      </c>
      <c r="O244" s="96"/>
      <c r="P244" s="35">
        <f>+P187</f>
        <v>0</v>
      </c>
      <c r="Q244" s="96"/>
      <c r="R244" s="35">
        <f>+R187</f>
        <v>0</v>
      </c>
      <c r="S244" s="96"/>
      <c r="T244" s="35">
        <f>+T187</f>
        <v>0</v>
      </c>
      <c r="U244" s="96"/>
      <c r="V244" s="35">
        <f>+V187</f>
        <v>-569589.96</v>
      </c>
      <c r="W244" s="35"/>
    </row>
    <row r="245" spans="1:25" outlineLevel="3" x14ac:dyDescent="0.2">
      <c r="A245" s="120" t="s">
        <v>190</v>
      </c>
      <c r="C245" s="9" t="s">
        <v>184</v>
      </c>
      <c r="D245" s="35">
        <f>+D189</f>
        <v>-210845.43</v>
      </c>
      <c r="E245" s="96"/>
      <c r="F245" s="35">
        <f>+F189</f>
        <v>-319.92</v>
      </c>
      <c r="G245" s="96"/>
      <c r="H245" s="35">
        <f>+H189</f>
        <v>0</v>
      </c>
      <c r="I245" s="96"/>
      <c r="J245" s="35">
        <f>+J189</f>
        <v>0</v>
      </c>
      <c r="K245" s="35"/>
      <c r="L245" s="35"/>
      <c r="M245" s="96"/>
      <c r="N245" s="35">
        <f>+N189</f>
        <v>0</v>
      </c>
      <c r="O245" s="96"/>
      <c r="P245" s="35">
        <f>+P189</f>
        <v>0</v>
      </c>
      <c r="Q245" s="96"/>
      <c r="R245" s="35">
        <f>+R189</f>
        <v>0</v>
      </c>
      <c r="S245" s="96"/>
      <c r="T245" s="35">
        <f>+T189</f>
        <v>0</v>
      </c>
      <c r="U245" s="96"/>
      <c r="V245" s="35">
        <f>+V189</f>
        <v>-211165.35</v>
      </c>
      <c r="W245" s="35"/>
    </row>
    <row r="246" spans="1:25" outlineLevel="3" x14ac:dyDescent="0.2">
      <c r="A246" s="120" t="s">
        <v>181</v>
      </c>
      <c r="C246" s="9" t="s">
        <v>182</v>
      </c>
      <c r="D246" s="35">
        <f>+D190</f>
        <v>0</v>
      </c>
      <c r="E246" s="96"/>
      <c r="F246" s="35">
        <f>+F190</f>
        <v>0</v>
      </c>
      <c r="G246" s="96"/>
      <c r="H246" s="35">
        <f>+H190</f>
        <v>0</v>
      </c>
      <c r="I246" s="96"/>
      <c r="J246" s="35">
        <f>+J190</f>
        <v>0</v>
      </c>
      <c r="K246" s="35"/>
      <c r="L246" s="35"/>
      <c r="M246" s="96"/>
      <c r="N246" s="35">
        <f>+N190</f>
        <v>0</v>
      </c>
      <c r="O246" s="96"/>
      <c r="P246" s="35">
        <f>+P190</f>
        <v>0</v>
      </c>
      <c r="Q246" s="96"/>
      <c r="R246" s="35">
        <f>+R190</f>
        <v>0</v>
      </c>
      <c r="S246" s="96"/>
      <c r="T246" s="35">
        <f>+T190</f>
        <v>0</v>
      </c>
      <c r="U246" s="96"/>
      <c r="V246" s="35">
        <f>+V190</f>
        <v>0</v>
      </c>
      <c r="W246" s="35"/>
    </row>
    <row r="247" spans="1:25" outlineLevel="3" x14ac:dyDescent="0.2">
      <c r="A247" s="120" t="s">
        <v>193</v>
      </c>
      <c r="C247" s="9" t="s">
        <v>194</v>
      </c>
      <c r="D247" s="35">
        <f>+D191</f>
        <v>0</v>
      </c>
      <c r="E247" s="96"/>
      <c r="F247" s="35">
        <f>+F191</f>
        <v>0</v>
      </c>
      <c r="G247" s="96"/>
      <c r="H247" s="35">
        <f>+H191</f>
        <v>0</v>
      </c>
      <c r="I247" s="96"/>
      <c r="J247" s="35">
        <f>+J191</f>
        <v>0</v>
      </c>
      <c r="K247" s="35"/>
      <c r="L247" s="35"/>
      <c r="M247" s="96"/>
      <c r="N247" s="35">
        <f>+N191</f>
        <v>0</v>
      </c>
      <c r="O247" s="96"/>
      <c r="P247" s="35">
        <f>+P191</f>
        <v>0</v>
      </c>
      <c r="Q247" s="96"/>
      <c r="R247" s="35">
        <f>+R191</f>
        <v>0</v>
      </c>
      <c r="S247" s="96"/>
      <c r="T247" s="35">
        <f>+T191</f>
        <v>0</v>
      </c>
      <c r="U247" s="96"/>
      <c r="V247" s="35">
        <f>+V191</f>
        <v>0</v>
      </c>
      <c r="W247" s="35"/>
    </row>
    <row r="248" spans="1:25" outlineLevel="3" x14ac:dyDescent="0.2">
      <c r="A248" s="120" t="s">
        <v>193</v>
      </c>
      <c r="C248" s="9" t="s">
        <v>195</v>
      </c>
      <c r="D248" s="35">
        <f>+D192</f>
        <v>0</v>
      </c>
      <c r="E248" s="96"/>
      <c r="F248" s="35">
        <f>+F192</f>
        <v>0</v>
      </c>
      <c r="G248" s="96"/>
      <c r="H248" s="35">
        <f>+H192</f>
        <v>0</v>
      </c>
      <c r="I248" s="96"/>
      <c r="J248" s="35">
        <f>+J192</f>
        <v>0</v>
      </c>
      <c r="K248" s="35"/>
      <c r="L248" s="35"/>
      <c r="M248" s="96"/>
      <c r="N248" s="35">
        <f>+N192</f>
        <v>0</v>
      </c>
      <c r="O248" s="96"/>
      <c r="P248" s="35">
        <f>+P192</f>
        <v>0</v>
      </c>
      <c r="Q248" s="96"/>
      <c r="R248" s="35">
        <f>+R192</f>
        <v>0</v>
      </c>
      <c r="S248" s="96"/>
      <c r="T248" s="35">
        <f>+T192</f>
        <v>0</v>
      </c>
      <c r="U248" s="96"/>
      <c r="V248" s="35">
        <f>+V192</f>
        <v>0</v>
      </c>
      <c r="W248" s="35"/>
    </row>
    <row r="249" spans="1:25" outlineLevel="3" x14ac:dyDescent="0.2">
      <c r="A249" s="120" t="s">
        <v>203</v>
      </c>
      <c r="C249" s="9" t="s">
        <v>204</v>
      </c>
      <c r="D249" s="35">
        <f>+D224</f>
        <v>0</v>
      </c>
      <c r="E249" s="96"/>
      <c r="F249" s="35">
        <f>+F224</f>
        <v>0</v>
      </c>
      <c r="G249" s="96"/>
      <c r="H249" s="35">
        <f>+H224</f>
        <v>0</v>
      </c>
      <c r="I249" s="96"/>
      <c r="J249" s="35">
        <f>+J224</f>
        <v>0</v>
      </c>
      <c r="K249" s="35"/>
      <c r="L249" s="35"/>
      <c r="M249" s="96"/>
      <c r="N249" s="35">
        <f>+N224</f>
        <v>0</v>
      </c>
      <c r="O249" s="96"/>
      <c r="P249" s="35">
        <f>+P224</f>
        <v>0</v>
      </c>
      <c r="Q249" s="96"/>
      <c r="R249" s="35">
        <f>+R224</f>
        <v>0</v>
      </c>
      <c r="S249" s="96"/>
      <c r="T249" s="35">
        <f>+T224</f>
        <v>0</v>
      </c>
      <c r="U249" s="96"/>
      <c r="V249" s="35">
        <f>+V224</f>
        <v>0</v>
      </c>
      <c r="W249" s="35"/>
    </row>
    <row r="250" spans="1:25" outlineLevel="3" x14ac:dyDescent="0.2">
      <c r="A250" s="120"/>
      <c r="C250" s="160" t="s">
        <v>205</v>
      </c>
      <c r="D250" s="35">
        <f>+D225</f>
        <v>-63360.360000000008</v>
      </c>
      <c r="E250" s="96"/>
      <c r="F250" s="35">
        <f>+F225</f>
        <v>0</v>
      </c>
      <c r="G250" s="96"/>
      <c r="H250" s="35">
        <f>+H225</f>
        <v>0</v>
      </c>
      <c r="I250" s="96"/>
      <c r="J250" s="35">
        <v>0</v>
      </c>
      <c r="K250" s="35"/>
      <c r="L250" s="35"/>
      <c r="M250" s="96"/>
      <c r="N250" s="35">
        <f>+N225</f>
        <v>0</v>
      </c>
      <c r="O250" s="96"/>
      <c r="P250" s="35">
        <f>+P225</f>
        <v>0</v>
      </c>
      <c r="Q250" s="96"/>
      <c r="R250" s="35">
        <f>+R225</f>
        <v>0</v>
      </c>
      <c r="S250" s="96"/>
      <c r="T250" s="35">
        <f>+T225</f>
        <v>0</v>
      </c>
      <c r="U250" s="96"/>
      <c r="V250" s="35">
        <f>+V225</f>
        <v>-63360.360000000008</v>
      </c>
      <c r="W250" s="35"/>
    </row>
    <row r="251" spans="1:25" outlineLevel="3" x14ac:dyDescent="0.2">
      <c r="A251" s="120" t="s">
        <v>193</v>
      </c>
      <c r="C251" s="9" t="s">
        <v>196</v>
      </c>
      <c r="D251" s="35">
        <f>+D193</f>
        <v>-164.16000000000003</v>
      </c>
      <c r="E251" s="96"/>
      <c r="F251" s="35">
        <f>+F193</f>
        <v>-44.52</v>
      </c>
      <c r="G251" s="96"/>
      <c r="H251" s="35">
        <f>+H193</f>
        <v>0</v>
      </c>
      <c r="I251" s="96"/>
      <c r="J251" s="35">
        <f>+J193</f>
        <v>0</v>
      </c>
      <c r="K251" s="35"/>
      <c r="L251" s="35"/>
      <c r="M251" s="96"/>
      <c r="N251" s="35">
        <f>+N193</f>
        <v>0</v>
      </c>
      <c r="O251" s="96"/>
      <c r="P251" s="35">
        <f>+P193</f>
        <v>0</v>
      </c>
      <c r="Q251" s="96"/>
      <c r="R251" s="35">
        <f>+R193</f>
        <v>0</v>
      </c>
      <c r="S251" s="96"/>
      <c r="T251" s="35">
        <f>+T193</f>
        <v>0</v>
      </c>
      <c r="U251" s="96"/>
      <c r="V251" s="35">
        <f>+V193</f>
        <v>-208.68000000000004</v>
      </c>
      <c r="W251" s="35"/>
    </row>
    <row r="252" spans="1:25" outlineLevel="3" x14ac:dyDescent="0.2">
      <c r="C252" s="21" t="s">
        <v>199</v>
      </c>
      <c r="D252" s="88">
        <f>SUM(D241:D251)</f>
        <v>-4084991.2700000005</v>
      </c>
      <c r="E252" s="35"/>
      <c r="F252" s="88">
        <f>SUM(F241:F251)</f>
        <v>-114303.36</v>
      </c>
      <c r="G252" s="35"/>
      <c r="H252" s="88">
        <f>SUM(H241:H251)</f>
        <v>0</v>
      </c>
      <c r="I252" s="35"/>
      <c r="J252" s="88">
        <f>SUM(J241:J251)</f>
        <v>0</v>
      </c>
      <c r="K252" s="83"/>
      <c r="L252" s="83"/>
      <c r="M252" s="35"/>
      <c r="N252" s="88">
        <f>SUM(N241:N251)</f>
        <v>0</v>
      </c>
      <c r="O252" s="83"/>
      <c r="P252" s="88">
        <f>SUM(P241:P251)</f>
        <v>0</v>
      </c>
      <c r="Q252" s="83"/>
      <c r="R252" s="88">
        <f>SUM(R241:R251)</f>
        <v>0</v>
      </c>
      <c r="S252" s="83"/>
      <c r="T252" s="88">
        <f>SUM(T241:T251)</f>
        <v>0</v>
      </c>
      <c r="U252" s="35"/>
      <c r="V252" s="88">
        <f>SUM(V241:V251)</f>
        <v>-4199294.63</v>
      </c>
      <c r="W252" s="83"/>
      <c r="Y252" s="101"/>
    </row>
    <row r="253" spans="1:25" outlineLevel="3" x14ac:dyDescent="0.2">
      <c r="D253" s="83"/>
      <c r="E253" s="35"/>
      <c r="F253" s="83"/>
      <c r="G253" s="35"/>
      <c r="H253" s="83"/>
      <c r="I253" s="35"/>
      <c r="J253" s="83"/>
      <c r="K253" s="83"/>
      <c r="L253" s="83"/>
      <c r="M253" s="35"/>
      <c r="N253" s="83"/>
      <c r="O253" s="83"/>
      <c r="P253" s="83"/>
      <c r="Q253" s="83"/>
      <c r="R253" s="83"/>
      <c r="S253" s="83"/>
      <c r="T253" s="83"/>
      <c r="U253" s="35"/>
      <c r="V253" s="83"/>
      <c r="W253" s="83"/>
    </row>
    <row r="254" spans="1:25" outlineLevel="3" x14ac:dyDescent="0.2">
      <c r="D254" s="83"/>
      <c r="E254" s="35"/>
      <c r="F254" s="83"/>
      <c r="G254" s="35"/>
      <c r="H254" s="83"/>
      <c r="I254" s="35"/>
      <c r="J254" s="83"/>
      <c r="K254" s="83"/>
      <c r="L254" s="83"/>
      <c r="M254" s="35"/>
      <c r="N254" s="83"/>
      <c r="O254" s="83"/>
      <c r="P254" s="83"/>
      <c r="Q254" s="83"/>
      <c r="R254" s="83"/>
      <c r="S254" s="83"/>
      <c r="T254" s="83"/>
      <c r="U254" s="35"/>
      <c r="V254" s="83"/>
      <c r="W254" s="83"/>
    </row>
    <row r="255" spans="1:25" outlineLevel="3" x14ac:dyDescent="0.2">
      <c r="D255" s="83"/>
      <c r="E255" s="35"/>
      <c r="F255" s="83"/>
      <c r="G255" s="35"/>
      <c r="H255" s="83"/>
      <c r="I255" s="35"/>
      <c r="J255" s="83"/>
      <c r="K255" s="83"/>
      <c r="L255" s="83"/>
      <c r="M255" s="35"/>
      <c r="N255" s="83"/>
      <c r="O255" s="83"/>
      <c r="P255" s="83"/>
      <c r="Q255" s="83"/>
      <c r="R255" s="83"/>
      <c r="S255" s="83"/>
      <c r="T255" s="83"/>
      <c r="U255" s="35"/>
      <c r="V255" s="83"/>
      <c r="W255" s="83"/>
    </row>
    <row r="256" spans="1:25" outlineLevel="3" x14ac:dyDescent="0.2">
      <c r="B256" s="21"/>
      <c r="C256" s="18"/>
      <c r="D256" s="83"/>
      <c r="E256" s="35"/>
      <c r="F256" s="83"/>
      <c r="G256" s="35"/>
      <c r="H256" s="83"/>
      <c r="I256" s="35"/>
      <c r="J256" s="83"/>
      <c r="K256" s="83"/>
      <c r="L256" s="83"/>
      <c r="M256" s="35"/>
      <c r="N256" s="83"/>
      <c r="O256" s="35"/>
      <c r="P256" s="83"/>
      <c r="Q256" s="35"/>
      <c r="R256" s="83"/>
      <c r="S256" s="35"/>
      <c r="T256" s="83"/>
      <c r="U256" s="35"/>
      <c r="V256" s="83"/>
      <c r="W256" s="83"/>
    </row>
    <row r="257" spans="2:47" outlineLevel="3" x14ac:dyDescent="0.2">
      <c r="B257" s="95" t="s">
        <v>162</v>
      </c>
      <c r="D257" s="96">
        <f>+D226+D232-D252+D238</f>
        <v>-1766734943.1099999</v>
      </c>
      <c r="E257" s="96"/>
      <c r="F257" s="96">
        <f>+F226+F232-F252+F238</f>
        <v>-176422093.40000001</v>
      </c>
      <c r="G257" s="96"/>
      <c r="H257" s="96">
        <f>+H226+H232-H252+H238</f>
        <v>75393109.040000007</v>
      </c>
      <c r="I257" s="96"/>
      <c r="J257" s="96">
        <f>+J226+J232-J252+J238</f>
        <v>-29361.690000000006</v>
      </c>
      <c r="K257" s="96"/>
      <c r="L257" s="96"/>
      <c r="M257" s="96"/>
      <c r="N257" s="96">
        <f>+N226+N232-N252+N238</f>
        <v>0</v>
      </c>
      <c r="O257" s="96"/>
      <c r="P257" s="96">
        <f>+P226+P232-P252+P238</f>
        <v>0</v>
      </c>
      <c r="Q257" s="96"/>
      <c r="R257" s="96">
        <f>+R226+R232-R252+R238</f>
        <v>0</v>
      </c>
      <c r="S257" s="96"/>
      <c r="T257" s="96">
        <f>+T226+T232-T252+T238</f>
        <v>0</v>
      </c>
      <c r="U257" s="96"/>
      <c r="V257" s="96">
        <f>+V226+V232+V238-V252</f>
        <v>-1867793289.1599998</v>
      </c>
      <c r="W257" s="96"/>
      <c r="X257" s="98">
        <f>+F257-Z257-AO257-Y257-F249-'KY_Res by Plant Acct-P29 (Reg)'!D220</f>
        <v>-157552803.5</v>
      </c>
      <c r="Y257" s="98">
        <v>0</v>
      </c>
      <c r="Z257" s="98">
        <v>-17662550.57</v>
      </c>
      <c r="AA257" s="98"/>
      <c r="AB257" s="98"/>
      <c r="AE257" s="99">
        <f>+H257</f>
        <v>75393109.040000007</v>
      </c>
      <c r="AF257" s="99"/>
      <c r="AG257" s="99">
        <f>-'Land &amp; Vehicle Retire P3A(Reg)'!D15</f>
        <v>-30513.22</v>
      </c>
      <c r="AH257" s="99">
        <v>0</v>
      </c>
      <c r="AI257" s="99"/>
      <c r="AJ257" s="99">
        <v>0</v>
      </c>
      <c r="AK257" s="99"/>
      <c r="AL257" s="99"/>
      <c r="AM257" s="99"/>
      <c r="AN257" s="99">
        <f>+J257-J238-AG257-AL257-AM257-AJ257+F249-AH257+'KY_Res by Plant Acct-P29 (Reg)'!D220</f>
        <v>1151.5299999999952</v>
      </c>
      <c r="AO257" s="98">
        <f>+'Recon Depr Exp to IS P4 (Reg)'!E22+'Recon Depr Exp to IS P4 (Reg)'!E31-'Recon Depr Exp to IS P4 (Reg)'!I22-'Recon Depr Exp to IS P4 (Reg)'!K22-'Recon Depr Exp to IS P4 (Reg)'!M20-'Recon Depr Exp to IS P4 (Reg)'!O30-'Recon Depr Exp to IS P4 (Reg)'!O17-'Recon Depr Exp to IS P4 (Reg)'!O10</f>
        <v>-1206739.33</v>
      </c>
      <c r="AP257" s="84">
        <f>+P257+R257+T257</f>
        <v>0</v>
      </c>
      <c r="AQ257" s="84"/>
      <c r="AT257" s="84">
        <f>SUM(X257:AR257)</f>
        <v>-101058346.04999998</v>
      </c>
      <c r="AU257" s="84">
        <f>+V257-D257-AT257</f>
        <v>0</v>
      </c>
    </row>
    <row r="258" spans="2:47" outlineLevel="3" x14ac:dyDescent="0.2">
      <c r="B258" s="21"/>
      <c r="C258" s="18"/>
      <c r="D258" s="83">
        <f>+D257-D12</f>
        <v>0</v>
      </c>
      <c r="E258" s="35"/>
      <c r="F258" s="83"/>
      <c r="G258" s="35"/>
      <c r="H258" s="83"/>
      <c r="I258" s="35"/>
      <c r="J258" s="83"/>
      <c r="K258" s="83"/>
      <c r="L258" s="83"/>
      <c r="M258" s="35"/>
      <c r="N258" s="83"/>
      <c r="O258" s="35"/>
      <c r="P258" s="83"/>
      <c r="Q258" s="35"/>
      <c r="R258" s="83"/>
      <c r="S258" s="35"/>
      <c r="T258" s="83"/>
      <c r="U258" s="35"/>
      <c r="V258" s="83">
        <f>+V257-V12</f>
        <v>0</v>
      </c>
      <c r="W258" s="83"/>
      <c r="X258" s="97"/>
      <c r="Y258" s="97"/>
      <c r="Z258" s="97"/>
      <c r="AA258" s="97"/>
      <c r="AB258" s="97"/>
    </row>
    <row r="259" spans="2:47" outlineLevel="3" x14ac:dyDescent="0.2">
      <c r="B259" s="21"/>
      <c r="C259" s="18"/>
      <c r="D259" s="83"/>
      <c r="E259" s="35"/>
      <c r="F259" s="83"/>
      <c r="G259" s="35"/>
      <c r="H259" s="83"/>
      <c r="I259" s="35"/>
      <c r="J259" s="83"/>
      <c r="K259" s="83"/>
      <c r="L259" s="83"/>
      <c r="M259" s="35"/>
      <c r="N259" s="83"/>
      <c r="O259" s="35"/>
      <c r="P259" s="83"/>
      <c r="Q259" s="35"/>
      <c r="R259" s="83"/>
      <c r="S259" s="35"/>
      <c r="T259" s="83"/>
      <c r="U259" s="35"/>
      <c r="V259" s="83">
        <f>+V257-T257-R257-P257-N257-J257-H257-F257-D257</f>
        <v>0</v>
      </c>
      <c r="W259" s="83"/>
    </row>
    <row r="260" spans="2:47" ht="15" outlineLevel="3" x14ac:dyDescent="0.35">
      <c r="B260" s="9" t="s">
        <v>89</v>
      </c>
      <c r="D260" s="32"/>
      <c r="E260" s="30"/>
      <c r="F260" s="32"/>
      <c r="G260" s="30"/>
      <c r="H260" s="32"/>
      <c r="I260" s="30"/>
      <c r="J260" s="32"/>
      <c r="K260" s="32"/>
      <c r="L260" s="32"/>
      <c r="M260" s="30"/>
      <c r="N260" s="32"/>
      <c r="O260" s="30"/>
      <c r="P260" s="32"/>
      <c r="Q260" s="30"/>
      <c r="R260" s="32"/>
      <c r="S260" s="30"/>
      <c r="T260" s="32"/>
      <c r="U260" s="30"/>
      <c r="V260" s="32"/>
      <c r="W260" s="32"/>
    </row>
    <row r="261" spans="2:47" outlineLevel="1" x14ac:dyDescent="0.2">
      <c r="B261" s="21"/>
      <c r="C261" s="21" t="s">
        <v>14</v>
      </c>
      <c r="D261" s="83">
        <f>+'Summary - Reserve - PG 2 (Reg)'!C36</f>
        <v>-1407905.42</v>
      </c>
      <c r="E261" s="83"/>
      <c r="F261" s="83">
        <f>+'Summary - Reserve - PG 2 (Reg)'!E36</f>
        <v>-252336.29</v>
      </c>
      <c r="G261" s="83"/>
      <c r="H261" s="83">
        <f>+'Summary - Reserve - PG 2 (Reg)'!G36</f>
        <v>0</v>
      </c>
      <c r="I261" s="83"/>
      <c r="J261" s="83">
        <f>+'Summary - Reserve - PG 2 (Reg)'!I36</f>
        <v>0</v>
      </c>
      <c r="K261" s="83"/>
      <c r="L261" s="83"/>
      <c r="M261" s="83"/>
      <c r="N261" s="83">
        <f>+'Summary - Reserve - PG 2 (Reg)'!M36</f>
        <v>0</v>
      </c>
      <c r="O261" s="83"/>
      <c r="P261" s="83">
        <f>+'Summary - Reserve - PG 2 (Reg)'!O36</f>
        <v>254433.78</v>
      </c>
      <c r="Q261" s="83"/>
      <c r="R261" s="83">
        <f>+'Summary - Reserve - PG 2 (Reg)'!Q36</f>
        <v>0</v>
      </c>
      <c r="S261" s="83"/>
      <c r="T261" s="83">
        <f>+'Summary - Reserve - PG 2 (Reg)'!S36</f>
        <v>0</v>
      </c>
      <c r="U261" s="83"/>
      <c r="V261" s="83">
        <f t="shared" ref="V261:V273" si="19">T261+R261+P261+N261+J261+H261+F261+D261</f>
        <v>-1405807.93</v>
      </c>
      <c r="W261" s="83"/>
    </row>
    <row r="262" spans="2:47" outlineLevel="1" x14ac:dyDescent="0.2">
      <c r="B262" s="21"/>
      <c r="C262" s="21" t="s">
        <v>18</v>
      </c>
      <c r="D262" s="83">
        <f>+'Summary - Reserve - PG 2 (Reg)'!C37</f>
        <v>-162129790.74000004</v>
      </c>
      <c r="E262" s="83"/>
      <c r="F262" s="83">
        <f>+'Summary - Reserve - PG 2 (Reg)'!E37</f>
        <v>-11596082.09</v>
      </c>
      <c r="G262" s="83"/>
      <c r="H262" s="83">
        <f>+'Summary - Reserve - PG 2 (Reg)'!G37</f>
        <v>0</v>
      </c>
      <c r="I262" s="83"/>
      <c r="J262" s="83">
        <f>+'Summary - Reserve - PG 2 (Reg)'!I37</f>
        <v>47560.12</v>
      </c>
      <c r="K262" s="83"/>
      <c r="L262" s="83"/>
      <c r="M262" s="83"/>
      <c r="N262" s="83">
        <f>+'Summary - Reserve - PG 2 (Reg)'!M37</f>
        <v>0</v>
      </c>
      <c r="O262" s="83"/>
      <c r="P262" s="83">
        <f>+'Summary - Reserve - PG 2 (Reg)'!O37</f>
        <v>10240416.870000001</v>
      </c>
      <c r="Q262" s="83"/>
      <c r="R262" s="83">
        <f>+'Summary - Reserve - PG 2 (Reg)'!Q37</f>
        <v>0</v>
      </c>
      <c r="S262" s="83"/>
      <c r="T262" s="83">
        <f>+'Summary - Reserve - PG 2 (Reg)'!S37</f>
        <v>-2315691.0300000003</v>
      </c>
      <c r="U262" s="83"/>
      <c r="V262" s="83">
        <f t="shared" si="19"/>
        <v>-165753586.87000003</v>
      </c>
      <c r="W262" s="83"/>
    </row>
    <row r="263" spans="2:47" outlineLevel="1" x14ac:dyDescent="0.2">
      <c r="B263" s="21"/>
      <c r="C263" s="21" t="s">
        <v>19</v>
      </c>
      <c r="D263" s="83">
        <f>+'Summary - Reserve - PG 2 (Reg)'!C38</f>
        <v>3866.64</v>
      </c>
      <c r="E263" s="83"/>
      <c r="F263" s="83">
        <f>+'Summary - Reserve - PG 2 (Reg)'!E38</f>
        <v>0</v>
      </c>
      <c r="G263" s="83"/>
      <c r="H263" s="83">
        <f>+'Summary - Reserve - PG 2 (Reg)'!G38</f>
        <v>0</v>
      </c>
      <c r="I263" s="83"/>
      <c r="J263" s="83">
        <f>+'Summary - Reserve - PG 2 (Reg)'!I38</f>
        <v>0</v>
      </c>
      <c r="K263" s="83"/>
      <c r="L263" s="83"/>
      <c r="M263" s="83"/>
      <c r="N263" s="83">
        <f>+'Summary - Reserve - PG 2 (Reg)'!M38</f>
        <v>0</v>
      </c>
      <c r="O263" s="83"/>
      <c r="P263" s="83">
        <f>+'Summary - Reserve - PG 2 (Reg)'!O38</f>
        <v>0</v>
      </c>
      <c r="Q263" s="83"/>
      <c r="R263" s="83">
        <f>+'Summary - Reserve - PG 2 (Reg)'!Q38</f>
        <v>0</v>
      </c>
      <c r="S263" s="83"/>
      <c r="T263" s="83">
        <f>+'Summary - Reserve - PG 2 (Reg)'!S38</f>
        <v>0</v>
      </c>
      <c r="U263" s="83"/>
      <c r="V263" s="83">
        <f t="shared" si="19"/>
        <v>3866.64</v>
      </c>
      <c r="W263" s="83"/>
    </row>
    <row r="264" spans="2:47" outlineLevel="3" x14ac:dyDescent="0.2">
      <c r="B264" s="21"/>
      <c r="C264" s="21" t="s">
        <v>20</v>
      </c>
      <c r="D264" s="83">
        <f>+'Summary - Reserve - PG 2 (Reg)'!C39</f>
        <v>1589391.92</v>
      </c>
      <c r="E264" s="83"/>
      <c r="F264" s="83">
        <f>+'Summary - Reserve - PG 2 (Reg)'!E39</f>
        <v>-107345.76</v>
      </c>
      <c r="G264" s="83"/>
      <c r="H264" s="83">
        <f>+'Summary - Reserve - PG 2 (Reg)'!G39</f>
        <v>0</v>
      </c>
      <c r="I264" s="83"/>
      <c r="J264" s="83">
        <f>+'Summary - Reserve - PG 2 (Reg)'!I39</f>
        <v>0</v>
      </c>
      <c r="K264" s="83"/>
      <c r="L264" s="83"/>
      <c r="M264" s="83"/>
      <c r="N264" s="83">
        <f>+'Summary - Reserve - PG 2 (Reg)'!M39</f>
        <v>0</v>
      </c>
      <c r="O264" s="83"/>
      <c r="P264" s="83">
        <f>+'Summary - Reserve - PG 2 (Reg)'!O39</f>
        <v>0</v>
      </c>
      <c r="Q264" s="83"/>
      <c r="R264" s="83">
        <f>+'Summary - Reserve - PG 2 (Reg)'!Q39</f>
        <v>0</v>
      </c>
      <c r="S264" s="83"/>
      <c r="T264" s="83">
        <f>+'Summary - Reserve - PG 2 (Reg)'!S39</f>
        <v>0</v>
      </c>
      <c r="U264" s="83"/>
      <c r="V264" s="83">
        <f t="shared" si="19"/>
        <v>1482046.16</v>
      </c>
      <c r="W264" s="83"/>
    </row>
    <row r="265" spans="2:47" outlineLevel="3" x14ac:dyDescent="0.2">
      <c r="B265" s="21"/>
      <c r="C265" s="21" t="s">
        <v>22</v>
      </c>
      <c r="D265" s="83">
        <f>+'Summary - Reserve - PG 2 (Reg)'!C40</f>
        <v>-4160154.0700000008</v>
      </c>
      <c r="E265" s="83"/>
      <c r="F265" s="83">
        <f>+'Summary - Reserve - PG 2 (Reg)'!E40</f>
        <v>-908538.03</v>
      </c>
      <c r="G265" s="83"/>
      <c r="H265" s="83">
        <f>+'Summary - Reserve - PG 2 (Reg)'!G40</f>
        <v>0</v>
      </c>
      <c r="I265" s="83"/>
      <c r="J265" s="83">
        <f>+'Summary - Reserve - PG 2 (Reg)'!I40</f>
        <v>0</v>
      </c>
      <c r="K265" s="83"/>
      <c r="L265" s="83"/>
      <c r="M265" s="83"/>
      <c r="N265" s="83">
        <f>+'Summary - Reserve - PG 2 (Reg)'!M40</f>
        <v>0</v>
      </c>
      <c r="O265" s="83"/>
      <c r="P265" s="83">
        <f>+'Summary - Reserve - PG 2 (Reg)'!O40</f>
        <v>186950.6</v>
      </c>
      <c r="Q265" s="83"/>
      <c r="R265" s="83">
        <f>+'Summary - Reserve - PG 2 (Reg)'!Q40</f>
        <v>0</v>
      </c>
      <c r="S265" s="83"/>
      <c r="T265" s="83">
        <f>+'Summary - Reserve - PG 2 (Reg)'!S40</f>
        <v>0</v>
      </c>
      <c r="U265" s="83"/>
      <c r="V265" s="83">
        <f t="shared" si="19"/>
        <v>-4881741.5000000009</v>
      </c>
      <c r="W265" s="83"/>
    </row>
    <row r="266" spans="2:47" outlineLevel="3" x14ac:dyDescent="0.2">
      <c r="B266" s="21"/>
      <c r="C266" s="21" t="s">
        <v>23</v>
      </c>
      <c r="D266" s="83">
        <f>+'Summary - Reserve - PG 2 (Reg)'!C41</f>
        <v>-125306877.39</v>
      </c>
      <c r="E266" s="83"/>
      <c r="F266" s="83">
        <f>+'Summary - Reserve - PG 2 (Reg)'!E41</f>
        <v>-4771971.41</v>
      </c>
      <c r="G266" s="83"/>
      <c r="H266" s="83">
        <f>+'Summary - Reserve - PG 2 (Reg)'!G41</f>
        <v>0</v>
      </c>
      <c r="I266" s="83"/>
      <c r="J266" s="83">
        <f>+'Summary - Reserve - PG 2 (Reg)'!I41</f>
        <v>0</v>
      </c>
      <c r="K266" s="83"/>
      <c r="L266" s="83"/>
      <c r="M266" s="83"/>
      <c r="N266" s="83">
        <f>+'Summary - Reserve - PG 2 (Reg)'!M41</f>
        <v>0</v>
      </c>
      <c r="O266" s="83"/>
      <c r="P266" s="83">
        <f>+'Summary - Reserve - PG 2 (Reg)'!O41</f>
        <v>30855487.050000001</v>
      </c>
      <c r="Q266" s="83"/>
      <c r="R266" s="83">
        <f>+'Summary - Reserve - PG 2 (Reg)'!Q41</f>
        <v>0</v>
      </c>
      <c r="S266" s="83"/>
      <c r="T266" s="83">
        <f>+'Summary - Reserve - PG 2 (Reg)'!S41</f>
        <v>-339709.05</v>
      </c>
      <c r="U266" s="83"/>
      <c r="V266" s="83">
        <f t="shared" si="19"/>
        <v>-99563070.799999997</v>
      </c>
      <c r="W266" s="83"/>
    </row>
    <row r="267" spans="2:47" outlineLevel="3" x14ac:dyDescent="0.2">
      <c r="B267" s="21"/>
      <c r="C267" s="21" t="s">
        <v>24</v>
      </c>
      <c r="D267" s="83">
        <f>+'Summary - Reserve - PG 2 (Reg)'!C42</f>
        <v>-25777696.100000001</v>
      </c>
      <c r="E267" s="83"/>
      <c r="F267" s="83">
        <f>+'Summary - Reserve - PG 2 (Reg)'!E42</f>
        <v>-2645658.16</v>
      </c>
      <c r="G267" s="83"/>
      <c r="H267" s="83">
        <f>+'Summary - Reserve - PG 2 (Reg)'!G42</f>
        <v>0</v>
      </c>
      <c r="I267" s="83"/>
      <c r="J267" s="83">
        <f>+'Summary - Reserve - PG 2 (Reg)'!I42</f>
        <v>-47560.12</v>
      </c>
      <c r="K267" s="83"/>
      <c r="L267" s="83"/>
      <c r="M267" s="83"/>
      <c r="N267" s="83">
        <f>+'Summary - Reserve - PG 2 (Reg)'!M42</f>
        <v>0</v>
      </c>
      <c r="O267" s="83"/>
      <c r="P267" s="83">
        <f>+'Summary - Reserve - PG 2 (Reg)'!O42</f>
        <v>1634771.23</v>
      </c>
      <c r="Q267" s="83"/>
      <c r="R267" s="83">
        <f>+'Summary - Reserve - PG 2 (Reg)'!Q42</f>
        <v>0</v>
      </c>
      <c r="S267" s="83"/>
      <c r="T267" s="83">
        <f>+'Summary - Reserve - PG 2 (Reg)'!S42</f>
        <v>0</v>
      </c>
      <c r="U267" s="83"/>
      <c r="V267" s="83">
        <f t="shared" si="19"/>
        <v>-26836143.150000002</v>
      </c>
      <c r="W267" s="83"/>
    </row>
    <row r="268" spans="2:47" outlineLevel="3" x14ac:dyDescent="0.2">
      <c r="B268" s="21"/>
      <c r="C268" s="21" t="s">
        <v>27</v>
      </c>
      <c r="D268" s="83">
        <f>+'Summary - Reserve - PG 2 (Reg)'!C43</f>
        <v>-82455723.039999992</v>
      </c>
      <c r="E268" s="83"/>
      <c r="F268" s="83">
        <f>+'Summary - Reserve - PG 2 (Reg)'!E43</f>
        <v>-7286566.0999999996</v>
      </c>
      <c r="G268" s="83"/>
      <c r="H268" s="83">
        <f>+'Summary - Reserve - PG 2 (Reg)'!G43</f>
        <v>0</v>
      </c>
      <c r="I268" s="83"/>
      <c r="J268" s="83">
        <f>+'Summary - Reserve - PG 2 (Reg)'!I43</f>
        <v>0</v>
      </c>
      <c r="K268" s="83"/>
      <c r="L268" s="83"/>
      <c r="M268" s="83"/>
      <c r="N268" s="83">
        <f>+'Summary - Reserve - PG 2 (Reg)'!M43</f>
        <v>0</v>
      </c>
      <c r="O268" s="83"/>
      <c r="P268" s="83">
        <f>+'Summary - Reserve - PG 2 (Reg)'!O43</f>
        <v>617961.38</v>
      </c>
      <c r="Q268" s="83"/>
      <c r="R268" s="83">
        <f>+'Summary - Reserve - PG 2 (Reg)'!Q43</f>
        <v>0</v>
      </c>
      <c r="S268" s="83"/>
      <c r="T268" s="83">
        <f>+'Summary - Reserve - PG 2 (Reg)'!S43</f>
        <v>-39916.239999999998</v>
      </c>
      <c r="U268" s="83"/>
      <c r="V268" s="83">
        <f t="shared" si="19"/>
        <v>-89164243.999999985</v>
      </c>
      <c r="W268" s="83"/>
    </row>
    <row r="269" spans="2:47" outlineLevel="3" x14ac:dyDescent="0.2">
      <c r="B269" s="21"/>
      <c r="C269" s="21" t="s">
        <v>28</v>
      </c>
      <c r="D269" s="83">
        <f>+'Summary - Reserve - PG 2 (Reg)'!C44</f>
        <v>88.599999999999966</v>
      </c>
      <c r="E269" s="83"/>
      <c r="F269" s="83">
        <f>+'Summary - Reserve - PG 2 (Reg)'!E44</f>
        <v>0</v>
      </c>
      <c r="G269" s="83"/>
      <c r="H269" s="83">
        <f>+'Summary - Reserve - PG 2 (Reg)'!G44</f>
        <v>0</v>
      </c>
      <c r="I269" s="83"/>
      <c r="J269" s="83">
        <f>+'Summary - Reserve - PG 2 (Reg)'!I44</f>
        <v>100.57</v>
      </c>
      <c r="K269" s="83"/>
      <c r="L269" s="83"/>
      <c r="M269" s="83"/>
      <c r="N269" s="83">
        <f>+'Summary - Reserve - PG 2 (Reg)'!M44</f>
        <v>0</v>
      </c>
      <c r="O269" s="83"/>
      <c r="P269" s="83">
        <f>+'Summary - Reserve - PG 2 (Reg)'!O44</f>
        <v>0</v>
      </c>
      <c r="Q269" s="83"/>
      <c r="R269" s="83">
        <f>+'Summary - Reserve - PG 2 (Reg)'!Q44</f>
        <v>0</v>
      </c>
      <c r="S269" s="83"/>
      <c r="T269" s="83">
        <f>+'Summary - Reserve - PG 2 (Reg)'!S44</f>
        <v>0</v>
      </c>
      <c r="U269" s="83"/>
      <c r="V269" s="83">
        <f t="shared" si="19"/>
        <v>189.16999999999996</v>
      </c>
      <c r="W269" s="83"/>
    </row>
    <row r="270" spans="2:47" outlineLevel="3" x14ac:dyDescent="0.2">
      <c r="B270" s="21"/>
      <c r="C270" s="21" t="s">
        <v>30</v>
      </c>
      <c r="D270" s="83">
        <f>+'Summary - Reserve - PG 2 (Reg)'!C45</f>
        <v>-950944.0000000007</v>
      </c>
      <c r="E270" s="83"/>
      <c r="F270" s="83">
        <f>+'Summary - Reserve - PG 2 (Reg)'!E45</f>
        <v>-377279.7</v>
      </c>
      <c r="G270" s="83"/>
      <c r="H270" s="83">
        <f>+'Summary - Reserve - PG 2 (Reg)'!G45</f>
        <v>0</v>
      </c>
      <c r="I270" s="83"/>
      <c r="J270" s="83">
        <f>+'Summary - Reserve - PG 2 (Reg)'!I45</f>
        <v>0</v>
      </c>
      <c r="K270" s="83"/>
      <c r="L270" s="83"/>
      <c r="M270" s="83"/>
      <c r="N270" s="83">
        <f>+'Summary - Reserve - PG 2 (Reg)'!M45</f>
        <v>0</v>
      </c>
      <c r="O270" s="83"/>
      <c r="P270" s="83">
        <f>+'Summary - Reserve - PG 2 (Reg)'!O45</f>
        <v>619479.51</v>
      </c>
      <c r="Q270" s="83"/>
      <c r="R270" s="83">
        <f>+'Summary - Reserve - PG 2 (Reg)'!Q45</f>
        <v>0</v>
      </c>
      <c r="S270" s="83"/>
      <c r="T270" s="83">
        <f>+'Summary - Reserve - PG 2 (Reg)'!S45</f>
        <v>0</v>
      </c>
      <c r="U270" s="83"/>
      <c r="V270" s="83">
        <f t="shared" si="19"/>
        <v>-708744.19000000064</v>
      </c>
      <c r="W270" s="83"/>
    </row>
    <row r="271" spans="2:47" outlineLevel="3" x14ac:dyDescent="0.2">
      <c r="B271" s="21"/>
      <c r="C271" s="21" t="s">
        <v>51</v>
      </c>
      <c r="D271" s="83">
        <f>+'Summary - Reserve - PG 2 (Reg)'!C46</f>
        <v>0</v>
      </c>
      <c r="E271" s="83"/>
      <c r="F271" s="83">
        <f>+'Summary - Reserve - PG 2 (Reg)'!E46</f>
        <v>0</v>
      </c>
      <c r="G271" s="83"/>
      <c r="H271" s="83">
        <f>+'Summary - Reserve - PG 2 (Reg)'!G46</f>
        <v>0</v>
      </c>
      <c r="I271" s="83"/>
      <c r="J271" s="83">
        <f>+'Summary - Reserve - PG 2 (Reg)'!I46</f>
        <v>0</v>
      </c>
      <c r="K271" s="83"/>
      <c r="L271" s="83"/>
      <c r="M271" s="83"/>
      <c r="N271" s="83">
        <f>+'Summary - Reserve - PG 2 (Reg)'!M46</f>
        <v>0</v>
      </c>
      <c r="O271" s="83"/>
      <c r="P271" s="83">
        <f>+'Summary - Reserve - PG 2 (Reg)'!O46</f>
        <v>0</v>
      </c>
      <c r="Q271" s="83"/>
      <c r="R271" s="83">
        <f>+'Summary - Reserve - PG 2 (Reg)'!Q46</f>
        <v>0</v>
      </c>
      <c r="S271" s="83"/>
      <c r="T271" s="83">
        <f>+'Summary - Reserve - PG 2 (Reg)'!S46</f>
        <v>0</v>
      </c>
      <c r="U271" s="83"/>
      <c r="V271" s="83">
        <f t="shared" si="19"/>
        <v>0</v>
      </c>
      <c r="W271" s="83"/>
    </row>
    <row r="272" spans="2:47" outlineLevel="3" x14ac:dyDescent="0.2">
      <c r="B272" s="21"/>
      <c r="C272" s="21" t="s">
        <v>31</v>
      </c>
      <c r="D272" s="83">
        <f>+'Summary - Reserve - PG 2 (Reg)'!C47</f>
        <v>-1989761.0899999999</v>
      </c>
      <c r="E272" s="83"/>
      <c r="F272" s="83">
        <f>+'Summary - Reserve - PG 2 (Reg)'!E47</f>
        <v>-166948.17000000001</v>
      </c>
      <c r="G272" s="83"/>
      <c r="H272" s="83">
        <f>+'Summary - Reserve - PG 2 (Reg)'!G47</f>
        <v>0</v>
      </c>
      <c r="I272" s="83"/>
      <c r="J272" s="83">
        <f>+'Summary - Reserve - PG 2 (Reg)'!I47</f>
        <v>0</v>
      </c>
      <c r="K272" s="83"/>
      <c r="L272" s="83"/>
      <c r="M272" s="83"/>
      <c r="N272" s="83">
        <f>+'Summary - Reserve - PG 2 (Reg)'!M47</f>
        <v>0</v>
      </c>
      <c r="O272" s="83"/>
      <c r="P272" s="83">
        <f>+'Summary - Reserve - PG 2 (Reg)'!O47</f>
        <v>114945.03</v>
      </c>
      <c r="Q272" s="83"/>
      <c r="R272" s="83">
        <f>+'Summary - Reserve - PG 2 (Reg)'!Q47</f>
        <v>0</v>
      </c>
      <c r="S272" s="83"/>
      <c r="T272" s="83">
        <f>+'Summary - Reserve - PG 2 (Reg)'!S47</f>
        <v>0</v>
      </c>
      <c r="U272" s="83"/>
      <c r="V272" s="83">
        <f t="shared" si="19"/>
        <v>-2041764.23</v>
      </c>
      <c r="W272" s="83"/>
    </row>
    <row r="273" spans="2:23" outlineLevel="3" x14ac:dyDescent="0.2">
      <c r="B273" s="21"/>
      <c r="C273" s="21" t="s">
        <v>54</v>
      </c>
      <c r="D273" s="83">
        <f>+'Summary - Reserve - PG 2 (Reg)'!C48</f>
        <v>1.2734258092450546E-13</v>
      </c>
      <c r="E273" s="83"/>
      <c r="F273" s="83">
        <f>+'Summary - Reserve - PG 2 (Reg)'!E48</f>
        <v>0</v>
      </c>
      <c r="G273" s="83"/>
      <c r="H273" s="83">
        <f>+'Summary - Reserve - PG 2 (Reg)'!G48</f>
        <v>0</v>
      </c>
      <c r="I273" s="83"/>
      <c r="J273" s="83">
        <f>+'Summary - Reserve - PG 2 (Reg)'!I48</f>
        <v>0</v>
      </c>
      <c r="K273" s="83"/>
      <c r="L273" s="83"/>
      <c r="M273" s="83"/>
      <c r="N273" s="83">
        <f>+'Summary - Reserve - PG 2 (Reg)'!M48</f>
        <v>0</v>
      </c>
      <c r="O273" s="83"/>
      <c r="P273" s="83">
        <f>+'Summary - Reserve - PG 2 (Reg)'!O48</f>
        <v>0</v>
      </c>
      <c r="Q273" s="83"/>
      <c r="R273" s="83">
        <f>+'Summary - Reserve - PG 2 (Reg)'!Q48</f>
        <v>0</v>
      </c>
      <c r="S273" s="83"/>
      <c r="T273" s="83">
        <f>+'Summary - Reserve - PG 2 (Reg)'!S48</f>
        <v>0</v>
      </c>
      <c r="U273" s="83"/>
      <c r="V273" s="149">
        <f t="shared" si="19"/>
        <v>1.2734258092450546E-13</v>
      </c>
      <c r="W273" s="83"/>
    </row>
    <row r="274" spans="2:23" outlineLevel="3" x14ac:dyDescent="0.2">
      <c r="B274" s="21"/>
      <c r="C274" s="18"/>
      <c r="D274" s="110">
        <f>SUM(D261:D273)</f>
        <v>-402585504.69</v>
      </c>
      <c r="E274" s="83"/>
      <c r="F274" s="110">
        <f>SUM(F261:F273)</f>
        <v>-28112725.709999997</v>
      </c>
      <c r="G274" s="83"/>
      <c r="H274" s="110">
        <f>SUM(H261:H273)</f>
        <v>0</v>
      </c>
      <c r="I274" s="83"/>
      <c r="J274" s="110">
        <f>SUM(J261:J273)</f>
        <v>100.57</v>
      </c>
      <c r="K274" s="83"/>
      <c r="L274" s="83"/>
      <c r="M274" s="83"/>
      <c r="N274" s="110">
        <f>SUM(N261:N273)</f>
        <v>0</v>
      </c>
      <c r="O274" s="83"/>
      <c r="P274" s="110">
        <f>SUM(P261:P273)</f>
        <v>44524445.449999996</v>
      </c>
      <c r="Q274" s="83"/>
      <c r="R274" s="110">
        <f>SUM(R261:R273)</f>
        <v>0</v>
      </c>
      <c r="S274" s="83"/>
      <c r="T274" s="110">
        <f>SUM(T261:T273)</f>
        <v>-2695316.3200000003</v>
      </c>
      <c r="U274" s="83"/>
      <c r="V274" s="83">
        <f>SUM(V261:V273)</f>
        <v>-388869000.70000005</v>
      </c>
      <c r="W274" s="83"/>
    </row>
    <row r="275" spans="2:23" outlineLevel="3" x14ac:dyDescent="0.2">
      <c r="B275" s="21"/>
      <c r="D275" s="80"/>
      <c r="E275" s="80"/>
      <c r="F275" s="80"/>
      <c r="G275" s="80"/>
      <c r="H275" s="80"/>
      <c r="I275" s="80"/>
      <c r="J275" s="30"/>
      <c r="K275" s="30"/>
      <c r="L275" s="3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</row>
    <row r="276" spans="2:23" ht="15" outlineLevel="3" x14ac:dyDescent="0.35">
      <c r="B276" s="9" t="s">
        <v>90</v>
      </c>
      <c r="D276" s="32"/>
      <c r="E276" s="30"/>
      <c r="F276" s="32"/>
      <c r="G276" s="30"/>
      <c r="H276" s="32"/>
      <c r="I276" s="30"/>
      <c r="J276" s="32"/>
      <c r="K276" s="32"/>
      <c r="L276" s="32"/>
      <c r="M276" s="30"/>
      <c r="N276" s="32"/>
      <c r="O276" s="30"/>
      <c r="P276" s="32"/>
      <c r="Q276" s="30"/>
      <c r="R276" s="32"/>
      <c r="S276" s="30"/>
      <c r="T276" s="32"/>
      <c r="U276" s="30"/>
      <c r="V276" s="32"/>
      <c r="W276" s="32"/>
    </row>
    <row r="277" spans="2:23" outlineLevel="3" x14ac:dyDescent="0.2">
      <c r="B277" s="21"/>
      <c r="C277" s="21" t="s">
        <v>14</v>
      </c>
      <c r="D277" s="83">
        <f>+'Summary - Reserve - PG 2 (Reg)'!C52</f>
        <v>275747.05</v>
      </c>
      <c r="E277" s="83"/>
      <c r="F277" s="83">
        <f>+'Summary - Reserve - PG 2 (Reg)'!E52</f>
        <v>155.93</v>
      </c>
      <c r="G277" s="83"/>
      <c r="H277" s="83">
        <f>+'Summary - Reserve - PG 2 (Reg)'!G52</f>
        <v>0</v>
      </c>
      <c r="I277" s="83"/>
      <c r="J277" s="83">
        <f>+'Summary - Reserve - PG 2 (Reg)'!I52</f>
        <v>0</v>
      </c>
      <c r="K277" s="83"/>
      <c r="L277" s="83"/>
      <c r="M277" s="83"/>
      <c r="N277" s="83">
        <f>+'Summary - Reserve - PG 2 (Reg)'!M52</f>
        <v>0</v>
      </c>
      <c r="O277" s="83"/>
      <c r="P277" s="83">
        <f>+'Summary - Reserve - PG 2 (Reg)'!O52</f>
        <v>0</v>
      </c>
      <c r="Q277" s="83"/>
      <c r="R277" s="83">
        <f>+'Summary - Reserve - PG 2 (Reg)'!Q52</f>
        <v>0</v>
      </c>
      <c r="S277" s="83"/>
      <c r="T277" s="83">
        <f>+'Summary - Reserve - PG 2 (Reg)'!S52</f>
        <v>0</v>
      </c>
      <c r="U277" s="83"/>
      <c r="V277" s="83">
        <f t="shared" ref="V277:V289" si="20">T277+R277+P277+N277+J277+H277+F277+D277</f>
        <v>275902.98</v>
      </c>
      <c r="W277" s="83"/>
    </row>
    <row r="278" spans="2:23" outlineLevel="3" x14ac:dyDescent="0.2">
      <c r="B278" s="21"/>
      <c r="C278" s="21" t="s">
        <v>18</v>
      </c>
      <c r="D278" s="83">
        <f>+'Summary - Reserve - PG 2 (Reg)'!C53</f>
        <v>20627173.23</v>
      </c>
      <c r="E278" s="83"/>
      <c r="F278" s="83">
        <f>+'Summary - Reserve - PG 2 (Reg)'!E53</f>
        <v>984048.03</v>
      </c>
      <c r="G278" s="83"/>
      <c r="H278" s="83">
        <f>+'Summary - Reserve - PG 2 (Reg)'!G53</f>
        <v>0</v>
      </c>
      <c r="I278" s="83"/>
      <c r="J278" s="83">
        <f>+'Summary - Reserve - PG 2 (Reg)'!I53</f>
        <v>0</v>
      </c>
      <c r="K278" s="83"/>
      <c r="L278" s="83"/>
      <c r="M278" s="83"/>
      <c r="N278" s="83">
        <f>+'Summary - Reserve - PG 2 (Reg)'!M53</f>
        <v>0</v>
      </c>
      <c r="O278" s="83"/>
      <c r="P278" s="83">
        <f>+'Summary - Reserve - PG 2 (Reg)'!O53</f>
        <v>0</v>
      </c>
      <c r="Q278" s="83"/>
      <c r="R278" s="83">
        <f>+'Summary - Reserve - PG 2 (Reg)'!Q53</f>
        <v>-658299.74</v>
      </c>
      <c r="S278" s="83"/>
      <c r="T278" s="83">
        <f>+'Summary - Reserve - PG 2 (Reg)'!S53</f>
        <v>0</v>
      </c>
      <c r="U278" s="83"/>
      <c r="V278" s="83">
        <f t="shared" si="20"/>
        <v>20952921.52</v>
      </c>
      <c r="W278" s="83"/>
    </row>
    <row r="279" spans="2:23" outlineLevel="3" x14ac:dyDescent="0.2">
      <c r="B279" s="21"/>
      <c r="C279" s="21" t="s">
        <v>19</v>
      </c>
      <c r="D279" s="83">
        <f>+'Summary - Reserve - PG 2 (Reg)'!C54</f>
        <v>151690.44999999998</v>
      </c>
      <c r="E279" s="83"/>
      <c r="F279" s="83">
        <f>+'Summary - Reserve - PG 2 (Reg)'!E54</f>
        <v>961.63</v>
      </c>
      <c r="G279" s="83"/>
      <c r="H279" s="83">
        <f>+'Summary - Reserve - PG 2 (Reg)'!G54</f>
        <v>0</v>
      </c>
      <c r="I279" s="83"/>
      <c r="J279" s="83">
        <f>+'Summary - Reserve - PG 2 (Reg)'!I54</f>
        <v>0</v>
      </c>
      <c r="K279" s="83"/>
      <c r="L279" s="83"/>
      <c r="M279" s="83"/>
      <c r="N279" s="83">
        <f>+'Summary - Reserve - PG 2 (Reg)'!M54</f>
        <v>0</v>
      </c>
      <c r="O279" s="83"/>
      <c r="P279" s="83">
        <f>+'Summary - Reserve - PG 2 (Reg)'!O54</f>
        <v>0</v>
      </c>
      <c r="Q279" s="83"/>
      <c r="R279" s="83">
        <f>+'Summary - Reserve - PG 2 (Reg)'!Q54</f>
        <v>0</v>
      </c>
      <c r="S279" s="83"/>
      <c r="T279" s="83">
        <f>+'Summary - Reserve - PG 2 (Reg)'!S54</f>
        <v>0</v>
      </c>
      <c r="U279" s="83"/>
      <c r="V279" s="83">
        <f t="shared" si="20"/>
        <v>152652.07999999999</v>
      </c>
      <c r="W279" s="83"/>
    </row>
    <row r="280" spans="2:23" outlineLevel="3" x14ac:dyDescent="0.2">
      <c r="B280" s="21"/>
      <c r="C280" s="21" t="s">
        <v>20</v>
      </c>
      <c r="D280" s="83">
        <f>+'Summary - Reserve - PG 2 (Reg)'!C55</f>
        <v>441896.45999999996</v>
      </c>
      <c r="E280" s="83"/>
      <c r="F280" s="83">
        <f>+'Summary - Reserve - PG 2 (Reg)'!E55</f>
        <v>24586.66</v>
      </c>
      <c r="G280" s="83"/>
      <c r="H280" s="83">
        <f>+'Summary - Reserve - PG 2 (Reg)'!G55</f>
        <v>0</v>
      </c>
      <c r="I280" s="83"/>
      <c r="J280" s="83">
        <f>+'Summary - Reserve - PG 2 (Reg)'!I55</f>
        <v>0</v>
      </c>
      <c r="K280" s="83"/>
      <c r="L280" s="83"/>
      <c r="M280" s="83"/>
      <c r="N280" s="83">
        <f>+'Summary - Reserve - PG 2 (Reg)'!M55</f>
        <v>0</v>
      </c>
      <c r="O280" s="83"/>
      <c r="P280" s="83">
        <f>+'Summary - Reserve - PG 2 (Reg)'!O55</f>
        <v>0</v>
      </c>
      <c r="Q280" s="83"/>
      <c r="R280" s="83">
        <f>+'Summary - Reserve - PG 2 (Reg)'!Q55</f>
        <v>0</v>
      </c>
      <c r="S280" s="83"/>
      <c r="T280" s="83">
        <f>+'Summary - Reserve - PG 2 (Reg)'!S55</f>
        <v>0</v>
      </c>
      <c r="U280" s="83"/>
      <c r="V280" s="83">
        <f t="shared" si="20"/>
        <v>466483.11999999994</v>
      </c>
      <c r="W280" s="83"/>
    </row>
    <row r="281" spans="2:23" outlineLevel="3" x14ac:dyDescent="0.2">
      <c r="B281" s="21"/>
      <c r="C281" s="21" t="s">
        <v>22</v>
      </c>
      <c r="D281" s="83">
        <f>+'Summary - Reserve - PG 2 (Reg)'!C56</f>
        <v>339071.75</v>
      </c>
      <c r="E281" s="83"/>
      <c r="F281" s="83">
        <f>+'Summary - Reserve - PG 2 (Reg)'!E56</f>
        <v>122267.04</v>
      </c>
      <c r="G281" s="83"/>
      <c r="H281" s="83">
        <f>+'Summary - Reserve - PG 2 (Reg)'!G56</f>
        <v>0</v>
      </c>
      <c r="I281" s="83"/>
      <c r="J281" s="83">
        <f>+'Summary - Reserve - PG 2 (Reg)'!I56</f>
        <v>0</v>
      </c>
      <c r="K281" s="83"/>
      <c r="L281" s="83"/>
      <c r="M281" s="83"/>
      <c r="N281" s="83">
        <f>+'Summary - Reserve - PG 2 (Reg)'!M56</f>
        <v>0</v>
      </c>
      <c r="O281" s="83"/>
      <c r="P281" s="83">
        <f>+'Summary - Reserve - PG 2 (Reg)'!O56</f>
        <v>0</v>
      </c>
      <c r="Q281" s="83"/>
      <c r="R281" s="83">
        <f>+'Summary - Reserve - PG 2 (Reg)'!Q56</f>
        <v>0</v>
      </c>
      <c r="S281" s="83"/>
      <c r="T281" s="83">
        <f>+'Summary - Reserve - PG 2 (Reg)'!S56</f>
        <v>0</v>
      </c>
      <c r="U281" s="83"/>
      <c r="V281" s="83">
        <f t="shared" si="20"/>
        <v>461338.79</v>
      </c>
      <c r="W281" s="83"/>
    </row>
    <row r="282" spans="2:23" outlineLevel="3" x14ac:dyDescent="0.2">
      <c r="B282" s="21"/>
      <c r="C282" s="21" t="s">
        <v>23</v>
      </c>
      <c r="D282" s="83">
        <f>+'Summary - Reserve - PG 2 (Reg)'!C57</f>
        <v>28345010.91</v>
      </c>
      <c r="E282" s="83"/>
      <c r="F282" s="83">
        <f>+'Summary - Reserve - PG 2 (Reg)'!E57</f>
        <v>1071371.1100000001</v>
      </c>
      <c r="G282" s="83"/>
      <c r="H282" s="83">
        <f>+'Summary - Reserve - PG 2 (Reg)'!G57</f>
        <v>0</v>
      </c>
      <c r="I282" s="83"/>
      <c r="J282" s="83">
        <f>+'Summary - Reserve - PG 2 (Reg)'!I57</f>
        <v>0</v>
      </c>
      <c r="K282" s="83"/>
      <c r="L282" s="83"/>
      <c r="M282" s="83"/>
      <c r="N282" s="83">
        <f>+'Summary - Reserve - PG 2 (Reg)'!M57</f>
        <v>0</v>
      </c>
      <c r="O282" s="83"/>
      <c r="P282" s="83">
        <f>+'Summary - Reserve - PG 2 (Reg)'!O57</f>
        <v>0</v>
      </c>
      <c r="Q282" s="83"/>
      <c r="R282" s="83">
        <f>+'Summary - Reserve - PG 2 (Reg)'!Q57</f>
        <v>-815417.91</v>
      </c>
      <c r="S282" s="83"/>
      <c r="T282" s="83">
        <f>+'Summary - Reserve - PG 2 (Reg)'!S57</f>
        <v>0</v>
      </c>
      <c r="U282" s="83"/>
      <c r="V282" s="83">
        <f t="shared" si="20"/>
        <v>28600964.109999999</v>
      </c>
      <c r="W282" s="83"/>
    </row>
    <row r="283" spans="2:23" outlineLevel="3" x14ac:dyDescent="0.2">
      <c r="B283" s="21"/>
      <c r="C283" s="21" t="s">
        <v>24</v>
      </c>
      <c r="D283" s="83">
        <f>+'Summary - Reserve - PG 2 (Reg)'!C58</f>
        <v>6685901.3199999994</v>
      </c>
      <c r="E283" s="83"/>
      <c r="F283" s="83">
        <f>+'Summary - Reserve - PG 2 (Reg)'!E58</f>
        <v>315455.53999999998</v>
      </c>
      <c r="G283" s="83"/>
      <c r="H283" s="83">
        <f>+'Summary - Reserve - PG 2 (Reg)'!G58</f>
        <v>0</v>
      </c>
      <c r="I283" s="83"/>
      <c r="J283" s="83">
        <f>+'Summary - Reserve - PG 2 (Reg)'!I58</f>
        <v>0</v>
      </c>
      <c r="K283" s="83"/>
      <c r="L283" s="83"/>
      <c r="M283" s="83"/>
      <c r="N283" s="83">
        <f>+'Summary - Reserve - PG 2 (Reg)'!M58</f>
        <v>0</v>
      </c>
      <c r="O283" s="83"/>
      <c r="P283" s="83">
        <f>+'Summary - Reserve - PG 2 (Reg)'!O58</f>
        <v>0</v>
      </c>
      <c r="Q283" s="83"/>
      <c r="R283" s="83">
        <f>+'Summary - Reserve - PG 2 (Reg)'!Q58</f>
        <v>-6661.73</v>
      </c>
      <c r="S283" s="83"/>
      <c r="T283" s="83">
        <f>+'Summary - Reserve - PG 2 (Reg)'!S58</f>
        <v>0</v>
      </c>
      <c r="U283" s="83"/>
      <c r="V283" s="83">
        <f t="shared" si="20"/>
        <v>6994695.129999999</v>
      </c>
      <c r="W283" s="83"/>
    </row>
    <row r="284" spans="2:23" outlineLevel="3" x14ac:dyDescent="0.2">
      <c r="B284" s="21"/>
      <c r="C284" s="21" t="s">
        <v>27</v>
      </c>
      <c r="D284" s="83">
        <f>+'Summary - Reserve - PG 2 (Reg)'!C59</f>
        <v>4464500.95</v>
      </c>
      <c r="E284" s="83"/>
      <c r="F284" s="83">
        <f>+'Summary - Reserve - PG 2 (Reg)'!E59</f>
        <v>230850.75</v>
      </c>
      <c r="G284" s="83"/>
      <c r="H284" s="83">
        <f>+'Summary - Reserve - PG 2 (Reg)'!G59</f>
        <v>0</v>
      </c>
      <c r="I284" s="83"/>
      <c r="J284" s="83">
        <f>+'Summary - Reserve - PG 2 (Reg)'!I59</f>
        <v>0</v>
      </c>
      <c r="K284" s="83"/>
      <c r="L284" s="83"/>
      <c r="M284" s="83"/>
      <c r="N284" s="83">
        <f>+'Summary - Reserve - PG 2 (Reg)'!M59</f>
        <v>0</v>
      </c>
      <c r="O284" s="83"/>
      <c r="P284" s="83">
        <f>+'Summary - Reserve - PG 2 (Reg)'!O59</f>
        <v>0</v>
      </c>
      <c r="Q284" s="83"/>
      <c r="R284" s="83">
        <f>+'Summary - Reserve - PG 2 (Reg)'!Q59</f>
        <v>-30729.81</v>
      </c>
      <c r="S284" s="83"/>
      <c r="T284" s="83">
        <f>+'Summary - Reserve - PG 2 (Reg)'!S59</f>
        <v>0</v>
      </c>
      <c r="U284" s="83"/>
      <c r="V284" s="83">
        <f t="shared" si="20"/>
        <v>4664621.8900000006</v>
      </c>
      <c r="W284" s="83"/>
    </row>
    <row r="285" spans="2:23" outlineLevel="3" x14ac:dyDescent="0.2">
      <c r="B285" s="21"/>
      <c r="C285" s="21" t="s">
        <v>28</v>
      </c>
      <c r="D285" s="83">
        <f>+'Summary - Reserve - PG 2 (Reg)'!C60</f>
        <v>237737.23000000004</v>
      </c>
      <c r="E285" s="83"/>
      <c r="F285" s="83">
        <f>+'Summary - Reserve - PG 2 (Reg)'!E60</f>
        <v>1359.35</v>
      </c>
      <c r="G285" s="83"/>
      <c r="H285" s="83">
        <f>+'Summary - Reserve - PG 2 (Reg)'!G60</f>
        <v>0</v>
      </c>
      <c r="I285" s="83"/>
      <c r="J285" s="83">
        <f>+'Summary - Reserve - PG 2 (Reg)'!I60</f>
        <v>-1252.0999999999999</v>
      </c>
      <c r="K285" s="83"/>
      <c r="L285" s="83"/>
      <c r="M285" s="83"/>
      <c r="N285" s="83">
        <f>+'Summary - Reserve - PG 2 (Reg)'!M60</f>
        <v>0</v>
      </c>
      <c r="O285" s="83"/>
      <c r="P285" s="83">
        <f>+'Summary - Reserve - PG 2 (Reg)'!O60</f>
        <v>0</v>
      </c>
      <c r="Q285" s="83"/>
      <c r="R285" s="83">
        <f>+'Summary - Reserve - PG 2 (Reg)'!Q60</f>
        <v>0</v>
      </c>
      <c r="S285" s="83"/>
      <c r="T285" s="83">
        <f>+'Summary - Reserve - PG 2 (Reg)'!S60</f>
        <v>0</v>
      </c>
      <c r="U285" s="83"/>
      <c r="V285" s="83">
        <f t="shared" si="20"/>
        <v>237844.48000000004</v>
      </c>
      <c r="W285" s="83"/>
    </row>
    <row r="286" spans="2:23" outlineLevel="3" x14ac:dyDescent="0.2">
      <c r="B286" s="21"/>
      <c r="C286" s="21" t="s">
        <v>30</v>
      </c>
      <c r="D286" s="83">
        <f>+'Summary - Reserve - PG 2 (Reg)'!C61</f>
        <v>453353.26999999996</v>
      </c>
      <c r="E286" s="83"/>
      <c r="F286" s="83">
        <f>+'Summary - Reserve - PG 2 (Reg)'!E61</f>
        <v>37694.94</v>
      </c>
      <c r="G286" s="83"/>
      <c r="H286" s="83">
        <f>+'Summary - Reserve - PG 2 (Reg)'!G61</f>
        <v>0</v>
      </c>
      <c r="I286" s="83"/>
      <c r="J286" s="83">
        <f>+'Summary - Reserve - PG 2 (Reg)'!I61</f>
        <v>0</v>
      </c>
      <c r="K286" s="83"/>
      <c r="L286" s="83"/>
      <c r="M286" s="83"/>
      <c r="N286" s="83">
        <f>+'Summary - Reserve - PG 2 (Reg)'!M61</f>
        <v>0</v>
      </c>
      <c r="O286" s="83"/>
      <c r="P286" s="83">
        <f>+'Summary - Reserve - PG 2 (Reg)'!O61</f>
        <v>0</v>
      </c>
      <c r="Q286" s="83"/>
      <c r="R286" s="83">
        <f>+'Summary - Reserve - PG 2 (Reg)'!Q61</f>
        <v>-696.13</v>
      </c>
      <c r="S286" s="83"/>
      <c r="T286" s="83">
        <f>+'Summary - Reserve - PG 2 (Reg)'!S61</f>
        <v>0</v>
      </c>
      <c r="U286" s="83"/>
      <c r="V286" s="83">
        <f t="shared" si="20"/>
        <v>490352.07999999996</v>
      </c>
      <c r="W286" s="83"/>
    </row>
    <row r="287" spans="2:23" outlineLevel="3" x14ac:dyDescent="0.2">
      <c r="B287" s="21"/>
      <c r="C287" s="21" t="s">
        <v>51</v>
      </c>
      <c r="D287" s="83">
        <f>+'Summary - Reserve - PG 2 (Reg)'!C62</f>
        <v>0</v>
      </c>
      <c r="E287" s="83"/>
      <c r="F287" s="83">
        <f>+'Summary - Reserve - PG 2 (Reg)'!E62</f>
        <v>0</v>
      </c>
      <c r="G287" s="83"/>
      <c r="H287" s="83">
        <f>+'Summary - Reserve - PG 2 (Reg)'!G62</f>
        <v>0</v>
      </c>
      <c r="I287" s="83"/>
      <c r="J287" s="83">
        <f>+'Summary - Reserve - PG 2 (Reg)'!I62</f>
        <v>0</v>
      </c>
      <c r="K287" s="83"/>
      <c r="L287" s="83"/>
      <c r="M287" s="83"/>
      <c r="N287" s="83">
        <f>+'Summary - Reserve - PG 2 (Reg)'!M62</f>
        <v>0</v>
      </c>
      <c r="O287" s="83"/>
      <c r="P287" s="83">
        <f>+'Summary - Reserve - PG 2 (Reg)'!O62</f>
        <v>0</v>
      </c>
      <c r="Q287" s="83"/>
      <c r="R287" s="83">
        <f>+'Summary - Reserve - PG 2 (Reg)'!Q62</f>
        <v>0</v>
      </c>
      <c r="S287" s="83"/>
      <c r="T287" s="83">
        <f>+'Summary - Reserve - PG 2 (Reg)'!S62</f>
        <v>0</v>
      </c>
      <c r="U287" s="83"/>
      <c r="V287" s="83">
        <f t="shared" si="20"/>
        <v>0</v>
      </c>
      <c r="W287" s="83"/>
    </row>
    <row r="288" spans="2:23" outlineLevel="3" x14ac:dyDescent="0.2">
      <c r="B288" s="21"/>
      <c r="C288" s="21" t="s">
        <v>31</v>
      </c>
      <c r="D288" s="83">
        <f>+'Summary - Reserve - PG 2 (Reg)'!C63</f>
        <v>246054.13</v>
      </c>
      <c r="E288" s="83"/>
      <c r="F288" s="83">
        <f>+'Summary - Reserve - PG 2 (Reg)'!E63</f>
        <v>10448.44</v>
      </c>
      <c r="G288" s="83"/>
      <c r="H288" s="83">
        <f>+'Summary - Reserve - PG 2 (Reg)'!G63</f>
        <v>0</v>
      </c>
      <c r="I288" s="83"/>
      <c r="J288" s="83">
        <f>+'Summary - Reserve - PG 2 (Reg)'!I63</f>
        <v>0</v>
      </c>
      <c r="K288" s="83"/>
      <c r="L288" s="83"/>
      <c r="M288" s="83"/>
      <c r="N288" s="83">
        <f>+'Summary - Reserve - PG 2 (Reg)'!M63</f>
        <v>0</v>
      </c>
      <c r="O288" s="83"/>
      <c r="P288" s="83">
        <f>+'Summary - Reserve - PG 2 (Reg)'!O63</f>
        <v>0</v>
      </c>
      <c r="Q288" s="83"/>
      <c r="R288" s="83">
        <f>+'Summary - Reserve - PG 2 (Reg)'!Q63</f>
        <v>0</v>
      </c>
      <c r="S288" s="83"/>
      <c r="T288" s="83">
        <f>+'Summary - Reserve - PG 2 (Reg)'!S63</f>
        <v>0</v>
      </c>
      <c r="U288" s="83"/>
      <c r="V288" s="83">
        <f t="shared" si="20"/>
        <v>256502.57</v>
      </c>
      <c r="W288" s="83"/>
    </row>
    <row r="289" spans="1:28" outlineLevel="3" x14ac:dyDescent="0.2">
      <c r="B289" s="21"/>
      <c r="C289" s="21" t="s">
        <v>54</v>
      </c>
      <c r="D289" s="83">
        <f>+'Summary - Reserve - PG 2 (Reg)'!C64</f>
        <v>0</v>
      </c>
      <c r="E289" s="83"/>
      <c r="F289" s="83">
        <f>+'Summary - Reserve - PG 2 (Reg)'!E64</f>
        <v>0</v>
      </c>
      <c r="G289" s="83"/>
      <c r="H289" s="83">
        <f>+'Summary - Reserve - PG 2 (Reg)'!G64</f>
        <v>0</v>
      </c>
      <c r="I289" s="83"/>
      <c r="J289" s="83">
        <f>+'Summary - Reserve - PG 2 (Reg)'!I64</f>
        <v>0</v>
      </c>
      <c r="K289" s="83"/>
      <c r="L289" s="83"/>
      <c r="M289" s="83"/>
      <c r="N289" s="83">
        <f>+'Summary - Reserve - PG 2 (Reg)'!M64</f>
        <v>0</v>
      </c>
      <c r="O289" s="83"/>
      <c r="P289" s="83">
        <f>+'Summary - Reserve - PG 2 (Reg)'!O64</f>
        <v>0</v>
      </c>
      <c r="Q289" s="83"/>
      <c r="R289" s="83">
        <f>+'Summary - Reserve - PG 2 (Reg)'!Q64</f>
        <v>0</v>
      </c>
      <c r="S289" s="83"/>
      <c r="T289" s="83">
        <f>+'Summary - Reserve - PG 2 (Reg)'!S64</f>
        <v>0</v>
      </c>
      <c r="U289" s="83"/>
      <c r="V289" s="149">
        <f t="shared" si="20"/>
        <v>0</v>
      </c>
      <c r="W289" s="83"/>
    </row>
    <row r="290" spans="1:28" outlineLevel="3" x14ac:dyDescent="0.2">
      <c r="B290" s="21"/>
      <c r="C290" s="18"/>
      <c r="D290" s="110">
        <f>SUM(D277:D289)</f>
        <v>62268136.750000007</v>
      </c>
      <c r="E290" s="83"/>
      <c r="F290" s="110">
        <f>SUM(F277:F289)</f>
        <v>2799199.4200000004</v>
      </c>
      <c r="G290" s="83"/>
      <c r="H290" s="110">
        <f>SUM(H277:H289)</f>
        <v>0</v>
      </c>
      <c r="I290" s="83"/>
      <c r="J290" s="110">
        <f>SUM(J277:J289)</f>
        <v>-1252.0999999999999</v>
      </c>
      <c r="K290" s="83"/>
      <c r="L290" s="83"/>
      <c r="M290" s="83"/>
      <c r="N290" s="110">
        <f>SUM(N277:N289)</f>
        <v>0</v>
      </c>
      <c r="O290" s="83"/>
      <c r="P290" s="110">
        <f>SUM(P277:P289)</f>
        <v>0</v>
      </c>
      <c r="Q290" s="83"/>
      <c r="R290" s="110">
        <f>SUM(R277:R289)</f>
        <v>-1511805.3199999998</v>
      </c>
      <c r="S290" s="83"/>
      <c r="T290" s="110">
        <f>SUM(T277:T289)</f>
        <v>0</v>
      </c>
      <c r="U290" s="83"/>
      <c r="V290" s="83">
        <f>SUM(V277:V289)</f>
        <v>63554278.749999985</v>
      </c>
      <c r="W290" s="83"/>
    </row>
    <row r="291" spans="1:28" outlineLevel="3" x14ac:dyDescent="0.2">
      <c r="B291" s="21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</row>
    <row r="292" spans="1:28" outlineLevel="3" x14ac:dyDescent="0.2">
      <c r="B292" s="9" t="s">
        <v>93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</row>
    <row r="293" spans="1:28" outlineLevel="3" x14ac:dyDescent="0.2">
      <c r="B293" s="21"/>
      <c r="C293" s="21" t="s">
        <v>13</v>
      </c>
      <c r="D293" s="35">
        <f>+'Summary - Reserve - PG 2 (Reg)'!C74</f>
        <v>319140.77999999991</v>
      </c>
      <c r="E293" s="35"/>
      <c r="F293" s="35">
        <f>+'Summary - Reserve - PG 2 (Reg)'!E74</f>
        <v>0</v>
      </c>
      <c r="G293" s="35"/>
      <c r="H293" s="35">
        <f>+'Summary - Reserve - PG 2 (Reg)'!G74</f>
        <v>0</v>
      </c>
      <c r="I293" s="35"/>
      <c r="J293" s="35">
        <f>+'Summary - Reserve - PG 2 (Reg)'!I74</f>
        <v>2200</v>
      </c>
      <c r="K293" s="35"/>
      <c r="L293" s="35">
        <f>+'Summary - Reserve - PG 2 (Reg)'!K74</f>
        <v>0</v>
      </c>
      <c r="M293" s="35"/>
      <c r="N293" s="35">
        <f>+'Summary - Reserve - PG 2 (Reg)'!M74</f>
        <v>-254433.77999999997</v>
      </c>
      <c r="O293" s="35"/>
      <c r="P293" s="35">
        <f>+'Summary - Reserve - PG 2 (Reg)'!O74</f>
        <v>355684.6</v>
      </c>
      <c r="Q293" s="35"/>
      <c r="R293" s="35">
        <f>+'Summary - Reserve - PG 2 (Reg)'!Q74</f>
        <v>-33335</v>
      </c>
      <c r="S293" s="35"/>
      <c r="T293" s="35">
        <f>+'Summary - Reserve - PG 2 (Reg)'!S74</f>
        <v>-189610.72999999998</v>
      </c>
      <c r="U293" s="35"/>
      <c r="V293" s="35">
        <f>T293+R293+P293+N293+J293+H293+F293+D293+L293</f>
        <v>199645.86999999994</v>
      </c>
      <c r="W293" s="35"/>
    </row>
    <row r="294" spans="1:28" outlineLevel="3" x14ac:dyDescent="0.2">
      <c r="B294" s="21"/>
      <c r="C294" s="21" t="s">
        <v>17</v>
      </c>
      <c r="D294" s="35">
        <f>+'Summary - Reserve - PG 2 (Reg)'!C75</f>
        <v>53786919.939999998</v>
      </c>
      <c r="E294" s="35"/>
      <c r="F294" s="35">
        <f>+'Summary - Reserve - PG 2 (Reg)'!E75</f>
        <v>0</v>
      </c>
      <c r="G294" s="35"/>
      <c r="H294" s="35">
        <f>+'Summary - Reserve - PG 2 (Reg)'!G75</f>
        <v>0</v>
      </c>
      <c r="I294" s="35"/>
      <c r="J294" s="35">
        <f>+'Summary - Reserve - PG 2 (Reg)'!I75</f>
        <v>34871.78</v>
      </c>
      <c r="K294" s="35"/>
      <c r="L294" s="35">
        <f>+'Summary - Reserve - PG 2 (Reg)'!K75</f>
        <v>-25867164.27</v>
      </c>
      <c r="M294" s="35"/>
      <c r="N294" s="35">
        <f>+'Summary - Reserve - PG 2 (Reg)'!M75</f>
        <v>-12914682.019999998</v>
      </c>
      <c r="O294" s="35"/>
      <c r="P294" s="35">
        <f>+'Summary - Reserve - PG 2 (Reg)'!O75</f>
        <v>31472738.859999992</v>
      </c>
      <c r="Q294" s="35"/>
      <c r="R294" s="35">
        <f>+'Summary - Reserve - PG 2 (Reg)'!Q75</f>
        <v>-538089.17000000004</v>
      </c>
      <c r="S294" s="35"/>
      <c r="T294" s="35">
        <f>+'Summary - Reserve - PG 2 (Reg)'!S75</f>
        <v>-1045710.5399999999</v>
      </c>
      <c r="U294" s="35"/>
      <c r="V294" s="35">
        <f>T294+R294+P294+N294+J294+H294+F294+D294+L294</f>
        <v>44928884.579999998</v>
      </c>
      <c r="W294" s="35"/>
    </row>
    <row r="295" spans="1:28" outlineLevel="3" x14ac:dyDescent="0.2">
      <c r="B295" s="21"/>
      <c r="C295" s="21" t="s">
        <v>26</v>
      </c>
      <c r="D295" s="35">
        <f>+'Summary - Reserve - PG 2 (Reg)'!C76</f>
        <v>3939484.5200000005</v>
      </c>
      <c r="E295" s="35"/>
      <c r="F295" s="35">
        <f>+'Summary - Reserve - PG 2 (Reg)'!E76</f>
        <v>0</v>
      </c>
      <c r="G295" s="35"/>
      <c r="H295" s="35">
        <f>+'Summary - Reserve - PG 2 (Reg)'!G76</f>
        <v>0</v>
      </c>
      <c r="I295" s="35"/>
      <c r="J295" s="35">
        <f>+'Summary - Reserve - PG 2 (Reg)'!I76</f>
        <v>15255.44</v>
      </c>
      <c r="K295" s="35"/>
      <c r="L295" s="35">
        <f>+'Summary - Reserve - PG 2 (Reg)'!K76</f>
        <v>-533831.31000000006</v>
      </c>
      <c r="M295" s="35"/>
      <c r="N295" s="35">
        <f>+'Summary - Reserve - PG 2 (Reg)'!M76</f>
        <v>-747212.42999999993</v>
      </c>
      <c r="O295" s="35"/>
      <c r="P295" s="35">
        <f>+'Summary - Reserve - PG 2 (Reg)'!O76</f>
        <v>5046751.3199999984</v>
      </c>
      <c r="Q295" s="35"/>
      <c r="R295" s="35">
        <f>+'Summary - Reserve - PG 2 (Reg)'!Q76</f>
        <v>-70853.339999999982</v>
      </c>
      <c r="S295" s="35"/>
      <c r="T295" s="35">
        <f>+'Summary - Reserve - PG 2 (Reg)'!S76</f>
        <v>300.19</v>
      </c>
      <c r="U295" s="35"/>
      <c r="V295" s="35">
        <f>T295+R295+P295+N295+J295+H295+F295+D295+L295</f>
        <v>7649894.3899999987</v>
      </c>
      <c r="W295" s="35"/>
    </row>
    <row r="296" spans="1:28" outlineLevel="3" x14ac:dyDescent="0.2">
      <c r="B296" s="21"/>
      <c r="C296" s="18"/>
      <c r="D296" s="88">
        <f>SUM(D293:D295)</f>
        <v>58045545.240000002</v>
      </c>
      <c r="E296" s="35"/>
      <c r="F296" s="88">
        <f>SUM(F293:F295)</f>
        <v>0</v>
      </c>
      <c r="G296" s="35"/>
      <c r="H296" s="88">
        <f>SUM(H293:H295)</f>
        <v>0</v>
      </c>
      <c r="I296" s="35"/>
      <c r="J296" s="88">
        <f>SUM(J293:J295)</f>
        <v>52327.22</v>
      </c>
      <c r="K296" s="35"/>
      <c r="L296" s="88">
        <f>SUM(L293:L295)</f>
        <v>-26400995.579999998</v>
      </c>
      <c r="M296" s="35"/>
      <c r="N296" s="88">
        <f>SUM(N293:N295)</f>
        <v>-13916328.229999997</v>
      </c>
      <c r="O296" s="35"/>
      <c r="P296" s="88">
        <f>SUM(P293:P295)</f>
        <v>36875174.779999994</v>
      </c>
      <c r="Q296" s="35"/>
      <c r="R296" s="88">
        <f>SUM(R293:R295)</f>
        <v>-642277.51</v>
      </c>
      <c r="S296" s="35"/>
      <c r="T296" s="88">
        <f>SUM(T293:T295)</f>
        <v>-1235021.08</v>
      </c>
      <c r="U296" s="35"/>
      <c r="V296" s="88">
        <f>SUM(V293:V295)</f>
        <v>52778424.839999996</v>
      </c>
      <c r="W296" s="83"/>
    </row>
    <row r="297" spans="1:28" outlineLevel="3" x14ac:dyDescent="0.2">
      <c r="B297" s="21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</row>
    <row r="298" spans="1:28" outlineLevel="3" x14ac:dyDescent="0.2">
      <c r="A298" s="21" t="s">
        <v>206</v>
      </c>
      <c r="B298" s="9" t="s">
        <v>129</v>
      </c>
      <c r="X298" s="21"/>
      <c r="Y298" s="21"/>
      <c r="Z298" s="21"/>
      <c r="AA298" s="21"/>
      <c r="AB298" s="21"/>
    </row>
    <row r="299" spans="1:28" outlineLevel="3" x14ac:dyDescent="0.2">
      <c r="A299" s="21"/>
      <c r="B299" s="21"/>
      <c r="C299" s="21" t="s">
        <v>13</v>
      </c>
      <c r="D299" s="35">
        <f>+'RWIP BY ACCOUNT - PG 2A (Reg)'!C17</f>
        <v>0</v>
      </c>
      <c r="F299" s="35">
        <f>+'RWIP BY ACCOUNT - PG 2A (Reg)'!E17</f>
        <v>0</v>
      </c>
      <c r="H299" s="35">
        <f>+'RWIP BY ACCOUNT - PG 2A (Reg)'!G17</f>
        <v>0</v>
      </c>
      <c r="J299" s="35">
        <f>+'RWIP BY ACCOUNT - PG 2A (Reg)'!I17</f>
        <v>0</v>
      </c>
      <c r="K299" s="35"/>
      <c r="L299" s="35"/>
      <c r="N299" s="35">
        <f>+'RWIP BY ACCOUNT - PG 2A (Reg)'!M17</f>
        <v>0</v>
      </c>
      <c r="P299" s="35">
        <f>+'RWIP BY ACCOUNT - PG 2A (Reg)'!O17</f>
        <v>0</v>
      </c>
      <c r="R299" s="35">
        <f>+'RWIP BY ACCOUNT - PG 2A (Reg)'!Q17</f>
        <v>0</v>
      </c>
      <c r="T299" s="35">
        <f>+'RWIP BY ACCOUNT - PG 2A (Reg)'!S17</f>
        <v>0</v>
      </c>
      <c r="V299" s="35">
        <f>+'RWIP BY ACCOUNT - PG 2A (Reg)'!U17</f>
        <v>0</v>
      </c>
      <c r="W299" s="35"/>
      <c r="X299" s="21"/>
      <c r="Y299" s="21"/>
      <c r="Z299" s="21"/>
      <c r="AA299" s="21"/>
      <c r="AB299" s="21"/>
    </row>
    <row r="300" spans="1:28" outlineLevel="3" x14ac:dyDescent="0.2">
      <c r="A300" s="21"/>
      <c r="B300" s="21"/>
      <c r="C300" s="21" t="s">
        <v>17</v>
      </c>
      <c r="D300" s="35">
        <f>+'RWIP BY ACCOUNT - PG 2A (Reg)'!C18</f>
        <v>0</v>
      </c>
      <c r="F300" s="35">
        <f>+'RWIP BY ACCOUNT - PG 2A (Reg)'!E18</f>
        <v>0</v>
      </c>
      <c r="H300" s="35">
        <f>+'RWIP BY ACCOUNT - PG 2A (Reg)'!G18</f>
        <v>0</v>
      </c>
      <c r="J300" s="35">
        <f>+'RWIP BY ACCOUNT - PG 2A (Reg)'!I18</f>
        <v>0</v>
      </c>
      <c r="K300" s="35"/>
      <c r="L300" s="35"/>
      <c r="N300" s="35">
        <f>+'RWIP BY ACCOUNT - PG 2A (Reg)'!M18</f>
        <v>0</v>
      </c>
      <c r="P300" s="35">
        <f>+'RWIP BY ACCOUNT - PG 2A (Reg)'!O18</f>
        <v>0</v>
      </c>
      <c r="R300" s="35">
        <f>+'RWIP BY ACCOUNT - PG 2A (Reg)'!Q18</f>
        <v>0</v>
      </c>
      <c r="T300" s="35">
        <f>+'RWIP BY ACCOUNT - PG 2A (Reg)'!S18</f>
        <v>0</v>
      </c>
      <c r="V300" s="35">
        <f>+'RWIP BY ACCOUNT - PG 2A (Reg)'!U18</f>
        <v>0</v>
      </c>
      <c r="W300" s="35"/>
      <c r="X300" s="21"/>
      <c r="Y300" s="21"/>
      <c r="Z300" s="21"/>
      <c r="AA300" s="21"/>
      <c r="AB300" s="21"/>
    </row>
    <row r="301" spans="1:28" outlineLevel="3" x14ac:dyDescent="0.2">
      <c r="A301" s="21"/>
      <c r="B301" s="21"/>
      <c r="C301" s="21" t="s">
        <v>26</v>
      </c>
      <c r="D301" s="35">
        <f>+'RWIP BY ACCOUNT - PG 2A (Reg)'!C19</f>
        <v>0</v>
      </c>
      <c r="F301" s="35">
        <f>+'RWIP BY ACCOUNT - PG 2A (Reg)'!E19</f>
        <v>0</v>
      </c>
      <c r="H301" s="35">
        <f>+'RWIP BY ACCOUNT - PG 2A (Reg)'!G19</f>
        <v>0</v>
      </c>
      <c r="J301" s="35">
        <f>+'RWIP BY ACCOUNT - PG 2A (Reg)'!I19</f>
        <v>0</v>
      </c>
      <c r="K301" s="35"/>
      <c r="L301" s="35"/>
      <c r="N301" s="35">
        <f>+'RWIP BY ACCOUNT - PG 2A (Reg)'!M19</f>
        <v>0</v>
      </c>
      <c r="P301" s="35">
        <f>+'RWIP BY ACCOUNT - PG 2A (Reg)'!O19</f>
        <v>0</v>
      </c>
      <c r="R301" s="35">
        <f>+'RWIP BY ACCOUNT - PG 2A (Reg)'!Q19</f>
        <v>0</v>
      </c>
      <c r="T301" s="35">
        <f>+'RWIP BY ACCOUNT - PG 2A (Reg)'!S19</f>
        <v>0</v>
      </c>
      <c r="V301" s="35">
        <f>+'RWIP BY ACCOUNT - PG 2A (Reg)'!U19</f>
        <v>0</v>
      </c>
      <c r="W301" s="35"/>
      <c r="X301" s="21"/>
      <c r="Y301" s="21"/>
      <c r="Z301" s="21"/>
      <c r="AA301" s="21"/>
      <c r="AB301" s="21"/>
    </row>
    <row r="302" spans="1:28" outlineLevel="3" x14ac:dyDescent="0.2">
      <c r="A302" s="21"/>
      <c r="B302" s="21"/>
      <c r="D302" s="88">
        <f>SUM(D299:D301)</f>
        <v>0</v>
      </c>
      <c r="F302" s="88">
        <f>SUM(F299:F301)</f>
        <v>0</v>
      </c>
      <c r="H302" s="88">
        <f>SUM(H299:H301)</f>
        <v>0</v>
      </c>
      <c r="J302" s="88">
        <f>SUM(J299:J301)</f>
        <v>0</v>
      </c>
      <c r="K302" s="83"/>
      <c r="L302" s="83"/>
      <c r="N302" s="88">
        <f>SUM(N299:N301)</f>
        <v>0</v>
      </c>
      <c r="P302" s="88">
        <f>SUM(P299:P301)</f>
        <v>0</v>
      </c>
      <c r="R302" s="88">
        <f>SUM(R299:R301)</f>
        <v>0</v>
      </c>
      <c r="T302" s="88">
        <f>SUM(T299:T301)</f>
        <v>0</v>
      </c>
      <c r="V302" s="88">
        <v>0</v>
      </c>
      <c r="W302" s="83"/>
      <c r="X302" s="21"/>
      <c r="Y302" s="21"/>
      <c r="Z302" s="21"/>
      <c r="AA302" s="21"/>
      <c r="AB302" s="21"/>
    </row>
    <row r="303" spans="1:28" outlineLevel="3" x14ac:dyDescent="0.2">
      <c r="A303" s="21" t="s">
        <v>206</v>
      </c>
      <c r="B303" s="9" t="s">
        <v>130</v>
      </c>
      <c r="X303" s="21"/>
      <c r="Y303" s="21"/>
      <c r="Z303" s="21"/>
      <c r="AA303" s="21"/>
      <c r="AB303" s="21"/>
    </row>
    <row r="304" spans="1:28" outlineLevel="3" x14ac:dyDescent="0.2">
      <c r="A304" s="21"/>
      <c r="B304" s="21"/>
      <c r="C304" s="21" t="s">
        <v>13</v>
      </c>
      <c r="D304" s="35">
        <f>+'RWIP BY ACCOUNT - PG 2A (Reg)'!C22</f>
        <v>0</v>
      </c>
      <c r="F304" s="35">
        <f>+'RWIP BY ACCOUNT - PG 2A (Reg)'!E22</f>
        <v>0</v>
      </c>
      <c r="H304" s="35">
        <f>+'RWIP BY ACCOUNT - PG 2A (Reg)'!G22</f>
        <v>0</v>
      </c>
      <c r="J304" s="35">
        <f>+'RWIP BY ACCOUNT - PG 2A (Reg)'!I22</f>
        <v>0</v>
      </c>
      <c r="K304" s="35"/>
      <c r="L304" s="35">
        <f>+'RWIP BY ACCOUNT - PG 2A (Reg)'!K22</f>
        <v>0</v>
      </c>
      <c r="N304" s="35">
        <f>+'RWIP BY ACCOUNT - PG 2A (Reg)'!M22</f>
        <v>0</v>
      </c>
      <c r="P304" s="35">
        <f>+'RWIP BY ACCOUNT - PG 2A (Reg)'!O22</f>
        <v>0</v>
      </c>
      <c r="R304" s="35">
        <f>+'RWIP BY ACCOUNT - PG 2A (Reg)'!Q22</f>
        <v>0</v>
      </c>
      <c r="T304" s="35">
        <f>+'RWIP BY ACCOUNT - PG 2A (Reg)'!S22</f>
        <v>0</v>
      </c>
      <c r="V304" s="35">
        <f>T304+R304+P304+N304+J304+H304+F304+D304+L304</f>
        <v>0</v>
      </c>
      <c r="W304" s="35"/>
      <c r="X304" s="21"/>
      <c r="Y304" s="21"/>
      <c r="Z304" s="21"/>
      <c r="AA304" s="21"/>
      <c r="AB304" s="21"/>
    </row>
    <row r="305" spans="1:47" outlineLevel="3" x14ac:dyDescent="0.2">
      <c r="A305" s="21"/>
      <c r="B305" s="21"/>
      <c r="C305" s="21" t="s">
        <v>17</v>
      </c>
      <c r="D305" s="35">
        <f>+'RWIP BY ACCOUNT - PG 2A (Reg)'!C23</f>
        <v>19604788.690000001</v>
      </c>
      <c r="F305" s="35">
        <f>+'RWIP BY ACCOUNT - PG 2A (Reg)'!E23</f>
        <v>0</v>
      </c>
      <c r="H305" s="35">
        <f>+'RWIP BY ACCOUNT - PG 2A (Reg)'!G23</f>
        <v>0</v>
      </c>
      <c r="J305" s="35">
        <f>+'RWIP BY ACCOUNT - PG 2A (Reg)'!I23</f>
        <v>0</v>
      </c>
      <c r="K305" s="35"/>
      <c r="L305" s="35">
        <f>+'RWIP BY ACCOUNT - PG 2A (Reg)'!K23</f>
        <v>-25867164.27</v>
      </c>
      <c r="N305" s="35">
        <f>+'RWIP BY ACCOUNT - PG 2A (Reg)'!M23</f>
        <v>0</v>
      </c>
      <c r="P305" s="35">
        <f>+'RWIP BY ACCOUNT - PG 2A (Reg)'!O23</f>
        <v>8617841.4000000004</v>
      </c>
      <c r="R305" s="35">
        <f>+'RWIP BY ACCOUNT - PG 2A (Reg)'!Q23</f>
        <v>0</v>
      </c>
      <c r="T305" s="35">
        <f>+'RWIP BY ACCOUNT - PG 2A (Reg)'!S23</f>
        <v>0</v>
      </c>
      <c r="V305" s="35">
        <f>T305+R305+P305+N305+J305+H305+F305+D305+L305</f>
        <v>2355465.820000004</v>
      </c>
      <c r="W305" s="35"/>
      <c r="X305" s="21"/>
      <c r="Y305" s="21"/>
      <c r="Z305" s="21"/>
      <c r="AA305" s="21"/>
      <c r="AB305" s="21"/>
    </row>
    <row r="306" spans="1:47" outlineLevel="3" x14ac:dyDescent="0.2">
      <c r="A306" s="21"/>
      <c r="B306" s="21"/>
      <c r="C306" s="21" t="s">
        <v>26</v>
      </c>
      <c r="D306" s="35">
        <f>+'RWIP BY ACCOUNT - PG 2A (Reg)'!C24</f>
        <v>3086692.6899999985</v>
      </c>
      <c r="F306" s="35">
        <f>+'RWIP BY ACCOUNT - PG 2A (Reg)'!E24</f>
        <v>0</v>
      </c>
      <c r="H306" s="35">
        <f>+'RWIP BY ACCOUNT - PG 2A (Reg)'!G24</f>
        <v>0</v>
      </c>
      <c r="J306" s="35">
        <f>+'RWIP BY ACCOUNT - PG 2A (Reg)'!I24</f>
        <v>0</v>
      </c>
      <c r="K306" s="35"/>
      <c r="L306" s="35">
        <f>+'RWIP BY ACCOUNT - PG 2A (Reg)'!K24</f>
        <v>-533831.31000000006</v>
      </c>
      <c r="N306" s="35">
        <f>+'RWIP BY ACCOUNT - PG 2A (Reg)'!M24</f>
        <v>0</v>
      </c>
      <c r="P306" s="35">
        <f>+'RWIP BY ACCOUNT - PG 2A (Reg)'!O24</f>
        <v>4076938.8699999996</v>
      </c>
      <c r="R306" s="35">
        <f>+'RWIP BY ACCOUNT - PG 2A (Reg)'!Q24</f>
        <v>0</v>
      </c>
      <c r="T306" s="35">
        <f>+'RWIP BY ACCOUNT - PG 2A (Reg)'!S24</f>
        <v>0</v>
      </c>
      <c r="V306" s="35">
        <f>T306+R306+P306+N306+J306+H306+F306+D306+L306</f>
        <v>6629800.2499999981</v>
      </c>
      <c r="W306" s="35"/>
      <c r="X306" s="21"/>
      <c r="Y306" s="21"/>
      <c r="Z306" s="21"/>
      <c r="AA306" s="21"/>
      <c r="AB306" s="21"/>
    </row>
    <row r="307" spans="1:47" outlineLevel="3" x14ac:dyDescent="0.2">
      <c r="A307" s="21"/>
      <c r="B307" s="21"/>
      <c r="D307" s="88">
        <f>SUM(D304:D306)</f>
        <v>22691481.379999999</v>
      </c>
      <c r="F307" s="88">
        <f>SUM(F304:F306)</f>
        <v>0</v>
      </c>
      <c r="H307" s="88">
        <f>SUM(H304:H306)</f>
        <v>0</v>
      </c>
      <c r="J307" s="88">
        <f>SUM(J304:J306)</f>
        <v>0</v>
      </c>
      <c r="K307" s="83"/>
      <c r="L307" s="88">
        <f>SUM(L304:L306)</f>
        <v>-26400995.579999998</v>
      </c>
      <c r="N307" s="88">
        <f>SUM(N304:N306)</f>
        <v>0</v>
      </c>
      <c r="P307" s="88">
        <f>SUM(P304:P306)</f>
        <v>12694780.27</v>
      </c>
      <c r="R307" s="88">
        <f>SUM(R304:R306)</f>
        <v>0</v>
      </c>
      <c r="T307" s="88">
        <f>SUM(T304:T306)</f>
        <v>0</v>
      </c>
      <c r="V307" s="88">
        <f>SUM(V304:V306)</f>
        <v>8985266.0700000022</v>
      </c>
      <c r="W307" s="83"/>
      <c r="X307" s="21"/>
      <c r="Y307" s="21"/>
      <c r="Z307" s="21"/>
      <c r="AA307" s="21"/>
      <c r="AB307" s="21"/>
    </row>
    <row r="308" spans="1:47" outlineLevel="3" x14ac:dyDescent="0.2">
      <c r="B308" s="21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>
        <f>+V307-T307-R307-P307-N307-J307-H307-F307-D307-L307</f>
        <v>0</v>
      </c>
      <c r="W308" s="35"/>
    </row>
    <row r="309" spans="1:47" outlineLevel="3" x14ac:dyDescent="0.2">
      <c r="B309" s="21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</row>
    <row r="310" spans="1:47" outlineLevel="3" x14ac:dyDescent="0.2">
      <c r="A310" s="90" t="s">
        <v>202</v>
      </c>
      <c r="B310" s="9" t="s">
        <v>207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</row>
    <row r="311" spans="1:47" outlineLevel="3" x14ac:dyDescent="0.2">
      <c r="B311" s="21"/>
      <c r="C311" s="21" t="s">
        <v>208</v>
      </c>
      <c r="D311" s="35">
        <v>0</v>
      </c>
      <c r="E311" s="35"/>
      <c r="F311" s="35">
        <f>0-D311</f>
        <v>0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>
        <f>T311+R311+P311+N311+J311+H311+F311+D311</f>
        <v>0</v>
      </c>
      <c r="W311" s="35"/>
    </row>
    <row r="312" spans="1:47" outlineLevel="3" x14ac:dyDescent="0.2">
      <c r="B312" s="21"/>
      <c r="C312" s="21" t="s">
        <v>26</v>
      </c>
      <c r="D312" s="35">
        <v>0</v>
      </c>
      <c r="E312" s="35"/>
      <c r="F312" s="35">
        <f>0-D312</f>
        <v>0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>
        <f>T312+R312+P312+N312+J312+H312+F312+D312</f>
        <v>0</v>
      </c>
      <c r="W312" s="35"/>
    </row>
    <row r="313" spans="1:47" outlineLevel="3" x14ac:dyDescent="0.2">
      <c r="B313" s="21"/>
      <c r="D313" s="88">
        <f>SUM(D310:D312)</f>
        <v>0</v>
      </c>
      <c r="E313" s="35"/>
      <c r="F313" s="88">
        <f>SUM(F310:F312)</f>
        <v>0</v>
      </c>
      <c r="G313" s="35"/>
      <c r="H313" s="88">
        <f>SUM(H310:H312)</f>
        <v>0</v>
      </c>
      <c r="I313" s="35"/>
      <c r="J313" s="88">
        <f>SUM(J310:J312)</f>
        <v>0</v>
      </c>
      <c r="K313" s="83"/>
      <c r="L313" s="83"/>
      <c r="M313" s="35"/>
      <c r="N313" s="88">
        <f>SUM(N310:N312)</f>
        <v>0</v>
      </c>
      <c r="O313" s="35"/>
      <c r="P313" s="88">
        <f>SUM(P310:P312)</f>
        <v>0</v>
      </c>
      <c r="Q313" s="35"/>
      <c r="R313" s="88">
        <f>SUM(R310:R312)</f>
        <v>0</v>
      </c>
      <c r="S313" s="35"/>
      <c r="T313" s="88">
        <f>SUM(T310:T312)</f>
        <v>0</v>
      </c>
      <c r="U313" s="35"/>
      <c r="V313" s="88">
        <f>SUM(V310:V312)</f>
        <v>0</v>
      </c>
      <c r="W313" s="35"/>
    </row>
    <row r="314" spans="1:47" outlineLevel="3" x14ac:dyDescent="0.2">
      <c r="B314" s="21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</row>
    <row r="315" spans="1:47" outlineLevel="3" x14ac:dyDescent="0.2">
      <c r="A315" s="21"/>
      <c r="B315" s="21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</row>
    <row r="316" spans="1:47" outlineLevel="3" x14ac:dyDescent="0.2">
      <c r="A316" s="21"/>
      <c r="B316" s="21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</row>
    <row r="317" spans="1:47" outlineLevel="3" x14ac:dyDescent="0.2">
      <c r="A317" s="21"/>
      <c r="B317" s="100" t="s">
        <v>166</v>
      </c>
      <c r="D317" s="84">
        <f>+D274+D290+D296-D307-D302+D313</f>
        <v>-304963304.07999998</v>
      </c>
      <c r="E317" s="84"/>
      <c r="F317" s="84">
        <f>+F274+F290+F296-F307-F302+F313</f>
        <v>-25313526.289999995</v>
      </c>
      <c r="G317" s="84"/>
      <c r="H317" s="84">
        <f>+H274+H290+H296-H307-H302+H313</f>
        <v>0</v>
      </c>
      <c r="I317" s="84"/>
      <c r="J317" s="84">
        <f>+J274+J290+J296-J307-J302+J313</f>
        <v>51175.69</v>
      </c>
      <c r="K317" s="84"/>
      <c r="L317" s="84">
        <f>+L274+L290+L296-L307-L302+L313</f>
        <v>0</v>
      </c>
      <c r="M317" s="84"/>
      <c r="N317" s="84">
        <f>+N274+N290+N296-N307-N302+N313</f>
        <v>-13916328.229999997</v>
      </c>
      <c r="O317" s="84"/>
      <c r="P317" s="84">
        <f>+P274+P290+P296-P307-P302+P313</f>
        <v>68704839.959999993</v>
      </c>
      <c r="Q317" s="84"/>
      <c r="R317" s="84">
        <f>+R274+R290+R296-R307-R302+R313</f>
        <v>-2154082.83</v>
      </c>
      <c r="S317" s="84"/>
      <c r="T317" s="84">
        <f>+T274+T290+T296-T307-T302+T313</f>
        <v>-3930337.4000000004</v>
      </c>
      <c r="U317" s="84"/>
      <c r="V317" s="84">
        <f>+V274+V290+V296-V307-V302+V313</f>
        <v>-281521563.18000007</v>
      </c>
      <c r="W317" s="84"/>
      <c r="X317" s="84">
        <f>+F317-Y317-AA317</f>
        <v>-25313526.289999995</v>
      </c>
      <c r="Y317" s="84">
        <v>0</v>
      </c>
      <c r="Z317" s="84"/>
      <c r="AA317" s="84">
        <f>+F313</f>
        <v>0</v>
      </c>
      <c r="AB317" s="84"/>
      <c r="AC317" s="1"/>
      <c r="AD317" s="1"/>
      <c r="AE317" s="99">
        <f>+H317</f>
        <v>0</v>
      </c>
      <c r="AF317" s="99"/>
      <c r="AG317" s="99">
        <f>-'Land &amp; Vehicle Retire P3A(Reg)'!J15</f>
        <v>52327.22</v>
      </c>
      <c r="AH317" s="99"/>
      <c r="AI317" s="99"/>
      <c r="AJ317" s="99"/>
      <c r="AK317" s="99"/>
      <c r="AL317" s="99"/>
      <c r="AM317" s="99"/>
      <c r="AN317" s="99">
        <f>+J317+J302-AG317-AL317</f>
        <v>-1151.5299999999988</v>
      </c>
      <c r="AO317" s="84"/>
      <c r="AP317" s="84">
        <f>+P296+R296+T296-P307</f>
        <v>22303095.919999998</v>
      </c>
      <c r="AQ317" s="84"/>
      <c r="AT317" s="84">
        <f>SUM(X317:AR317)</f>
        <v>-2959254.6799999997</v>
      </c>
      <c r="AU317" s="84">
        <f>+V317-D317-AT317</f>
        <v>26400995.579999916</v>
      </c>
    </row>
    <row r="318" spans="1:47" outlineLevel="3" x14ac:dyDescent="0.2">
      <c r="A318" s="21"/>
      <c r="D318" s="84">
        <f>+D317-D16</f>
        <v>0</v>
      </c>
      <c r="V318" s="84">
        <f>+V317-V16</f>
        <v>0</v>
      </c>
      <c r="W318" s="84"/>
    </row>
    <row r="319" spans="1:47" outlineLevel="3" x14ac:dyDescent="0.2">
      <c r="A319" s="21"/>
      <c r="D319" s="84"/>
      <c r="V319" s="84">
        <f>+V317-D317-F317-H317-J317-N317-P317-R317-T317-L317</f>
        <v>-8.5681676864624023E-8</v>
      </c>
      <c r="W319" s="84"/>
      <c r="X319" s="101">
        <f>SUM(X35:X318)</f>
        <v>-182980633.15000001</v>
      </c>
      <c r="Y319" s="101"/>
      <c r="Z319" s="101"/>
      <c r="AA319" s="101"/>
      <c r="AB319" s="101"/>
      <c r="AC319" s="101">
        <f>SUM(AC35:AC318)</f>
        <v>0</v>
      </c>
      <c r="AD319" s="101"/>
      <c r="AE319" s="101">
        <f>SUM(AE35:AE318)</f>
        <v>1.4901161193847656E-8</v>
      </c>
      <c r="AF319" s="101"/>
      <c r="AG319" s="101"/>
      <c r="AH319" s="101"/>
      <c r="AI319" s="101"/>
      <c r="AJ319" s="101"/>
      <c r="AK319" s="101"/>
      <c r="AL319" s="101"/>
      <c r="AM319" s="101"/>
      <c r="AN319" s="101">
        <f>SUM(AN35:AN318)</f>
        <v>-8542089.1899999995</v>
      </c>
      <c r="AO319" s="101">
        <f>SUM(AO35:AO318)</f>
        <v>-1206739.33</v>
      </c>
      <c r="AP319" s="101">
        <f>SUM(AP29:AP318)</f>
        <v>22303095.919999998</v>
      </c>
      <c r="AQ319" s="101"/>
      <c r="AR319" s="101">
        <f>SUM(AR29:AR318)</f>
        <v>470334680.70000005</v>
      </c>
      <c r="AS319" s="101"/>
      <c r="AT319" s="101"/>
      <c r="AU319" s="101"/>
    </row>
    <row r="320" spans="1:47" outlineLevel="3" x14ac:dyDescent="0.2">
      <c r="A320" s="21"/>
      <c r="B320" s="21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1:28" outlineLevel="1" x14ac:dyDescent="0.2">
      <c r="A321" s="21"/>
      <c r="B321" s="21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21"/>
      <c r="Y321" s="21"/>
      <c r="Z321" s="21"/>
      <c r="AA321" s="21"/>
      <c r="AB321" s="21"/>
    </row>
    <row r="322" spans="1:28" outlineLevel="1" x14ac:dyDescent="0.2">
      <c r="A322" s="21"/>
      <c r="B322" s="21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21"/>
      <c r="Y322" s="21"/>
      <c r="Z322" s="21"/>
      <c r="AA322" s="21"/>
      <c r="AB322" s="21"/>
    </row>
    <row r="323" spans="1:28" outlineLevel="1" x14ac:dyDescent="0.2">
      <c r="A323" s="21"/>
      <c r="X323" s="21"/>
      <c r="Y323" s="21"/>
      <c r="Z323" s="21"/>
      <c r="AA323" s="21"/>
      <c r="AB323" s="21"/>
    </row>
    <row r="324" spans="1:28" outlineLevel="1" x14ac:dyDescent="0.2">
      <c r="X324" s="21"/>
      <c r="Y324" s="21"/>
      <c r="Z324" s="21"/>
      <c r="AA324" s="21"/>
      <c r="AB324" s="21"/>
    </row>
    <row r="325" spans="1:28" outlineLevel="1" x14ac:dyDescent="0.2">
      <c r="X325" s="21"/>
      <c r="Y325" s="21"/>
      <c r="Z325" s="21"/>
      <c r="AA325" s="21"/>
      <c r="AB325" s="21"/>
    </row>
    <row r="326" spans="1:28" outlineLevel="1" x14ac:dyDescent="0.2"/>
    <row r="327" spans="1:28" outlineLevel="1" x14ac:dyDescent="0.2"/>
  </sheetData>
  <mergeCells count="5">
    <mergeCell ref="A1:AU1"/>
    <mergeCell ref="A2:AU2"/>
    <mergeCell ref="A3:AU3"/>
    <mergeCell ref="X6:AO6"/>
    <mergeCell ref="AP6:AR6"/>
  </mergeCells>
  <conditionalFormatting sqref="AO24:AR24 AR26">
    <cfRule type="cellIs" dxfId="1" priority="2" operator="greaterThan">
      <formula>0</formula>
    </cfRule>
  </conditionalFormatting>
  <conditionalFormatting sqref="AO24:AR24 AR26">
    <cfRule type="cellIs" dxfId="0" priority="1" operator="lessThan">
      <formula>0</formula>
    </cfRule>
  </conditionalFormatting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N710"/>
  <sheetViews>
    <sheetView zoomScale="80" zoomScaleNormal="80" zoomScaleSheetLayoutView="80" workbookViewId="0">
      <pane xSplit="2" ySplit="10" topLeftCell="C1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2" x14ac:dyDescent="0.2"/>
  <cols>
    <col min="1" max="1" width="14.7109375" style="3" customWidth="1"/>
    <col min="2" max="2" width="47.7109375" style="3" customWidth="1"/>
    <col min="3" max="3" width="15.7109375" style="3" bestFit="1" customWidth="1"/>
    <col min="4" max="4" width="3" style="3" customWidth="1"/>
    <col min="5" max="5" width="15.7109375" style="3" bestFit="1" customWidth="1"/>
    <col min="6" max="6" width="1.7109375" style="3" customWidth="1"/>
    <col min="7" max="7" width="15.7109375" style="3" bestFit="1" customWidth="1"/>
    <col min="8" max="8" width="1.7109375" style="3" customWidth="1"/>
    <col min="9" max="9" width="15.7109375" style="3" customWidth="1"/>
    <col min="10" max="10" width="2" style="3" customWidth="1"/>
    <col min="11" max="11" width="15.7109375" style="3" customWidth="1"/>
    <col min="12" max="12" width="1.42578125" style="3" customWidth="1"/>
    <col min="13" max="13" width="15.7109375" style="3" customWidth="1"/>
    <col min="14" max="14" width="1.7109375" style="3" customWidth="1"/>
    <col min="15" max="15" width="15.7109375" style="3" customWidth="1"/>
    <col min="16" max="16" width="1.7109375" style="3" customWidth="1"/>
    <col min="17" max="17" width="15.7109375" style="3" customWidth="1"/>
    <col min="18" max="18" width="1.7109375" style="3" customWidth="1"/>
    <col min="19" max="19" width="15.7109375" style="3" customWidth="1"/>
    <col min="20" max="20" width="1.7109375" style="3" customWidth="1"/>
    <col min="21" max="21" width="15.7109375" style="3" customWidth="1"/>
    <col min="22" max="22" width="1.7109375" style="3" customWidth="1"/>
    <col min="23" max="23" width="15.7109375" style="3" customWidth="1"/>
    <col min="24" max="24" width="1.7109375" style="3" customWidth="1"/>
    <col min="25" max="25" width="17" style="3" customWidth="1"/>
    <col min="26" max="26" width="1.7109375" style="3" customWidth="1"/>
    <col min="27" max="27" width="17.7109375" style="3" customWidth="1"/>
    <col min="28" max="28" width="1.7109375" style="3" customWidth="1"/>
    <col min="29" max="29" width="15.7109375" style="3" customWidth="1"/>
    <col min="30" max="30" width="1.7109375" style="3" customWidth="1"/>
    <col min="31" max="31" width="15.7109375" style="3" customWidth="1"/>
    <col min="32" max="32" width="1.7109375" style="3" customWidth="1"/>
    <col min="33" max="33" width="15.7109375" style="3" customWidth="1"/>
    <col min="34" max="34" width="1.7109375" style="3" customWidth="1"/>
    <col min="35" max="35" width="15.7109375" style="3" customWidth="1"/>
    <col min="36" max="36" width="1.7109375" style="3" customWidth="1"/>
    <col min="37" max="37" width="15.7109375" style="3" customWidth="1"/>
    <col min="38" max="38" width="1.85546875" style="3" customWidth="1"/>
    <col min="39" max="39" width="15.7109375" style="3" customWidth="1"/>
    <col min="40" max="40" width="1.85546875" style="3" customWidth="1"/>
    <col min="41" max="41" width="15.7109375" style="3" customWidth="1"/>
    <col min="42" max="42" width="1.85546875" style="3" customWidth="1"/>
    <col min="43" max="43" width="15.7109375" style="3" customWidth="1"/>
    <col min="44" max="44" width="1.85546875" style="3" customWidth="1"/>
    <col min="45" max="45" width="15.7109375" style="3" customWidth="1"/>
    <col min="46" max="46" width="1.85546875" style="3" customWidth="1"/>
    <col min="47" max="47" width="15.7109375" style="3" customWidth="1"/>
    <col min="48" max="48" width="1.85546875" style="3" customWidth="1"/>
    <col min="49" max="49" width="15.7109375" style="3" customWidth="1"/>
    <col min="50" max="50" width="1.85546875" style="3" customWidth="1"/>
    <col min="51" max="51" width="15.7109375" style="3" customWidth="1"/>
    <col min="52" max="52" width="1.85546875" style="3" customWidth="1"/>
    <col min="53" max="53" width="15.7109375" style="3" customWidth="1"/>
    <col min="54" max="54" width="3.42578125" style="3" customWidth="1"/>
    <col min="55" max="55" width="17.7109375" style="3" customWidth="1"/>
    <col min="56" max="56" width="9.140625" style="3"/>
    <col min="57" max="57" width="17.7109375" style="35" customWidth="1"/>
    <col min="58" max="58" width="1.5703125" style="35" customWidth="1"/>
    <col min="59" max="59" width="15.7109375" style="35" bestFit="1" customWidth="1"/>
    <col min="60" max="60" width="1.5703125" style="35" customWidth="1"/>
    <col min="61" max="61" width="17" style="35" bestFit="1" customWidth="1"/>
    <col min="62" max="62" width="1.5703125" style="35" customWidth="1"/>
    <col min="63" max="63" width="15.42578125" style="35" customWidth="1"/>
    <col min="64" max="64" width="1.5703125" style="35" customWidth="1"/>
    <col min="65" max="65" width="17" style="35" bestFit="1" customWidth="1"/>
    <col min="66" max="66" width="1.5703125" style="35" customWidth="1"/>
    <col min="67" max="67" width="17" style="3" bestFit="1" customWidth="1"/>
    <col min="68" max="16384" width="9.140625" style="3"/>
  </cols>
  <sheetData>
    <row r="1" spans="1:66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194" t="s">
        <v>209</v>
      </c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x14ac:dyDescent="0.2">
      <c r="A2" s="103" t="s">
        <v>210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195" t="s">
        <v>211</v>
      </c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x14ac:dyDescent="0.2">
      <c r="A3" s="104" t="str">
        <f>'Summary - Cost - PG 1 (Reg)'!A3:N3</f>
        <v>DECEMBER 2017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195" t="s">
        <v>212</v>
      </c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74"/>
      <c r="AM4" s="35"/>
      <c r="AN4" s="74"/>
      <c r="AO4" s="35"/>
      <c r="AP4" s="35"/>
      <c r="AQ4" s="35"/>
      <c r="AR4" s="35"/>
      <c r="AS4" s="35"/>
      <c r="AT4" s="35"/>
      <c r="AU4" s="35"/>
      <c r="AV4" s="196" t="s">
        <v>213</v>
      </c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74"/>
      <c r="AM5" s="35"/>
      <c r="AN5" s="74"/>
      <c r="AO5" s="35"/>
      <c r="AP5" s="35"/>
      <c r="AQ5" s="35"/>
      <c r="AR5" s="35"/>
      <c r="AS5" s="35"/>
      <c r="AT5" s="35"/>
      <c r="AU5" s="35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x14ac:dyDescent="0.2">
      <c r="A6" s="4"/>
      <c r="B6" s="145"/>
      <c r="C6" s="144" t="s">
        <v>214</v>
      </c>
      <c r="D6" s="145"/>
      <c r="E6" s="144" t="s">
        <v>215</v>
      </c>
      <c r="F6" s="145"/>
      <c r="G6" s="144" t="s">
        <v>216</v>
      </c>
      <c r="H6" s="144"/>
      <c r="I6" s="144" t="s">
        <v>217</v>
      </c>
      <c r="J6" s="145"/>
      <c r="K6" s="144" t="s">
        <v>218</v>
      </c>
      <c r="L6" s="145"/>
      <c r="M6" s="144" t="s">
        <v>219</v>
      </c>
      <c r="N6" s="145"/>
      <c r="O6" s="144" t="s">
        <v>220</v>
      </c>
      <c r="P6" s="145"/>
      <c r="Q6" s="145" t="s">
        <v>221</v>
      </c>
      <c r="R6" s="145"/>
      <c r="S6" s="145" t="s">
        <v>222</v>
      </c>
      <c r="T6" s="145"/>
      <c r="U6" s="145" t="s">
        <v>222</v>
      </c>
      <c r="V6" s="145"/>
      <c r="W6" s="144" t="s">
        <v>223</v>
      </c>
      <c r="X6" s="145"/>
      <c r="Y6" s="144" t="s">
        <v>224</v>
      </c>
      <c r="Z6" s="145"/>
      <c r="AA6" s="144" t="s">
        <v>225</v>
      </c>
      <c r="AB6" s="145"/>
      <c r="AC6" s="144" t="s">
        <v>226</v>
      </c>
      <c r="AD6" s="145"/>
      <c r="AE6" s="144" t="s">
        <v>227</v>
      </c>
      <c r="AF6" s="145"/>
      <c r="AG6" s="144" t="s">
        <v>228</v>
      </c>
      <c r="AH6" s="145"/>
      <c r="AI6" s="144"/>
      <c r="AJ6" s="145"/>
      <c r="AK6" s="5"/>
      <c r="AL6" s="7" t="s">
        <v>229</v>
      </c>
      <c r="AM6" s="105"/>
      <c r="AN6" s="7" t="s">
        <v>229</v>
      </c>
      <c r="AO6" s="105"/>
      <c r="AP6" s="7" t="s">
        <v>229</v>
      </c>
      <c r="AQ6" s="105"/>
      <c r="AR6" s="7" t="s">
        <v>229</v>
      </c>
      <c r="AS6" s="105"/>
      <c r="AT6" s="7" t="s">
        <v>230</v>
      </c>
      <c r="AU6" s="105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x14ac:dyDescent="0.2">
      <c r="A7" s="4"/>
      <c r="B7" s="5"/>
      <c r="C7" s="7" t="s">
        <v>4</v>
      </c>
      <c r="D7" s="7"/>
      <c r="E7" s="7" t="s">
        <v>4</v>
      </c>
      <c r="F7" s="6"/>
      <c r="G7" s="7" t="s">
        <v>4</v>
      </c>
      <c r="H7" s="7"/>
      <c r="I7" s="7" t="s">
        <v>4</v>
      </c>
      <c r="J7" s="7"/>
      <c r="K7" s="7" t="s">
        <v>4</v>
      </c>
      <c r="L7" s="7"/>
      <c r="M7" s="7" t="s">
        <v>4</v>
      </c>
      <c r="N7" s="7"/>
      <c r="O7" s="7" t="s">
        <v>4</v>
      </c>
      <c r="P7" s="6"/>
      <c r="Q7" s="7" t="s">
        <v>4</v>
      </c>
      <c r="R7" s="6"/>
      <c r="S7" s="7" t="s">
        <v>4</v>
      </c>
      <c r="T7" s="7"/>
      <c r="U7" s="7" t="s">
        <v>4</v>
      </c>
      <c r="V7" s="7"/>
      <c r="W7" s="7" t="s">
        <v>4</v>
      </c>
      <c r="X7" s="6"/>
      <c r="Y7" s="7" t="s">
        <v>4</v>
      </c>
      <c r="Z7" s="6"/>
      <c r="AA7" s="7" t="s">
        <v>4</v>
      </c>
      <c r="AB7" s="6"/>
      <c r="AC7" s="7" t="s">
        <v>4</v>
      </c>
      <c r="AD7" s="6"/>
      <c r="AE7" s="7" t="s">
        <v>4</v>
      </c>
      <c r="AF7" s="6"/>
      <c r="AG7" s="7" t="s">
        <v>4</v>
      </c>
      <c r="AH7" s="6"/>
      <c r="AI7" s="7"/>
      <c r="AJ7" s="7" t="s">
        <v>5</v>
      </c>
      <c r="AK7" s="145"/>
      <c r="AL7" s="7" t="s">
        <v>8</v>
      </c>
      <c r="AM7" s="105"/>
      <c r="AN7" s="7" t="s">
        <v>10</v>
      </c>
      <c r="AO7" s="105"/>
      <c r="AP7" s="7" t="s">
        <v>212</v>
      </c>
      <c r="AQ7" s="105"/>
      <c r="AR7" s="7" t="s">
        <v>213</v>
      </c>
      <c r="AS7" s="105"/>
      <c r="AT7" s="7" t="s">
        <v>229</v>
      </c>
      <c r="AU7" s="105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x14ac:dyDescent="0.2">
      <c r="A8" s="8"/>
      <c r="B8" s="9"/>
      <c r="C8" s="11" t="s">
        <v>10</v>
      </c>
      <c r="D8" s="17"/>
      <c r="E8" s="11" t="s">
        <v>10</v>
      </c>
      <c r="F8" s="10"/>
      <c r="G8" s="11" t="s">
        <v>10</v>
      </c>
      <c r="H8" s="17"/>
      <c r="I8" s="11" t="s">
        <v>10</v>
      </c>
      <c r="J8" s="17"/>
      <c r="K8" s="11" t="s">
        <v>10</v>
      </c>
      <c r="L8" s="17"/>
      <c r="M8" s="11" t="s">
        <v>10</v>
      </c>
      <c r="N8" s="17"/>
      <c r="O8" s="11" t="s">
        <v>10</v>
      </c>
      <c r="P8" s="10"/>
      <c r="Q8" s="11" t="s">
        <v>10</v>
      </c>
      <c r="R8" s="10"/>
      <c r="S8" s="11" t="s">
        <v>10</v>
      </c>
      <c r="T8" s="11"/>
      <c r="U8" s="11" t="s">
        <v>10</v>
      </c>
      <c r="V8" s="11"/>
      <c r="W8" s="11" t="s">
        <v>10</v>
      </c>
      <c r="X8" s="10"/>
      <c r="Y8" s="11" t="s">
        <v>10</v>
      </c>
      <c r="Z8" s="10"/>
      <c r="AA8" s="11" t="s">
        <v>10</v>
      </c>
      <c r="AB8" s="10"/>
      <c r="AC8" s="11" t="s">
        <v>10</v>
      </c>
      <c r="AD8" s="10"/>
      <c r="AE8" s="11" t="s">
        <v>10</v>
      </c>
      <c r="AF8" s="10"/>
      <c r="AG8" s="11" t="s">
        <v>10</v>
      </c>
      <c r="AH8" s="10"/>
      <c r="AI8" s="11"/>
      <c r="AJ8" s="11" t="s">
        <v>7</v>
      </c>
      <c r="AK8" s="145"/>
      <c r="AL8" s="74"/>
      <c r="AM8" s="35"/>
      <c r="AN8" s="74"/>
      <c r="AO8" s="35"/>
      <c r="AP8" s="35"/>
      <c r="AQ8" s="35"/>
      <c r="AR8" s="35"/>
      <c r="AS8" s="35"/>
      <c r="AT8" s="35"/>
      <c r="AU8" s="35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x14ac:dyDescent="0.2">
      <c r="A9" s="8"/>
      <c r="B9" s="9"/>
      <c r="C9" s="17"/>
      <c r="D9" s="17"/>
      <c r="E9" s="17"/>
      <c r="F9" s="10"/>
      <c r="G9" s="17"/>
      <c r="H9" s="17"/>
      <c r="I9" s="17"/>
      <c r="J9" s="17"/>
      <c r="K9" s="17"/>
      <c r="L9" s="17"/>
      <c r="M9" s="17"/>
      <c r="N9" s="17"/>
      <c r="O9" s="17"/>
      <c r="P9" s="10"/>
      <c r="Q9" s="17"/>
      <c r="R9" s="10"/>
      <c r="S9" s="17"/>
      <c r="T9" s="17"/>
      <c r="U9" s="17"/>
      <c r="V9" s="17"/>
      <c r="W9" s="17"/>
      <c r="X9" s="10"/>
      <c r="Y9" s="17"/>
      <c r="Z9" s="10"/>
      <c r="AA9" s="17"/>
      <c r="AB9" s="10"/>
      <c r="AC9" s="17"/>
      <c r="AD9" s="10"/>
      <c r="AE9" s="17"/>
      <c r="AF9" s="10"/>
      <c r="AG9" s="17"/>
      <c r="AH9" s="10"/>
      <c r="AI9" s="17"/>
      <c r="AJ9" s="17"/>
      <c r="AK9" s="145"/>
      <c r="AL9" s="74"/>
      <c r="AM9" s="35"/>
      <c r="AN9" s="74"/>
      <c r="AO9" s="35"/>
      <c r="AP9" s="35"/>
      <c r="AQ9" s="35"/>
      <c r="AR9" s="35"/>
      <c r="AS9" s="35"/>
      <c r="AT9" s="35"/>
      <c r="AU9" s="35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1" customFormat="1" x14ac:dyDescent="0.2">
      <c r="A10" s="8" t="s">
        <v>231</v>
      </c>
      <c r="B10" s="8"/>
      <c r="C10" s="17" t="s">
        <v>212</v>
      </c>
      <c r="E10" s="17" t="s">
        <v>212</v>
      </c>
      <c r="G10" s="1" t="s">
        <v>211</v>
      </c>
      <c r="I10" s="1" t="s">
        <v>213</v>
      </c>
      <c r="K10" s="1" t="s">
        <v>213</v>
      </c>
      <c r="M10" s="1" t="s">
        <v>211</v>
      </c>
      <c r="N10" s="17"/>
      <c r="O10" s="1" t="s">
        <v>209</v>
      </c>
      <c r="P10" s="106"/>
      <c r="Q10" s="1" t="s">
        <v>212</v>
      </c>
      <c r="R10" s="106"/>
      <c r="S10" s="1" t="s">
        <v>212</v>
      </c>
      <c r="U10" s="1" t="s">
        <v>212</v>
      </c>
      <c r="W10" s="1" t="s">
        <v>212</v>
      </c>
      <c r="X10" s="106"/>
      <c r="Y10" s="1" t="s">
        <v>209</v>
      </c>
      <c r="Z10" s="106"/>
      <c r="AA10" s="1" t="s">
        <v>211</v>
      </c>
      <c r="AB10" s="106"/>
      <c r="AC10" s="1" t="s">
        <v>213</v>
      </c>
      <c r="AD10" s="106"/>
      <c r="AE10" s="1" t="s">
        <v>209</v>
      </c>
      <c r="AF10" s="106"/>
      <c r="AG10" s="1" t="s">
        <v>209</v>
      </c>
      <c r="AH10" s="106"/>
      <c r="AJ10" s="17"/>
      <c r="AK10" s="145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66" ht="12" customHeight="1" x14ac:dyDescent="0.2">
      <c r="A11" s="8"/>
      <c r="B11" s="9"/>
      <c r="C11" s="17"/>
      <c r="D11" s="17"/>
      <c r="E11" s="17"/>
      <c r="F11" s="10"/>
      <c r="G11" s="17"/>
      <c r="H11" s="17"/>
      <c r="I11" s="17"/>
      <c r="J11" s="17"/>
      <c r="K11" s="17"/>
      <c r="L11" s="17"/>
      <c r="M11" s="17"/>
      <c r="N11" s="17"/>
      <c r="O11" s="17"/>
      <c r="P11" s="10"/>
      <c r="Q11" s="17"/>
      <c r="R11" s="10"/>
      <c r="S11" s="17"/>
      <c r="T11" s="17"/>
      <c r="U11" s="17"/>
      <c r="V11" s="17"/>
      <c r="W11" s="17"/>
      <c r="X11" s="10"/>
      <c r="Y11" s="17"/>
      <c r="Z11" s="10"/>
      <c r="AA11" s="17"/>
      <c r="AB11" s="10"/>
      <c r="AC11" s="17"/>
      <c r="AD11" s="10"/>
      <c r="AE11" s="17"/>
      <c r="AF11" s="10"/>
      <c r="AG11" s="17"/>
      <c r="AH11" s="10"/>
      <c r="AI11" s="17"/>
      <c r="AJ11" s="17"/>
      <c r="AK11" s="145"/>
      <c r="AL11" s="74"/>
      <c r="AM11" s="35"/>
      <c r="AN11" s="74"/>
      <c r="AO11" s="35"/>
      <c r="AP11" s="35"/>
      <c r="AQ11" s="35"/>
      <c r="AR11" s="35"/>
      <c r="AS11" s="35"/>
      <c r="AT11" s="35"/>
      <c r="AU11" s="35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x14ac:dyDescent="0.2">
      <c r="A12" s="13">
        <v>101</v>
      </c>
      <c r="B12" s="9" t="s">
        <v>12</v>
      </c>
      <c r="C12" s="21"/>
      <c r="E12" s="21"/>
      <c r="G12" s="107"/>
      <c r="I12" s="21"/>
      <c r="K12" s="21"/>
      <c r="M12" s="21"/>
      <c r="AL12" s="74"/>
      <c r="AM12" s="35"/>
      <c r="AN12" s="74"/>
      <c r="AO12" s="35"/>
      <c r="AP12" s="35"/>
      <c r="AQ12" s="35"/>
      <c r="AR12" s="35"/>
      <c r="AS12" s="35"/>
      <c r="AT12" s="35"/>
      <c r="AU12" s="35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x14ac:dyDescent="0.2">
      <c r="A13" s="13"/>
      <c r="B13" s="9"/>
      <c r="AL13" s="74"/>
      <c r="AM13" s="35"/>
      <c r="AN13" s="74"/>
      <c r="AO13" s="35"/>
      <c r="AP13" s="35"/>
      <c r="AQ13" s="35"/>
      <c r="AR13" s="35"/>
      <c r="AS13" s="35"/>
      <c r="AT13" s="35"/>
      <c r="AU13" s="35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x14ac:dyDescent="0.2">
      <c r="A14" s="8" t="s">
        <v>13</v>
      </c>
      <c r="B14" s="9"/>
      <c r="AL14" s="74"/>
      <c r="AM14" s="35"/>
      <c r="AN14" s="74"/>
      <c r="AO14" s="35"/>
      <c r="AP14" s="35"/>
      <c r="AQ14" s="35"/>
      <c r="AR14" s="35"/>
      <c r="AS14" s="35"/>
      <c r="AT14" s="35"/>
      <c r="AU14" s="35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x14ac:dyDescent="0.2">
      <c r="A15" s="13"/>
      <c r="B15" s="3" t="s">
        <v>232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>
        <f t="shared" ref="AJ15:AJ44" si="0">SUM(C15:AI15)</f>
        <v>0</v>
      </c>
      <c r="AL15" s="74">
        <f t="shared" ref="AL15:AL44" si="1">SUMIF($C$10:$AI$10,"=Addition",$C15:$AI15)</f>
        <v>0</v>
      </c>
      <c r="AM15" s="35"/>
      <c r="AN15" s="74">
        <f t="shared" ref="AN15:AN44" si="2">SUMIF($C$10:$AI$10,"=Adjustment",$C15:$AI15)</f>
        <v>0</v>
      </c>
      <c r="AO15" s="35"/>
      <c r="AP15" s="74">
        <f t="shared" ref="AP15:AP44" si="3">SUMIF($C$10:$AI$10,"=Transfer",$C15:$AI15)</f>
        <v>0</v>
      </c>
      <c r="AQ15" s="35"/>
      <c r="AR15" s="74">
        <f t="shared" ref="AR15:AR44" si="4">SUMIF($C$10:$AI$10,"=N/A",$C15:$AI15)</f>
        <v>0</v>
      </c>
      <c r="AS15" s="35"/>
      <c r="AT15" s="74">
        <f>SUM(AL15:AR15)</f>
        <v>0</v>
      </c>
      <c r="AU15" s="35"/>
      <c r="AV15" s="37">
        <f>AJ15-AT15</f>
        <v>0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x14ac:dyDescent="0.2">
      <c r="A16" s="13"/>
      <c r="B16" s="3" t="s">
        <v>233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>
        <f t="shared" si="0"/>
        <v>0</v>
      </c>
      <c r="AL16" s="74">
        <f t="shared" si="1"/>
        <v>0</v>
      </c>
      <c r="AM16" s="35"/>
      <c r="AN16" s="74">
        <f t="shared" si="2"/>
        <v>0</v>
      </c>
      <c r="AO16" s="35"/>
      <c r="AP16" s="74">
        <f t="shared" si="3"/>
        <v>0</v>
      </c>
      <c r="AQ16" s="35"/>
      <c r="AR16" s="74">
        <f t="shared" si="4"/>
        <v>0</v>
      </c>
      <c r="AS16" s="35"/>
      <c r="AT16" s="74">
        <f>SUM(AL16:AR16)</f>
        <v>0</v>
      </c>
      <c r="AU16" s="35"/>
      <c r="AV16" s="37">
        <f t="shared" ref="AV16:AV81" si="5">AJ16-AT16</f>
        <v>0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x14ac:dyDescent="0.2">
      <c r="A17" s="13"/>
      <c r="B17" s="3" t="s">
        <v>234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>
        <f t="shared" si="0"/>
        <v>0</v>
      </c>
      <c r="AL17" s="74">
        <f t="shared" si="1"/>
        <v>0</v>
      </c>
      <c r="AM17" s="35"/>
      <c r="AN17" s="74">
        <f t="shared" si="2"/>
        <v>0</v>
      </c>
      <c r="AO17" s="35"/>
      <c r="AP17" s="74">
        <f t="shared" si="3"/>
        <v>0</v>
      </c>
      <c r="AQ17" s="35"/>
      <c r="AR17" s="74">
        <f t="shared" si="4"/>
        <v>0</v>
      </c>
      <c r="AS17" s="35"/>
      <c r="AT17" s="74">
        <f>SUM(AL17:AR17)</f>
        <v>0</v>
      </c>
      <c r="AU17" s="35"/>
      <c r="AV17" s="37">
        <f t="shared" si="5"/>
        <v>0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x14ac:dyDescent="0.2">
      <c r="A18" s="13"/>
      <c r="B18" s="3" t="s">
        <v>235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>
        <f t="shared" si="0"/>
        <v>0</v>
      </c>
      <c r="AL18" s="74">
        <f t="shared" si="1"/>
        <v>0</v>
      </c>
      <c r="AM18" s="35"/>
      <c r="AN18" s="74">
        <f t="shared" si="2"/>
        <v>0</v>
      </c>
      <c r="AO18" s="35"/>
      <c r="AP18" s="74">
        <f t="shared" si="3"/>
        <v>0</v>
      </c>
      <c r="AQ18" s="35"/>
      <c r="AR18" s="74">
        <f t="shared" si="4"/>
        <v>0</v>
      </c>
      <c r="AS18" s="35"/>
      <c r="AT18" s="74">
        <f>SUM(AL18:AR18)</f>
        <v>0</v>
      </c>
      <c r="AU18" s="35"/>
      <c r="AV18" s="37">
        <f t="shared" si="5"/>
        <v>0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x14ac:dyDescent="0.2">
      <c r="A19" s="13"/>
      <c r="B19" s="3" t="s">
        <v>236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f t="shared" si="0"/>
        <v>0</v>
      </c>
      <c r="AL19" s="74">
        <f t="shared" si="1"/>
        <v>0</v>
      </c>
      <c r="AM19" s="35"/>
      <c r="AN19" s="74">
        <f t="shared" si="2"/>
        <v>0</v>
      </c>
      <c r="AO19" s="35"/>
      <c r="AP19" s="74">
        <f t="shared" si="3"/>
        <v>0</v>
      </c>
      <c r="AQ19" s="35"/>
      <c r="AR19" s="74">
        <f t="shared" si="4"/>
        <v>0</v>
      </c>
      <c r="AS19" s="35"/>
      <c r="AT19" s="74">
        <f t="shared" ref="AT19:AT44" si="6">SUM(AL19:AR19)</f>
        <v>0</v>
      </c>
      <c r="AU19" s="35"/>
      <c r="AV19" s="37">
        <f t="shared" si="5"/>
        <v>0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x14ac:dyDescent="0.2">
      <c r="A20" s="13"/>
      <c r="B20" s="3" t="s">
        <v>237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>
        <f t="shared" si="0"/>
        <v>0</v>
      </c>
      <c r="AL20" s="74">
        <f t="shared" si="1"/>
        <v>0</v>
      </c>
      <c r="AM20" s="35"/>
      <c r="AN20" s="74">
        <f t="shared" si="2"/>
        <v>0</v>
      </c>
      <c r="AO20" s="35"/>
      <c r="AP20" s="74">
        <f t="shared" si="3"/>
        <v>0</v>
      </c>
      <c r="AQ20" s="35"/>
      <c r="AR20" s="74">
        <f t="shared" si="4"/>
        <v>0</v>
      </c>
      <c r="AS20" s="35"/>
      <c r="AT20" s="74">
        <f t="shared" si="6"/>
        <v>0</v>
      </c>
      <c r="AU20" s="35"/>
      <c r="AV20" s="37">
        <f t="shared" si="5"/>
        <v>0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x14ac:dyDescent="0.2">
      <c r="A21" s="13"/>
      <c r="B21" s="3" t="s">
        <v>238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>
        <f t="shared" si="0"/>
        <v>0</v>
      </c>
      <c r="AL21" s="74">
        <f t="shared" si="1"/>
        <v>0</v>
      </c>
      <c r="AM21" s="35"/>
      <c r="AN21" s="74">
        <f t="shared" si="2"/>
        <v>0</v>
      </c>
      <c r="AO21" s="35"/>
      <c r="AP21" s="74">
        <f t="shared" si="3"/>
        <v>0</v>
      </c>
      <c r="AQ21" s="35"/>
      <c r="AR21" s="74">
        <f t="shared" si="4"/>
        <v>0</v>
      </c>
      <c r="AS21" s="35"/>
      <c r="AT21" s="74">
        <f t="shared" si="6"/>
        <v>0</v>
      </c>
      <c r="AU21" s="35"/>
      <c r="AV21" s="37">
        <f t="shared" si="5"/>
        <v>0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x14ac:dyDescent="0.2">
      <c r="A22" s="13"/>
      <c r="B22" s="3" t="s">
        <v>239</v>
      </c>
      <c r="C22" s="14"/>
      <c r="D22" s="14"/>
      <c r="E22" s="14"/>
      <c r="F22" s="14"/>
      <c r="G22" s="35" t="s">
        <v>159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>
        <f t="shared" si="0"/>
        <v>0</v>
      </c>
      <c r="AL22" s="74">
        <f t="shared" si="1"/>
        <v>0</v>
      </c>
      <c r="AM22" s="35"/>
      <c r="AN22" s="74">
        <f t="shared" si="2"/>
        <v>0</v>
      </c>
      <c r="AO22" s="35"/>
      <c r="AP22" s="74">
        <f t="shared" si="3"/>
        <v>0</v>
      </c>
      <c r="AQ22" s="35"/>
      <c r="AR22" s="74">
        <f t="shared" si="4"/>
        <v>0</v>
      </c>
      <c r="AS22" s="35"/>
      <c r="AT22" s="74">
        <f t="shared" si="6"/>
        <v>0</v>
      </c>
      <c r="AU22" s="35"/>
      <c r="AV22" s="37">
        <f t="shared" si="5"/>
        <v>0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x14ac:dyDescent="0.2">
      <c r="A23" s="13"/>
      <c r="B23" s="3" t="s">
        <v>240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>
        <f t="shared" si="0"/>
        <v>0</v>
      </c>
      <c r="AL23" s="74">
        <f t="shared" si="1"/>
        <v>0</v>
      </c>
      <c r="AM23" s="35"/>
      <c r="AN23" s="74">
        <f t="shared" si="2"/>
        <v>0</v>
      </c>
      <c r="AO23" s="35"/>
      <c r="AP23" s="74">
        <f t="shared" si="3"/>
        <v>0</v>
      </c>
      <c r="AQ23" s="35"/>
      <c r="AR23" s="74">
        <f t="shared" si="4"/>
        <v>0</v>
      </c>
      <c r="AS23" s="35"/>
      <c r="AT23" s="74">
        <f t="shared" si="6"/>
        <v>0</v>
      </c>
      <c r="AU23" s="35"/>
      <c r="AV23" s="37">
        <f t="shared" si="5"/>
        <v>0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x14ac:dyDescent="0.2">
      <c r="A24" s="13"/>
      <c r="B24" s="3" t="s">
        <v>241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>
        <f t="shared" si="0"/>
        <v>0</v>
      </c>
      <c r="AL24" s="74">
        <f t="shared" si="1"/>
        <v>0</v>
      </c>
      <c r="AM24" s="35"/>
      <c r="AN24" s="74">
        <f t="shared" si="2"/>
        <v>0</v>
      </c>
      <c r="AO24" s="35"/>
      <c r="AP24" s="74">
        <f t="shared" si="3"/>
        <v>0</v>
      </c>
      <c r="AQ24" s="35"/>
      <c r="AR24" s="74">
        <f t="shared" si="4"/>
        <v>0</v>
      </c>
      <c r="AS24" s="35"/>
      <c r="AT24" s="74">
        <f t="shared" si="6"/>
        <v>0</v>
      </c>
      <c r="AU24" s="35"/>
      <c r="AV24" s="37">
        <f t="shared" si="5"/>
        <v>0</v>
      </c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x14ac:dyDescent="0.2">
      <c r="A25" s="13"/>
      <c r="B25" s="3" t="s">
        <v>242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>
        <f t="shared" si="0"/>
        <v>0</v>
      </c>
      <c r="AL25" s="74">
        <f t="shared" si="1"/>
        <v>0</v>
      </c>
      <c r="AM25" s="35"/>
      <c r="AN25" s="74">
        <f t="shared" si="2"/>
        <v>0</v>
      </c>
      <c r="AO25" s="35"/>
      <c r="AP25" s="74">
        <f t="shared" si="3"/>
        <v>0</v>
      </c>
      <c r="AQ25" s="35"/>
      <c r="AR25" s="74">
        <f t="shared" si="4"/>
        <v>0</v>
      </c>
      <c r="AS25" s="35"/>
      <c r="AT25" s="74">
        <f t="shared" si="6"/>
        <v>0</v>
      </c>
      <c r="AU25" s="35"/>
      <c r="AV25" s="37">
        <f t="shared" si="5"/>
        <v>0</v>
      </c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x14ac:dyDescent="0.2">
      <c r="A26" s="13"/>
      <c r="B26" s="21" t="s">
        <v>243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>
        <f t="shared" si="0"/>
        <v>0</v>
      </c>
      <c r="AL26" s="74">
        <f t="shared" si="1"/>
        <v>0</v>
      </c>
      <c r="AM26" s="35"/>
      <c r="AN26" s="74">
        <f t="shared" si="2"/>
        <v>0</v>
      </c>
      <c r="AO26" s="35"/>
      <c r="AP26" s="74">
        <f t="shared" si="3"/>
        <v>0</v>
      </c>
      <c r="AQ26" s="35"/>
      <c r="AR26" s="74">
        <f t="shared" si="4"/>
        <v>0</v>
      </c>
      <c r="AS26" s="35"/>
      <c r="AT26" s="74">
        <f t="shared" si="6"/>
        <v>0</v>
      </c>
      <c r="AU26" s="35"/>
      <c r="AV26" s="37">
        <f t="shared" si="5"/>
        <v>0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x14ac:dyDescent="0.2">
      <c r="A27" s="13"/>
      <c r="B27" s="3" t="s">
        <v>244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f t="shared" si="0"/>
        <v>0</v>
      </c>
      <c r="AL27" s="74">
        <f t="shared" si="1"/>
        <v>0</v>
      </c>
      <c r="AM27" s="35"/>
      <c r="AN27" s="74">
        <f t="shared" si="2"/>
        <v>0</v>
      </c>
      <c r="AO27" s="35"/>
      <c r="AP27" s="74">
        <f t="shared" si="3"/>
        <v>0</v>
      </c>
      <c r="AQ27" s="35"/>
      <c r="AR27" s="74">
        <f t="shared" si="4"/>
        <v>0</v>
      </c>
      <c r="AS27" s="35"/>
      <c r="AT27" s="74">
        <f t="shared" si="6"/>
        <v>0</v>
      </c>
      <c r="AU27" s="35"/>
      <c r="AV27" s="37">
        <f t="shared" si="5"/>
        <v>0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x14ac:dyDescent="0.2">
      <c r="A28" s="13"/>
      <c r="B28" s="3" t="s">
        <v>245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>
        <f t="shared" si="0"/>
        <v>0</v>
      </c>
      <c r="AL28" s="74">
        <f t="shared" si="1"/>
        <v>0</v>
      </c>
      <c r="AM28" s="35"/>
      <c r="AN28" s="74">
        <f t="shared" si="2"/>
        <v>0</v>
      </c>
      <c r="AO28" s="35"/>
      <c r="AP28" s="74">
        <f t="shared" si="3"/>
        <v>0</v>
      </c>
      <c r="AQ28" s="35"/>
      <c r="AR28" s="74">
        <f t="shared" si="4"/>
        <v>0</v>
      </c>
      <c r="AS28" s="35"/>
      <c r="AT28" s="74">
        <f>SUM(AL28:AR28)</f>
        <v>0</v>
      </c>
      <c r="AU28" s="35"/>
      <c r="AV28" s="37">
        <f t="shared" si="5"/>
        <v>0</v>
      </c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x14ac:dyDescent="0.2">
      <c r="A29" s="13"/>
      <c r="B29" s="3" t="s">
        <v>246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>
        <f t="shared" si="0"/>
        <v>0</v>
      </c>
      <c r="AL29" s="74">
        <f t="shared" si="1"/>
        <v>0</v>
      </c>
      <c r="AM29" s="35"/>
      <c r="AN29" s="74">
        <f t="shared" si="2"/>
        <v>0</v>
      </c>
      <c r="AO29" s="35"/>
      <c r="AP29" s="74">
        <f t="shared" si="3"/>
        <v>0</v>
      </c>
      <c r="AQ29" s="35"/>
      <c r="AR29" s="74">
        <f t="shared" si="4"/>
        <v>0</v>
      </c>
      <c r="AS29" s="35"/>
      <c r="AT29" s="74">
        <f t="shared" si="6"/>
        <v>0</v>
      </c>
      <c r="AU29" s="35"/>
      <c r="AV29" s="37">
        <f t="shared" si="5"/>
        <v>0</v>
      </c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x14ac:dyDescent="0.2">
      <c r="A30" s="13"/>
      <c r="B30" s="3" t="s">
        <v>247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>
        <f t="shared" si="0"/>
        <v>0</v>
      </c>
      <c r="AL30" s="74">
        <f t="shared" si="1"/>
        <v>0</v>
      </c>
      <c r="AM30" s="35"/>
      <c r="AN30" s="74">
        <f t="shared" si="2"/>
        <v>0</v>
      </c>
      <c r="AO30" s="35"/>
      <c r="AP30" s="74">
        <f t="shared" si="3"/>
        <v>0</v>
      </c>
      <c r="AQ30" s="35"/>
      <c r="AR30" s="74">
        <f t="shared" si="4"/>
        <v>0</v>
      </c>
      <c r="AS30" s="35"/>
      <c r="AT30" s="74">
        <f t="shared" si="6"/>
        <v>0</v>
      </c>
      <c r="AU30" s="35"/>
      <c r="AV30" s="37">
        <f>AJ30-AT30</f>
        <v>0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x14ac:dyDescent="0.2">
      <c r="A31" s="13"/>
      <c r="B31" s="3" t="s">
        <v>248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>
        <f t="shared" si="0"/>
        <v>0</v>
      </c>
      <c r="AL31" s="74">
        <f t="shared" si="1"/>
        <v>0</v>
      </c>
      <c r="AM31" s="35"/>
      <c r="AN31" s="74">
        <f t="shared" si="2"/>
        <v>0</v>
      </c>
      <c r="AO31" s="35"/>
      <c r="AP31" s="74">
        <f t="shared" si="3"/>
        <v>0</v>
      </c>
      <c r="AQ31" s="35"/>
      <c r="AR31" s="74">
        <f t="shared" si="4"/>
        <v>0</v>
      </c>
      <c r="AS31" s="35"/>
      <c r="AT31" s="74">
        <f t="shared" si="6"/>
        <v>0</v>
      </c>
      <c r="AU31" s="35"/>
      <c r="AV31" s="37">
        <f t="shared" si="5"/>
        <v>0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x14ac:dyDescent="0.2">
      <c r="A32" s="13"/>
      <c r="B32" s="3" t="s">
        <v>249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>
        <f t="shared" si="0"/>
        <v>0</v>
      </c>
      <c r="AL32" s="74">
        <f t="shared" si="1"/>
        <v>0</v>
      </c>
      <c r="AM32" s="35"/>
      <c r="AN32" s="74">
        <f t="shared" si="2"/>
        <v>0</v>
      </c>
      <c r="AO32" s="35"/>
      <c r="AP32" s="74">
        <f t="shared" si="3"/>
        <v>0</v>
      </c>
      <c r="AQ32" s="35"/>
      <c r="AR32" s="74">
        <f t="shared" si="4"/>
        <v>0</v>
      </c>
      <c r="AS32" s="35"/>
      <c r="AT32" s="74">
        <f t="shared" si="6"/>
        <v>0</v>
      </c>
      <c r="AU32" s="35"/>
      <c r="AV32" s="37">
        <f t="shared" si="5"/>
        <v>0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x14ac:dyDescent="0.2">
      <c r="A33" s="13"/>
      <c r="B33" s="3" t="s">
        <v>250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f t="shared" si="0"/>
        <v>0</v>
      </c>
      <c r="AL33" s="74">
        <f t="shared" si="1"/>
        <v>0</v>
      </c>
      <c r="AM33" s="35"/>
      <c r="AN33" s="74">
        <f t="shared" si="2"/>
        <v>0</v>
      </c>
      <c r="AO33" s="35"/>
      <c r="AP33" s="74">
        <f t="shared" si="3"/>
        <v>0</v>
      </c>
      <c r="AQ33" s="35"/>
      <c r="AR33" s="74">
        <f t="shared" si="4"/>
        <v>0</v>
      </c>
      <c r="AS33" s="35"/>
      <c r="AT33" s="74">
        <f t="shared" si="6"/>
        <v>0</v>
      </c>
      <c r="AU33" s="35"/>
      <c r="AV33" s="37">
        <f t="shared" si="5"/>
        <v>0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x14ac:dyDescent="0.2">
      <c r="A34" s="13"/>
      <c r="B34" s="3" t="s">
        <v>251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>
        <f t="shared" si="0"/>
        <v>0</v>
      </c>
      <c r="AL34" s="74">
        <f t="shared" si="1"/>
        <v>0</v>
      </c>
      <c r="AM34" s="35"/>
      <c r="AN34" s="74">
        <f t="shared" si="2"/>
        <v>0</v>
      </c>
      <c r="AO34" s="35"/>
      <c r="AP34" s="74">
        <f t="shared" si="3"/>
        <v>0</v>
      </c>
      <c r="AQ34" s="35"/>
      <c r="AR34" s="74">
        <f t="shared" si="4"/>
        <v>0</v>
      </c>
      <c r="AS34" s="35"/>
      <c r="AT34" s="74">
        <f t="shared" si="6"/>
        <v>0</v>
      </c>
      <c r="AU34" s="35"/>
      <c r="AV34" s="37">
        <f t="shared" si="5"/>
        <v>0</v>
      </c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x14ac:dyDescent="0.2">
      <c r="A35" s="13"/>
      <c r="B35" s="3" t="s">
        <v>252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>
        <f t="shared" si="0"/>
        <v>0</v>
      </c>
      <c r="AL35" s="74">
        <f t="shared" si="1"/>
        <v>0</v>
      </c>
      <c r="AM35" s="35"/>
      <c r="AN35" s="74">
        <f t="shared" si="2"/>
        <v>0</v>
      </c>
      <c r="AO35" s="35"/>
      <c r="AP35" s="74">
        <f t="shared" si="3"/>
        <v>0</v>
      </c>
      <c r="AQ35" s="35"/>
      <c r="AR35" s="74">
        <f t="shared" si="4"/>
        <v>0</v>
      </c>
      <c r="AS35" s="35"/>
      <c r="AT35" s="74">
        <f t="shared" si="6"/>
        <v>0</v>
      </c>
      <c r="AU35" s="35"/>
      <c r="AV35" s="37">
        <f t="shared" si="5"/>
        <v>0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x14ac:dyDescent="0.2">
      <c r="A36" s="108"/>
      <c r="B36" s="29" t="s">
        <v>253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>
        <f t="shared" si="0"/>
        <v>0</v>
      </c>
      <c r="AL36" s="74">
        <f t="shared" si="1"/>
        <v>0</v>
      </c>
      <c r="AM36" s="35"/>
      <c r="AN36" s="74">
        <f t="shared" si="2"/>
        <v>0</v>
      </c>
      <c r="AO36" s="35"/>
      <c r="AP36" s="74">
        <f t="shared" si="3"/>
        <v>0</v>
      </c>
      <c r="AQ36" s="35"/>
      <c r="AR36" s="74">
        <f t="shared" si="4"/>
        <v>0</v>
      </c>
      <c r="AS36" s="35"/>
      <c r="AT36" s="74">
        <f t="shared" si="6"/>
        <v>0</v>
      </c>
      <c r="AU36" s="35"/>
      <c r="AV36" s="37">
        <f t="shared" si="5"/>
        <v>0</v>
      </c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x14ac:dyDescent="0.2">
      <c r="A37" s="108"/>
      <c r="B37" s="29" t="s">
        <v>254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>
        <f t="shared" si="0"/>
        <v>0</v>
      </c>
      <c r="AL37" s="74">
        <f t="shared" si="1"/>
        <v>0</v>
      </c>
      <c r="AM37" s="35"/>
      <c r="AN37" s="74">
        <f t="shared" si="2"/>
        <v>0</v>
      </c>
      <c r="AO37" s="35"/>
      <c r="AP37" s="74">
        <f t="shared" si="3"/>
        <v>0</v>
      </c>
      <c r="AQ37" s="35"/>
      <c r="AR37" s="74">
        <f t="shared" si="4"/>
        <v>0</v>
      </c>
      <c r="AS37" s="35"/>
      <c r="AT37" s="74">
        <f t="shared" si="6"/>
        <v>0</v>
      </c>
      <c r="AU37" s="35"/>
      <c r="AV37" s="37">
        <f t="shared" si="5"/>
        <v>0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x14ac:dyDescent="0.2">
      <c r="A38" s="13"/>
      <c r="B38" s="3" t="s">
        <v>255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>
        <f t="shared" si="0"/>
        <v>0</v>
      </c>
      <c r="AL38" s="74">
        <f t="shared" si="1"/>
        <v>0</v>
      </c>
      <c r="AM38" s="35"/>
      <c r="AN38" s="74">
        <f t="shared" si="2"/>
        <v>0</v>
      </c>
      <c r="AO38" s="35"/>
      <c r="AP38" s="74">
        <f t="shared" si="3"/>
        <v>0</v>
      </c>
      <c r="AQ38" s="35"/>
      <c r="AR38" s="74">
        <f t="shared" si="4"/>
        <v>0</v>
      </c>
      <c r="AS38" s="35"/>
      <c r="AT38" s="74">
        <f>SUM(AL38:AR38)</f>
        <v>0</v>
      </c>
      <c r="AU38" s="35"/>
      <c r="AV38" s="37">
        <f t="shared" si="5"/>
        <v>0</v>
      </c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x14ac:dyDescent="0.2">
      <c r="A39" s="13"/>
      <c r="B39" s="3" t="s">
        <v>256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>
        <f t="shared" si="0"/>
        <v>0</v>
      </c>
      <c r="AL39" s="74">
        <f t="shared" si="1"/>
        <v>0</v>
      </c>
      <c r="AM39" s="35"/>
      <c r="AN39" s="74">
        <f t="shared" si="2"/>
        <v>0</v>
      </c>
      <c r="AO39" s="35"/>
      <c r="AP39" s="74">
        <f t="shared" si="3"/>
        <v>0</v>
      </c>
      <c r="AQ39" s="35"/>
      <c r="AR39" s="74">
        <f t="shared" si="4"/>
        <v>0</v>
      </c>
      <c r="AS39" s="35"/>
      <c r="AT39" s="74">
        <f t="shared" si="6"/>
        <v>0</v>
      </c>
      <c r="AU39" s="35"/>
      <c r="AV39" s="37">
        <f t="shared" si="5"/>
        <v>0</v>
      </c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x14ac:dyDescent="0.2">
      <c r="A40" s="13"/>
      <c r="B40" s="3" t="s">
        <v>257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f t="shared" si="0"/>
        <v>0</v>
      </c>
      <c r="AL40" s="74">
        <f t="shared" si="1"/>
        <v>0</v>
      </c>
      <c r="AM40" s="35"/>
      <c r="AN40" s="74">
        <f t="shared" si="2"/>
        <v>0</v>
      </c>
      <c r="AO40" s="35"/>
      <c r="AP40" s="74">
        <f t="shared" si="3"/>
        <v>0</v>
      </c>
      <c r="AQ40" s="35"/>
      <c r="AR40" s="74">
        <f t="shared" si="4"/>
        <v>0</v>
      </c>
      <c r="AS40" s="35"/>
      <c r="AT40" s="74">
        <f t="shared" si="6"/>
        <v>0</v>
      </c>
      <c r="AU40" s="35"/>
      <c r="AV40" s="37">
        <f t="shared" si="5"/>
        <v>0</v>
      </c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x14ac:dyDescent="0.2">
      <c r="A41" s="13"/>
      <c r="B41" s="3" t="s">
        <v>258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>
        <f t="shared" si="0"/>
        <v>0</v>
      </c>
      <c r="AL41" s="74">
        <f t="shared" si="1"/>
        <v>0</v>
      </c>
      <c r="AM41" s="35"/>
      <c r="AN41" s="74">
        <f t="shared" si="2"/>
        <v>0</v>
      </c>
      <c r="AO41" s="35"/>
      <c r="AP41" s="74">
        <f t="shared" si="3"/>
        <v>0</v>
      </c>
      <c r="AQ41" s="35"/>
      <c r="AR41" s="74">
        <f t="shared" si="4"/>
        <v>0</v>
      </c>
      <c r="AS41" s="35"/>
      <c r="AT41" s="74">
        <f t="shared" si="6"/>
        <v>0</v>
      </c>
      <c r="AU41" s="35"/>
      <c r="AV41" s="37">
        <f t="shared" si="5"/>
        <v>0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x14ac:dyDescent="0.2">
      <c r="A42" s="13"/>
      <c r="B42" s="3" t="s">
        <v>259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>
        <f t="shared" si="0"/>
        <v>0</v>
      </c>
      <c r="AL42" s="74">
        <f t="shared" si="1"/>
        <v>0</v>
      </c>
      <c r="AM42" s="35"/>
      <c r="AN42" s="74">
        <f t="shared" si="2"/>
        <v>0</v>
      </c>
      <c r="AO42" s="35"/>
      <c r="AP42" s="74">
        <f t="shared" si="3"/>
        <v>0</v>
      </c>
      <c r="AQ42" s="35"/>
      <c r="AR42" s="74">
        <f t="shared" si="4"/>
        <v>0</v>
      </c>
      <c r="AS42" s="35"/>
      <c r="AT42" s="74">
        <f t="shared" si="6"/>
        <v>0</v>
      </c>
      <c r="AU42" s="35"/>
      <c r="AV42" s="37">
        <f t="shared" si="5"/>
        <v>0</v>
      </c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x14ac:dyDescent="0.2">
      <c r="A43" s="13"/>
      <c r="B43" s="3" t="s">
        <v>260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>
        <f t="shared" si="0"/>
        <v>0</v>
      </c>
      <c r="AL43" s="74">
        <f t="shared" si="1"/>
        <v>0</v>
      </c>
      <c r="AM43" s="35"/>
      <c r="AN43" s="74">
        <f t="shared" si="2"/>
        <v>0</v>
      </c>
      <c r="AO43" s="35"/>
      <c r="AP43" s="74">
        <f t="shared" si="3"/>
        <v>0</v>
      </c>
      <c r="AQ43" s="35"/>
      <c r="AR43" s="74">
        <f t="shared" si="4"/>
        <v>0</v>
      </c>
      <c r="AS43" s="35"/>
      <c r="AT43" s="74">
        <f t="shared" si="6"/>
        <v>0</v>
      </c>
      <c r="AU43" s="35"/>
      <c r="AV43" s="37">
        <f t="shared" si="5"/>
        <v>0</v>
      </c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x14ac:dyDescent="0.2">
      <c r="A44" s="13"/>
      <c r="B44" s="3" t="s">
        <v>261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>
        <f t="shared" si="0"/>
        <v>0</v>
      </c>
      <c r="AL44" s="74">
        <f t="shared" si="1"/>
        <v>0</v>
      </c>
      <c r="AM44" s="35"/>
      <c r="AN44" s="74">
        <f t="shared" si="2"/>
        <v>0</v>
      </c>
      <c r="AO44" s="35"/>
      <c r="AP44" s="74">
        <f t="shared" si="3"/>
        <v>0</v>
      </c>
      <c r="AQ44" s="35"/>
      <c r="AR44" s="74">
        <f t="shared" si="4"/>
        <v>0</v>
      </c>
      <c r="AS44" s="35"/>
      <c r="AT44" s="74">
        <f t="shared" si="6"/>
        <v>0</v>
      </c>
      <c r="AU44" s="35"/>
      <c r="AV44" s="37">
        <f t="shared" si="5"/>
        <v>0</v>
      </c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x14ac:dyDescent="0.2">
      <c r="A45" s="13"/>
      <c r="B45" s="9" t="s">
        <v>262</v>
      </c>
      <c r="C45" s="19">
        <f>SUM(C15:C44)</f>
        <v>0</v>
      </c>
      <c r="E45" s="19">
        <f>SUM(E15:E44)</f>
        <v>0</v>
      </c>
      <c r="G45" s="19">
        <f>SUM(G15:G44)</f>
        <v>0</v>
      </c>
      <c r="I45" s="19">
        <f>SUM(I15:I44)</f>
        <v>0</v>
      </c>
      <c r="K45" s="19">
        <f>SUM(K15:K44)</f>
        <v>0</v>
      </c>
      <c r="M45" s="19">
        <f>SUM(M15:M44)</f>
        <v>0</v>
      </c>
      <c r="O45" s="19">
        <f>SUM(O15:O44)</f>
        <v>0</v>
      </c>
      <c r="Q45" s="19">
        <f>SUM(Q15:Q44)</f>
        <v>0</v>
      </c>
      <c r="S45" s="19">
        <f>SUM(S15:S44)</f>
        <v>0</v>
      </c>
      <c r="T45" s="19"/>
      <c r="U45" s="19">
        <f>SUM(U15:U44)</f>
        <v>0</v>
      </c>
      <c r="V45" s="19"/>
      <c r="W45" s="19">
        <f>SUM(W15:W44)</f>
        <v>0</v>
      </c>
      <c r="Y45" s="19">
        <f>SUM(Y15:Y44)</f>
        <v>0</v>
      </c>
      <c r="AA45" s="19">
        <f>SUM(AA15:AA44)</f>
        <v>0</v>
      </c>
      <c r="AC45" s="19">
        <f>SUM(AC15:AC44)</f>
        <v>0</v>
      </c>
      <c r="AE45" s="19">
        <f>SUM(AE15:AE44)</f>
        <v>0</v>
      </c>
      <c r="AG45" s="19">
        <f>SUM(AG15:AG44)</f>
        <v>0</v>
      </c>
      <c r="AI45" s="19"/>
      <c r="AJ45" s="19">
        <f>SUM(AJ15:AJ44)</f>
        <v>0</v>
      </c>
      <c r="AL45" s="109">
        <f>SUM(AL15:AL44)</f>
        <v>0</v>
      </c>
      <c r="AM45" s="35"/>
      <c r="AN45" s="109">
        <f>SUM(AN15:AN44)</f>
        <v>0</v>
      </c>
      <c r="AO45" s="35"/>
      <c r="AP45" s="109">
        <f>SUM(AP15:AP44)</f>
        <v>0</v>
      </c>
      <c r="AQ45" s="35"/>
      <c r="AR45" s="109">
        <f>SUM(AR15:AR44)</f>
        <v>0</v>
      </c>
      <c r="AS45" s="35"/>
      <c r="AT45" s="109">
        <f>SUM(AL45:AR45)</f>
        <v>0</v>
      </c>
      <c r="AU45" s="35"/>
      <c r="AV45" s="37">
        <f t="shared" si="5"/>
        <v>0</v>
      </c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x14ac:dyDescent="0.2">
      <c r="A46" s="13"/>
      <c r="B46" s="9"/>
      <c r="AL46" s="74"/>
      <c r="AM46" s="35"/>
      <c r="AN46" s="74"/>
      <c r="AO46" s="35"/>
      <c r="AP46" s="35"/>
      <c r="AQ46" s="35"/>
      <c r="AR46" s="35"/>
      <c r="AS46" s="35"/>
      <c r="AT46" s="35"/>
      <c r="AU46" s="35"/>
      <c r="AV46" s="37">
        <f t="shared" si="5"/>
        <v>0</v>
      </c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x14ac:dyDescent="0.2">
      <c r="A47" s="13"/>
      <c r="B47" s="9"/>
      <c r="AL47" s="74"/>
      <c r="AM47" s="35"/>
      <c r="AN47" s="74"/>
      <c r="AO47" s="35"/>
      <c r="AP47" s="35"/>
      <c r="AQ47" s="35"/>
      <c r="AR47" s="35"/>
      <c r="AS47" s="35"/>
      <c r="AT47" s="35"/>
      <c r="AU47" s="35"/>
      <c r="AV47" s="37">
        <f t="shared" si="5"/>
        <v>0</v>
      </c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x14ac:dyDescent="0.2">
      <c r="A48" s="8" t="s">
        <v>17</v>
      </c>
      <c r="B48" s="9"/>
      <c r="AL48" s="74"/>
      <c r="AM48" s="35"/>
      <c r="AN48" s="74"/>
      <c r="AO48" s="35"/>
      <c r="AP48" s="35"/>
      <c r="AQ48" s="35"/>
      <c r="AR48" s="35"/>
      <c r="AS48" s="35"/>
      <c r="AT48" s="35"/>
      <c r="AU48" s="35"/>
      <c r="AV48" s="37">
        <f t="shared" si="5"/>
        <v>0</v>
      </c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x14ac:dyDescent="0.2">
      <c r="A49" s="13"/>
      <c r="B49" s="9" t="s">
        <v>263</v>
      </c>
      <c r="AL49" s="74"/>
      <c r="AM49" s="35"/>
      <c r="AN49" s="74"/>
      <c r="AO49" s="35"/>
      <c r="AP49" s="35"/>
      <c r="AQ49" s="35"/>
      <c r="AR49" s="35"/>
      <c r="AS49" s="35"/>
      <c r="AT49" s="35"/>
      <c r="AU49" s="35"/>
      <c r="AV49" s="37">
        <f t="shared" si="5"/>
        <v>0</v>
      </c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outlineLevel="1" x14ac:dyDescent="0.2">
      <c r="A50" s="13"/>
      <c r="B50" s="21" t="s">
        <v>264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>
        <f t="shared" ref="AJ50:AJ71" si="7">SUM(C50:AI50)</f>
        <v>0</v>
      </c>
      <c r="AK50" s="145"/>
      <c r="AL50" s="74">
        <f t="shared" ref="AL50:AL63" si="8">SUMIF($C$10:$AI$10,"=Addition",$C50:$AI50)</f>
        <v>0</v>
      </c>
      <c r="AM50" s="35"/>
      <c r="AN50" s="74">
        <f t="shared" ref="AN50:AN63" si="9">SUMIF($C$10:$AI$10,"=Adjustment",$C50:$AI50)</f>
        <v>0</v>
      </c>
      <c r="AO50" s="35"/>
      <c r="AP50" s="74">
        <f t="shared" ref="AP50:AP71" si="10">SUMIF($C$10:$AI$10,"=Transfer",$C50:$AI50)</f>
        <v>0</v>
      </c>
      <c r="AQ50" s="35"/>
      <c r="AR50" s="74">
        <f t="shared" ref="AR50:AR63" si="11">SUMIF($C$10:$AI$10,"=N/A",$C50:$AI50)</f>
        <v>0</v>
      </c>
      <c r="AS50" s="35"/>
      <c r="AT50" s="74">
        <f t="shared" ref="AT50:AT71" si="12">SUM(AL50:AR50)</f>
        <v>0</v>
      </c>
      <c r="AU50" s="35"/>
      <c r="AV50" s="37">
        <f t="shared" si="5"/>
        <v>0</v>
      </c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outlineLevel="1" x14ac:dyDescent="0.2">
      <c r="A51" s="13"/>
      <c r="B51" s="3" t="s">
        <v>265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>
        <f t="shared" si="7"/>
        <v>0</v>
      </c>
      <c r="AK51" s="145"/>
      <c r="AL51" s="74">
        <f t="shared" si="8"/>
        <v>0</v>
      </c>
      <c r="AM51" s="35"/>
      <c r="AN51" s="74">
        <f t="shared" si="9"/>
        <v>0</v>
      </c>
      <c r="AO51" s="35"/>
      <c r="AP51" s="74">
        <f t="shared" si="10"/>
        <v>0</v>
      </c>
      <c r="AQ51" s="35"/>
      <c r="AR51" s="74">
        <f t="shared" si="11"/>
        <v>0</v>
      </c>
      <c r="AS51" s="35"/>
      <c r="AT51" s="74">
        <f t="shared" si="12"/>
        <v>0</v>
      </c>
      <c r="AU51" s="35"/>
      <c r="AV51" s="37">
        <f t="shared" si="5"/>
        <v>0</v>
      </c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x14ac:dyDescent="0.2">
      <c r="A52" s="13"/>
      <c r="B52" s="21" t="s">
        <v>266</v>
      </c>
      <c r="C52" s="14">
        <f>SUM(C50:C51)</f>
        <v>0</v>
      </c>
      <c r="D52" s="14"/>
      <c r="E52" s="14">
        <f>SUM(E50:E51)</f>
        <v>0</v>
      </c>
      <c r="F52" s="14"/>
      <c r="G52" s="14">
        <f>SUM(G50:G51)</f>
        <v>0</v>
      </c>
      <c r="H52" s="14"/>
      <c r="I52" s="14">
        <f>SUM(I50:I51)</f>
        <v>0</v>
      </c>
      <c r="J52" s="14"/>
      <c r="K52" s="14">
        <f>SUM(K50:K51)</f>
        <v>0</v>
      </c>
      <c r="L52" s="14"/>
      <c r="M52" s="14">
        <f>SUM(M50:M51)</f>
        <v>0</v>
      </c>
      <c r="N52" s="14"/>
      <c r="O52" s="14">
        <f>SUM(O50:O51)</f>
        <v>0</v>
      </c>
      <c r="P52" s="14"/>
      <c r="Q52" s="14">
        <f>SUM(Q50:Q51)</f>
        <v>0</v>
      </c>
      <c r="R52" s="14"/>
      <c r="S52" s="14">
        <f>SUM(S50:S51)</f>
        <v>0</v>
      </c>
      <c r="T52" s="14"/>
      <c r="U52" s="14">
        <f>SUM(U50:U51)</f>
        <v>0</v>
      </c>
      <c r="V52" s="14"/>
      <c r="W52" s="14">
        <f>SUM(W50:W51)</f>
        <v>0</v>
      </c>
      <c r="X52" s="14"/>
      <c r="Y52" s="14">
        <f>SUM(Y50:Y51)</f>
        <v>0</v>
      </c>
      <c r="Z52" s="14"/>
      <c r="AA52" s="14">
        <f>SUM(AA50:AA51)</f>
        <v>0</v>
      </c>
      <c r="AB52" s="14"/>
      <c r="AC52" s="14">
        <f>SUM(AC50:AC51)</f>
        <v>0</v>
      </c>
      <c r="AD52" s="14"/>
      <c r="AE52" s="14">
        <f>SUM(AE50:AE51)</f>
        <v>0</v>
      </c>
      <c r="AF52" s="14"/>
      <c r="AG52" s="14">
        <f>SUM(AG50:AG51)</f>
        <v>0</v>
      </c>
      <c r="AH52" s="14"/>
      <c r="AI52" s="14"/>
      <c r="AJ52" s="14">
        <f t="shared" si="7"/>
        <v>0</v>
      </c>
      <c r="AK52" s="145"/>
      <c r="AL52" s="74">
        <f t="shared" si="8"/>
        <v>0</v>
      </c>
      <c r="AM52" s="35"/>
      <c r="AN52" s="74">
        <f t="shared" si="9"/>
        <v>0</v>
      </c>
      <c r="AO52" s="35"/>
      <c r="AP52" s="74">
        <f t="shared" si="10"/>
        <v>0</v>
      </c>
      <c r="AQ52" s="35"/>
      <c r="AR52" s="74">
        <f t="shared" si="11"/>
        <v>0</v>
      </c>
      <c r="AS52" s="35"/>
      <c r="AT52" s="74">
        <f t="shared" si="12"/>
        <v>0</v>
      </c>
      <c r="AU52" s="35"/>
      <c r="AV52" s="37">
        <f t="shared" si="5"/>
        <v>0</v>
      </c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x14ac:dyDescent="0.2">
      <c r="A53" s="13"/>
      <c r="B53" s="3" t="s">
        <v>267</v>
      </c>
      <c r="C53" s="14"/>
      <c r="D53" s="14"/>
      <c r="E53" s="14">
        <v>72053.22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>
        <f t="shared" si="7"/>
        <v>72053.22</v>
      </c>
      <c r="AK53" s="145"/>
      <c r="AL53" s="74">
        <f t="shared" si="8"/>
        <v>0</v>
      </c>
      <c r="AM53" s="35"/>
      <c r="AN53" s="74">
        <f t="shared" si="9"/>
        <v>0</v>
      </c>
      <c r="AO53" s="35"/>
      <c r="AP53" s="74">
        <f t="shared" si="10"/>
        <v>72053.22</v>
      </c>
      <c r="AQ53" s="35"/>
      <c r="AR53" s="74">
        <f t="shared" si="11"/>
        <v>0</v>
      </c>
      <c r="AS53" s="35"/>
      <c r="AT53" s="74">
        <f>SUM(AL53:AR53)</f>
        <v>72053.22</v>
      </c>
      <c r="AU53" s="35"/>
      <c r="AV53" s="37">
        <f t="shared" si="5"/>
        <v>0</v>
      </c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x14ac:dyDescent="0.2">
      <c r="A54" s="13"/>
      <c r="B54" s="3" t="s">
        <v>268</v>
      </c>
      <c r="C54" s="14"/>
      <c r="D54" s="14"/>
      <c r="E54" s="14">
        <v>-984659.32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v>1598.5</v>
      </c>
      <c r="T54" s="14"/>
      <c r="U54" s="14"/>
      <c r="V54" s="14"/>
      <c r="W54" s="14">
        <v>8987.6199999999953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f t="shared" si="7"/>
        <v>-974073.2</v>
      </c>
      <c r="AK54" s="145"/>
      <c r="AL54" s="74">
        <f t="shared" si="8"/>
        <v>0</v>
      </c>
      <c r="AM54" s="35"/>
      <c r="AN54" s="74">
        <f t="shared" si="9"/>
        <v>0</v>
      </c>
      <c r="AO54" s="35"/>
      <c r="AP54" s="74">
        <f t="shared" si="10"/>
        <v>-974073.2</v>
      </c>
      <c r="AQ54" s="35"/>
      <c r="AR54" s="74">
        <f t="shared" si="11"/>
        <v>0</v>
      </c>
      <c r="AS54" s="35"/>
      <c r="AT54" s="74">
        <f t="shared" si="12"/>
        <v>-974073.2</v>
      </c>
      <c r="AU54" s="35"/>
      <c r="AV54" s="37">
        <f t="shared" si="5"/>
        <v>0</v>
      </c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x14ac:dyDescent="0.2">
      <c r="A55" s="13"/>
      <c r="B55" s="3" t="s">
        <v>269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f t="shared" si="7"/>
        <v>0</v>
      </c>
      <c r="AK55" s="145"/>
      <c r="AL55" s="74">
        <f t="shared" si="8"/>
        <v>0</v>
      </c>
      <c r="AM55" s="35"/>
      <c r="AN55" s="74">
        <f t="shared" si="9"/>
        <v>0</v>
      </c>
      <c r="AO55" s="35"/>
      <c r="AP55" s="74">
        <f t="shared" si="10"/>
        <v>0</v>
      </c>
      <c r="AQ55" s="35"/>
      <c r="AR55" s="74">
        <f t="shared" si="11"/>
        <v>0</v>
      </c>
      <c r="AS55" s="35"/>
      <c r="AT55" s="74">
        <f t="shared" si="12"/>
        <v>0</v>
      </c>
      <c r="AU55" s="35"/>
      <c r="AV55" s="37">
        <f t="shared" si="5"/>
        <v>0</v>
      </c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x14ac:dyDescent="0.2">
      <c r="A56" s="13"/>
      <c r="B56" s="3" t="s">
        <v>270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v>-1598.5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>
        <f t="shared" si="7"/>
        <v>-1598.5</v>
      </c>
      <c r="AK56" s="145"/>
      <c r="AL56" s="74">
        <f t="shared" si="8"/>
        <v>0</v>
      </c>
      <c r="AM56" s="35"/>
      <c r="AN56" s="74">
        <f t="shared" si="9"/>
        <v>0</v>
      </c>
      <c r="AO56" s="35"/>
      <c r="AP56" s="74">
        <f t="shared" si="10"/>
        <v>-1598.5</v>
      </c>
      <c r="AQ56" s="35"/>
      <c r="AR56" s="74">
        <f t="shared" si="11"/>
        <v>0</v>
      </c>
      <c r="AS56" s="35"/>
      <c r="AT56" s="74">
        <f t="shared" si="12"/>
        <v>-1598.5</v>
      </c>
      <c r="AU56" s="35"/>
      <c r="AV56" s="37">
        <f t="shared" si="5"/>
        <v>0</v>
      </c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x14ac:dyDescent="0.2">
      <c r="A57" s="13"/>
      <c r="B57" s="3" t="s">
        <v>271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>
        <f t="shared" si="7"/>
        <v>0</v>
      </c>
      <c r="AK57" s="145"/>
      <c r="AL57" s="74">
        <f t="shared" si="8"/>
        <v>0</v>
      </c>
      <c r="AM57" s="35"/>
      <c r="AN57" s="74">
        <f t="shared" si="9"/>
        <v>0</v>
      </c>
      <c r="AO57" s="35"/>
      <c r="AP57" s="74">
        <f t="shared" si="10"/>
        <v>0</v>
      </c>
      <c r="AQ57" s="35"/>
      <c r="AR57" s="74">
        <f t="shared" si="11"/>
        <v>0</v>
      </c>
      <c r="AS57" s="35"/>
      <c r="AT57" s="74">
        <f t="shared" si="12"/>
        <v>0</v>
      </c>
      <c r="AU57" s="35"/>
      <c r="AV57" s="37">
        <f t="shared" si="5"/>
        <v>0</v>
      </c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x14ac:dyDescent="0.2">
      <c r="A58" s="13"/>
      <c r="B58" s="3" t="s">
        <v>272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>
        <f t="shared" si="7"/>
        <v>0</v>
      </c>
      <c r="AK58" s="145"/>
      <c r="AL58" s="74">
        <f t="shared" si="8"/>
        <v>0</v>
      </c>
      <c r="AM58" s="35"/>
      <c r="AN58" s="74">
        <f t="shared" si="9"/>
        <v>0</v>
      </c>
      <c r="AO58" s="35"/>
      <c r="AP58" s="74">
        <f t="shared" si="10"/>
        <v>0</v>
      </c>
      <c r="AQ58" s="35"/>
      <c r="AR58" s="74">
        <f t="shared" si="11"/>
        <v>0</v>
      </c>
      <c r="AS58" s="35"/>
      <c r="AT58" s="74">
        <f t="shared" si="12"/>
        <v>0</v>
      </c>
      <c r="AU58" s="35"/>
      <c r="AV58" s="37">
        <f t="shared" si="5"/>
        <v>0</v>
      </c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x14ac:dyDescent="0.2">
      <c r="A59" s="13"/>
      <c r="B59" s="3" t="s">
        <v>273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>
        <f t="shared" si="7"/>
        <v>0</v>
      </c>
      <c r="AK59" s="145"/>
      <c r="AL59" s="74">
        <f t="shared" si="8"/>
        <v>0</v>
      </c>
      <c r="AM59" s="35"/>
      <c r="AN59" s="74">
        <f t="shared" si="9"/>
        <v>0</v>
      </c>
      <c r="AO59" s="35"/>
      <c r="AP59" s="74">
        <f t="shared" si="10"/>
        <v>0</v>
      </c>
      <c r="AQ59" s="35"/>
      <c r="AR59" s="74">
        <f t="shared" si="11"/>
        <v>0</v>
      </c>
      <c r="AS59" s="35"/>
      <c r="AT59" s="74">
        <f t="shared" si="12"/>
        <v>0</v>
      </c>
      <c r="AU59" s="35"/>
      <c r="AV59" s="37">
        <f t="shared" si="5"/>
        <v>0</v>
      </c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outlineLevel="1" x14ac:dyDescent="0.2">
      <c r="A60" s="13"/>
      <c r="B60" s="3" t="s">
        <v>274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>
        <f t="shared" si="7"/>
        <v>0</v>
      </c>
      <c r="AK60" s="145"/>
      <c r="AL60" s="74">
        <f t="shared" si="8"/>
        <v>0</v>
      </c>
      <c r="AM60" s="35"/>
      <c r="AN60" s="74">
        <f t="shared" si="9"/>
        <v>0</v>
      </c>
      <c r="AO60" s="35"/>
      <c r="AP60" s="74">
        <f t="shared" si="10"/>
        <v>0</v>
      </c>
      <c r="AQ60" s="35"/>
      <c r="AR60" s="74">
        <f t="shared" si="11"/>
        <v>0</v>
      </c>
      <c r="AS60" s="35"/>
      <c r="AT60" s="74">
        <f t="shared" si="12"/>
        <v>0</v>
      </c>
      <c r="AU60" s="35"/>
      <c r="AV60" s="37">
        <f t="shared" si="5"/>
        <v>0</v>
      </c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outlineLevel="1" x14ac:dyDescent="0.2">
      <c r="A61" s="13"/>
      <c r="B61" s="3" t="s">
        <v>275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f t="shared" si="7"/>
        <v>0</v>
      </c>
      <c r="AK61" s="145"/>
      <c r="AL61" s="74">
        <f t="shared" si="8"/>
        <v>0</v>
      </c>
      <c r="AM61" s="35"/>
      <c r="AN61" s="74">
        <f t="shared" si="9"/>
        <v>0</v>
      </c>
      <c r="AO61" s="35"/>
      <c r="AP61" s="74">
        <f t="shared" si="10"/>
        <v>0</v>
      </c>
      <c r="AQ61" s="35"/>
      <c r="AR61" s="74">
        <f t="shared" si="11"/>
        <v>0</v>
      </c>
      <c r="AS61" s="35"/>
      <c r="AT61" s="74">
        <f t="shared" si="12"/>
        <v>0</v>
      </c>
      <c r="AU61" s="35"/>
      <c r="AV61" s="37">
        <f t="shared" si="5"/>
        <v>0</v>
      </c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x14ac:dyDescent="0.2">
      <c r="A62" s="13"/>
      <c r="B62" s="3" t="s">
        <v>276</v>
      </c>
      <c r="C62" s="14">
        <f>SUM(C60:C61)</f>
        <v>0</v>
      </c>
      <c r="D62" s="14"/>
      <c r="E62" s="14">
        <f>SUM(E60:E61)</f>
        <v>0</v>
      </c>
      <c r="F62" s="14"/>
      <c r="G62" s="14">
        <f>SUM(G60:G61)</f>
        <v>0</v>
      </c>
      <c r="H62" s="14"/>
      <c r="I62" s="14">
        <f>SUM(I60:I61)</f>
        <v>0</v>
      </c>
      <c r="J62" s="14"/>
      <c r="K62" s="14">
        <f>SUM(K60:K61)</f>
        <v>0</v>
      </c>
      <c r="L62" s="14"/>
      <c r="M62" s="14">
        <f>SUM(M60:M61)</f>
        <v>0</v>
      </c>
      <c r="N62" s="14"/>
      <c r="O62" s="14">
        <f>SUM(O60:O61)</f>
        <v>0</v>
      </c>
      <c r="P62" s="14"/>
      <c r="Q62" s="14">
        <f>SUM(Q60:Q61)</f>
        <v>0</v>
      </c>
      <c r="R62" s="14"/>
      <c r="S62" s="14">
        <f>SUM(S60:S61)</f>
        <v>0</v>
      </c>
      <c r="T62" s="14"/>
      <c r="U62" s="14">
        <f>SUM(U60:U61)</f>
        <v>0</v>
      </c>
      <c r="V62" s="14"/>
      <c r="W62" s="14">
        <f>SUM(W60:W61)</f>
        <v>0</v>
      </c>
      <c r="X62" s="14"/>
      <c r="Y62" s="14">
        <f>SUM(Y60:Y61)</f>
        <v>0</v>
      </c>
      <c r="Z62" s="14"/>
      <c r="AA62" s="14">
        <f>SUM(AA60:AA61)</f>
        <v>0</v>
      </c>
      <c r="AB62" s="14"/>
      <c r="AC62" s="14">
        <f>SUM(AC60:AC61)</f>
        <v>0</v>
      </c>
      <c r="AD62" s="14"/>
      <c r="AE62" s="14">
        <f>SUM(AE60:AE61)</f>
        <v>0</v>
      </c>
      <c r="AF62" s="14"/>
      <c r="AG62" s="14">
        <f>SUM(AG60:AG61)</f>
        <v>0</v>
      </c>
      <c r="AH62" s="14"/>
      <c r="AI62" s="14"/>
      <c r="AJ62" s="14">
        <f t="shared" si="7"/>
        <v>0</v>
      </c>
      <c r="AK62" s="145"/>
      <c r="AL62" s="74">
        <f t="shared" si="8"/>
        <v>0</v>
      </c>
      <c r="AM62" s="35"/>
      <c r="AN62" s="74">
        <f t="shared" si="9"/>
        <v>0</v>
      </c>
      <c r="AO62" s="35"/>
      <c r="AP62" s="74">
        <f t="shared" si="10"/>
        <v>0</v>
      </c>
      <c r="AQ62" s="35"/>
      <c r="AR62" s="74">
        <f t="shared" si="11"/>
        <v>0</v>
      </c>
      <c r="AS62" s="35"/>
      <c r="AT62" s="74">
        <f>SUM(AL62:AR62)</f>
        <v>0</v>
      </c>
      <c r="AU62" s="35"/>
      <c r="AV62" s="37">
        <f t="shared" si="5"/>
        <v>0</v>
      </c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x14ac:dyDescent="0.2">
      <c r="A63" s="13"/>
      <c r="B63" s="3" t="s">
        <v>277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>
        <v>-5776821.0199999996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>
        <f t="shared" si="7"/>
        <v>-5776821.0199999996</v>
      </c>
      <c r="AK63" s="145"/>
      <c r="AL63" s="74">
        <f t="shared" si="8"/>
        <v>0</v>
      </c>
      <c r="AM63" s="35"/>
      <c r="AN63" s="74">
        <f t="shared" si="9"/>
        <v>0</v>
      </c>
      <c r="AO63" s="35"/>
      <c r="AP63" s="74">
        <f t="shared" si="10"/>
        <v>-5776821.0199999996</v>
      </c>
      <c r="AQ63" s="35"/>
      <c r="AR63" s="74">
        <f t="shared" si="11"/>
        <v>0</v>
      </c>
      <c r="AS63" s="35"/>
      <c r="AT63" s="74">
        <f>SUM(AL63:AR63)</f>
        <v>-5776821.0199999996</v>
      </c>
      <c r="AU63" s="35"/>
      <c r="AV63" s="37">
        <f>AJ63-AT63</f>
        <v>0</v>
      </c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x14ac:dyDescent="0.2">
      <c r="A64" s="13"/>
      <c r="B64" s="3" t="s">
        <v>278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5776821.0199999996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>
        <f t="shared" si="7"/>
        <v>5776821.0199999996</v>
      </c>
      <c r="AK64" s="145"/>
      <c r="AL64" s="74"/>
      <c r="AM64" s="35"/>
      <c r="AN64" s="74"/>
      <c r="AO64" s="35"/>
      <c r="AP64" s="74">
        <f t="shared" si="10"/>
        <v>5776821.0199999996</v>
      </c>
      <c r="AQ64" s="35"/>
      <c r="AR64" s="74"/>
      <c r="AS64" s="35"/>
      <c r="AT64" s="74">
        <f t="shared" si="12"/>
        <v>5776821.0199999996</v>
      </c>
      <c r="AU64" s="35"/>
      <c r="AV64" s="37">
        <f>AJ64-AT64</f>
        <v>0</v>
      </c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outlineLevel="1" x14ac:dyDescent="0.2">
      <c r="A65" s="13"/>
      <c r="B65" s="3" t="s">
        <v>279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>
        <f t="shared" si="7"/>
        <v>0</v>
      </c>
      <c r="AK65" s="145"/>
      <c r="AL65" s="74">
        <f t="shared" ref="AL65:AL71" si="13">SUMIF($C$10:$AI$10,"=Addition",$C65:$AI65)</f>
        <v>0</v>
      </c>
      <c r="AM65" s="35"/>
      <c r="AN65" s="74">
        <f t="shared" ref="AN65:AN71" si="14">SUMIF($C$10:$AI$10,"=Adjustment",$C65:$AI65)</f>
        <v>0</v>
      </c>
      <c r="AO65" s="35"/>
      <c r="AP65" s="74">
        <f t="shared" si="10"/>
        <v>0</v>
      </c>
      <c r="AQ65" s="35"/>
      <c r="AR65" s="74">
        <f t="shared" ref="AR65:AR71" si="15">SUMIF($C$10:$AI$10,"=N/A",$C65:$AI65)</f>
        <v>0</v>
      </c>
      <c r="AS65" s="35"/>
      <c r="AT65" s="74">
        <f t="shared" si="12"/>
        <v>0</v>
      </c>
      <c r="AU65" s="35"/>
      <c r="AV65" s="37">
        <f t="shared" si="5"/>
        <v>0</v>
      </c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outlineLevel="1" x14ac:dyDescent="0.2">
      <c r="A66" s="13"/>
      <c r="B66" s="3" t="s">
        <v>280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>
        <f t="shared" si="7"/>
        <v>0</v>
      </c>
      <c r="AK66" s="145"/>
      <c r="AL66" s="74">
        <f t="shared" si="13"/>
        <v>0</v>
      </c>
      <c r="AM66" s="35"/>
      <c r="AN66" s="74">
        <f t="shared" si="14"/>
        <v>0</v>
      </c>
      <c r="AO66" s="35"/>
      <c r="AP66" s="74">
        <f t="shared" si="10"/>
        <v>0</v>
      </c>
      <c r="AQ66" s="35"/>
      <c r="AR66" s="74">
        <f t="shared" si="15"/>
        <v>0</v>
      </c>
      <c r="AS66" s="35"/>
      <c r="AT66" s="74">
        <f t="shared" si="12"/>
        <v>0</v>
      </c>
      <c r="AU66" s="35"/>
      <c r="AV66" s="37">
        <f t="shared" si="5"/>
        <v>0</v>
      </c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outlineLevel="1" x14ac:dyDescent="0.2">
      <c r="A67" s="13"/>
      <c r="B67" s="3" t="s">
        <v>281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>
        <f t="shared" si="7"/>
        <v>0</v>
      </c>
      <c r="AK67" s="145"/>
      <c r="AL67" s="74">
        <f t="shared" si="13"/>
        <v>0</v>
      </c>
      <c r="AM67" s="35"/>
      <c r="AN67" s="74">
        <f t="shared" si="14"/>
        <v>0</v>
      </c>
      <c r="AO67" s="35"/>
      <c r="AP67" s="74">
        <f t="shared" si="10"/>
        <v>0</v>
      </c>
      <c r="AQ67" s="35"/>
      <c r="AR67" s="74">
        <f t="shared" si="15"/>
        <v>0</v>
      </c>
      <c r="AS67" s="35"/>
      <c r="AT67" s="74">
        <f t="shared" si="12"/>
        <v>0</v>
      </c>
      <c r="AU67" s="35"/>
      <c r="AV67" s="37">
        <f t="shared" si="5"/>
        <v>0</v>
      </c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x14ac:dyDescent="0.2">
      <c r="A68" s="13"/>
      <c r="B68" s="3" t="s">
        <v>282</v>
      </c>
      <c r="C68" s="14">
        <f>SUM(C65:C67)</f>
        <v>0</v>
      </c>
      <c r="D68" s="14"/>
      <c r="E68" s="105">
        <f>SUM(E65:E67)</f>
        <v>0</v>
      </c>
      <c r="F68" s="14"/>
      <c r="G68" s="105">
        <f>SUM(G65:G67)</f>
        <v>0</v>
      </c>
      <c r="H68" s="14"/>
      <c r="I68" s="105">
        <f>SUM(I65:I67)</f>
        <v>0</v>
      </c>
      <c r="J68" s="14"/>
      <c r="K68" s="105">
        <f>SUM(K65:K67)</f>
        <v>0</v>
      </c>
      <c r="L68" s="14"/>
      <c r="M68" s="105">
        <f>SUM(M65:M67)</f>
        <v>0</v>
      </c>
      <c r="N68" s="14"/>
      <c r="O68" s="105">
        <f>SUM(O65:O67)</f>
        <v>0</v>
      </c>
      <c r="P68" s="14"/>
      <c r="Q68" s="105">
        <f>SUM(Q65:Q67)</f>
        <v>0</v>
      </c>
      <c r="R68" s="14"/>
      <c r="S68" s="105">
        <f>SUM(S65:S67)</f>
        <v>0</v>
      </c>
      <c r="T68" s="105"/>
      <c r="U68" s="105">
        <f>SUM(U65:U67)</f>
        <v>0</v>
      </c>
      <c r="V68" s="105"/>
      <c r="W68" s="105">
        <f>SUM(W65:W67)</f>
        <v>0</v>
      </c>
      <c r="X68" s="14"/>
      <c r="Y68" s="105">
        <f>SUM(Y65:Y67)</f>
        <v>0</v>
      </c>
      <c r="Z68" s="14"/>
      <c r="AA68" s="105">
        <f>SUM(AA65:AA67)</f>
        <v>0</v>
      </c>
      <c r="AB68" s="14"/>
      <c r="AC68" s="105">
        <f>SUM(AC65:AC67)</f>
        <v>0</v>
      </c>
      <c r="AD68" s="14"/>
      <c r="AE68" s="105">
        <f>SUM(AE65:AE67)</f>
        <v>0</v>
      </c>
      <c r="AF68" s="14"/>
      <c r="AG68" s="105">
        <f>SUM(AG65:AG67)</f>
        <v>0</v>
      </c>
      <c r="AH68" s="14"/>
      <c r="AI68" s="105"/>
      <c r="AJ68" s="14">
        <f t="shared" si="7"/>
        <v>0</v>
      </c>
      <c r="AK68" s="145"/>
      <c r="AL68" s="74">
        <f t="shared" si="13"/>
        <v>0</v>
      </c>
      <c r="AM68" s="35"/>
      <c r="AN68" s="74">
        <f t="shared" si="14"/>
        <v>0</v>
      </c>
      <c r="AO68" s="35"/>
      <c r="AP68" s="74">
        <f t="shared" si="10"/>
        <v>0</v>
      </c>
      <c r="AQ68" s="35"/>
      <c r="AR68" s="74">
        <f t="shared" si="15"/>
        <v>0</v>
      </c>
      <c r="AS68" s="35"/>
      <c r="AT68" s="74">
        <f t="shared" si="12"/>
        <v>0</v>
      </c>
      <c r="AU68" s="35"/>
      <c r="AV68" s="37">
        <f t="shared" si="5"/>
        <v>0</v>
      </c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outlineLevel="1" x14ac:dyDescent="0.2">
      <c r="A69" s="13"/>
      <c r="B69" s="3" t="s">
        <v>283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>
        <v>-74674.94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>
        <v>0</v>
      </c>
      <c r="AH69" s="14"/>
      <c r="AI69" s="14"/>
      <c r="AJ69" s="14">
        <f t="shared" si="7"/>
        <v>-74674.94</v>
      </c>
      <c r="AK69" s="145"/>
      <c r="AL69" s="74">
        <f t="shared" si="13"/>
        <v>0</v>
      </c>
      <c r="AM69" s="35"/>
      <c r="AN69" s="74">
        <f t="shared" si="14"/>
        <v>-74674.94</v>
      </c>
      <c r="AO69" s="35"/>
      <c r="AP69" s="74">
        <f t="shared" si="10"/>
        <v>0</v>
      </c>
      <c r="AQ69" s="35"/>
      <c r="AR69" s="74">
        <f t="shared" si="15"/>
        <v>0</v>
      </c>
      <c r="AS69" s="35"/>
      <c r="AT69" s="74">
        <f t="shared" si="12"/>
        <v>-74674.94</v>
      </c>
      <c r="AU69" s="35"/>
      <c r="AV69" s="37">
        <f t="shared" si="5"/>
        <v>0</v>
      </c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outlineLevel="1" x14ac:dyDescent="0.2">
      <c r="A70" s="13"/>
      <c r="B70" s="120" t="s">
        <v>284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v>43496.65</v>
      </c>
      <c r="P70" s="14"/>
      <c r="Q70" s="14"/>
      <c r="R70" s="14"/>
      <c r="S70" s="14"/>
      <c r="T70" s="14"/>
      <c r="U70" s="14"/>
      <c r="V70" s="14"/>
      <c r="X70" s="14"/>
      <c r="Z70" s="14"/>
      <c r="AB70" s="14"/>
      <c r="AD70" s="14"/>
      <c r="AE70" s="14"/>
      <c r="AF70" s="14"/>
      <c r="AG70" s="14">
        <v>0</v>
      </c>
      <c r="AH70" s="14"/>
      <c r="AI70" s="14"/>
      <c r="AJ70" s="14">
        <f t="shared" si="7"/>
        <v>43496.65</v>
      </c>
      <c r="AK70" s="145"/>
      <c r="AL70" s="74">
        <f t="shared" si="13"/>
        <v>43496.65</v>
      </c>
      <c r="AM70" s="35"/>
      <c r="AN70" s="74">
        <f t="shared" si="14"/>
        <v>0</v>
      </c>
      <c r="AO70" s="35"/>
      <c r="AP70" s="74">
        <f t="shared" si="10"/>
        <v>0</v>
      </c>
      <c r="AQ70" s="35"/>
      <c r="AR70" s="74">
        <f t="shared" si="15"/>
        <v>0</v>
      </c>
      <c r="AS70" s="35"/>
      <c r="AT70" s="74">
        <f t="shared" si="12"/>
        <v>43496.65</v>
      </c>
      <c r="AU70" s="35"/>
      <c r="AV70" s="37">
        <f t="shared" si="5"/>
        <v>0</v>
      </c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x14ac:dyDescent="0.2">
      <c r="A71" s="13"/>
      <c r="B71" s="120" t="s">
        <v>285</v>
      </c>
      <c r="C71" s="14">
        <f>SUM(C69:C70)</f>
        <v>0</v>
      </c>
      <c r="D71" s="14"/>
      <c r="E71" s="14">
        <f>SUM(E69:E70)</f>
        <v>0</v>
      </c>
      <c r="F71" s="14"/>
      <c r="G71" s="14">
        <f>SUM(G69:G70)</f>
        <v>0</v>
      </c>
      <c r="H71" s="14"/>
      <c r="I71" s="14">
        <f>SUM(I69:I70)</f>
        <v>0</v>
      </c>
      <c r="J71" s="14"/>
      <c r="K71" s="14">
        <f>SUM(K69:K70)</f>
        <v>0</v>
      </c>
      <c r="L71" s="14"/>
      <c r="M71" s="14">
        <f>SUM(M69:M70)</f>
        <v>-74674.94</v>
      </c>
      <c r="N71" s="14"/>
      <c r="O71" s="14">
        <f>SUM(O69:O70)</f>
        <v>43496.65</v>
      </c>
      <c r="P71" s="14"/>
      <c r="Q71" s="14">
        <f>SUM(Q69:Q70)</f>
        <v>0</v>
      </c>
      <c r="R71" s="14"/>
      <c r="S71" s="14">
        <f>SUM(S69:S70)</f>
        <v>0</v>
      </c>
      <c r="T71" s="14"/>
      <c r="U71" s="14">
        <f>SUM(U69:U70)</f>
        <v>0</v>
      </c>
      <c r="V71" s="14"/>
      <c r="W71" s="14"/>
      <c r="X71" s="14"/>
      <c r="Y71" s="14"/>
      <c r="Z71" s="14"/>
      <c r="AA71" s="14"/>
      <c r="AB71" s="14"/>
      <c r="AC71" s="14"/>
      <c r="AD71" s="14"/>
      <c r="AE71" s="14">
        <f>SUM(AE69:AE70)</f>
        <v>0</v>
      </c>
      <c r="AF71" s="14"/>
      <c r="AG71" s="14">
        <f>SUM(AG69:AG70)</f>
        <v>0</v>
      </c>
      <c r="AH71" s="14"/>
      <c r="AI71" s="14"/>
      <c r="AJ71" s="14">
        <f t="shared" si="7"/>
        <v>-31178.29</v>
      </c>
      <c r="AK71" s="145"/>
      <c r="AL71" s="74">
        <f t="shared" si="13"/>
        <v>43496.65</v>
      </c>
      <c r="AM71" s="35"/>
      <c r="AN71" s="74">
        <f t="shared" si="14"/>
        <v>-74674.94</v>
      </c>
      <c r="AO71" s="35"/>
      <c r="AP71" s="74">
        <f t="shared" si="10"/>
        <v>0</v>
      </c>
      <c r="AQ71" s="35"/>
      <c r="AR71" s="74">
        <f t="shared" si="15"/>
        <v>0</v>
      </c>
      <c r="AS71" s="35"/>
      <c r="AT71" s="74">
        <f t="shared" si="12"/>
        <v>-31178.29</v>
      </c>
      <c r="AU71" s="35"/>
      <c r="AV71" s="37">
        <f t="shared" si="5"/>
        <v>0</v>
      </c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x14ac:dyDescent="0.2">
      <c r="A72" s="13"/>
      <c r="B72" s="9" t="s">
        <v>286</v>
      </c>
      <c r="C72" s="19">
        <f>C71+C68+C63+C62+SUM(C52:C59)</f>
        <v>0</v>
      </c>
      <c r="D72" s="14"/>
      <c r="E72" s="19">
        <f>E71+E68+E63+E62+SUM(E52:E59)</f>
        <v>-912606.1</v>
      </c>
      <c r="F72" s="14"/>
      <c r="G72" s="19">
        <f>G71+G68+G63+G62+SUM(G52:G59)</f>
        <v>0</v>
      </c>
      <c r="H72" s="14"/>
      <c r="I72" s="19">
        <f>I71+I68+I63+I62+SUM(I52:I59)</f>
        <v>0</v>
      </c>
      <c r="J72" s="14"/>
      <c r="K72" s="19">
        <f>K71+K68+K63+K62+SUM(K52:K59)</f>
        <v>0</v>
      </c>
      <c r="L72" s="14"/>
      <c r="M72" s="19">
        <f>M71+M68+M63+M62+SUM(M52:M59)</f>
        <v>-74674.94</v>
      </c>
      <c r="N72" s="14"/>
      <c r="O72" s="19">
        <f>O71+O68+O63+O62+SUM(O52:O59)</f>
        <v>43496.65</v>
      </c>
      <c r="P72" s="14"/>
      <c r="Q72" s="19">
        <f>Q71+Q68+Q63+Q62+SUM(Q52:Q59)</f>
        <v>-5776821.0199999996</v>
      </c>
      <c r="R72" s="14"/>
      <c r="S72" s="19">
        <f>S71+S68+S63+S62+SUM(S52:S59)</f>
        <v>0</v>
      </c>
      <c r="T72" s="19"/>
      <c r="U72" s="19">
        <f>U71+U68+U63+U62+SUM(U52:U59)</f>
        <v>0</v>
      </c>
      <c r="V72" s="19"/>
      <c r="W72" s="19">
        <f>W71+W68+W63+W62+SUM(W52:W59)</f>
        <v>8987.6199999999953</v>
      </c>
      <c r="X72" s="14"/>
      <c r="Y72" s="19">
        <f>Y71+Y68+Y63+Y62+SUM(Y52:Y59)</f>
        <v>0</v>
      </c>
      <c r="Z72" s="14"/>
      <c r="AA72" s="19">
        <f>AA71+AA68+AA63+AA62+SUM(AA52:AA59)</f>
        <v>0</v>
      </c>
      <c r="AB72" s="14"/>
      <c r="AC72" s="19">
        <f>AC71+AC68+AC63+AC62+SUM(AC52:AC59)</f>
        <v>0</v>
      </c>
      <c r="AD72" s="14"/>
      <c r="AE72" s="19">
        <f>AE71+AE68+AE63+AE62+SUM(AE52:AE59)</f>
        <v>0</v>
      </c>
      <c r="AF72" s="14"/>
      <c r="AG72" s="19">
        <f>AG71+AG68+AG63+AG62+SUM(AG52:AG59)</f>
        <v>0</v>
      </c>
      <c r="AH72" s="14"/>
      <c r="AI72" s="19"/>
      <c r="AJ72" s="19">
        <f>AJ71+AJ68+AJ63+AJ62+SUM(AJ52:AJ59)+AJ64</f>
        <v>-934796.76999999955</v>
      </c>
      <c r="AK72" s="145"/>
      <c r="AL72" s="110">
        <f>AL71+AL68+AL63+AL62+SUM(AL52:AL59)</f>
        <v>43496.65</v>
      </c>
      <c r="AM72" s="35"/>
      <c r="AN72" s="110">
        <f>AN71+AN68+AN63+AN62+SUM(AN52:AN59)</f>
        <v>-74674.94</v>
      </c>
      <c r="AO72" s="35"/>
      <c r="AP72" s="110">
        <f>AP71+AP68+AP63+AP62+SUM(AP52:AP59)+AP64</f>
        <v>-903618.48000000045</v>
      </c>
      <c r="AQ72" s="35"/>
      <c r="AR72" s="110">
        <f>AR71+AR68+AR63+AR62+SUM(AR52:AR59)</f>
        <v>0</v>
      </c>
      <c r="AS72" s="35"/>
      <c r="AT72" s="110">
        <f>AT71+AT68+AT63+AT62+SUM(AT52:AT59)+AT64</f>
        <v>-934796.76999999955</v>
      </c>
      <c r="AU72" s="35"/>
      <c r="AV72" s="37">
        <f>AJ72-AT72</f>
        <v>0</v>
      </c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x14ac:dyDescent="0.2">
      <c r="A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5"/>
      <c r="AL73" s="74"/>
      <c r="AM73" s="35"/>
      <c r="AN73" s="74"/>
      <c r="AO73" s="35"/>
      <c r="AP73" s="35"/>
      <c r="AQ73" s="35"/>
      <c r="AR73" s="35"/>
      <c r="AS73" s="35"/>
      <c r="AT73" s="35"/>
      <c r="AU73" s="35"/>
      <c r="AV73" s="37">
        <f t="shared" si="5"/>
        <v>0</v>
      </c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x14ac:dyDescent="0.2">
      <c r="A74" s="13"/>
      <c r="B74" s="9" t="s">
        <v>287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5"/>
      <c r="AL74" s="74"/>
      <c r="AM74" s="35"/>
      <c r="AN74" s="74"/>
      <c r="AO74" s="35"/>
      <c r="AP74" s="35"/>
      <c r="AQ74" s="35"/>
      <c r="AR74" s="35"/>
      <c r="AS74" s="35"/>
      <c r="AT74" s="35"/>
      <c r="AU74" s="35"/>
      <c r="AV74" s="37">
        <f t="shared" si="5"/>
        <v>0</v>
      </c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outlineLevel="2" x14ac:dyDescent="0.2">
      <c r="A75" s="13"/>
      <c r="B75" s="3" t="s">
        <v>288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>
        <f>SUM(C75:AI75)</f>
        <v>0</v>
      </c>
      <c r="AK75" s="145"/>
      <c r="AL75" s="74">
        <f t="shared" ref="AL75:AL84" si="16">SUMIF($C$10:$AI$10,"=Addition",$C75:$AI75)</f>
        <v>0</v>
      </c>
      <c r="AM75" s="35"/>
      <c r="AN75" s="74">
        <f t="shared" ref="AN75:AN84" si="17">SUMIF($C$10:$AI$10,"=Adjustment",$C75:$AI75)</f>
        <v>0</v>
      </c>
      <c r="AO75" s="35"/>
      <c r="AP75" s="74">
        <f t="shared" ref="AP75:AP84" si="18">SUMIF($C$10:$AI$10,"=Transfer",$C75:$AI75)</f>
        <v>0</v>
      </c>
      <c r="AQ75" s="35"/>
      <c r="AR75" s="74">
        <f t="shared" ref="AR75:AR84" si="19">SUMIF($C$10:$AI$10,"=N/A",$C75:$AI75)</f>
        <v>0</v>
      </c>
      <c r="AS75" s="35"/>
      <c r="AT75" s="74">
        <f t="shared" ref="AT75:AT84" si="20">SUM(AL75:AR75)</f>
        <v>0</v>
      </c>
      <c r="AU75" s="74"/>
      <c r="AV75" s="37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outlineLevel="2" x14ac:dyDescent="0.2">
      <c r="A76" s="13"/>
      <c r="B76" s="3" t="s">
        <v>289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>
        <f>SUM(C76:AI76)</f>
        <v>0</v>
      </c>
      <c r="AK76" s="145"/>
      <c r="AL76" s="74">
        <f t="shared" si="16"/>
        <v>0</v>
      </c>
      <c r="AM76" s="35"/>
      <c r="AN76" s="74">
        <f t="shared" si="17"/>
        <v>0</v>
      </c>
      <c r="AO76" s="35"/>
      <c r="AP76" s="74">
        <f t="shared" si="18"/>
        <v>0</v>
      </c>
      <c r="AQ76" s="35"/>
      <c r="AR76" s="74">
        <f t="shared" si="19"/>
        <v>0</v>
      </c>
      <c r="AS76" s="35"/>
      <c r="AT76" s="74">
        <f t="shared" si="20"/>
        <v>0</v>
      </c>
      <c r="AU76" s="74"/>
      <c r="AV76" s="37">
        <f t="shared" si="5"/>
        <v>0</v>
      </c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outlineLevel="2" x14ac:dyDescent="0.2">
      <c r="A77" s="13"/>
      <c r="B77" s="3" t="s">
        <v>290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>
        <f>SUM(C77:AI77)</f>
        <v>0</v>
      </c>
      <c r="AK77" s="145"/>
      <c r="AL77" s="74">
        <f t="shared" si="16"/>
        <v>0</v>
      </c>
      <c r="AM77" s="35"/>
      <c r="AN77" s="74">
        <f t="shared" si="17"/>
        <v>0</v>
      </c>
      <c r="AO77" s="35"/>
      <c r="AP77" s="74">
        <f t="shared" si="18"/>
        <v>0</v>
      </c>
      <c r="AQ77" s="35"/>
      <c r="AR77" s="74">
        <f t="shared" si="19"/>
        <v>0</v>
      </c>
      <c r="AS77" s="35"/>
      <c r="AT77" s="74">
        <f t="shared" si="20"/>
        <v>0</v>
      </c>
      <c r="AU77" s="74"/>
      <c r="AV77" s="37">
        <f t="shared" si="5"/>
        <v>0</v>
      </c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x14ac:dyDescent="0.2">
      <c r="A78" s="13"/>
      <c r="B78" s="3" t="s">
        <v>291</v>
      </c>
      <c r="C78" s="14">
        <f>SUM(C75:C77)</f>
        <v>0</v>
      </c>
      <c r="D78" s="14"/>
      <c r="E78" s="14">
        <f>SUM(E75:E77)</f>
        <v>0</v>
      </c>
      <c r="F78" s="14"/>
      <c r="G78" s="14">
        <f>SUM(G75:G77)</f>
        <v>0</v>
      </c>
      <c r="H78" s="14"/>
      <c r="I78" s="14">
        <f>SUM(I75:I77)</f>
        <v>0</v>
      </c>
      <c r="J78" s="14"/>
      <c r="K78" s="14">
        <f>SUM(K75:K77)</f>
        <v>0</v>
      </c>
      <c r="L78" s="14"/>
      <c r="M78" s="14">
        <f>SUM(M75:M77)</f>
        <v>0</v>
      </c>
      <c r="N78" s="14"/>
      <c r="O78" s="14">
        <f>SUM(O75:O77)</f>
        <v>0</v>
      </c>
      <c r="P78" s="14"/>
      <c r="Q78" s="14">
        <f>SUM(Q75:Q77)</f>
        <v>0</v>
      </c>
      <c r="R78" s="14"/>
      <c r="S78" s="14">
        <f>SUM(S75:S77)</f>
        <v>0</v>
      </c>
      <c r="T78" s="14"/>
      <c r="U78" s="14">
        <f>SUM(U75:U77)</f>
        <v>0</v>
      </c>
      <c r="V78" s="14"/>
      <c r="W78" s="14">
        <f>SUM(W75:W77)</f>
        <v>0</v>
      </c>
      <c r="X78" s="14"/>
      <c r="Y78" s="14">
        <f>SUM(Y75:Y77)</f>
        <v>0</v>
      </c>
      <c r="Z78" s="14"/>
      <c r="AA78" s="14">
        <f>SUM(AA75:AA77)</f>
        <v>0</v>
      </c>
      <c r="AB78" s="14"/>
      <c r="AC78" s="14">
        <f>SUM(AC75:AC77)</f>
        <v>0</v>
      </c>
      <c r="AD78" s="14"/>
      <c r="AE78" s="14">
        <f>SUM(AE75:AE77)</f>
        <v>0</v>
      </c>
      <c r="AF78" s="14"/>
      <c r="AG78" s="14">
        <f>SUM(AG75:AG77)</f>
        <v>0</v>
      </c>
      <c r="AH78" s="14"/>
      <c r="AI78" s="14"/>
      <c r="AJ78" s="14">
        <f>SUM(AJ75:AJ77)</f>
        <v>0</v>
      </c>
      <c r="AK78" s="145"/>
      <c r="AL78" s="74">
        <f t="shared" si="16"/>
        <v>0</v>
      </c>
      <c r="AM78" s="35"/>
      <c r="AN78" s="74">
        <f t="shared" si="17"/>
        <v>0</v>
      </c>
      <c r="AO78" s="35"/>
      <c r="AP78" s="74">
        <f t="shared" si="18"/>
        <v>0</v>
      </c>
      <c r="AQ78" s="35"/>
      <c r="AR78" s="74">
        <f t="shared" si="19"/>
        <v>0</v>
      </c>
      <c r="AS78" s="35"/>
      <c r="AT78" s="74">
        <f t="shared" si="20"/>
        <v>0</v>
      </c>
      <c r="AU78" s="35"/>
      <c r="AV78" s="37">
        <f t="shared" si="5"/>
        <v>0</v>
      </c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x14ac:dyDescent="0.2">
      <c r="A79" s="13"/>
      <c r="B79" s="3" t="s">
        <v>292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>
        <f t="shared" ref="AJ79:AJ84" si="21">SUM(C79:AI79)</f>
        <v>0</v>
      </c>
      <c r="AK79" s="145"/>
      <c r="AL79" s="74">
        <f t="shared" si="16"/>
        <v>0</v>
      </c>
      <c r="AM79" s="35"/>
      <c r="AN79" s="74">
        <f t="shared" si="17"/>
        <v>0</v>
      </c>
      <c r="AO79" s="35"/>
      <c r="AP79" s="74">
        <f t="shared" si="18"/>
        <v>0</v>
      </c>
      <c r="AQ79" s="35"/>
      <c r="AR79" s="74">
        <f t="shared" si="19"/>
        <v>0</v>
      </c>
      <c r="AS79" s="35"/>
      <c r="AT79" s="74">
        <f t="shared" si="20"/>
        <v>0</v>
      </c>
      <c r="AU79" s="35"/>
      <c r="AV79" s="37">
        <f t="shared" si="5"/>
        <v>0</v>
      </c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x14ac:dyDescent="0.2">
      <c r="A80" s="13"/>
      <c r="B80" s="3" t="s">
        <v>293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>
        <f t="shared" si="21"/>
        <v>0</v>
      </c>
      <c r="AK80" s="145"/>
      <c r="AL80" s="74">
        <f t="shared" si="16"/>
        <v>0</v>
      </c>
      <c r="AM80" s="35"/>
      <c r="AN80" s="74">
        <f t="shared" si="17"/>
        <v>0</v>
      </c>
      <c r="AO80" s="35"/>
      <c r="AP80" s="74">
        <f t="shared" si="18"/>
        <v>0</v>
      </c>
      <c r="AQ80" s="35"/>
      <c r="AR80" s="74">
        <f t="shared" si="19"/>
        <v>0</v>
      </c>
      <c r="AS80" s="35"/>
      <c r="AT80" s="74">
        <f t="shared" si="20"/>
        <v>0</v>
      </c>
      <c r="AU80" s="35"/>
      <c r="AV80" s="37">
        <f t="shared" si="5"/>
        <v>0</v>
      </c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outlineLevel="1" x14ac:dyDescent="0.2">
      <c r="A81" s="13"/>
      <c r="B81" s="3" t="s">
        <v>294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>
        <f t="shared" si="21"/>
        <v>0</v>
      </c>
      <c r="AK81" s="145"/>
      <c r="AL81" s="74">
        <f t="shared" si="16"/>
        <v>0</v>
      </c>
      <c r="AM81" s="35"/>
      <c r="AN81" s="74">
        <f t="shared" si="17"/>
        <v>0</v>
      </c>
      <c r="AO81" s="35"/>
      <c r="AP81" s="74">
        <f t="shared" si="18"/>
        <v>0</v>
      </c>
      <c r="AQ81" s="35"/>
      <c r="AR81" s="74">
        <f t="shared" si="19"/>
        <v>0</v>
      </c>
      <c r="AS81" s="35"/>
      <c r="AT81" s="74">
        <f t="shared" si="20"/>
        <v>0</v>
      </c>
      <c r="AU81" s="35"/>
      <c r="AV81" s="37">
        <f t="shared" si="5"/>
        <v>0</v>
      </c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outlineLevel="1" x14ac:dyDescent="0.2">
      <c r="A82" s="13"/>
      <c r="B82" s="29" t="s">
        <v>295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>
        <f t="shared" si="21"/>
        <v>0</v>
      </c>
      <c r="AK82" s="145"/>
      <c r="AL82" s="74">
        <f t="shared" si="16"/>
        <v>0</v>
      </c>
      <c r="AM82" s="35"/>
      <c r="AN82" s="74">
        <f t="shared" si="17"/>
        <v>0</v>
      </c>
      <c r="AO82" s="35"/>
      <c r="AP82" s="74">
        <f t="shared" si="18"/>
        <v>0</v>
      </c>
      <c r="AQ82" s="35"/>
      <c r="AR82" s="74">
        <f t="shared" si="19"/>
        <v>0</v>
      </c>
      <c r="AS82" s="35"/>
      <c r="AT82" s="74">
        <f t="shared" si="20"/>
        <v>0</v>
      </c>
      <c r="AU82" s="35"/>
      <c r="AV82" s="37">
        <f t="shared" ref="AV82:AV149" si="22">AJ82-AT82</f>
        <v>0</v>
      </c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x14ac:dyDescent="0.2">
      <c r="A83" s="13"/>
      <c r="B83" s="29" t="s">
        <v>296</v>
      </c>
      <c r="C83" s="14">
        <f>SUM(C81:C82)</f>
        <v>0</v>
      </c>
      <c r="D83" s="14"/>
      <c r="E83" s="14">
        <f>SUM(E81:E82)</f>
        <v>0</v>
      </c>
      <c r="F83" s="14"/>
      <c r="G83" s="14">
        <f>SUM(G81:G82)</f>
        <v>0</v>
      </c>
      <c r="H83" s="14"/>
      <c r="I83" s="14">
        <f>SUM(I81:I82)</f>
        <v>0</v>
      </c>
      <c r="J83" s="14"/>
      <c r="K83" s="14">
        <f>SUM(K81:K82)</f>
        <v>0</v>
      </c>
      <c r="L83" s="14"/>
      <c r="M83" s="14">
        <f>SUM(M81:M82)</f>
        <v>0</v>
      </c>
      <c r="N83" s="14"/>
      <c r="O83" s="14">
        <f>SUM(O81:O82)</f>
        <v>0</v>
      </c>
      <c r="P83" s="14"/>
      <c r="Q83" s="14">
        <f>SUM(Q81:Q82)</f>
        <v>0</v>
      </c>
      <c r="R83" s="14"/>
      <c r="S83" s="14">
        <f>SUM(S81:S82)</f>
        <v>0</v>
      </c>
      <c r="T83" s="14"/>
      <c r="U83" s="14">
        <f>SUM(U81:U82)</f>
        <v>0</v>
      </c>
      <c r="V83" s="14"/>
      <c r="W83" s="14">
        <f>SUM(W81:W82)</f>
        <v>0</v>
      </c>
      <c r="X83" s="14"/>
      <c r="Y83" s="14">
        <f>SUM(Y81:Y82)</f>
        <v>0</v>
      </c>
      <c r="Z83" s="14"/>
      <c r="AA83" s="14">
        <f>SUM(AA81:AA82)</f>
        <v>0</v>
      </c>
      <c r="AB83" s="14"/>
      <c r="AC83" s="14">
        <f>SUM(AC81:AC82)</f>
        <v>0</v>
      </c>
      <c r="AD83" s="14"/>
      <c r="AE83" s="14">
        <f>SUM(AE81:AE82)</f>
        <v>0</v>
      </c>
      <c r="AF83" s="14"/>
      <c r="AG83" s="14">
        <f>SUM(AG81:AG82)</f>
        <v>0</v>
      </c>
      <c r="AH83" s="14"/>
      <c r="AI83" s="14"/>
      <c r="AJ83" s="14">
        <f t="shared" si="21"/>
        <v>0</v>
      </c>
      <c r="AK83" s="145"/>
      <c r="AL83" s="74">
        <f t="shared" si="16"/>
        <v>0</v>
      </c>
      <c r="AM83" s="35"/>
      <c r="AN83" s="74">
        <f t="shared" si="17"/>
        <v>0</v>
      </c>
      <c r="AO83" s="35"/>
      <c r="AP83" s="74">
        <f t="shared" si="18"/>
        <v>0</v>
      </c>
      <c r="AQ83" s="35"/>
      <c r="AR83" s="74">
        <f t="shared" si="19"/>
        <v>0</v>
      </c>
      <c r="AS83" s="35"/>
      <c r="AT83" s="74">
        <f t="shared" si="20"/>
        <v>0</v>
      </c>
      <c r="AU83" s="35"/>
      <c r="AV83" s="37">
        <f t="shared" si="22"/>
        <v>0</v>
      </c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x14ac:dyDescent="0.2">
      <c r="A84" s="13"/>
      <c r="B84" s="21" t="s">
        <v>297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>
        <f t="shared" si="21"/>
        <v>0</v>
      </c>
      <c r="AK84" s="145"/>
      <c r="AL84" s="74">
        <f t="shared" si="16"/>
        <v>0</v>
      </c>
      <c r="AM84" s="35"/>
      <c r="AN84" s="74">
        <f t="shared" si="17"/>
        <v>0</v>
      </c>
      <c r="AO84" s="35"/>
      <c r="AP84" s="74">
        <f t="shared" si="18"/>
        <v>0</v>
      </c>
      <c r="AQ84" s="35"/>
      <c r="AR84" s="74">
        <f t="shared" si="19"/>
        <v>0</v>
      </c>
      <c r="AS84" s="35"/>
      <c r="AT84" s="74">
        <f t="shared" si="20"/>
        <v>0</v>
      </c>
      <c r="AU84" s="35"/>
      <c r="AV84" s="37">
        <f t="shared" si="22"/>
        <v>0</v>
      </c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x14ac:dyDescent="0.2">
      <c r="A85" s="13"/>
      <c r="B85" s="9" t="s">
        <v>298</v>
      </c>
      <c r="C85" s="19">
        <f>C84+C83+C80+C79+C78</f>
        <v>0</v>
      </c>
      <c r="D85" s="14"/>
      <c r="E85" s="19">
        <f>E84+E83+E80+E79+E78</f>
        <v>0</v>
      </c>
      <c r="F85" s="14"/>
      <c r="G85" s="19">
        <f>G84+G83+G80+G79+G78</f>
        <v>0</v>
      </c>
      <c r="H85" s="14"/>
      <c r="I85" s="19">
        <f>I84+I83+I80+I79+I78</f>
        <v>0</v>
      </c>
      <c r="J85" s="14"/>
      <c r="K85" s="19">
        <f>K84+K83+K80+K79+K78</f>
        <v>0</v>
      </c>
      <c r="L85" s="14"/>
      <c r="M85" s="19">
        <f>M84+M83+M80+M79+M78</f>
        <v>0</v>
      </c>
      <c r="N85" s="14"/>
      <c r="O85" s="19">
        <f>O84+O83+O80+O79+O78</f>
        <v>0</v>
      </c>
      <c r="P85" s="14"/>
      <c r="Q85" s="19">
        <f>Q84+Q83+Q80+Q79+Q78</f>
        <v>0</v>
      </c>
      <c r="R85" s="14"/>
      <c r="S85" s="19">
        <f>S84+S83+S80+S79+S78</f>
        <v>0</v>
      </c>
      <c r="T85" s="19"/>
      <c r="U85" s="19">
        <f>U84+U83+U80+U79+U78</f>
        <v>0</v>
      </c>
      <c r="V85" s="19"/>
      <c r="W85" s="19">
        <f>W84+W83+W80+W79+W78</f>
        <v>0</v>
      </c>
      <c r="X85" s="14"/>
      <c r="Y85" s="19">
        <f>Y84+Y83+Y80+Y79+Y78</f>
        <v>0</v>
      </c>
      <c r="Z85" s="14"/>
      <c r="AA85" s="19">
        <f>AA84+AA83+AA80+AA79+AA78</f>
        <v>0</v>
      </c>
      <c r="AB85" s="14"/>
      <c r="AC85" s="19">
        <f>AC84+AC83+AC80+AC79+AC78</f>
        <v>0</v>
      </c>
      <c r="AD85" s="14"/>
      <c r="AE85" s="19">
        <f>AE84+AE83+AE80+AE79+AE78</f>
        <v>0</v>
      </c>
      <c r="AF85" s="14"/>
      <c r="AG85" s="19">
        <f>AG84+AG83+AG80+AG79+AG78</f>
        <v>0</v>
      </c>
      <c r="AH85" s="14"/>
      <c r="AI85" s="19"/>
      <c r="AJ85" s="19">
        <f>AJ84+AJ83+AJ80+AJ79+AJ78</f>
        <v>0</v>
      </c>
      <c r="AK85" s="145"/>
      <c r="AL85" s="110">
        <f>AL84+AL83+AL80+AL79+AL78</f>
        <v>0</v>
      </c>
      <c r="AM85" s="35"/>
      <c r="AN85" s="110">
        <f>AN84+AN83+AN80+AN79+AN78</f>
        <v>0</v>
      </c>
      <c r="AO85" s="35"/>
      <c r="AP85" s="110">
        <f>AP84+AP83+AP80+AP79+AP78</f>
        <v>0</v>
      </c>
      <c r="AQ85" s="35"/>
      <c r="AR85" s="110">
        <f>AR84+AR83+AR80+AR79+AR78</f>
        <v>0</v>
      </c>
      <c r="AS85" s="35"/>
      <c r="AT85" s="110">
        <f>AT84+AT83+AT80+AT79+AT78</f>
        <v>0</v>
      </c>
      <c r="AU85" s="35"/>
      <c r="AV85" s="37">
        <f t="shared" si="22"/>
        <v>0</v>
      </c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x14ac:dyDescent="0.2">
      <c r="A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5"/>
      <c r="AL86" s="74"/>
      <c r="AM86" s="35"/>
      <c r="AN86" s="74"/>
      <c r="AO86" s="35"/>
      <c r="AP86" s="35"/>
      <c r="AQ86" s="35"/>
      <c r="AR86" s="35"/>
      <c r="AS86" s="35"/>
      <c r="AT86" s="35"/>
      <c r="AU86" s="35"/>
      <c r="AV86" s="37">
        <f t="shared" si="22"/>
        <v>0</v>
      </c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x14ac:dyDescent="0.2">
      <c r="A87" s="13"/>
      <c r="B87" s="9" t="s">
        <v>299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5"/>
      <c r="AL87" s="74"/>
      <c r="AM87" s="35"/>
      <c r="AN87" s="74"/>
      <c r="AO87" s="35"/>
      <c r="AP87" s="35"/>
      <c r="AQ87" s="35"/>
      <c r="AR87" s="35"/>
      <c r="AS87" s="35"/>
      <c r="AT87" s="35"/>
      <c r="AU87" s="35"/>
      <c r="AV87" s="37">
        <f t="shared" si="22"/>
        <v>0</v>
      </c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x14ac:dyDescent="0.2">
      <c r="A88" s="13"/>
      <c r="B88" s="3" t="s">
        <v>300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>
        <f t="shared" ref="AJ88:AJ95" si="23">SUM(C88:AI88)</f>
        <v>0</v>
      </c>
      <c r="AK88" s="145"/>
      <c r="AL88" s="74">
        <f t="shared" ref="AL88:AL95" si="24">SUMIF($C$10:$AI$10,"=Addition",$C88:$AI88)</f>
        <v>0</v>
      </c>
      <c r="AM88" s="35"/>
      <c r="AN88" s="74">
        <f t="shared" ref="AN88:AN95" si="25">SUMIF($C$10:$AI$10,"=Adjustment",$C88:$AI88)</f>
        <v>0</v>
      </c>
      <c r="AO88" s="35"/>
      <c r="AP88" s="74">
        <f t="shared" ref="AP88:AP95" si="26">SUMIF($C$10:$AI$10,"=Transfer",$C88:$AI88)</f>
        <v>0</v>
      </c>
      <c r="AQ88" s="35"/>
      <c r="AR88" s="74">
        <f t="shared" ref="AR88:AR95" si="27">SUMIF($C$10:$AI$10,"=N/A",$C88:$AI88)</f>
        <v>0</v>
      </c>
      <c r="AS88" s="35"/>
      <c r="AT88" s="74">
        <f t="shared" ref="AT88:AT95" si="28">SUM(AL88:AR88)</f>
        <v>0</v>
      </c>
      <c r="AU88" s="35"/>
      <c r="AV88" s="37">
        <f t="shared" si="22"/>
        <v>0</v>
      </c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x14ac:dyDescent="0.2">
      <c r="A89" s="13"/>
      <c r="B89" s="3" t="s">
        <v>301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>
        <f t="shared" si="23"/>
        <v>0</v>
      </c>
      <c r="AK89" s="145"/>
      <c r="AL89" s="74">
        <f t="shared" si="24"/>
        <v>0</v>
      </c>
      <c r="AM89" s="35"/>
      <c r="AN89" s="74">
        <f t="shared" si="25"/>
        <v>0</v>
      </c>
      <c r="AO89" s="35"/>
      <c r="AP89" s="74">
        <f t="shared" si="26"/>
        <v>0</v>
      </c>
      <c r="AQ89" s="35"/>
      <c r="AR89" s="74">
        <f t="shared" si="27"/>
        <v>0</v>
      </c>
      <c r="AS89" s="35"/>
      <c r="AT89" s="74">
        <f t="shared" si="28"/>
        <v>0</v>
      </c>
      <c r="AU89" s="35"/>
      <c r="AV89" s="37">
        <f t="shared" si="22"/>
        <v>0</v>
      </c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x14ac:dyDescent="0.2">
      <c r="A90" s="13"/>
      <c r="B90" s="3" t="s">
        <v>302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>
        <f t="shared" si="23"/>
        <v>0</v>
      </c>
      <c r="AK90" s="145"/>
      <c r="AL90" s="74">
        <f t="shared" si="24"/>
        <v>0</v>
      </c>
      <c r="AM90" s="35"/>
      <c r="AN90" s="74">
        <f t="shared" si="25"/>
        <v>0</v>
      </c>
      <c r="AO90" s="35"/>
      <c r="AP90" s="74">
        <f t="shared" si="26"/>
        <v>0</v>
      </c>
      <c r="AQ90" s="35"/>
      <c r="AR90" s="74">
        <f t="shared" si="27"/>
        <v>0</v>
      </c>
      <c r="AS90" s="35"/>
      <c r="AT90" s="74">
        <f t="shared" si="28"/>
        <v>0</v>
      </c>
      <c r="AU90" s="35"/>
      <c r="AV90" s="37">
        <f t="shared" si="22"/>
        <v>0</v>
      </c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x14ac:dyDescent="0.2">
      <c r="A91" s="13"/>
      <c r="B91" s="3" t="s">
        <v>303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>
        <f t="shared" si="23"/>
        <v>0</v>
      </c>
      <c r="AK91" s="145"/>
      <c r="AL91" s="74">
        <f t="shared" si="24"/>
        <v>0</v>
      </c>
      <c r="AM91" s="35"/>
      <c r="AN91" s="74">
        <f t="shared" si="25"/>
        <v>0</v>
      </c>
      <c r="AO91" s="35"/>
      <c r="AP91" s="74">
        <f t="shared" si="26"/>
        <v>0</v>
      </c>
      <c r="AQ91" s="35"/>
      <c r="AR91" s="74">
        <f t="shared" si="27"/>
        <v>0</v>
      </c>
      <c r="AS91" s="35"/>
      <c r="AT91" s="74">
        <f t="shared" si="28"/>
        <v>0</v>
      </c>
      <c r="AU91" s="35"/>
      <c r="AV91" s="37">
        <f t="shared" si="22"/>
        <v>0</v>
      </c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x14ac:dyDescent="0.2">
      <c r="A92" s="13"/>
      <c r="B92" s="3" t="s">
        <v>304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>
        <f t="shared" si="23"/>
        <v>0</v>
      </c>
      <c r="AK92" s="145"/>
      <c r="AL92" s="74">
        <f t="shared" si="24"/>
        <v>0</v>
      </c>
      <c r="AM92" s="35"/>
      <c r="AN92" s="74">
        <f t="shared" si="25"/>
        <v>0</v>
      </c>
      <c r="AO92" s="35"/>
      <c r="AP92" s="74">
        <f t="shared" si="26"/>
        <v>0</v>
      </c>
      <c r="AQ92" s="35"/>
      <c r="AR92" s="74">
        <f t="shared" si="27"/>
        <v>0</v>
      </c>
      <c r="AS92" s="35"/>
      <c r="AT92" s="74">
        <f t="shared" si="28"/>
        <v>0</v>
      </c>
      <c r="AU92" s="35"/>
      <c r="AV92" s="37">
        <f t="shared" si="22"/>
        <v>0</v>
      </c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x14ac:dyDescent="0.2">
      <c r="A93" s="13"/>
      <c r="B93" s="3" t="s">
        <v>305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>
        <f t="shared" si="23"/>
        <v>0</v>
      </c>
      <c r="AK93" s="145"/>
      <c r="AL93" s="74">
        <f t="shared" si="24"/>
        <v>0</v>
      </c>
      <c r="AM93" s="35"/>
      <c r="AN93" s="74">
        <f t="shared" si="25"/>
        <v>0</v>
      </c>
      <c r="AO93" s="35"/>
      <c r="AP93" s="74">
        <f t="shared" si="26"/>
        <v>0</v>
      </c>
      <c r="AQ93" s="35"/>
      <c r="AR93" s="74">
        <f t="shared" si="27"/>
        <v>0</v>
      </c>
      <c r="AS93" s="35"/>
      <c r="AT93" s="74">
        <f t="shared" si="28"/>
        <v>0</v>
      </c>
      <c r="AU93" s="35"/>
      <c r="AV93" s="37">
        <f t="shared" si="22"/>
        <v>0</v>
      </c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x14ac:dyDescent="0.2">
      <c r="A94" s="13"/>
      <c r="B94" s="3" t="s">
        <v>306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>
        <f t="shared" si="23"/>
        <v>0</v>
      </c>
      <c r="AK94" s="145"/>
      <c r="AL94" s="74">
        <f t="shared" si="24"/>
        <v>0</v>
      </c>
      <c r="AM94" s="35"/>
      <c r="AN94" s="74">
        <f t="shared" si="25"/>
        <v>0</v>
      </c>
      <c r="AO94" s="35"/>
      <c r="AP94" s="74">
        <f t="shared" si="26"/>
        <v>0</v>
      </c>
      <c r="AQ94" s="35"/>
      <c r="AR94" s="74">
        <f t="shared" si="27"/>
        <v>0</v>
      </c>
      <c r="AS94" s="35"/>
      <c r="AT94" s="74">
        <f t="shared" si="28"/>
        <v>0</v>
      </c>
      <c r="AU94" s="35"/>
      <c r="AV94" s="37">
        <f t="shared" si="22"/>
        <v>0</v>
      </c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x14ac:dyDescent="0.2">
      <c r="A95" s="13"/>
      <c r="B95" s="3" t="s">
        <v>307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>
        <f t="shared" si="23"/>
        <v>0</v>
      </c>
      <c r="AK95" s="145"/>
      <c r="AL95" s="74">
        <f t="shared" si="24"/>
        <v>0</v>
      </c>
      <c r="AM95" s="35"/>
      <c r="AN95" s="74">
        <f t="shared" si="25"/>
        <v>0</v>
      </c>
      <c r="AO95" s="35"/>
      <c r="AP95" s="74">
        <f t="shared" si="26"/>
        <v>0</v>
      </c>
      <c r="AQ95" s="35"/>
      <c r="AR95" s="74">
        <f t="shared" si="27"/>
        <v>0</v>
      </c>
      <c r="AS95" s="35"/>
      <c r="AT95" s="74">
        <f t="shared" si="28"/>
        <v>0</v>
      </c>
      <c r="AU95" s="35"/>
      <c r="AV95" s="37">
        <f t="shared" si="22"/>
        <v>0</v>
      </c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x14ac:dyDescent="0.2">
      <c r="A96" s="13"/>
      <c r="B96" s="9" t="s">
        <v>308</v>
      </c>
      <c r="C96" s="19">
        <f>SUM(C88:C95)</f>
        <v>0</v>
      </c>
      <c r="D96" s="14"/>
      <c r="E96" s="19">
        <f>SUM(E88:E95)</f>
        <v>0</v>
      </c>
      <c r="F96" s="14"/>
      <c r="G96" s="19">
        <f>SUM(G88:G95)</f>
        <v>0</v>
      </c>
      <c r="H96" s="14"/>
      <c r="I96" s="19">
        <f>SUM(I88:I95)</f>
        <v>0</v>
      </c>
      <c r="J96" s="14"/>
      <c r="K96" s="19">
        <f>SUM(K88:K95)</f>
        <v>0</v>
      </c>
      <c r="L96" s="14"/>
      <c r="M96" s="19">
        <f>SUM(M88:M95)</f>
        <v>0</v>
      </c>
      <c r="N96" s="14"/>
      <c r="O96" s="19">
        <f>SUM(O88:O95)</f>
        <v>0</v>
      </c>
      <c r="P96" s="14"/>
      <c r="Q96" s="19">
        <f>SUM(Q88:Q95)</f>
        <v>0</v>
      </c>
      <c r="R96" s="14"/>
      <c r="S96" s="19">
        <f>SUM(S88:S95)</f>
        <v>0</v>
      </c>
      <c r="T96" s="19"/>
      <c r="U96" s="19">
        <f>SUM(U88:U95)</f>
        <v>0</v>
      </c>
      <c r="V96" s="19"/>
      <c r="W96" s="19">
        <f>SUM(W88:W95)</f>
        <v>0</v>
      </c>
      <c r="X96" s="14"/>
      <c r="Y96" s="19">
        <f>SUM(Y88:Y95)</f>
        <v>0</v>
      </c>
      <c r="Z96" s="14"/>
      <c r="AA96" s="19">
        <f>SUM(AA88:AA95)</f>
        <v>0</v>
      </c>
      <c r="AB96" s="14"/>
      <c r="AC96" s="19">
        <f>SUM(AC88:AC95)</f>
        <v>0</v>
      </c>
      <c r="AD96" s="14"/>
      <c r="AE96" s="19">
        <f>SUM(AE88:AE95)</f>
        <v>0</v>
      </c>
      <c r="AF96" s="14"/>
      <c r="AG96" s="19">
        <f>SUM(AG88:AG95)</f>
        <v>0</v>
      </c>
      <c r="AH96" s="14"/>
      <c r="AI96" s="19"/>
      <c r="AJ96" s="19">
        <f>SUM(AJ88:AJ95)</f>
        <v>0</v>
      </c>
      <c r="AK96" s="145"/>
      <c r="AL96" s="109">
        <f>SUM(AL88:AL95)</f>
        <v>0</v>
      </c>
      <c r="AM96" s="35"/>
      <c r="AN96" s="109">
        <f>SUM(AN88:AN95)</f>
        <v>0</v>
      </c>
      <c r="AO96" s="35"/>
      <c r="AP96" s="109">
        <f>SUM(AP88:AP95)</f>
        <v>0</v>
      </c>
      <c r="AQ96" s="35"/>
      <c r="AR96" s="109">
        <f>SUM(AR88:AR95)</f>
        <v>0</v>
      </c>
      <c r="AS96" s="35"/>
      <c r="AT96" s="109">
        <f>SUM(AT88:AT95)</f>
        <v>0</v>
      </c>
      <c r="AU96" s="35"/>
      <c r="AV96" s="37">
        <f t="shared" si="22"/>
        <v>0</v>
      </c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x14ac:dyDescent="0.2">
      <c r="A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5"/>
      <c r="AL97" s="74"/>
      <c r="AM97" s="35"/>
      <c r="AN97" s="74"/>
      <c r="AO97" s="35"/>
      <c r="AP97" s="35"/>
      <c r="AQ97" s="35"/>
      <c r="AR97" s="35"/>
      <c r="AS97" s="35"/>
      <c r="AT97" s="35"/>
      <c r="AU97" s="35"/>
      <c r="AV97" s="37">
        <f t="shared" si="22"/>
        <v>0</v>
      </c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x14ac:dyDescent="0.2">
      <c r="A98" s="13"/>
      <c r="B98" s="9" t="s">
        <v>309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5"/>
      <c r="AL98" s="74"/>
      <c r="AM98" s="35"/>
      <c r="AN98" s="74"/>
      <c r="AO98" s="35"/>
      <c r="AP98" s="35"/>
      <c r="AQ98" s="35"/>
      <c r="AR98" s="35"/>
      <c r="AS98" s="35"/>
      <c r="AT98" s="35"/>
      <c r="AU98" s="35"/>
      <c r="AV98" s="37">
        <f t="shared" si="22"/>
        <v>0</v>
      </c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x14ac:dyDescent="0.2">
      <c r="A99" s="13"/>
      <c r="B99" s="3" t="s">
        <v>310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>
        <f>SUM(C99:AI99)</f>
        <v>0</v>
      </c>
      <c r="AK99" s="145"/>
      <c r="AL99" s="74">
        <f>SUMIF($C$10:$AI$10,"=Addition",$C99:$AI99)</f>
        <v>0</v>
      </c>
      <c r="AM99" s="35"/>
      <c r="AN99" s="74">
        <f>SUMIF($C$10:$AI$10,"=Adjustment",$C99:$AI99)</f>
        <v>0</v>
      </c>
      <c r="AO99" s="35"/>
      <c r="AP99" s="74">
        <f>SUMIF($C$10:$AI$10,"=Transfer",$C99:$AI99)</f>
        <v>0</v>
      </c>
      <c r="AQ99" s="35"/>
      <c r="AR99" s="74">
        <f>SUMIF($C$10:$AI$10,"=N/A",$C99:$AI99)</f>
        <v>0</v>
      </c>
      <c r="AS99" s="35"/>
      <c r="AT99" s="74">
        <f t="shared" ref="AT99:AT100" si="29">SUM(AL99:AR99)</f>
        <v>0</v>
      </c>
      <c r="AU99" s="35"/>
      <c r="AV99" s="37">
        <f t="shared" si="22"/>
        <v>0</v>
      </c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x14ac:dyDescent="0.2">
      <c r="A100" s="13"/>
      <c r="B100" s="3" t="s">
        <v>311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>
        <f>SUM(C100:AI100)</f>
        <v>0</v>
      </c>
      <c r="AK100" s="145"/>
      <c r="AL100" s="74">
        <f>SUMIF($C$10:$AI$10,"=Addition",$C100:$AI100)</f>
        <v>0</v>
      </c>
      <c r="AM100" s="35"/>
      <c r="AN100" s="74">
        <f>SUMIF($C$10:$AI$10,"=Adjustment",$C100:$AI100)</f>
        <v>0</v>
      </c>
      <c r="AO100" s="35"/>
      <c r="AP100" s="74">
        <f>SUMIF($C$10:$AI$10,"=Transfer",$C100:$AI100)</f>
        <v>0</v>
      </c>
      <c r="AQ100" s="35"/>
      <c r="AR100" s="74">
        <f>SUMIF($C$10:$AI$10,"=N/A",$C100:$AI100)</f>
        <v>0</v>
      </c>
      <c r="AS100" s="35"/>
      <c r="AT100" s="74">
        <f t="shared" si="29"/>
        <v>0</v>
      </c>
      <c r="AU100" s="35"/>
      <c r="AV100" s="37">
        <f t="shared" si="22"/>
        <v>0</v>
      </c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x14ac:dyDescent="0.2">
      <c r="A101" s="13"/>
      <c r="B101" s="9" t="s">
        <v>312</v>
      </c>
      <c r="C101" s="19">
        <f>SUM(C99:C100)</f>
        <v>0</v>
      </c>
      <c r="D101" s="14"/>
      <c r="E101" s="19">
        <f>SUM(E99:E100)</f>
        <v>0</v>
      </c>
      <c r="F101" s="14"/>
      <c r="G101" s="19">
        <f>SUM(G99:G100)</f>
        <v>0</v>
      </c>
      <c r="H101" s="14"/>
      <c r="I101" s="19">
        <f>SUM(I99:I100)</f>
        <v>0</v>
      </c>
      <c r="J101" s="14"/>
      <c r="K101" s="19">
        <f>SUM(K99:K100)</f>
        <v>0</v>
      </c>
      <c r="L101" s="14"/>
      <c r="M101" s="19">
        <f>SUM(M99:M100)</f>
        <v>0</v>
      </c>
      <c r="N101" s="14"/>
      <c r="O101" s="19">
        <f>SUM(O99:O100)</f>
        <v>0</v>
      </c>
      <c r="P101" s="14"/>
      <c r="Q101" s="19">
        <f>SUM(Q99:Q100)</f>
        <v>0</v>
      </c>
      <c r="R101" s="14"/>
      <c r="S101" s="19">
        <f>SUM(S99:S100)</f>
        <v>0</v>
      </c>
      <c r="T101" s="19"/>
      <c r="U101" s="19">
        <f>SUM(U99:U100)</f>
        <v>0</v>
      </c>
      <c r="V101" s="19"/>
      <c r="W101" s="19">
        <f>SUM(W99:W100)</f>
        <v>0</v>
      </c>
      <c r="X101" s="14"/>
      <c r="Y101" s="19">
        <f>SUM(Y99:Y100)</f>
        <v>0</v>
      </c>
      <c r="Z101" s="14"/>
      <c r="AA101" s="19">
        <f>SUM(AA99:AA100)</f>
        <v>0</v>
      </c>
      <c r="AB101" s="14"/>
      <c r="AC101" s="19">
        <f>SUM(AC99:AC100)</f>
        <v>0</v>
      </c>
      <c r="AD101" s="14"/>
      <c r="AE101" s="19">
        <f>SUM(AE99:AE100)</f>
        <v>0</v>
      </c>
      <c r="AF101" s="14"/>
      <c r="AG101" s="19">
        <f>SUM(AG99:AG100)</f>
        <v>0</v>
      </c>
      <c r="AH101" s="14"/>
      <c r="AI101" s="19"/>
      <c r="AJ101" s="19">
        <f>SUM(AJ99:AJ100)</f>
        <v>0</v>
      </c>
      <c r="AK101" s="145"/>
      <c r="AL101" s="109">
        <f>SUM(AL99:AL100)</f>
        <v>0</v>
      </c>
      <c r="AM101" s="35"/>
      <c r="AN101" s="109">
        <f>SUM(AN99:AN100)</f>
        <v>0</v>
      </c>
      <c r="AO101" s="35"/>
      <c r="AP101" s="109">
        <f>SUM(AP99:AP100)</f>
        <v>0</v>
      </c>
      <c r="AQ101" s="35"/>
      <c r="AR101" s="109">
        <f>SUM(AR99:AR100)</f>
        <v>0</v>
      </c>
      <c r="AS101" s="35"/>
      <c r="AT101" s="109">
        <f>SUM(AT99:AT100)</f>
        <v>0</v>
      </c>
      <c r="AU101" s="35"/>
      <c r="AV101" s="37">
        <f t="shared" si="22"/>
        <v>0</v>
      </c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x14ac:dyDescent="0.2">
      <c r="A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5"/>
      <c r="AL102" s="74"/>
      <c r="AM102" s="35"/>
      <c r="AN102" s="74"/>
      <c r="AO102" s="35"/>
      <c r="AP102" s="35"/>
      <c r="AQ102" s="35"/>
      <c r="AR102" s="35"/>
      <c r="AS102" s="35"/>
      <c r="AT102" s="35"/>
      <c r="AU102" s="35"/>
      <c r="AV102" s="37">
        <f t="shared" si="22"/>
        <v>0</v>
      </c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x14ac:dyDescent="0.2">
      <c r="A103" s="13"/>
      <c r="B103" s="9" t="s">
        <v>313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5"/>
      <c r="AL103" s="74"/>
      <c r="AM103" s="35"/>
      <c r="AN103" s="74"/>
      <c r="AO103" s="35"/>
      <c r="AP103" s="35"/>
      <c r="AQ103" s="35"/>
      <c r="AR103" s="35"/>
      <c r="AS103" s="35"/>
      <c r="AT103" s="35"/>
      <c r="AU103" s="35"/>
      <c r="AV103" s="37">
        <f t="shared" si="22"/>
        <v>0</v>
      </c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x14ac:dyDescent="0.2">
      <c r="A104" s="13"/>
      <c r="B104" s="3" t="s">
        <v>314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>
        <f t="shared" ref="AJ104:AJ112" si="30">SUM(C104:AI104)</f>
        <v>0</v>
      </c>
      <c r="AK104" s="145"/>
      <c r="AL104" s="74">
        <f t="shared" ref="AL104:AL113" si="31">SUMIF($C$10:$AI$10,"=Addition",$C104:$AI104)</f>
        <v>0</v>
      </c>
      <c r="AM104" s="35"/>
      <c r="AN104" s="74">
        <f t="shared" ref="AN104:AN112" si="32">SUMIF($C$10:$AI$10,"=Adjustment",$C104:$AI104)</f>
        <v>0</v>
      </c>
      <c r="AO104" s="35"/>
      <c r="AP104" s="74">
        <f t="shared" ref="AP104:AP113" si="33">SUMIF($C$10:$AI$10,"=Transfer",$C104:$AI104)</f>
        <v>0</v>
      </c>
      <c r="AQ104" s="35"/>
      <c r="AR104" s="74">
        <f t="shared" ref="AR104:AR113" si="34">SUMIF($C$10:$AI$10,"=N/A",$C104:$AI104)</f>
        <v>0</v>
      </c>
      <c r="AS104" s="35"/>
      <c r="AT104" s="74">
        <f t="shared" ref="AT104:AT113" si="35">SUM(AL104:AR104)</f>
        <v>0</v>
      </c>
      <c r="AU104" s="35"/>
      <c r="AV104" s="37">
        <f t="shared" si="22"/>
        <v>0</v>
      </c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x14ac:dyDescent="0.2">
      <c r="A105" s="13"/>
      <c r="B105" s="3" t="s">
        <v>315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>
        <f t="shared" si="30"/>
        <v>0</v>
      </c>
      <c r="AK105" s="145"/>
      <c r="AL105" s="74">
        <f t="shared" si="31"/>
        <v>0</v>
      </c>
      <c r="AM105" s="35"/>
      <c r="AN105" s="74">
        <f t="shared" si="32"/>
        <v>0</v>
      </c>
      <c r="AO105" s="35"/>
      <c r="AP105" s="74">
        <f t="shared" si="33"/>
        <v>0</v>
      </c>
      <c r="AQ105" s="35"/>
      <c r="AR105" s="74">
        <f t="shared" si="34"/>
        <v>0</v>
      </c>
      <c r="AS105" s="35"/>
      <c r="AT105" s="74">
        <f t="shared" si="35"/>
        <v>0</v>
      </c>
      <c r="AU105" s="35"/>
      <c r="AV105" s="37">
        <f t="shared" si="22"/>
        <v>0</v>
      </c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x14ac:dyDescent="0.2">
      <c r="A106" s="13"/>
      <c r="B106" s="3" t="s">
        <v>316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>
        <f t="shared" si="30"/>
        <v>0</v>
      </c>
      <c r="AK106" s="145"/>
      <c r="AL106" s="74">
        <f t="shared" si="31"/>
        <v>0</v>
      </c>
      <c r="AM106" s="35"/>
      <c r="AN106" s="74">
        <f t="shared" si="32"/>
        <v>0</v>
      </c>
      <c r="AO106" s="35"/>
      <c r="AP106" s="74">
        <f t="shared" si="33"/>
        <v>0</v>
      </c>
      <c r="AQ106" s="35"/>
      <c r="AR106" s="74">
        <f t="shared" si="34"/>
        <v>0</v>
      </c>
      <c r="AS106" s="35"/>
      <c r="AT106" s="74">
        <f t="shared" si="35"/>
        <v>0</v>
      </c>
      <c r="AU106" s="35"/>
      <c r="AV106" s="37">
        <f t="shared" si="22"/>
        <v>0</v>
      </c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x14ac:dyDescent="0.2">
      <c r="A107" s="13"/>
      <c r="B107" s="3" t="s">
        <v>317</v>
      </c>
      <c r="C107" s="14">
        <v>-285046.86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>
        <f t="shared" si="30"/>
        <v>-285046.86</v>
      </c>
      <c r="AK107" s="145"/>
      <c r="AL107" s="74">
        <f t="shared" si="31"/>
        <v>0</v>
      </c>
      <c r="AM107" s="35"/>
      <c r="AN107" s="74">
        <f t="shared" si="32"/>
        <v>0</v>
      </c>
      <c r="AO107" s="35"/>
      <c r="AP107" s="74">
        <f t="shared" si="33"/>
        <v>-285046.86</v>
      </c>
      <c r="AQ107" s="35"/>
      <c r="AR107" s="74">
        <f t="shared" si="34"/>
        <v>0</v>
      </c>
      <c r="AS107" s="35"/>
      <c r="AT107" s="74">
        <f t="shared" si="35"/>
        <v>-285046.86</v>
      </c>
      <c r="AU107" s="35"/>
      <c r="AV107" s="37">
        <f t="shared" si="22"/>
        <v>0</v>
      </c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x14ac:dyDescent="0.2">
      <c r="A108" s="13"/>
      <c r="B108" s="3" t="s">
        <v>318</v>
      </c>
      <c r="C108" s="14">
        <v>285046.86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>
        <f t="shared" si="30"/>
        <v>285046.86</v>
      </c>
      <c r="AK108" s="145"/>
      <c r="AL108" s="74">
        <f t="shared" si="31"/>
        <v>0</v>
      </c>
      <c r="AM108" s="35"/>
      <c r="AN108" s="74">
        <f t="shared" si="32"/>
        <v>0</v>
      </c>
      <c r="AO108" s="35"/>
      <c r="AP108" s="74">
        <f t="shared" si="33"/>
        <v>285046.86</v>
      </c>
      <c r="AQ108" s="35"/>
      <c r="AR108" s="74">
        <f t="shared" si="34"/>
        <v>0</v>
      </c>
      <c r="AS108" s="35"/>
      <c r="AT108" s="74">
        <f t="shared" si="35"/>
        <v>285046.86</v>
      </c>
      <c r="AU108" s="35"/>
      <c r="AV108" s="37">
        <f t="shared" si="22"/>
        <v>0</v>
      </c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x14ac:dyDescent="0.2">
      <c r="A109" s="13"/>
      <c r="B109" s="3" t="s">
        <v>319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>
        <f t="shared" si="30"/>
        <v>0</v>
      </c>
      <c r="AK109" s="145"/>
      <c r="AL109" s="74">
        <f t="shared" si="31"/>
        <v>0</v>
      </c>
      <c r="AM109" s="35"/>
      <c r="AN109" s="74">
        <f t="shared" si="32"/>
        <v>0</v>
      </c>
      <c r="AO109" s="35"/>
      <c r="AP109" s="74">
        <f t="shared" si="33"/>
        <v>0</v>
      </c>
      <c r="AQ109" s="35"/>
      <c r="AR109" s="74">
        <f t="shared" si="34"/>
        <v>0</v>
      </c>
      <c r="AS109" s="35"/>
      <c r="AT109" s="74">
        <f t="shared" si="35"/>
        <v>0</v>
      </c>
      <c r="AU109" s="35"/>
      <c r="AV109" s="37">
        <f t="shared" si="22"/>
        <v>0</v>
      </c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x14ac:dyDescent="0.2">
      <c r="A110" s="13"/>
      <c r="B110" s="3" t="s">
        <v>320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>
        <f t="shared" si="30"/>
        <v>0</v>
      </c>
      <c r="AK110" s="145"/>
      <c r="AL110" s="74">
        <f t="shared" si="31"/>
        <v>0</v>
      </c>
      <c r="AM110" s="35"/>
      <c r="AN110" s="74">
        <f t="shared" si="32"/>
        <v>0</v>
      </c>
      <c r="AO110" s="35"/>
      <c r="AP110" s="74">
        <f t="shared" si="33"/>
        <v>0</v>
      </c>
      <c r="AQ110" s="35"/>
      <c r="AR110" s="74">
        <f t="shared" si="34"/>
        <v>0</v>
      </c>
      <c r="AS110" s="35"/>
      <c r="AT110" s="74">
        <f t="shared" si="35"/>
        <v>0</v>
      </c>
      <c r="AU110" s="35"/>
      <c r="AV110" s="37">
        <f t="shared" si="22"/>
        <v>0</v>
      </c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outlineLevel="1" x14ac:dyDescent="0.2">
      <c r="A111" s="13"/>
      <c r="B111" s="3" t="s">
        <v>321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>
        <f t="shared" si="30"/>
        <v>0</v>
      </c>
      <c r="AK111" s="145"/>
      <c r="AL111" s="74">
        <f t="shared" si="31"/>
        <v>0</v>
      </c>
      <c r="AM111" s="35"/>
      <c r="AN111" s="74">
        <f t="shared" si="32"/>
        <v>0</v>
      </c>
      <c r="AO111" s="35"/>
      <c r="AP111" s="74">
        <f t="shared" si="33"/>
        <v>0</v>
      </c>
      <c r="AQ111" s="35"/>
      <c r="AR111" s="74">
        <f t="shared" si="34"/>
        <v>0</v>
      </c>
      <c r="AS111" s="35"/>
      <c r="AT111" s="74">
        <f t="shared" si="35"/>
        <v>0</v>
      </c>
      <c r="AU111" s="35"/>
      <c r="AV111" s="37">
        <f t="shared" si="22"/>
        <v>0</v>
      </c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outlineLevel="1" x14ac:dyDescent="0.2">
      <c r="A112" s="13"/>
      <c r="B112" s="29" t="s">
        <v>322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>
        <v>-5158.6400000000003</v>
      </c>
      <c r="N112" s="14"/>
      <c r="O112" s="14">
        <v>39043.24</v>
      </c>
      <c r="P112" s="14"/>
      <c r="Q112" s="14"/>
      <c r="R112" s="14"/>
      <c r="S112" s="14"/>
      <c r="T112" s="14"/>
      <c r="U112" s="14"/>
      <c r="V112" s="14"/>
      <c r="W112" s="14"/>
      <c r="X112" s="14"/>
      <c r="Y112" s="14">
        <v>0</v>
      </c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>
        <f t="shared" si="30"/>
        <v>33884.6</v>
      </c>
      <c r="AK112" s="145"/>
      <c r="AL112" s="74">
        <f t="shared" si="31"/>
        <v>39043.24</v>
      </c>
      <c r="AM112" s="35"/>
      <c r="AN112" s="74">
        <f t="shared" si="32"/>
        <v>-5158.6400000000003</v>
      </c>
      <c r="AO112" s="35"/>
      <c r="AP112" s="74">
        <f t="shared" si="33"/>
        <v>0</v>
      </c>
      <c r="AQ112" s="35"/>
      <c r="AR112" s="74">
        <f t="shared" si="34"/>
        <v>0</v>
      </c>
      <c r="AS112" s="35"/>
      <c r="AT112" s="74">
        <f t="shared" si="35"/>
        <v>33884.6</v>
      </c>
      <c r="AU112" s="35"/>
      <c r="AV112" s="37">
        <f t="shared" si="22"/>
        <v>0</v>
      </c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x14ac:dyDescent="0.2">
      <c r="A113" s="13"/>
      <c r="B113" s="29" t="s">
        <v>323</v>
      </c>
      <c r="C113" s="14">
        <f>SUM(C111:C112)</f>
        <v>0</v>
      </c>
      <c r="D113" s="14"/>
      <c r="E113" s="14">
        <f>SUM(E111:E112)</f>
        <v>0</v>
      </c>
      <c r="F113" s="14"/>
      <c r="G113" s="14">
        <f>SUM(G111:G112)</f>
        <v>0</v>
      </c>
      <c r="H113" s="14"/>
      <c r="I113" s="14">
        <f>SUM(I111:I112)</f>
        <v>0</v>
      </c>
      <c r="J113" s="14"/>
      <c r="K113" s="14">
        <f>SUM(K111:K112)</f>
        <v>0</v>
      </c>
      <c r="L113" s="14"/>
      <c r="M113" s="14">
        <f>SUM(M111:M112)</f>
        <v>-5158.6400000000003</v>
      </c>
      <c r="N113" s="14"/>
      <c r="O113" s="14">
        <f>SUM(O111:O112)</f>
        <v>39043.24</v>
      </c>
      <c r="P113" s="14"/>
      <c r="Q113" s="14">
        <f>SUM(Q111:Q112)</f>
        <v>0</v>
      </c>
      <c r="R113" s="14"/>
      <c r="S113" s="14">
        <f>SUM(S111:S112)</f>
        <v>0</v>
      </c>
      <c r="T113" s="14"/>
      <c r="U113" s="14">
        <f>SUM(U111:U112)</f>
        <v>0</v>
      </c>
      <c r="V113" s="14"/>
      <c r="W113" s="14">
        <f>SUM(W111:W112)</f>
        <v>0</v>
      </c>
      <c r="X113" s="14"/>
      <c r="Y113" s="14">
        <f>SUM(Y111:Y112)</f>
        <v>0</v>
      </c>
      <c r="Z113" s="14"/>
      <c r="AA113" s="14">
        <f>SUM(AA111:AA112)</f>
        <v>0</v>
      </c>
      <c r="AB113" s="14"/>
      <c r="AC113" s="14">
        <f>SUM(AC111:AC112)</f>
        <v>0</v>
      </c>
      <c r="AD113" s="14"/>
      <c r="AE113" s="14">
        <f>SUM(AE111:AE112)</f>
        <v>0</v>
      </c>
      <c r="AF113" s="14"/>
      <c r="AG113" s="14">
        <f>SUM(AG111:AG112)</f>
        <v>0</v>
      </c>
      <c r="AH113" s="14"/>
      <c r="AI113" s="14"/>
      <c r="AJ113" s="14">
        <f>SUM(AJ111:AJ112)</f>
        <v>33884.6</v>
      </c>
      <c r="AK113" s="145"/>
      <c r="AL113" s="74">
        <f t="shared" si="31"/>
        <v>39043.24</v>
      </c>
      <c r="AM113" s="35"/>
      <c r="AN113" s="74">
        <f>+AN111+AN112</f>
        <v>-5158.6400000000003</v>
      </c>
      <c r="AO113" s="35"/>
      <c r="AP113" s="74">
        <f t="shared" si="33"/>
        <v>0</v>
      </c>
      <c r="AQ113" s="35"/>
      <c r="AR113" s="74">
        <f t="shared" si="34"/>
        <v>0</v>
      </c>
      <c r="AS113" s="35"/>
      <c r="AT113" s="74">
        <f t="shared" si="35"/>
        <v>33884.6</v>
      </c>
      <c r="AU113" s="35"/>
      <c r="AV113" s="37">
        <f t="shared" si="22"/>
        <v>0</v>
      </c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x14ac:dyDescent="0.2">
      <c r="A114" s="13"/>
      <c r="B114" s="111" t="s">
        <v>324</v>
      </c>
      <c r="C114" s="19">
        <f>C113+SUM(C104:C110)</f>
        <v>0</v>
      </c>
      <c r="D114" s="14"/>
      <c r="E114" s="19">
        <f>E113+SUM(E104:E110)</f>
        <v>0</v>
      </c>
      <c r="F114" s="14"/>
      <c r="G114" s="19">
        <f>G113+SUM(G104:G110)</f>
        <v>0</v>
      </c>
      <c r="H114" s="14"/>
      <c r="I114" s="19">
        <f>I113+SUM(I104:I110)</f>
        <v>0</v>
      </c>
      <c r="J114" s="14"/>
      <c r="K114" s="19">
        <f>K113+SUM(K104:K110)</f>
        <v>0</v>
      </c>
      <c r="L114" s="14"/>
      <c r="M114" s="19">
        <f>M113+SUM(M104:M110)</f>
        <v>-5158.6400000000003</v>
      </c>
      <c r="N114" s="14"/>
      <c r="O114" s="19">
        <f>O112+SUM(O104:O110)</f>
        <v>39043.24</v>
      </c>
      <c r="P114" s="14"/>
      <c r="Q114" s="19">
        <f>Q113+SUM(Q104:Q110)</f>
        <v>0</v>
      </c>
      <c r="R114" s="14"/>
      <c r="S114" s="19">
        <f>S113+SUM(S104:S110)</f>
        <v>0</v>
      </c>
      <c r="T114" s="19"/>
      <c r="U114" s="19">
        <f>U113+SUM(U104:U110)</f>
        <v>0</v>
      </c>
      <c r="V114" s="19"/>
      <c r="W114" s="19"/>
      <c r="X114" s="14"/>
      <c r="Y114" s="19">
        <f>Y113+SUM(Y104:Y110)</f>
        <v>0</v>
      </c>
      <c r="Z114" s="14"/>
      <c r="AA114" s="19">
        <f>AA113+SUM(AA104:AA110)</f>
        <v>0</v>
      </c>
      <c r="AB114" s="14"/>
      <c r="AC114" s="19">
        <f>AC113+SUM(AC104:AC110)</f>
        <v>0</v>
      </c>
      <c r="AD114" s="14"/>
      <c r="AE114" s="19">
        <f>AE113+SUM(AE104:AE110)</f>
        <v>0</v>
      </c>
      <c r="AF114" s="14"/>
      <c r="AG114" s="19">
        <f>AG113+SUM(AG104:AG110)</f>
        <v>0</v>
      </c>
      <c r="AH114" s="14"/>
      <c r="AI114" s="19"/>
      <c r="AJ114" s="19">
        <f>AJ113+SUM(AJ104:AJ110)</f>
        <v>33884.6</v>
      </c>
      <c r="AK114" s="145"/>
      <c r="AL114" s="110">
        <f>AL113+SUM(AL104:AL110)</f>
        <v>39043.24</v>
      </c>
      <c r="AM114" s="35"/>
      <c r="AN114" s="110">
        <f>AN113+SUM(AN104:AN110)</f>
        <v>-5158.6400000000003</v>
      </c>
      <c r="AO114" s="35"/>
      <c r="AP114" s="110">
        <f>AP113+SUM(AP104:AP110)</f>
        <v>0</v>
      </c>
      <c r="AQ114" s="35"/>
      <c r="AR114" s="110">
        <f>AR113+SUM(AR104:AR110)</f>
        <v>0</v>
      </c>
      <c r="AS114" s="35"/>
      <c r="AT114" s="110">
        <f>AT113+SUM(AT104:AT110)</f>
        <v>33884.6</v>
      </c>
      <c r="AU114" s="35"/>
      <c r="AV114" s="37">
        <f t="shared" si="22"/>
        <v>0</v>
      </c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x14ac:dyDescent="0.2">
      <c r="A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5"/>
      <c r="AL115" s="74"/>
      <c r="AM115" s="35"/>
      <c r="AN115" s="74"/>
      <c r="AO115" s="35"/>
      <c r="AP115" s="35"/>
      <c r="AQ115" s="35"/>
      <c r="AR115" s="35"/>
      <c r="AS115" s="35"/>
      <c r="AT115" s="35"/>
      <c r="AU115" s="35"/>
      <c r="AV115" s="37">
        <f t="shared" si="22"/>
        <v>0</v>
      </c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x14ac:dyDescent="0.2">
      <c r="A116" s="13"/>
      <c r="B116" s="9" t="s">
        <v>325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5"/>
      <c r="AL116" s="74"/>
      <c r="AM116" s="35"/>
      <c r="AN116" s="74"/>
      <c r="AO116" s="35"/>
      <c r="AP116" s="35"/>
      <c r="AQ116" s="35"/>
      <c r="AR116" s="35"/>
      <c r="AS116" s="35"/>
      <c r="AT116" s="35"/>
      <c r="AU116" s="35"/>
      <c r="AV116" s="37">
        <f t="shared" si="22"/>
        <v>0</v>
      </c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outlineLevel="1" x14ac:dyDescent="0.2">
      <c r="A117" s="13"/>
      <c r="B117" s="3" t="s">
        <v>326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>
        <f>SUM(C117:AI117)</f>
        <v>0</v>
      </c>
      <c r="AK117" s="145"/>
      <c r="AL117" s="74">
        <f t="shared" ref="AL117:AL133" si="36">SUMIF($C$10:$AI$10,"=Addition",$C117:$AI117)</f>
        <v>0</v>
      </c>
      <c r="AM117" s="35"/>
      <c r="AN117" s="74">
        <f t="shared" ref="AN117:AN133" si="37">SUMIF($C$10:$AI$10,"=Adjustment",$C117:$AI117)</f>
        <v>0</v>
      </c>
      <c r="AO117" s="35"/>
      <c r="AP117" s="74">
        <f t="shared" ref="AP117:AP133" si="38">SUMIF($C$10:$AI$10,"=Transfer",$C117:$AI117)</f>
        <v>0</v>
      </c>
      <c r="AQ117" s="35"/>
      <c r="AR117" s="74">
        <f t="shared" ref="AR117:AR133" si="39">SUMIF($C$10:$AI$10,"=N/A",$C117:$AI117)</f>
        <v>0</v>
      </c>
      <c r="AS117" s="35"/>
      <c r="AT117" s="74">
        <f t="shared" ref="AT117:AT133" si="40">SUM(AL117:AR117)</f>
        <v>0</v>
      </c>
      <c r="AU117" s="74"/>
      <c r="AV117" s="37">
        <f t="shared" si="22"/>
        <v>0</v>
      </c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outlineLevel="1" x14ac:dyDescent="0.2">
      <c r="A118" s="13"/>
      <c r="B118" s="21" t="s">
        <v>327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>
        <f>SUM(C118:AI118)</f>
        <v>0</v>
      </c>
      <c r="AK118" s="145"/>
      <c r="AL118" s="74">
        <f t="shared" si="36"/>
        <v>0</v>
      </c>
      <c r="AM118" s="35"/>
      <c r="AN118" s="74">
        <f t="shared" si="37"/>
        <v>0</v>
      </c>
      <c r="AO118" s="35"/>
      <c r="AP118" s="74">
        <f t="shared" si="38"/>
        <v>0</v>
      </c>
      <c r="AQ118" s="35"/>
      <c r="AR118" s="74">
        <f t="shared" si="39"/>
        <v>0</v>
      </c>
      <c r="AS118" s="35"/>
      <c r="AT118" s="74">
        <f t="shared" si="40"/>
        <v>0</v>
      </c>
      <c r="AU118" s="74"/>
      <c r="AV118" s="37">
        <f t="shared" si="22"/>
        <v>0</v>
      </c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outlineLevel="1" x14ac:dyDescent="0.2">
      <c r="A119" s="13"/>
      <c r="B119" s="21" t="s">
        <v>328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>
        <f>SUM(C119:AI119)</f>
        <v>0</v>
      </c>
      <c r="AK119" s="145"/>
      <c r="AL119" s="74">
        <f t="shared" si="36"/>
        <v>0</v>
      </c>
      <c r="AM119" s="35"/>
      <c r="AN119" s="74">
        <f t="shared" si="37"/>
        <v>0</v>
      </c>
      <c r="AO119" s="35"/>
      <c r="AP119" s="74">
        <f t="shared" si="38"/>
        <v>0</v>
      </c>
      <c r="AQ119" s="35"/>
      <c r="AR119" s="74">
        <f t="shared" si="39"/>
        <v>0</v>
      </c>
      <c r="AS119" s="35"/>
      <c r="AT119" s="74">
        <f t="shared" si="40"/>
        <v>0</v>
      </c>
      <c r="AU119" s="74"/>
      <c r="AV119" s="37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x14ac:dyDescent="0.2">
      <c r="A120" s="13"/>
      <c r="B120" s="21" t="s">
        <v>329</v>
      </c>
      <c r="C120" s="14">
        <f>SUM(C117:C119)</f>
        <v>0</v>
      </c>
      <c r="D120" s="14"/>
      <c r="E120" s="14">
        <f>SUM(E117:E119)</f>
        <v>0</v>
      </c>
      <c r="F120" s="14"/>
      <c r="G120" s="14">
        <f>SUM(G117:G119)</f>
        <v>0</v>
      </c>
      <c r="H120" s="14"/>
      <c r="I120" s="14">
        <f>SUM(I117:I119)</f>
        <v>0</v>
      </c>
      <c r="J120" s="14"/>
      <c r="K120" s="14">
        <f>SUM(K117:K119)</f>
        <v>0</v>
      </c>
      <c r="L120" s="14"/>
      <c r="M120" s="14">
        <f>SUM(M117:M119)</f>
        <v>0</v>
      </c>
      <c r="N120" s="14"/>
      <c r="O120" s="14">
        <f>SUM(O117:O119)</f>
        <v>0</v>
      </c>
      <c r="P120" s="14"/>
      <c r="Q120" s="14">
        <f>SUM(Q117:Q119)</f>
        <v>0</v>
      </c>
      <c r="R120" s="14"/>
      <c r="S120" s="14">
        <f>SUM(S117:S119)</f>
        <v>0</v>
      </c>
      <c r="T120" s="14"/>
      <c r="U120" s="14">
        <f>SUM(U117:U119)</f>
        <v>0</v>
      </c>
      <c r="V120" s="14"/>
      <c r="W120" s="14">
        <f>SUM(W117:W119)</f>
        <v>0</v>
      </c>
      <c r="X120" s="14"/>
      <c r="Y120" s="14">
        <f>SUM(Y117:Y119)</f>
        <v>0</v>
      </c>
      <c r="Z120" s="14"/>
      <c r="AA120" s="14">
        <f>SUM(AA117:AA119)</f>
        <v>0</v>
      </c>
      <c r="AB120" s="14"/>
      <c r="AC120" s="14">
        <f>SUM(AC117:AC119)</f>
        <v>0</v>
      </c>
      <c r="AD120" s="14"/>
      <c r="AE120" s="14">
        <f>SUM(AE117:AE119)</f>
        <v>0</v>
      </c>
      <c r="AF120" s="14"/>
      <c r="AG120" s="14">
        <f>SUM(AG117:AG119)</f>
        <v>0</v>
      </c>
      <c r="AH120" s="14"/>
      <c r="AI120" s="14"/>
      <c r="AJ120" s="14">
        <f>SUM(AJ117:AJ119)</f>
        <v>0</v>
      </c>
      <c r="AK120" s="145"/>
      <c r="AL120" s="74">
        <f t="shared" si="36"/>
        <v>0</v>
      </c>
      <c r="AM120" s="35"/>
      <c r="AN120" s="74">
        <f t="shared" si="37"/>
        <v>0</v>
      </c>
      <c r="AO120" s="35"/>
      <c r="AP120" s="74">
        <f t="shared" si="38"/>
        <v>0</v>
      </c>
      <c r="AQ120" s="35"/>
      <c r="AR120" s="74">
        <f t="shared" si="39"/>
        <v>0</v>
      </c>
      <c r="AS120" s="35"/>
      <c r="AT120" s="74">
        <f t="shared" si="40"/>
        <v>0</v>
      </c>
      <c r="AU120" s="35"/>
      <c r="AV120" s="37">
        <f t="shared" si="22"/>
        <v>0</v>
      </c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outlineLevel="1" x14ac:dyDescent="0.2">
      <c r="A121" s="13"/>
      <c r="B121" s="3" t="s">
        <v>330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>
        <f>SUM(C121:AI121)</f>
        <v>0</v>
      </c>
      <c r="AK121" s="145"/>
      <c r="AL121" s="74">
        <f t="shared" si="36"/>
        <v>0</v>
      </c>
      <c r="AM121" s="35"/>
      <c r="AN121" s="74">
        <f t="shared" si="37"/>
        <v>0</v>
      </c>
      <c r="AO121" s="35"/>
      <c r="AP121" s="74">
        <f t="shared" si="38"/>
        <v>0</v>
      </c>
      <c r="AQ121" s="35"/>
      <c r="AR121" s="74">
        <f t="shared" si="39"/>
        <v>0</v>
      </c>
      <c r="AS121" s="35"/>
      <c r="AT121" s="74">
        <f t="shared" si="40"/>
        <v>0</v>
      </c>
      <c r="AU121" s="35"/>
      <c r="AV121" s="37">
        <f t="shared" si="22"/>
        <v>0</v>
      </c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outlineLevel="1" x14ac:dyDescent="0.2">
      <c r="A122" s="13"/>
      <c r="B122" s="3" t="s">
        <v>331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>
        <f>SUM(C122:AI122)</f>
        <v>0</v>
      </c>
      <c r="AK122" s="145"/>
      <c r="AL122" s="74">
        <f t="shared" si="36"/>
        <v>0</v>
      </c>
      <c r="AM122" s="35"/>
      <c r="AN122" s="74">
        <f t="shared" si="37"/>
        <v>0</v>
      </c>
      <c r="AO122" s="35"/>
      <c r="AP122" s="74">
        <f t="shared" si="38"/>
        <v>0</v>
      </c>
      <c r="AQ122" s="35"/>
      <c r="AR122" s="74">
        <f t="shared" si="39"/>
        <v>0</v>
      </c>
      <c r="AS122" s="35"/>
      <c r="AT122" s="74">
        <f t="shared" si="40"/>
        <v>0</v>
      </c>
      <c r="AU122" s="35"/>
      <c r="AV122" s="37">
        <f t="shared" si="22"/>
        <v>0</v>
      </c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x14ac:dyDescent="0.2">
      <c r="A123" s="13"/>
      <c r="B123" s="3" t="s">
        <v>332</v>
      </c>
      <c r="C123" s="14">
        <f>SUM(C121:C122)</f>
        <v>0</v>
      </c>
      <c r="D123" s="14"/>
      <c r="E123" s="14">
        <f>SUM(E121:E122)</f>
        <v>0</v>
      </c>
      <c r="F123" s="14"/>
      <c r="G123" s="14">
        <f>SUM(G121:G122)</f>
        <v>0</v>
      </c>
      <c r="H123" s="14"/>
      <c r="I123" s="14">
        <f>SUM(I121:I122)</f>
        <v>0</v>
      </c>
      <c r="J123" s="14"/>
      <c r="K123" s="14">
        <f>SUM(K121:K122)</f>
        <v>0</v>
      </c>
      <c r="L123" s="14"/>
      <c r="M123" s="14">
        <f>SUM(M121:M122)</f>
        <v>0</v>
      </c>
      <c r="N123" s="14"/>
      <c r="O123" s="14">
        <f>SUM(O121:O122)</f>
        <v>0</v>
      </c>
      <c r="P123" s="14"/>
      <c r="Q123" s="14">
        <f>SUM(Q121:Q122)</f>
        <v>0</v>
      </c>
      <c r="R123" s="14"/>
      <c r="S123" s="14">
        <f>SUM(S121:S122)</f>
        <v>0</v>
      </c>
      <c r="T123" s="14"/>
      <c r="U123" s="14">
        <f>SUM(U121:U122)</f>
        <v>0</v>
      </c>
      <c r="V123" s="14"/>
      <c r="W123" s="14">
        <f>SUM(W121:W122)</f>
        <v>0</v>
      </c>
      <c r="X123" s="14"/>
      <c r="Y123" s="14">
        <f>SUM(Y121:Y122)</f>
        <v>0</v>
      </c>
      <c r="Z123" s="14"/>
      <c r="AA123" s="14">
        <f>SUM(AA121:AA122)</f>
        <v>0</v>
      </c>
      <c r="AB123" s="14"/>
      <c r="AC123" s="14">
        <f>SUM(AC121:AC122)</f>
        <v>0</v>
      </c>
      <c r="AD123" s="14"/>
      <c r="AE123" s="14">
        <f>SUM(AE121:AE122)</f>
        <v>0</v>
      </c>
      <c r="AF123" s="14"/>
      <c r="AG123" s="14">
        <f>SUM(AG121:AG122)</f>
        <v>0</v>
      </c>
      <c r="AH123" s="14"/>
      <c r="AI123" s="14"/>
      <c r="AJ123" s="14">
        <f>SUM(AJ121:AJ122)</f>
        <v>0</v>
      </c>
      <c r="AK123" s="145"/>
      <c r="AL123" s="74">
        <f t="shared" si="36"/>
        <v>0</v>
      </c>
      <c r="AM123" s="35"/>
      <c r="AN123" s="74">
        <f t="shared" si="37"/>
        <v>0</v>
      </c>
      <c r="AO123" s="35"/>
      <c r="AP123" s="74">
        <f t="shared" si="38"/>
        <v>0</v>
      </c>
      <c r="AQ123" s="35"/>
      <c r="AR123" s="74">
        <f t="shared" si="39"/>
        <v>0</v>
      </c>
      <c r="AS123" s="35"/>
      <c r="AT123" s="74">
        <f t="shared" si="40"/>
        <v>0</v>
      </c>
      <c r="AU123" s="35"/>
      <c r="AV123" s="37">
        <f t="shared" si="22"/>
        <v>0</v>
      </c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outlineLevel="1" x14ac:dyDescent="0.2">
      <c r="A124" s="13"/>
      <c r="B124" s="3" t="s">
        <v>333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>
        <f>SUM(C124:AI124)</f>
        <v>0</v>
      </c>
      <c r="AK124" s="145"/>
      <c r="AL124" s="74">
        <f t="shared" si="36"/>
        <v>0</v>
      </c>
      <c r="AM124" s="35"/>
      <c r="AN124" s="74">
        <f t="shared" si="37"/>
        <v>0</v>
      </c>
      <c r="AO124" s="35"/>
      <c r="AP124" s="74">
        <f t="shared" si="38"/>
        <v>0</v>
      </c>
      <c r="AQ124" s="35"/>
      <c r="AR124" s="74">
        <f t="shared" si="39"/>
        <v>0</v>
      </c>
      <c r="AS124" s="35"/>
      <c r="AT124" s="74">
        <f t="shared" si="40"/>
        <v>0</v>
      </c>
      <c r="AU124" s="35"/>
      <c r="AV124" s="37">
        <f t="shared" si="22"/>
        <v>0</v>
      </c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outlineLevel="1" x14ac:dyDescent="0.2">
      <c r="A125" s="13"/>
      <c r="B125" s="3" t="s">
        <v>334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>
        <f>SUM(C125:AI125)</f>
        <v>0</v>
      </c>
      <c r="AK125" s="145"/>
      <c r="AL125" s="74">
        <f t="shared" si="36"/>
        <v>0</v>
      </c>
      <c r="AM125" s="35"/>
      <c r="AN125" s="74">
        <f t="shared" si="37"/>
        <v>0</v>
      </c>
      <c r="AO125" s="35"/>
      <c r="AP125" s="74">
        <f t="shared" si="38"/>
        <v>0</v>
      </c>
      <c r="AQ125" s="35"/>
      <c r="AR125" s="74">
        <f t="shared" si="39"/>
        <v>0</v>
      </c>
      <c r="AS125" s="35"/>
      <c r="AT125" s="74">
        <f t="shared" si="40"/>
        <v>0</v>
      </c>
      <c r="AU125" s="35"/>
      <c r="AV125" s="37">
        <f t="shared" si="22"/>
        <v>0</v>
      </c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x14ac:dyDescent="0.2">
      <c r="A126" s="13"/>
      <c r="B126" s="3" t="s">
        <v>335</v>
      </c>
      <c r="C126" s="14">
        <f>SUM(C124:C125)</f>
        <v>0</v>
      </c>
      <c r="D126" s="14"/>
      <c r="E126" s="14">
        <f>SUM(E124:E125)</f>
        <v>0</v>
      </c>
      <c r="F126" s="14"/>
      <c r="G126" s="14">
        <f>SUM(G124:G125)</f>
        <v>0</v>
      </c>
      <c r="H126" s="14"/>
      <c r="I126" s="14">
        <f>SUM(I124:I125)</f>
        <v>0</v>
      </c>
      <c r="J126" s="14"/>
      <c r="K126" s="14">
        <f>SUM(K124:K125)</f>
        <v>0</v>
      </c>
      <c r="L126" s="14"/>
      <c r="M126" s="14">
        <f>SUM(M124:M125)</f>
        <v>0</v>
      </c>
      <c r="N126" s="14"/>
      <c r="O126" s="14">
        <f>SUM(O124:O125)</f>
        <v>0</v>
      </c>
      <c r="P126" s="14"/>
      <c r="Q126" s="14">
        <f>SUM(Q124:Q125)</f>
        <v>0</v>
      </c>
      <c r="R126" s="14"/>
      <c r="S126" s="14">
        <f>SUM(S124:S125)</f>
        <v>0</v>
      </c>
      <c r="T126" s="14"/>
      <c r="U126" s="14">
        <f>SUM(U124:U125)</f>
        <v>0</v>
      </c>
      <c r="V126" s="14"/>
      <c r="W126" s="14">
        <f>SUM(W124:W125)</f>
        <v>0</v>
      </c>
      <c r="X126" s="14"/>
      <c r="Y126" s="14">
        <f>SUM(Y124:Y125)</f>
        <v>0</v>
      </c>
      <c r="Z126" s="14"/>
      <c r="AA126" s="14">
        <f>SUM(AA124:AA125)</f>
        <v>0</v>
      </c>
      <c r="AB126" s="14"/>
      <c r="AC126" s="14">
        <f>SUM(AC124:AC125)</f>
        <v>0</v>
      </c>
      <c r="AD126" s="14"/>
      <c r="AE126" s="14">
        <f>SUM(AE124:AE125)</f>
        <v>0</v>
      </c>
      <c r="AF126" s="14"/>
      <c r="AG126" s="14">
        <f>SUM(AG124:AG125)</f>
        <v>0</v>
      </c>
      <c r="AH126" s="14"/>
      <c r="AI126" s="14"/>
      <c r="AJ126" s="14">
        <f>SUM(AJ124:AJ125)</f>
        <v>0</v>
      </c>
      <c r="AK126" s="145"/>
      <c r="AL126" s="74">
        <f t="shared" si="36"/>
        <v>0</v>
      </c>
      <c r="AM126" s="35"/>
      <c r="AN126" s="74">
        <f t="shared" si="37"/>
        <v>0</v>
      </c>
      <c r="AO126" s="35"/>
      <c r="AP126" s="74">
        <f t="shared" si="38"/>
        <v>0</v>
      </c>
      <c r="AQ126" s="35"/>
      <c r="AR126" s="74">
        <f t="shared" si="39"/>
        <v>0</v>
      </c>
      <c r="AS126" s="35"/>
      <c r="AT126" s="74">
        <f t="shared" si="40"/>
        <v>0</v>
      </c>
      <c r="AU126" s="35"/>
      <c r="AV126" s="37">
        <f t="shared" si="22"/>
        <v>0</v>
      </c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x14ac:dyDescent="0.2">
      <c r="A127" s="13"/>
      <c r="B127" s="3" t="s">
        <v>336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>
        <f>SUM(C127:AH127)</f>
        <v>0</v>
      </c>
      <c r="AK127" s="145"/>
      <c r="AL127" s="74">
        <f t="shared" si="36"/>
        <v>0</v>
      </c>
      <c r="AM127" s="35"/>
      <c r="AN127" s="74">
        <f t="shared" si="37"/>
        <v>0</v>
      </c>
      <c r="AO127" s="35"/>
      <c r="AP127" s="74">
        <f t="shared" si="38"/>
        <v>0</v>
      </c>
      <c r="AQ127" s="35"/>
      <c r="AR127" s="74">
        <f t="shared" si="39"/>
        <v>0</v>
      </c>
      <c r="AS127" s="35"/>
      <c r="AT127" s="74">
        <f t="shared" si="40"/>
        <v>0</v>
      </c>
      <c r="AU127" s="35"/>
      <c r="AV127" s="37">
        <f t="shared" si="22"/>
        <v>0</v>
      </c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outlineLevel="1" x14ac:dyDescent="0.2">
      <c r="A128" s="13"/>
      <c r="B128" s="3" t="s">
        <v>337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>
        <f>SUM(C128:AI128)</f>
        <v>0</v>
      </c>
      <c r="AK128" s="145"/>
      <c r="AL128" s="74">
        <f t="shared" si="36"/>
        <v>0</v>
      </c>
      <c r="AM128" s="35"/>
      <c r="AN128" s="74">
        <f t="shared" si="37"/>
        <v>0</v>
      </c>
      <c r="AO128" s="35"/>
      <c r="AP128" s="74">
        <f t="shared" si="38"/>
        <v>0</v>
      </c>
      <c r="AQ128" s="35"/>
      <c r="AR128" s="74">
        <f t="shared" si="39"/>
        <v>0</v>
      </c>
      <c r="AS128" s="35"/>
      <c r="AT128" s="74">
        <f t="shared" si="40"/>
        <v>0</v>
      </c>
      <c r="AU128" s="35"/>
      <c r="AV128" s="37">
        <f t="shared" si="22"/>
        <v>0</v>
      </c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outlineLevel="1" x14ac:dyDescent="0.2">
      <c r="A129" s="13"/>
      <c r="B129" s="3" t="s">
        <v>338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>
        <f>SUM(C129:AI129)</f>
        <v>0</v>
      </c>
      <c r="AK129" s="145"/>
      <c r="AL129" s="74">
        <f t="shared" si="36"/>
        <v>0</v>
      </c>
      <c r="AM129" s="35"/>
      <c r="AN129" s="74">
        <f t="shared" si="37"/>
        <v>0</v>
      </c>
      <c r="AO129" s="35"/>
      <c r="AP129" s="74">
        <f t="shared" si="38"/>
        <v>0</v>
      </c>
      <c r="AQ129" s="35"/>
      <c r="AR129" s="74">
        <f t="shared" si="39"/>
        <v>0</v>
      </c>
      <c r="AS129" s="35"/>
      <c r="AT129" s="74">
        <f t="shared" si="40"/>
        <v>0</v>
      </c>
      <c r="AU129" s="35"/>
      <c r="AV129" s="37">
        <f t="shared" si="22"/>
        <v>0</v>
      </c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x14ac:dyDescent="0.2">
      <c r="A130" s="13"/>
      <c r="B130" s="3" t="s">
        <v>339</v>
      </c>
      <c r="C130" s="14">
        <f>SUM(C128:C129)</f>
        <v>0</v>
      </c>
      <c r="D130" s="14"/>
      <c r="E130" s="14">
        <f>SUM(E128:E129)</f>
        <v>0</v>
      </c>
      <c r="F130" s="14"/>
      <c r="G130" s="14">
        <f>SUM(G128:G129)</f>
        <v>0</v>
      </c>
      <c r="H130" s="14"/>
      <c r="I130" s="14">
        <f>SUM(I128:I129)</f>
        <v>0</v>
      </c>
      <c r="J130" s="14"/>
      <c r="K130" s="14">
        <f>SUM(K128:K129)</f>
        <v>0</v>
      </c>
      <c r="L130" s="14"/>
      <c r="M130" s="14">
        <f>SUM(M128:M129)</f>
        <v>0</v>
      </c>
      <c r="N130" s="14"/>
      <c r="O130" s="14">
        <f>SUM(O128:O129)</f>
        <v>0</v>
      </c>
      <c r="P130" s="14"/>
      <c r="Q130" s="14">
        <f>SUM(Q128:Q129)</f>
        <v>0</v>
      </c>
      <c r="R130" s="14"/>
      <c r="S130" s="14">
        <f>SUM(S128:S129)</f>
        <v>0</v>
      </c>
      <c r="T130" s="14"/>
      <c r="U130" s="14">
        <f>SUM(U128:U129)</f>
        <v>0</v>
      </c>
      <c r="V130" s="14"/>
      <c r="W130" s="14">
        <f>SUM(W128:W129)</f>
        <v>0</v>
      </c>
      <c r="X130" s="14"/>
      <c r="Y130" s="14">
        <f>SUM(Y128:Y129)</f>
        <v>0</v>
      </c>
      <c r="Z130" s="14"/>
      <c r="AA130" s="14">
        <f>SUM(AA128:AA129)</f>
        <v>0</v>
      </c>
      <c r="AB130" s="14"/>
      <c r="AC130" s="14">
        <f>SUM(AC128:AC129)</f>
        <v>0</v>
      </c>
      <c r="AD130" s="14"/>
      <c r="AE130" s="14">
        <f>SUM(AE128:AE129)</f>
        <v>0</v>
      </c>
      <c r="AF130" s="14"/>
      <c r="AG130" s="14">
        <f>SUM(AG128:AG129)</f>
        <v>0</v>
      </c>
      <c r="AH130" s="14"/>
      <c r="AI130" s="14"/>
      <c r="AJ130" s="14">
        <f>SUM(AJ128:AJ129)</f>
        <v>0</v>
      </c>
      <c r="AK130" s="145"/>
      <c r="AL130" s="74">
        <f t="shared" si="36"/>
        <v>0</v>
      </c>
      <c r="AM130" s="35"/>
      <c r="AN130" s="74">
        <f t="shared" si="37"/>
        <v>0</v>
      </c>
      <c r="AO130" s="35"/>
      <c r="AP130" s="74">
        <f t="shared" si="38"/>
        <v>0</v>
      </c>
      <c r="AQ130" s="35"/>
      <c r="AR130" s="74">
        <f t="shared" si="39"/>
        <v>0</v>
      </c>
      <c r="AS130" s="35"/>
      <c r="AT130" s="74">
        <f t="shared" si="40"/>
        <v>0</v>
      </c>
      <c r="AU130" s="35"/>
      <c r="AV130" s="37">
        <f t="shared" si="22"/>
        <v>0</v>
      </c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x14ac:dyDescent="0.2">
      <c r="A131" s="13"/>
      <c r="B131" s="3" t="s">
        <v>340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>
        <f>SUM(C131:AI131)</f>
        <v>0</v>
      </c>
      <c r="AK131" s="145"/>
      <c r="AL131" s="74">
        <f t="shared" si="36"/>
        <v>0</v>
      </c>
      <c r="AM131" s="35"/>
      <c r="AN131" s="74">
        <f t="shared" si="37"/>
        <v>0</v>
      </c>
      <c r="AO131" s="35"/>
      <c r="AP131" s="74">
        <f t="shared" si="38"/>
        <v>0</v>
      </c>
      <c r="AQ131" s="35"/>
      <c r="AR131" s="74">
        <f t="shared" si="39"/>
        <v>0</v>
      </c>
      <c r="AS131" s="35"/>
      <c r="AT131" s="74">
        <f t="shared" si="40"/>
        <v>0</v>
      </c>
      <c r="AU131" s="35"/>
      <c r="AV131" s="37">
        <f t="shared" si="22"/>
        <v>0</v>
      </c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x14ac:dyDescent="0.2">
      <c r="A132" s="13"/>
      <c r="B132" s="3" t="s">
        <v>341</v>
      </c>
      <c r="C132" s="14"/>
      <c r="D132" s="14"/>
      <c r="E132" s="14"/>
      <c r="F132" s="14"/>
      <c r="G132" s="14">
        <v>-185185.13</v>
      </c>
      <c r="H132" s="14"/>
      <c r="I132" s="14"/>
      <c r="J132" s="14"/>
      <c r="K132" s="14"/>
      <c r="L132" s="14"/>
      <c r="M132" s="14">
        <v>-379521.8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>
        <f>300783.09+282056.8-300783.09</f>
        <v>282056.8</v>
      </c>
      <c r="Z132" s="14"/>
      <c r="AA132" s="14">
        <f>-599042.56-611254.86-700461.2-706567.35-720122.16</f>
        <v>-3337448.13</v>
      </c>
      <c r="AB132" s="14"/>
      <c r="AC132" s="14"/>
      <c r="AD132" s="14"/>
      <c r="AE132" s="14">
        <v>1268300.93</v>
      </c>
      <c r="AF132" s="14"/>
      <c r="AG132" s="14">
        <v>1548450.31</v>
      </c>
      <c r="AH132" s="14"/>
      <c r="AI132" s="14"/>
      <c r="AJ132" s="14">
        <f>SUM(C132:AI132)</f>
        <v>-803347.02</v>
      </c>
      <c r="AK132" s="145"/>
      <c r="AL132" s="74">
        <f t="shared" si="36"/>
        <v>3098808.04</v>
      </c>
      <c r="AM132" s="35"/>
      <c r="AN132" s="74">
        <f t="shared" si="37"/>
        <v>-3902155.0599999996</v>
      </c>
      <c r="AO132" s="35"/>
      <c r="AP132" s="74">
        <f t="shared" si="38"/>
        <v>0</v>
      </c>
      <c r="AQ132" s="35"/>
      <c r="AR132" s="74">
        <f t="shared" si="39"/>
        <v>0</v>
      </c>
      <c r="AS132" s="35"/>
      <c r="AT132" s="74">
        <f t="shared" si="40"/>
        <v>-803347.01999999955</v>
      </c>
      <c r="AU132" s="35"/>
      <c r="AV132" s="37">
        <f t="shared" si="22"/>
        <v>0</v>
      </c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x14ac:dyDescent="0.2">
      <c r="A133" s="13"/>
      <c r="B133" s="21" t="s">
        <v>342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>
        <v>-10195326.93</v>
      </c>
      <c r="N133" s="14"/>
      <c r="O133" s="14">
        <v>829151.5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>
        <v>1053390.48</v>
      </c>
      <c r="AH133" s="14"/>
      <c r="AI133" s="14"/>
      <c r="AJ133" s="14">
        <f>SUM(C133:AI133)</f>
        <v>-8312784.9499999993</v>
      </c>
      <c r="AK133" s="145"/>
      <c r="AL133" s="74">
        <f t="shared" si="36"/>
        <v>1882541.98</v>
      </c>
      <c r="AM133" s="35"/>
      <c r="AN133" s="74">
        <f t="shared" si="37"/>
        <v>-10195326.93</v>
      </c>
      <c r="AO133" s="35"/>
      <c r="AP133" s="74">
        <f t="shared" si="38"/>
        <v>0</v>
      </c>
      <c r="AQ133" s="35"/>
      <c r="AR133" s="74">
        <f t="shared" si="39"/>
        <v>0</v>
      </c>
      <c r="AS133" s="35"/>
      <c r="AT133" s="74">
        <f t="shared" si="40"/>
        <v>-8312784.9499999993</v>
      </c>
      <c r="AU133" s="35"/>
      <c r="AV133" s="37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x14ac:dyDescent="0.2">
      <c r="A134" s="13"/>
      <c r="B134" s="9" t="s">
        <v>343</v>
      </c>
      <c r="C134" s="19">
        <f>SUM(C130:C132)+C127+C126+C123+C120</f>
        <v>0</v>
      </c>
      <c r="D134" s="14"/>
      <c r="E134" s="19">
        <f>SUM(E130:E132)+E127+E126+E123+E120</f>
        <v>0</v>
      </c>
      <c r="F134" s="14"/>
      <c r="G134" s="19">
        <f>SUM(G130:G132)+G127+G126+G123+G120</f>
        <v>-185185.13</v>
      </c>
      <c r="H134" s="14"/>
      <c r="I134" s="19">
        <f>SUM(I130:I132)+I127+I126+I123+I120</f>
        <v>0</v>
      </c>
      <c r="J134" s="14"/>
      <c r="K134" s="19">
        <f>SUM(K130:K132)+K127+K126+K123+K120</f>
        <v>0</v>
      </c>
      <c r="L134" s="14"/>
      <c r="M134" s="19">
        <f>SUM(M130:M132)+M127+M126+M123+M120+M133</f>
        <v>-10574848.73</v>
      </c>
      <c r="N134" s="14"/>
      <c r="O134" s="19">
        <f>SUM(O130:O132)+O127+O126+O123+O120+O133</f>
        <v>829151.5</v>
      </c>
      <c r="P134" s="14"/>
      <c r="Q134" s="19">
        <f>SUM(Q130:Q132)+Q127+Q126+Q123+Q120</f>
        <v>0</v>
      </c>
      <c r="R134" s="14"/>
      <c r="S134" s="19">
        <f>SUM(S130:S132)+S127+S126+S123+S120</f>
        <v>0</v>
      </c>
      <c r="T134" s="19"/>
      <c r="U134" s="19">
        <f>SUM(U130:U132)+U127+U126+U123+U120</f>
        <v>0</v>
      </c>
      <c r="V134" s="19"/>
      <c r="W134" s="19">
        <f>SUM(W130:W132)+W127+W126+W123+W120</f>
        <v>0</v>
      </c>
      <c r="X134" s="14"/>
      <c r="Y134" s="19">
        <f>SUM(Y130:Y133)+Y127+Y126+Y123+Y120</f>
        <v>282056.8</v>
      </c>
      <c r="Z134" s="14"/>
      <c r="AA134" s="19">
        <f>SUM(AA130:AA132)+AA127+AA126+AA123+AA120</f>
        <v>-3337448.13</v>
      </c>
      <c r="AB134" s="14"/>
      <c r="AC134" s="19">
        <f>SUM(AC130:AC132)+AC127+AC126+AC123+AC120</f>
        <v>0</v>
      </c>
      <c r="AD134" s="14"/>
      <c r="AE134" s="19">
        <f>SUM(AE130:AE132)+AE127+AE126+AE123+AE120</f>
        <v>1268300.93</v>
      </c>
      <c r="AF134" s="14"/>
      <c r="AG134" s="19">
        <f>SUM(AG130:AG132)+AG127+AG126+AG123+AG120+AG133</f>
        <v>2601840.79</v>
      </c>
      <c r="AH134" s="14"/>
      <c r="AI134" s="19"/>
      <c r="AJ134" s="19">
        <f>SUM(AJ130:AJ133)+AJ127+AJ126+AJ123+AJ120</f>
        <v>-9116131.9699999988</v>
      </c>
      <c r="AK134" s="145"/>
      <c r="AL134" s="110">
        <f>SUM(AL130:AL133)+AL127+AL126+AL123+AL120</f>
        <v>4981350.0199999996</v>
      </c>
      <c r="AM134" s="35"/>
      <c r="AN134" s="110">
        <f>SUM(AN130:AN132)+AN127+AN126+AN123+AN120</f>
        <v>-3902155.0599999996</v>
      </c>
      <c r="AO134" s="35"/>
      <c r="AP134" s="110">
        <f>SUM(AP130:AP133)+AP127+AP126+AP123+AP120</f>
        <v>0</v>
      </c>
      <c r="AQ134" s="35"/>
      <c r="AR134" s="110">
        <f>SUM(AR130:AR132)+AR127+AR126+AR123+AR120</f>
        <v>0</v>
      </c>
      <c r="AS134" s="35"/>
      <c r="AT134" s="110">
        <f>SUM(AT130:AT133)+AT127+AT126+AT123+AT120</f>
        <v>-9116131.9699999988</v>
      </c>
      <c r="AU134" s="35"/>
      <c r="AV134" s="37">
        <f t="shared" si="22"/>
        <v>0</v>
      </c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x14ac:dyDescent="0.2">
      <c r="A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5"/>
      <c r="AL135" s="74"/>
      <c r="AM135" s="35"/>
      <c r="AN135" s="74"/>
      <c r="AO135" s="35"/>
      <c r="AP135" s="35"/>
      <c r="AQ135" s="35"/>
      <c r="AR135" s="35"/>
      <c r="AS135" s="35"/>
      <c r="AT135" s="35"/>
      <c r="AU135" s="35"/>
      <c r="AV135" s="37">
        <f t="shared" si="22"/>
        <v>0</v>
      </c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x14ac:dyDescent="0.2">
      <c r="A136" s="13"/>
      <c r="B136" s="9" t="s">
        <v>24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5"/>
      <c r="AL136" s="74"/>
      <c r="AM136" s="35"/>
      <c r="AN136" s="74"/>
      <c r="AO136" s="35"/>
      <c r="AP136" s="35"/>
      <c r="AQ136" s="35"/>
      <c r="AR136" s="35"/>
      <c r="AS136" s="35"/>
      <c r="AT136" s="35"/>
      <c r="AU136" s="35"/>
      <c r="AV136" s="37">
        <f t="shared" si="22"/>
        <v>0</v>
      </c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outlineLevel="1" x14ac:dyDescent="0.2">
      <c r="A137" s="13"/>
      <c r="B137" s="3" t="s">
        <v>344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>
        <f>SUM(C137:AI137)</f>
        <v>0</v>
      </c>
      <c r="AK137" s="145"/>
      <c r="AL137" s="74">
        <f t="shared" ref="AL137:AL153" si="41">SUMIF($C$10:$AI$10,"=Addition",$C137:$AI137)</f>
        <v>0</v>
      </c>
      <c r="AM137" s="35"/>
      <c r="AN137" s="74">
        <f t="shared" ref="AN137:AN153" si="42">SUMIF($C$10:$AI$10,"=Adjustment",$C137:$AI137)</f>
        <v>0</v>
      </c>
      <c r="AO137" s="35"/>
      <c r="AP137" s="74">
        <f t="shared" ref="AP137:AP153" si="43">SUMIF($C$10:$AI$10,"=Transfer",$C137:$AI137)</f>
        <v>0</v>
      </c>
      <c r="AQ137" s="35"/>
      <c r="AR137" s="74">
        <f t="shared" ref="AR137:AR153" si="44">SUMIF($C$10:$AI$10,"=N/A",$C137:$AI137)</f>
        <v>0</v>
      </c>
      <c r="AS137" s="35"/>
      <c r="AT137" s="74">
        <f t="shared" ref="AT137:AT153" si="45">SUM(AL137:AR137)</f>
        <v>0</v>
      </c>
      <c r="AU137" s="74"/>
      <c r="AV137" s="37">
        <f t="shared" si="22"/>
        <v>0</v>
      </c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outlineLevel="1" x14ac:dyDescent="0.2">
      <c r="A138" s="13"/>
      <c r="B138" s="3" t="s">
        <v>345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>
        <f>SUM(C138:AI138)</f>
        <v>0</v>
      </c>
      <c r="AK138" s="145"/>
      <c r="AL138" s="74">
        <f t="shared" si="41"/>
        <v>0</v>
      </c>
      <c r="AM138" s="35"/>
      <c r="AN138" s="74">
        <f t="shared" si="42"/>
        <v>0</v>
      </c>
      <c r="AO138" s="35"/>
      <c r="AP138" s="74">
        <f t="shared" si="43"/>
        <v>0</v>
      </c>
      <c r="AQ138" s="35"/>
      <c r="AR138" s="74">
        <f t="shared" si="44"/>
        <v>0</v>
      </c>
      <c r="AS138" s="35"/>
      <c r="AT138" s="74">
        <f t="shared" si="45"/>
        <v>0</v>
      </c>
      <c r="AU138" s="74"/>
      <c r="AV138" s="37">
        <f t="shared" si="22"/>
        <v>0</v>
      </c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x14ac:dyDescent="0.2">
      <c r="A139" s="13"/>
      <c r="B139" s="3" t="s">
        <v>346</v>
      </c>
      <c r="C139" s="14">
        <f>SUM(C137:C138)</f>
        <v>0</v>
      </c>
      <c r="D139" s="14"/>
      <c r="E139" s="14">
        <f>SUM(E137:E138)</f>
        <v>0</v>
      </c>
      <c r="F139" s="14"/>
      <c r="G139" s="14">
        <f>SUM(G137:G138)</f>
        <v>0</v>
      </c>
      <c r="H139" s="14"/>
      <c r="I139" s="14">
        <f>SUM(I137:I138)</f>
        <v>0</v>
      </c>
      <c r="J139" s="14"/>
      <c r="K139" s="14">
        <f>SUM(K137:K138)</f>
        <v>0</v>
      </c>
      <c r="L139" s="14"/>
      <c r="M139" s="14">
        <f>SUM(M137:M138)</f>
        <v>0</v>
      </c>
      <c r="N139" s="14"/>
      <c r="O139" s="14">
        <f>SUM(O137:O138)</f>
        <v>0</v>
      </c>
      <c r="P139" s="14"/>
      <c r="Q139" s="14">
        <f>SUM(Q137:Q138)</f>
        <v>0</v>
      </c>
      <c r="R139" s="14"/>
      <c r="S139" s="14">
        <f>SUM(S137:S138)</f>
        <v>0</v>
      </c>
      <c r="T139" s="14"/>
      <c r="U139" s="14">
        <f>SUM(U137:U138)</f>
        <v>0</v>
      </c>
      <c r="V139" s="14"/>
      <c r="W139" s="14">
        <f>SUM(W137:W138)</f>
        <v>0</v>
      </c>
      <c r="X139" s="14"/>
      <c r="Y139" s="14">
        <f>SUM(Y137:Y138)</f>
        <v>0</v>
      </c>
      <c r="Z139" s="14"/>
      <c r="AA139" s="14">
        <f>SUM(AA137:AA138)</f>
        <v>0</v>
      </c>
      <c r="AB139" s="14"/>
      <c r="AC139" s="14">
        <f>SUM(AC137:AC138)</f>
        <v>0</v>
      </c>
      <c r="AD139" s="14"/>
      <c r="AE139" s="14">
        <f>SUM(AE137:AE138)</f>
        <v>0</v>
      </c>
      <c r="AF139" s="14"/>
      <c r="AG139" s="14">
        <f>SUM(AG137:AG138)</f>
        <v>0</v>
      </c>
      <c r="AH139" s="14"/>
      <c r="AI139" s="14"/>
      <c r="AJ139" s="14">
        <f>SUM(C139:AH139)</f>
        <v>0</v>
      </c>
      <c r="AK139" s="145"/>
      <c r="AL139" s="74">
        <f t="shared" si="41"/>
        <v>0</v>
      </c>
      <c r="AM139" s="35"/>
      <c r="AN139" s="74">
        <f t="shared" si="42"/>
        <v>0</v>
      </c>
      <c r="AO139" s="35"/>
      <c r="AP139" s="74">
        <f t="shared" si="43"/>
        <v>0</v>
      </c>
      <c r="AQ139" s="35"/>
      <c r="AR139" s="74">
        <f t="shared" si="44"/>
        <v>0</v>
      </c>
      <c r="AS139" s="35"/>
      <c r="AT139" s="74">
        <f t="shared" si="45"/>
        <v>0</v>
      </c>
      <c r="AU139" s="35"/>
      <c r="AV139" s="37">
        <f t="shared" si="22"/>
        <v>0</v>
      </c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x14ac:dyDescent="0.2">
      <c r="A140" s="13"/>
      <c r="B140" s="3" t="s">
        <v>347</v>
      </c>
      <c r="C140" s="14"/>
      <c r="D140" s="14"/>
      <c r="E140" s="14">
        <v>-72053.22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>
        <f t="shared" ref="AJ140:AJ152" si="46">SUM(C140:AI140)</f>
        <v>-72053.22</v>
      </c>
      <c r="AK140" s="145"/>
      <c r="AL140" s="74">
        <f t="shared" si="41"/>
        <v>0</v>
      </c>
      <c r="AM140" s="35"/>
      <c r="AN140" s="74">
        <f t="shared" si="42"/>
        <v>0</v>
      </c>
      <c r="AO140" s="35"/>
      <c r="AP140" s="74">
        <f t="shared" si="43"/>
        <v>-72053.22</v>
      </c>
      <c r="AQ140" s="35"/>
      <c r="AR140" s="74">
        <f t="shared" si="44"/>
        <v>0</v>
      </c>
      <c r="AS140" s="35"/>
      <c r="AT140" s="74">
        <f t="shared" si="45"/>
        <v>-72053.22</v>
      </c>
      <c r="AU140" s="35"/>
      <c r="AV140" s="37">
        <f t="shared" si="22"/>
        <v>0</v>
      </c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x14ac:dyDescent="0.2">
      <c r="A141" s="13"/>
      <c r="B141" s="3" t="s">
        <v>348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>
        <f t="shared" si="46"/>
        <v>0</v>
      </c>
      <c r="AK141" s="145"/>
      <c r="AL141" s="74">
        <f t="shared" si="41"/>
        <v>0</v>
      </c>
      <c r="AM141" s="35"/>
      <c r="AN141" s="74">
        <f t="shared" si="42"/>
        <v>0</v>
      </c>
      <c r="AO141" s="35"/>
      <c r="AP141" s="74">
        <f t="shared" si="43"/>
        <v>0</v>
      </c>
      <c r="AQ141" s="35"/>
      <c r="AR141" s="74">
        <f t="shared" si="44"/>
        <v>0</v>
      </c>
      <c r="AS141" s="35"/>
      <c r="AT141" s="74">
        <f t="shared" ref="AT141:AT144" si="47">SUM(AL141:AR141)</f>
        <v>0</v>
      </c>
      <c r="AU141" s="35"/>
      <c r="AV141" s="37">
        <f t="shared" si="22"/>
        <v>0</v>
      </c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outlineLevel="1" x14ac:dyDescent="0.2">
      <c r="A142" s="13"/>
      <c r="B142" s="3" t="s">
        <v>349</v>
      </c>
      <c r="C142" s="14"/>
      <c r="D142" s="14"/>
      <c r="E142" s="14">
        <v>984659.32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56638.640000000014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>
        <f t="shared" si="46"/>
        <v>1041297.96</v>
      </c>
      <c r="AK142" s="145"/>
      <c r="AL142" s="74">
        <f t="shared" si="41"/>
        <v>0</v>
      </c>
      <c r="AM142" s="35"/>
      <c r="AN142" s="74">
        <f t="shared" si="42"/>
        <v>0</v>
      </c>
      <c r="AO142" s="35"/>
      <c r="AP142" s="74">
        <f t="shared" si="43"/>
        <v>1041297.96</v>
      </c>
      <c r="AQ142" s="35"/>
      <c r="AR142" s="74">
        <f t="shared" si="44"/>
        <v>0</v>
      </c>
      <c r="AS142" s="35"/>
      <c r="AT142" s="74">
        <f t="shared" si="47"/>
        <v>1041297.96</v>
      </c>
      <c r="AU142" s="35"/>
      <c r="AV142" s="37">
        <f t="shared" si="22"/>
        <v>0</v>
      </c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outlineLevel="1" x14ac:dyDescent="0.2">
      <c r="A143" s="13"/>
      <c r="B143" s="3" t="s">
        <v>350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0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>
        <f t="shared" si="46"/>
        <v>0</v>
      </c>
      <c r="AK143" s="145"/>
      <c r="AL143" s="74">
        <f t="shared" si="41"/>
        <v>0</v>
      </c>
      <c r="AM143" s="35"/>
      <c r="AN143" s="74">
        <f t="shared" si="42"/>
        <v>0</v>
      </c>
      <c r="AO143" s="35"/>
      <c r="AP143" s="74">
        <f t="shared" si="43"/>
        <v>0</v>
      </c>
      <c r="AQ143" s="35"/>
      <c r="AR143" s="74">
        <f t="shared" si="44"/>
        <v>0</v>
      </c>
      <c r="AS143" s="35"/>
      <c r="AT143" s="74">
        <f t="shared" si="47"/>
        <v>0</v>
      </c>
      <c r="AU143" s="35"/>
      <c r="AV143" s="37">
        <f t="shared" si="22"/>
        <v>0</v>
      </c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outlineLevel="1" x14ac:dyDescent="0.2">
      <c r="A144" s="13"/>
      <c r="B144" s="3" t="s">
        <v>351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-65626.259999999995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>
        <f t="shared" si="46"/>
        <v>-65626.259999999995</v>
      </c>
      <c r="AK144" s="145"/>
      <c r="AL144" s="74">
        <f t="shared" si="41"/>
        <v>0</v>
      </c>
      <c r="AM144" s="35"/>
      <c r="AN144" s="74">
        <f t="shared" si="42"/>
        <v>0</v>
      </c>
      <c r="AO144" s="35"/>
      <c r="AP144" s="74">
        <f t="shared" si="43"/>
        <v>-65626.259999999995</v>
      </c>
      <c r="AQ144" s="35"/>
      <c r="AR144" s="74">
        <f t="shared" si="44"/>
        <v>0</v>
      </c>
      <c r="AS144" s="35"/>
      <c r="AT144" s="74">
        <f t="shared" si="47"/>
        <v>-65626.259999999995</v>
      </c>
      <c r="AU144" s="35"/>
      <c r="AV144" s="37">
        <f t="shared" si="22"/>
        <v>0</v>
      </c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x14ac:dyDescent="0.2">
      <c r="A145" s="13"/>
      <c r="B145" s="3" t="s">
        <v>352</v>
      </c>
      <c r="C145" s="14">
        <f>SUM(C142:C143)</f>
        <v>0</v>
      </c>
      <c r="D145" s="14"/>
      <c r="E145" s="14">
        <f>SUM(E142:E143)</f>
        <v>984659.32</v>
      </c>
      <c r="F145" s="14"/>
      <c r="G145" s="14">
        <f>SUM(G142:G143)</f>
        <v>0</v>
      </c>
      <c r="H145" s="14"/>
      <c r="I145" s="14">
        <f>SUM(I142:I143)</f>
        <v>0</v>
      </c>
      <c r="J145" s="14"/>
      <c r="K145" s="14">
        <f>SUM(K142:K143)</f>
        <v>0</v>
      </c>
      <c r="L145" s="14"/>
      <c r="M145" s="14">
        <f>SUM(M142:M143)</f>
        <v>0</v>
      </c>
      <c r="N145" s="14"/>
      <c r="O145" s="14">
        <f>SUM(O142:O143)</f>
        <v>0</v>
      </c>
      <c r="P145" s="14"/>
      <c r="Q145" s="14">
        <f>SUM(Q142:Q143)</f>
        <v>0</v>
      </c>
      <c r="R145" s="14"/>
      <c r="S145" s="14">
        <f>SUM(S142:S143)</f>
        <v>0</v>
      </c>
      <c r="T145" s="14"/>
      <c r="U145" s="14">
        <f>SUM(U142:U143)</f>
        <v>0</v>
      </c>
      <c r="V145" s="14"/>
      <c r="W145" s="14">
        <f>SUM(W142:W144)</f>
        <v>-8987.6199999999808</v>
      </c>
      <c r="X145" s="14"/>
      <c r="Y145" s="14">
        <f>SUM(Y142:Y143)</f>
        <v>0</v>
      </c>
      <c r="Z145" s="14"/>
      <c r="AA145" s="14">
        <f>SUM(AA142:AA143)</f>
        <v>0</v>
      </c>
      <c r="AB145" s="14"/>
      <c r="AC145" s="14">
        <f>SUM(AC142:AC143)</f>
        <v>0</v>
      </c>
      <c r="AD145" s="14"/>
      <c r="AE145" s="14">
        <f>SUM(AE142:AE143)</f>
        <v>0</v>
      </c>
      <c r="AF145" s="14"/>
      <c r="AG145" s="14">
        <f>SUM(AG142:AG143)</f>
        <v>0</v>
      </c>
      <c r="AH145" s="14"/>
      <c r="AI145" s="14"/>
      <c r="AJ145" s="14">
        <f t="shared" si="46"/>
        <v>975671.7</v>
      </c>
      <c r="AK145" s="145"/>
      <c r="AL145" s="74">
        <f t="shared" si="41"/>
        <v>0</v>
      </c>
      <c r="AM145" s="35"/>
      <c r="AN145" s="74">
        <f t="shared" si="42"/>
        <v>0</v>
      </c>
      <c r="AO145" s="35"/>
      <c r="AP145" s="74">
        <f t="shared" si="43"/>
        <v>975671.7</v>
      </c>
      <c r="AQ145" s="35"/>
      <c r="AR145" s="74">
        <f t="shared" si="44"/>
        <v>0</v>
      </c>
      <c r="AS145" s="35"/>
      <c r="AT145" s="74">
        <f t="shared" si="45"/>
        <v>975671.7</v>
      </c>
      <c r="AU145" s="35"/>
      <c r="AV145" s="37">
        <f t="shared" si="22"/>
        <v>0</v>
      </c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x14ac:dyDescent="0.2">
      <c r="A146" s="13"/>
      <c r="B146" s="3" t="s">
        <v>353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>
        <f t="shared" si="46"/>
        <v>0</v>
      </c>
      <c r="AK146" s="145"/>
      <c r="AL146" s="74">
        <f t="shared" si="41"/>
        <v>0</v>
      </c>
      <c r="AM146" s="35"/>
      <c r="AN146" s="74">
        <f t="shared" si="42"/>
        <v>0</v>
      </c>
      <c r="AO146" s="35"/>
      <c r="AP146" s="74">
        <f t="shared" si="43"/>
        <v>0</v>
      </c>
      <c r="AQ146" s="35"/>
      <c r="AR146" s="74">
        <f t="shared" si="44"/>
        <v>0</v>
      </c>
      <c r="AS146" s="35"/>
      <c r="AT146" s="74">
        <f t="shared" si="45"/>
        <v>0</v>
      </c>
      <c r="AU146" s="35"/>
      <c r="AV146" s="37">
        <f t="shared" si="22"/>
        <v>0</v>
      </c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x14ac:dyDescent="0.2">
      <c r="A147" s="13"/>
      <c r="B147" s="3" t="s">
        <v>354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>
        <f t="shared" si="46"/>
        <v>0</v>
      </c>
      <c r="AK147" s="145"/>
      <c r="AL147" s="74">
        <f t="shared" si="41"/>
        <v>0</v>
      </c>
      <c r="AM147" s="35"/>
      <c r="AN147" s="74">
        <f t="shared" si="42"/>
        <v>0</v>
      </c>
      <c r="AO147" s="35"/>
      <c r="AP147" s="74">
        <f t="shared" si="43"/>
        <v>0</v>
      </c>
      <c r="AQ147" s="35"/>
      <c r="AR147" s="74">
        <f t="shared" si="44"/>
        <v>0</v>
      </c>
      <c r="AS147" s="35"/>
      <c r="AT147" s="74">
        <f t="shared" si="45"/>
        <v>0</v>
      </c>
      <c r="AU147" s="35"/>
      <c r="AV147" s="37">
        <f t="shared" si="22"/>
        <v>0</v>
      </c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x14ac:dyDescent="0.2">
      <c r="A148" s="13"/>
      <c r="B148" s="3" t="s">
        <v>355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>
        <f t="shared" si="46"/>
        <v>0</v>
      </c>
      <c r="AK148" s="145"/>
      <c r="AL148" s="74">
        <f t="shared" si="41"/>
        <v>0</v>
      </c>
      <c r="AM148" s="35"/>
      <c r="AN148" s="74">
        <f t="shared" si="42"/>
        <v>0</v>
      </c>
      <c r="AO148" s="35"/>
      <c r="AP148" s="74">
        <f t="shared" si="43"/>
        <v>0</v>
      </c>
      <c r="AQ148" s="35"/>
      <c r="AR148" s="74">
        <f t="shared" si="44"/>
        <v>0</v>
      </c>
      <c r="AS148" s="35"/>
      <c r="AT148" s="74">
        <f t="shared" si="45"/>
        <v>0</v>
      </c>
      <c r="AU148" s="35"/>
      <c r="AV148" s="37">
        <f t="shared" si="22"/>
        <v>0</v>
      </c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x14ac:dyDescent="0.2">
      <c r="A149" s="13"/>
      <c r="B149" s="3" t="s">
        <v>356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>
        <f t="shared" si="46"/>
        <v>0</v>
      </c>
      <c r="AK149" s="145"/>
      <c r="AL149" s="74">
        <f t="shared" si="41"/>
        <v>0</v>
      </c>
      <c r="AM149" s="35"/>
      <c r="AN149" s="74">
        <f t="shared" si="42"/>
        <v>0</v>
      </c>
      <c r="AO149" s="35"/>
      <c r="AP149" s="74">
        <f t="shared" si="43"/>
        <v>0</v>
      </c>
      <c r="AQ149" s="35"/>
      <c r="AR149" s="74">
        <f t="shared" si="44"/>
        <v>0</v>
      </c>
      <c r="AS149" s="35"/>
      <c r="AT149" s="74">
        <f t="shared" si="45"/>
        <v>0</v>
      </c>
      <c r="AU149" s="35"/>
      <c r="AV149" s="37">
        <f t="shared" si="22"/>
        <v>0</v>
      </c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x14ac:dyDescent="0.2">
      <c r="A150" s="13"/>
      <c r="B150" s="3" t="s">
        <v>357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>
        <f t="shared" si="46"/>
        <v>0</v>
      </c>
      <c r="AK150" s="145"/>
      <c r="AL150" s="74">
        <f t="shared" si="41"/>
        <v>0</v>
      </c>
      <c r="AM150" s="35"/>
      <c r="AN150" s="74">
        <f t="shared" si="42"/>
        <v>0</v>
      </c>
      <c r="AO150" s="35"/>
      <c r="AP150" s="74">
        <f t="shared" si="43"/>
        <v>0</v>
      </c>
      <c r="AQ150" s="35"/>
      <c r="AR150" s="74">
        <f t="shared" si="44"/>
        <v>0</v>
      </c>
      <c r="AS150" s="35"/>
      <c r="AT150" s="74">
        <f t="shared" si="45"/>
        <v>0</v>
      </c>
      <c r="AU150" s="35"/>
      <c r="AV150" s="37">
        <f t="shared" ref="AV150:AV214" si="48">AJ150-AT150</f>
        <v>0</v>
      </c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outlineLevel="1" x14ac:dyDescent="0.2">
      <c r="A151" s="13"/>
      <c r="B151" s="3" t="s">
        <v>358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v>-3757.49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>
        <f t="shared" si="46"/>
        <v>-3757.49</v>
      </c>
      <c r="AK151" s="145"/>
      <c r="AL151" s="74">
        <f t="shared" si="41"/>
        <v>0</v>
      </c>
      <c r="AM151" s="35"/>
      <c r="AN151" s="74">
        <f t="shared" si="42"/>
        <v>-3757.49</v>
      </c>
      <c r="AO151" s="35"/>
      <c r="AP151" s="74">
        <f t="shared" si="43"/>
        <v>0</v>
      </c>
      <c r="AQ151" s="35"/>
      <c r="AR151" s="74">
        <f t="shared" si="44"/>
        <v>0</v>
      </c>
      <c r="AS151" s="35"/>
      <c r="AT151" s="74">
        <f t="shared" si="45"/>
        <v>-3757.49</v>
      </c>
      <c r="AU151" s="35"/>
      <c r="AV151" s="37">
        <f t="shared" si="48"/>
        <v>0</v>
      </c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outlineLevel="1" x14ac:dyDescent="0.2">
      <c r="A152" s="13"/>
      <c r="B152" s="29" t="s">
        <v>359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>
        <f t="shared" si="46"/>
        <v>0</v>
      </c>
      <c r="AK152" s="145"/>
      <c r="AL152" s="74">
        <f t="shared" si="41"/>
        <v>0</v>
      </c>
      <c r="AM152" s="35"/>
      <c r="AN152" s="74">
        <f t="shared" si="42"/>
        <v>0</v>
      </c>
      <c r="AO152" s="35"/>
      <c r="AP152" s="74">
        <f t="shared" si="43"/>
        <v>0</v>
      </c>
      <c r="AQ152" s="35"/>
      <c r="AR152" s="74">
        <f t="shared" si="44"/>
        <v>0</v>
      </c>
      <c r="AS152" s="35"/>
      <c r="AT152" s="74">
        <f t="shared" si="45"/>
        <v>0</v>
      </c>
      <c r="AU152" s="35"/>
      <c r="AV152" s="37">
        <f t="shared" si="48"/>
        <v>0</v>
      </c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x14ac:dyDescent="0.2">
      <c r="A153" s="13"/>
      <c r="B153" s="29" t="s">
        <v>360</v>
      </c>
      <c r="C153" s="14">
        <f>SUM(C151:C152)</f>
        <v>0</v>
      </c>
      <c r="D153" s="14"/>
      <c r="E153" s="14">
        <f>SUM(E151:E152)</f>
        <v>0</v>
      </c>
      <c r="F153" s="14"/>
      <c r="G153" s="14">
        <f>SUM(G151:G152)</f>
        <v>0</v>
      </c>
      <c r="H153" s="14"/>
      <c r="I153" s="14">
        <f>SUM(I151:I152)</f>
        <v>0</v>
      </c>
      <c r="J153" s="14"/>
      <c r="K153" s="14">
        <f>SUM(K151:K152)</f>
        <v>0</v>
      </c>
      <c r="L153" s="14"/>
      <c r="M153" s="14">
        <f>SUM(M151:M152)</f>
        <v>-3757.49</v>
      </c>
      <c r="N153" s="14"/>
      <c r="O153" s="14">
        <f>SUM(O151:O152)</f>
        <v>0</v>
      </c>
      <c r="P153" s="14"/>
      <c r="Q153" s="14">
        <f>SUM(Q151:Q152)</f>
        <v>0</v>
      </c>
      <c r="R153" s="14"/>
      <c r="S153" s="14">
        <f>SUM(S151:S152)</f>
        <v>0</v>
      </c>
      <c r="T153" s="14"/>
      <c r="U153" s="14">
        <f>SUM(U151:U152)</f>
        <v>0</v>
      </c>
      <c r="V153" s="14"/>
      <c r="W153" s="14">
        <f>SUM(W151:W152)</f>
        <v>0</v>
      </c>
      <c r="X153" s="14"/>
      <c r="Y153" s="14">
        <f>SUM(Y151:Y152)</f>
        <v>0</v>
      </c>
      <c r="Z153" s="14"/>
      <c r="AA153" s="14">
        <f>SUM(AA151:AA152)</f>
        <v>0</v>
      </c>
      <c r="AB153" s="14"/>
      <c r="AC153" s="14">
        <f>SUM(AC151:AC152)</f>
        <v>0</v>
      </c>
      <c r="AD153" s="14"/>
      <c r="AE153" s="14">
        <f>SUM(AE151:AE152)</f>
        <v>0</v>
      </c>
      <c r="AF153" s="14"/>
      <c r="AG153" s="14">
        <f>SUM(AG151:AG152)</f>
        <v>0</v>
      </c>
      <c r="AH153" s="14"/>
      <c r="AI153" s="14"/>
      <c r="AJ153" s="14">
        <f>SUM(C153:AH153)</f>
        <v>-3757.49</v>
      </c>
      <c r="AK153" s="145"/>
      <c r="AL153" s="74">
        <f t="shared" si="41"/>
        <v>0</v>
      </c>
      <c r="AM153" s="35"/>
      <c r="AN153" s="74">
        <f t="shared" si="42"/>
        <v>-3757.49</v>
      </c>
      <c r="AO153" s="35"/>
      <c r="AP153" s="74">
        <f t="shared" si="43"/>
        <v>0</v>
      </c>
      <c r="AQ153" s="35"/>
      <c r="AR153" s="74">
        <f t="shared" si="44"/>
        <v>0</v>
      </c>
      <c r="AS153" s="35"/>
      <c r="AT153" s="74">
        <f t="shared" si="45"/>
        <v>-3757.49</v>
      </c>
      <c r="AU153" s="35"/>
      <c r="AV153" s="37">
        <f t="shared" si="48"/>
        <v>0</v>
      </c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x14ac:dyDescent="0.2">
      <c r="A154" s="13"/>
      <c r="B154" s="111" t="s">
        <v>361</v>
      </c>
      <c r="C154" s="19">
        <f>C153+SUM(C145:C150)+C140+C139</f>
        <v>0</v>
      </c>
      <c r="D154" s="14"/>
      <c r="E154" s="19">
        <f>E153+SUM(E145:E150)+E140+E139</f>
        <v>912606.1</v>
      </c>
      <c r="F154" s="14"/>
      <c r="G154" s="19">
        <f>G153+SUM(G145:G150)+G140+G139</f>
        <v>0</v>
      </c>
      <c r="H154" s="14"/>
      <c r="I154" s="19">
        <f>I153+SUM(I145:I150)+I140+I139</f>
        <v>0</v>
      </c>
      <c r="J154" s="14"/>
      <c r="K154" s="19">
        <f>K153+SUM(K145:K150)+K140+K139</f>
        <v>0</v>
      </c>
      <c r="L154" s="14"/>
      <c r="M154" s="19">
        <f>M153+SUM(M145:M150)+M140+M139</f>
        <v>-3757.49</v>
      </c>
      <c r="N154" s="14"/>
      <c r="O154" s="19">
        <f>O153+SUM(O145:O150)+O140+O139</f>
        <v>0</v>
      </c>
      <c r="P154" s="14"/>
      <c r="Q154" s="19">
        <f>Q153+SUM(Q145:Q150)+Q140+Q139</f>
        <v>0</v>
      </c>
      <c r="R154" s="14"/>
      <c r="S154" s="19">
        <f>S153+SUM(S145:S150)+S140+S139</f>
        <v>0</v>
      </c>
      <c r="T154" s="19"/>
      <c r="U154" s="19">
        <f>U153+SUM(U145:U150)+U140+U139</f>
        <v>0</v>
      </c>
      <c r="V154" s="19"/>
      <c r="W154" s="19">
        <f>W153+SUM(W145:W150)+W140+W139</f>
        <v>-8987.6199999999808</v>
      </c>
      <c r="X154" s="14"/>
      <c r="Y154" s="19">
        <f>Y153+SUM(Y145:Y150)+Y140+Y139</f>
        <v>0</v>
      </c>
      <c r="Z154" s="14"/>
      <c r="AA154" s="19">
        <f>AA153+SUM(AA145:AA150)+AA140+AA139</f>
        <v>0</v>
      </c>
      <c r="AB154" s="14"/>
      <c r="AC154" s="19">
        <f>AC153+SUM(AC145:AC150)+AC140+AC139</f>
        <v>0</v>
      </c>
      <c r="AD154" s="14"/>
      <c r="AE154" s="19">
        <f>AE153+SUM(AE145:AE150)+AE140+AE139</f>
        <v>0</v>
      </c>
      <c r="AF154" s="14"/>
      <c r="AG154" s="19">
        <f>AG153+SUM(AG145:AG150)+AG140+AG139</f>
        <v>0</v>
      </c>
      <c r="AH154" s="14"/>
      <c r="AI154" s="19"/>
      <c r="AJ154" s="19">
        <f>AJ153+SUM(AJ145:AJ150)+AJ140+AJ139</f>
        <v>899860.99</v>
      </c>
      <c r="AK154" s="145"/>
      <c r="AL154" s="110">
        <f>AL153+SUM(AL145:AL150)+AL140+AL139</f>
        <v>0</v>
      </c>
      <c r="AM154" s="35"/>
      <c r="AN154" s="110">
        <f>AN153+SUM(AN145:AN150)+AN140+AN139</f>
        <v>-3757.49</v>
      </c>
      <c r="AO154" s="35"/>
      <c r="AP154" s="110">
        <f>AP153+SUM(AP145:AP150)+AP140+AP139</f>
        <v>903618.48</v>
      </c>
      <c r="AQ154" s="35"/>
      <c r="AR154" s="110">
        <f>AR153+SUM(AR145:AR150)+AR140+AR139</f>
        <v>0</v>
      </c>
      <c r="AS154" s="35"/>
      <c r="AT154" s="110">
        <f>AT153+SUM(AT145:AT150)+AT140+AT139</f>
        <v>899860.99</v>
      </c>
      <c r="AU154" s="35"/>
      <c r="AV154" s="37">
        <f t="shared" si="48"/>
        <v>0</v>
      </c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x14ac:dyDescent="0.2">
      <c r="A155" s="13"/>
      <c r="B155" s="111"/>
      <c r="C155" s="16"/>
      <c r="D155" s="14"/>
      <c r="E155" s="16"/>
      <c r="F155" s="14"/>
      <c r="G155" s="16"/>
      <c r="H155" s="14"/>
      <c r="I155" s="16"/>
      <c r="J155" s="14"/>
      <c r="K155" s="16"/>
      <c r="L155" s="14"/>
      <c r="M155" s="16"/>
      <c r="N155" s="14"/>
      <c r="O155" s="16"/>
      <c r="P155" s="14"/>
      <c r="Q155" s="16"/>
      <c r="R155" s="14"/>
      <c r="S155" s="16"/>
      <c r="T155" s="16"/>
      <c r="U155" s="16"/>
      <c r="V155" s="16"/>
      <c r="W155" s="16"/>
      <c r="X155" s="14"/>
      <c r="Y155" s="16"/>
      <c r="Z155" s="14"/>
      <c r="AA155" s="16"/>
      <c r="AB155" s="14"/>
      <c r="AC155" s="16"/>
      <c r="AD155" s="14"/>
      <c r="AE155" s="16"/>
      <c r="AF155" s="14"/>
      <c r="AG155" s="16"/>
      <c r="AH155" s="14"/>
      <c r="AI155" s="16"/>
      <c r="AJ155" s="16"/>
      <c r="AK155" s="145"/>
      <c r="AL155" s="74"/>
      <c r="AM155" s="35"/>
      <c r="AN155" s="74"/>
      <c r="AO155" s="35"/>
      <c r="AP155" s="35"/>
      <c r="AQ155" s="35"/>
      <c r="AR155" s="35"/>
      <c r="AS155" s="35"/>
      <c r="AT155" s="35"/>
      <c r="AU155" s="35"/>
      <c r="AV155" s="37">
        <f t="shared" si="48"/>
        <v>0</v>
      </c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x14ac:dyDescent="0.2">
      <c r="A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5"/>
      <c r="AL156" s="74"/>
      <c r="AM156" s="35"/>
      <c r="AN156" s="74"/>
      <c r="AO156" s="35"/>
      <c r="AP156" s="35"/>
      <c r="AQ156" s="35"/>
      <c r="AR156" s="35"/>
      <c r="AS156" s="35"/>
      <c r="AT156" s="35"/>
      <c r="AU156" s="35"/>
      <c r="AV156" s="37">
        <f t="shared" si="48"/>
        <v>0</v>
      </c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x14ac:dyDescent="0.2">
      <c r="A157" s="13"/>
      <c r="B157" s="9" t="s">
        <v>362</v>
      </c>
      <c r="C157" s="19">
        <f>C154+C134+C114+C101+C96+C85+C72</f>
        <v>0</v>
      </c>
      <c r="D157" s="14"/>
      <c r="E157" s="19">
        <f>E154+E134+E114+E101+E96+E85+E72</f>
        <v>0</v>
      </c>
      <c r="F157" s="14"/>
      <c r="G157" s="19">
        <f>G154+G134+G114+G101+G96+G85+G72</f>
        <v>-185185.13</v>
      </c>
      <c r="H157" s="14"/>
      <c r="I157" s="19">
        <f>I154+I134+I114+I101+I96+I85+I72</f>
        <v>0</v>
      </c>
      <c r="J157" s="14"/>
      <c r="K157" s="19">
        <f>K154+K134+K114+K101+K96+K85+K72</f>
        <v>0</v>
      </c>
      <c r="L157" s="14"/>
      <c r="M157" s="19">
        <f>M154+M134+M114+M101+M96+M85+M72</f>
        <v>-10658439.800000001</v>
      </c>
      <c r="N157" s="14"/>
      <c r="O157" s="19">
        <f>O154+O134+O114+O101+O96+O85+O72</f>
        <v>911691.39</v>
      </c>
      <c r="P157" s="14"/>
      <c r="Q157" s="19">
        <f>Q154+Q134+Q114+Q101+Q96+Q85+Q72</f>
        <v>-5776821.0199999996</v>
      </c>
      <c r="R157" s="14"/>
      <c r="S157" s="19">
        <f>S154+S134+S114+S101+S96+S85+S72</f>
        <v>0</v>
      </c>
      <c r="T157" s="19"/>
      <c r="U157" s="19">
        <f>U154+U134+U114+U101+U96+U85+U72</f>
        <v>0</v>
      </c>
      <c r="V157" s="19"/>
      <c r="W157" s="19">
        <f>W154+W134+W114+W101+W96+W85+W72</f>
        <v>1.4551915228366852E-11</v>
      </c>
      <c r="X157" s="14"/>
      <c r="Y157" s="19">
        <f>Y154+Y134+Y114+Y101+Y96+Y85+Y72</f>
        <v>282056.8</v>
      </c>
      <c r="Z157" s="14"/>
      <c r="AA157" s="19">
        <f>AA154+AA134+AA114+AA101+AA96+AA85+AA72</f>
        <v>-3337448.13</v>
      </c>
      <c r="AB157" s="14"/>
      <c r="AC157" s="19">
        <f>AC154+AC134+AC114+AC101+AC96+AC85+AC72</f>
        <v>0</v>
      </c>
      <c r="AD157" s="14"/>
      <c r="AE157" s="19">
        <f>AE154+AE134+AE114+AE101+AE96+AE85+AE72</f>
        <v>1268300.93</v>
      </c>
      <c r="AF157" s="14"/>
      <c r="AG157" s="19">
        <f>AG154+AG134+AG114+AG101+AG96+AG85+AG72</f>
        <v>2601840.79</v>
      </c>
      <c r="AH157" s="14"/>
      <c r="AI157" s="19"/>
      <c r="AJ157" s="19">
        <f>AJ154+AJ134+AJ114+AJ101+AJ96+AJ85+AJ72</f>
        <v>-9117183.1499999985</v>
      </c>
      <c r="AK157" s="145"/>
      <c r="AL157" s="110">
        <f>AL154+AL134+AL114+AL101+AL96+AL85+AL72</f>
        <v>5063889.91</v>
      </c>
      <c r="AM157" s="35"/>
      <c r="AN157" s="110">
        <f>AN154+AN134+AN114+AN101+AN96+AN85+AN72</f>
        <v>-3985746.13</v>
      </c>
      <c r="AO157" s="35"/>
      <c r="AP157" s="110">
        <f>AP154+AP134+AP114+AP101+AP96+AP85+AP72</f>
        <v>0</v>
      </c>
      <c r="AQ157" s="35"/>
      <c r="AR157" s="110">
        <f>AR154+AR134+AR114+AR101+AR96+AR85+AR72</f>
        <v>0</v>
      </c>
      <c r="AS157" s="35"/>
      <c r="AT157" s="110">
        <f>AT154+AT134+AT114+AT101+AT96+AT85+AT72</f>
        <v>-9117183.1499999985</v>
      </c>
      <c r="AU157" s="35"/>
      <c r="AV157" s="37">
        <f t="shared" si="48"/>
        <v>0</v>
      </c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x14ac:dyDescent="0.2">
      <c r="A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5"/>
      <c r="AL158" s="74"/>
      <c r="AM158" s="35"/>
      <c r="AN158" s="74"/>
      <c r="AO158" s="35"/>
      <c r="AP158" s="35"/>
      <c r="AQ158" s="35"/>
      <c r="AR158" s="35"/>
      <c r="AS158" s="35"/>
      <c r="AT158" s="35"/>
      <c r="AU158" s="35"/>
      <c r="AV158" s="37">
        <f t="shared" si="48"/>
        <v>0</v>
      </c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x14ac:dyDescent="0.2">
      <c r="A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5"/>
      <c r="AL159" s="74"/>
      <c r="AM159" s="35"/>
      <c r="AN159" s="74"/>
      <c r="AO159" s="35"/>
      <c r="AP159" s="35"/>
      <c r="AQ159" s="35"/>
      <c r="AR159" s="35"/>
      <c r="AS159" s="35"/>
      <c r="AT159" s="35"/>
      <c r="AU159" s="35"/>
      <c r="AV159" s="37">
        <f t="shared" si="48"/>
        <v>0</v>
      </c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x14ac:dyDescent="0.2">
      <c r="A160" s="8" t="s">
        <v>26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5"/>
      <c r="AL160" s="74"/>
      <c r="AM160" s="35"/>
      <c r="AN160" s="74"/>
      <c r="AO160" s="35"/>
      <c r="AP160" s="35"/>
      <c r="AQ160" s="35"/>
      <c r="AR160" s="35"/>
      <c r="AS160" s="35"/>
      <c r="AT160" s="35"/>
      <c r="AU160" s="35"/>
      <c r="AV160" s="37">
        <f t="shared" si="48"/>
        <v>0</v>
      </c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x14ac:dyDescent="0.2">
      <c r="A161" s="13"/>
      <c r="B161" s="9" t="s">
        <v>27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5"/>
      <c r="AL161" s="74"/>
      <c r="AM161" s="35"/>
      <c r="AN161" s="74"/>
      <c r="AO161" s="35"/>
      <c r="AP161" s="35"/>
      <c r="AQ161" s="35"/>
      <c r="AR161" s="35"/>
      <c r="AS161" s="35"/>
      <c r="AT161" s="35"/>
      <c r="AU161" s="35"/>
      <c r="AV161" s="37">
        <f t="shared" si="48"/>
        <v>0</v>
      </c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outlineLevel="1" x14ac:dyDescent="0.2">
      <c r="A162" s="13"/>
      <c r="B162" s="3" t="s">
        <v>363</v>
      </c>
      <c r="C162" s="14">
        <v>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>
        <f>SUM(C162:AI162)</f>
        <v>0</v>
      </c>
      <c r="AK162" s="145"/>
      <c r="AL162" s="74">
        <f t="shared" ref="AL162:AL180" si="49">SUMIF($C$10:$AI$10,"=Addition",$C162:$AI162)</f>
        <v>0</v>
      </c>
      <c r="AM162" s="35"/>
      <c r="AN162" s="74">
        <f t="shared" ref="AN162:AN180" si="50">SUMIF($C$10:$AI$10,"=Adjustment",$C162:$AI162)</f>
        <v>0</v>
      </c>
      <c r="AO162" s="35"/>
      <c r="AP162" s="74">
        <f t="shared" ref="AP162:AP180" si="51">SUMIF($C$10:$AI$10,"=Transfer",$C162:$AI162)</f>
        <v>0</v>
      </c>
      <c r="AQ162" s="35"/>
      <c r="AR162" s="74">
        <f t="shared" ref="AR162:AR180" si="52">SUMIF($C$10:$AI$10,"=N/A",$C162:$AI162)</f>
        <v>0</v>
      </c>
      <c r="AS162" s="35"/>
      <c r="AT162" s="74">
        <f t="shared" ref="AT162:AT180" si="53">SUM(AL162:AR162)</f>
        <v>0</v>
      </c>
      <c r="AU162" s="35"/>
      <c r="AV162" s="37">
        <f t="shared" si="48"/>
        <v>0</v>
      </c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outlineLevel="1" x14ac:dyDescent="0.2">
      <c r="A163" s="13"/>
      <c r="B163" s="3" t="s">
        <v>364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>
        <f>SUM(C163:AI163)</f>
        <v>0</v>
      </c>
      <c r="AK163" s="145"/>
      <c r="AL163" s="74">
        <f t="shared" si="49"/>
        <v>0</v>
      </c>
      <c r="AM163" s="35"/>
      <c r="AN163" s="74">
        <f t="shared" si="50"/>
        <v>0</v>
      </c>
      <c r="AO163" s="35"/>
      <c r="AP163" s="74">
        <f t="shared" si="51"/>
        <v>0</v>
      </c>
      <c r="AQ163" s="35"/>
      <c r="AR163" s="74">
        <f t="shared" si="52"/>
        <v>0</v>
      </c>
      <c r="AS163" s="35"/>
      <c r="AT163" s="74">
        <f t="shared" si="53"/>
        <v>0</v>
      </c>
      <c r="AU163" s="35"/>
      <c r="AV163" s="37">
        <f t="shared" si="48"/>
        <v>0</v>
      </c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x14ac:dyDescent="0.2">
      <c r="A164" s="13"/>
      <c r="B164" s="21" t="s">
        <v>365</v>
      </c>
      <c r="C164" s="14">
        <f>SUM(C162:C163)</f>
        <v>0</v>
      </c>
      <c r="D164" s="14"/>
      <c r="E164" s="14">
        <f>SUM(E162:E163)</f>
        <v>0</v>
      </c>
      <c r="F164" s="14"/>
      <c r="G164" s="14">
        <f>SUM(G162:G163)</f>
        <v>0</v>
      </c>
      <c r="H164" s="14"/>
      <c r="I164" s="14">
        <f>SUM(I162:I163)</f>
        <v>0</v>
      </c>
      <c r="J164" s="14"/>
      <c r="K164" s="14">
        <f>SUM(K162:K163)</f>
        <v>0</v>
      </c>
      <c r="L164" s="14"/>
      <c r="M164" s="14">
        <f>SUM(M162:M163)</f>
        <v>0</v>
      </c>
      <c r="N164" s="14"/>
      <c r="O164" s="14">
        <f>SUM(O162:O163)</f>
        <v>0</v>
      </c>
      <c r="P164" s="14"/>
      <c r="Q164" s="14">
        <f>SUM(Q162:Q163)</f>
        <v>0</v>
      </c>
      <c r="R164" s="14"/>
      <c r="S164" s="14">
        <f>SUM(S162:S163)</f>
        <v>0</v>
      </c>
      <c r="T164" s="14"/>
      <c r="U164" s="14">
        <f>SUM(U162:U163)</f>
        <v>0</v>
      </c>
      <c r="V164" s="14"/>
      <c r="W164" s="14">
        <f>SUM(W162:W163)</f>
        <v>0</v>
      </c>
      <c r="X164" s="14"/>
      <c r="Y164" s="14">
        <f>SUM(Y162:Y163)</f>
        <v>0</v>
      </c>
      <c r="Z164" s="14"/>
      <c r="AA164" s="14">
        <f>SUM(AA162:AA163)</f>
        <v>0</v>
      </c>
      <c r="AB164" s="14"/>
      <c r="AC164" s="14">
        <f>SUM(AC162:AC163)</f>
        <v>0</v>
      </c>
      <c r="AD164" s="14"/>
      <c r="AE164" s="14">
        <f>SUM(AE162:AE163)</f>
        <v>0</v>
      </c>
      <c r="AF164" s="14"/>
      <c r="AG164" s="14">
        <f>SUM(AG162:AG163)</f>
        <v>0</v>
      </c>
      <c r="AH164" s="14"/>
      <c r="AI164" s="14"/>
      <c r="AJ164" s="14">
        <f>SUM(AJ162:AJ163)</f>
        <v>0</v>
      </c>
      <c r="AK164" s="145"/>
      <c r="AL164" s="74">
        <f t="shared" si="49"/>
        <v>0</v>
      </c>
      <c r="AM164" s="35"/>
      <c r="AN164" s="74">
        <f t="shared" si="50"/>
        <v>0</v>
      </c>
      <c r="AO164" s="35"/>
      <c r="AP164" s="74">
        <f t="shared" si="51"/>
        <v>0</v>
      </c>
      <c r="AQ164" s="35"/>
      <c r="AR164" s="74">
        <f t="shared" si="52"/>
        <v>0</v>
      </c>
      <c r="AS164" s="35"/>
      <c r="AT164" s="74">
        <f t="shared" si="53"/>
        <v>0</v>
      </c>
      <c r="AU164" s="35"/>
      <c r="AV164" s="37">
        <f t="shared" si="48"/>
        <v>0</v>
      </c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outlineLevel="1" x14ac:dyDescent="0.2">
      <c r="A165" s="13"/>
      <c r="B165" s="3" t="s">
        <v>366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>
        <f>SUM(C165:AI165)</f>
        <v>0</v>
      </c>
      <c r="AK165" s="145"/>
      <c r="AL165" s="74">
        <f t="shared" si="49"/>
        <v>0</v>
      </c>
      <c r="AM165" s="35"/>
      <c r="AN165" s="74">
        <f t="shared" si="50"/>
        <v>0</v>
      </c>
      <c r="AO165" s="35"/>
      <c r="AP165" s="74">
        <f t="shared" si="51"/>
        <v>0</v>
      </c>
      <c r="AQ165" s="35"/>
      <c r="AR165" s="74">
        <f t="shared" si="52"/>
        <v>0</v>
      </c>
      <c r="AS165" s="35"/>
      <c r="AT165" s="74">
        <f t="shared" si="53"/>
        <v>0</v>
      </c>
      <c r="AU165" s="35"/>
      <c r="AV165" s="37">
        <f t="shared" si="48"/>
        <v>0</v>
      </c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outlineLevel="1" x14ac:dyDescent="0.2">
      <c r="A166" s="13"/>
      <c r="B166" s="3" t="s">
        <v>367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>
        <f>SUM(C166:AI166)</f>
        <v>0</v>
      </c>
      <c r="AK166" s="145"/>
      <c r="AL166" s="74">
        <f t="shared" si="49"/>
        <v>0</v>
      </c>
      <c r="AM166" s="35"/>
      <c r="AN166" s="74">
        <f t="shared" si="50"/>
        <v>0</v>
      </c>
      <c r="AO166" s="35"/>
      <c r="AP166" s="74">
        <f t="shared" si="51"/>
        <v>0</v>
      </c>
      <c r="AQ166" s="35"/>
      <c r="AR166" s="74">
        <f t="shared" si="52"/>
        <v>0</v>
      </c>
      <c r="AS166" s="35"/>
      <c r="AT166" s="74">
        <f t="shared" si="53"/>
        <v>0</v>
      </c>
      <c r="AU166" s="35"/>
      <c r="AV166" s="37">
        <f t="shared" si="48"/>
        <v>0</v>
      </c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x14ac:dyDescent="0.2">
      <c r="A167" s="13"/>
      <c r="B167" s="3" t="s">
        <v>368</v>
      </c>
      <c r="C167" s="14">
        <f>SUM(C165:C166)</f>
        <v>0</v>
      </c>
      <c r="D167" s="14"/>
      <c r="E167" s="14">
        <f>SUM(E165:E166)</f>
        <v>0</v>
      </c>
      <c r="F167" s="14"/>
      <c r="G167" s="14">
        <f>SUM(G165:G166)</f>
        <v>0</v>
      </c>
      <c r="H167" s="14"/>
      <c r="I167" s="14">
        <f>SUM(I165:I166)</f>
        <v>0</v>
      </c>
      <c r="J167" s="14"/>
      <c r="K167" s="14">
        <f>SUM(K165:K166)</f>
        <v>0</v>
      </c>
      <c r="L167" s="14"/>
      <c r="M167" s="14">
        <f>SUM(M165:M166)</f>
        <v>0</v>
      </c>
      <c r="N167" s="14"/>
      <c r="O167" s="14">
        <f>SUM(O165:O166)</f>
        <v>0</v>
      </c>
      <c r="P167" s="14"/>
      <c r="Q167" s="14">
        <f>SUM(Q165:Q166)</f>
        <v>0</v>
      </c>
      <c r="R167" s="14"/>
      <c r="S167" s="14">
        <f>SUM(S165:S166)</f>
        <v>0</v>
      </c>
      <c r="T167" s="14"/>
      <c r="U167" s="14">
        <f>SUM(U165:U166)</f>
        <v>0</v>
      </c>
      <c r="V167" s="14"/>
      <c r="W167" s="14">
        <f>SUM(W165:W166)</f>
        <v>0</v>
      </c>
      <c r="X167" s="14"/>
      <c r="Y167" s="14">
        <f>SUM(Y165:Y166)</f>
        <v>0</v>
      </c>
      <c r="Z167" s="14"/>
      <c r="AA167" s="14">
        <f>SUM(AA165:AA166)</f>
        <v>0</v>
      </c>
      <c r="AB167" s="14"/>
      <c r="AC167" s="14">
        <f>SUM(AC165:AC166)</f>
        <v>0</v>
      </c>
      <c r="AD167" s="14"/>
      <c r="AE167" s="14">
        <f>SUM(AE165:AE166)</f>
        <v>0</v>
      </c>
      <c r="AF167" s="14"/>
      <c r="AG167" s="14">
        <f>SUM(AG165:AG166)</f>
        <v>0</v>
      </c>
      <c r="AH167" s="14"/>
      <c r="AI167" s="14"/>
      <c r="AJ167" s="14">
        <f>SUM(AJ165:AJ166)</f>
        <v>0</v>
      </c>
      <c r="AK167" s="145"/>
      <c r="AL167" s="74">
        <f t="shared" si="49"/>
        <v>0</v>
      </c>
      <c r="AM167" s="35"/>
      <c r="AN167" s="74">
        <f t="shared" si="50"/>
        <v>0</v>
      </c>
      <c r="AO167" s="35"/>
      <c r="AP167" s="74">
        <f t="shared" si="51"/>
        <v>0</v>
      </c>
      <c r="AQ167" s="35"/>
      <c r="AR167" s="74">
        <f t="shared" si="52"/>
        <v>0</v>
      </c>
      <c r="AS167" s="35"/>
      <c r="AT167" s="74">
        <f t="shared" si="53"/>
        <v>0</v>
      </c>
      <c r="AU167" s="35"/>
      <c r="AV167" s="37">
        <f t="shared" si="48"/>
        <v>0</v>
      </c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x14ac:dyDescent="0.2">
      <c r="A168" s="13"/>
      <c r="B168" s="3" t="s">
        <v>369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>
        <f t="shared" ref="AJ168:AJ180" si="54">SUM(C168:AI168)</f>
        <v>0</v>
      </c>
      <c r="AK168" s="145"/>
      <c r="AL168" s="74">
        <f t="shared" si="49"/>
        <v>0</v>
      </c>
      <c r="AM168" s="35"/>
      <c r="AN168" s="74">
        <f t="shared" si="50"/>
        <v>0</v>
      </c>
      <c r="AO168" s="35"/>
      <c r="AP168" s="74">
        <f t="shared" si="51"/>
        <v>0</v>
      </c>
      <c r="AQ168" s="35"/>
      <c r="AR168" s="74">
        <f t="shared" si="52"/>
        <v>0</v>
      </c>
      <c r="AS168" s="35"/>
      <c r="AT168" s="74">
        <f t="shared" si="53"/>
        <v>0</v>
      </c>
      <c r="AU168" s="35"/>
      <c r="AV168" s="37">
        <f t="shared" si="48"/>
        <v>0</v>
      </c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x14ac:dyDescent="0.2">
      <c r="A169" s="13"/>
      <c r="B169" s="21" t="s">
        <v>370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>
        <f t="shared" si="54"/>
        <v>0</v>
      </c>
      <c r="AK169" s="145"/>
      <c r="AL169" s="74">
        <f t="shared" si="49"/>
        <v>0</v>
      </c>
      <c r="AM169" s="35"/>
      <c r="AN169" s="74">
        <f t="shared" si="50"/>
        <v>0</v>
      </c>
      <c r="AO169" s="35"/>
      <c r="AP169" s="74">
        <f t="shared" si="51"/>
        <v>0</v>
      </c>
      <c r="AQ169" s="35"/>
      <c r="AR169" s="74">
        <f t="shared" si="52"/>
        <v>0</v>
      </c>
      <c r="AS169" s="35"/>
      <c r="AT169" s="74">
        <f t="shared" si="53"/>
        <v>0</v>
      </c>
      <c r="AU169" s="35"/>
      <c r="AV169" s="37">
        <f t="shared" si="48"/>
        <v>0</v>
      </c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x14ac:dyDescent="0.2">
      <c r="A170" s="13"/>
      <c r="B170" s="3" t="s">
        <v>371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>
        <f t="shared" si="54"/>
        <v>0</v>
      </c>
      <c r="AK170" s="145"/>
      <c r="AL170" s="74">
        <f t="shared" si="49"/>
        <v>0</v>
      </c>
      <c r="AM170" s="35"/>
      <c r="AN170" s="74">
        <f t="shared" si="50"/>
        <v>0</v>
      </c>
      <c r="AO170" s="35"/>
      <c r="AP170" s="74">
        <f t="shared" si="51"/>
        <v>0</v>
      </c>
      <c r="AQ170" s="35"/>
      <c r="AR170" s="74">
        <f t="shared" si="52"/>
        <v>0</v>
      </c>
      <c r="AS170" s="35"/>
      <c r="AT170" s="74">
        <f t="shared" si="53"/>
        <v>0</v>
      </c>
      <c r="AU170" s="35"/>
      <c r="AV170" s="37">
        <f t="shared" si="48"/>
        <v>0</v>
      </c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x14ac:dyDescent="0.2">
      <c r="A171" s="13"/>
      <c r="B171" s="3" t="s">
        <v>372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>
        <f t="shared" si="54"/>
        <v>0</v>
      </c>
      <c r="AK171" s="145"/>
      <c r="AL171" s="74">
        <f t="shared" si="49"/>
        <v>0</v>
      </c>
      <c r="AM171" s="35"/>
      <c r="AN171" s="74">
        <f t="shared" si="50"/>
        <v>0</v>
      </c>
      <c r="AO171" s="35"/>
      <c r="AP171" s="74">
        <f t="shared" si="51"/>
        <v>0</v>
      </c>
      <c r="AQ171" s="35"/>
      <c r="AR171" s="74">
        <f t="shared" si="52"/>
        <v>0</v>
      </c>
      <c r="AS171" s="35"/>
      <c r="AT171" s="74">
        <f t="shared" si="53"/>
        <v>0</v>
      </c>
      <c r="AU171" s="35"/>
      <c r="AV171" s="37">
        <f t="shared" si="48"/>
        <v>0</v>
      </c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x14ac:dyDescent="0.2">
      <c r="A172" s="13"/>
      <c r="B172" s="3" t="s">
        <v>373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>
        <f t="shared" si="54"/>
        <v>0</v>
      </c>
      <c r="AK172" s="145"/>
      <c r="AL172" s="74">
        <f t="shared" si="49"/>
        <v>0</v>
      </c>
      <c r="AM172" s="35"/>
      <c r="AN172" s="74">
        <f t="shared" si="50"/>
        <v>0</v>
      </c>
      <c r="AO172" s="35"/>
      <c r="AP172" s="74">
        <f t="shared" si="51"/>
        <v>0</v>
      </c>
      <c r="AQ172" s="35"/>
      <c r="AR172" s="74">
        <f t="shared" si="52"/>
        <v>0</v>
      </c>
      <c r="AS172" s="35"/>
      <c r="AT172" s="74">
        <f t="shared" si="53"/>
        <v>0</v>
      </c>
      <c r="AU172" s="35"/>
      <c r="AV172" s="37">
        <f t="shared" si="48"/>
        <v>0</v>
      </c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x14ac:dyDescent="0.2">
      <c r="A173" s="13"/>
      <c r="B173" s="21" t="s">
        <v>374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>
        <f t="shared" si="54"/>
        <v>0</v>
      </c>
      <c r="AK173" s="145"/>
      <c r="AL173" s="74">
        <f t="shared" si="49"/>
        <v>0</v>
      </c>
      <c r="AM173" s="35"/>
      <c r="AN173" s="74">
        <f t="shared" si="50"/>
        <v>0</v>
      </c>
      <c r="AO173" s="35"/>
      <c r="AP173" s="74">
        <f t="shared" si="51"/>
        <v>0</v>
      </c>
      <c r="AQ173" s="35"/>
      <c r="AR173" s="74">
        <f t="shared" si="52"/>
        <v>0</v>
      </c>
      <c r="AS173" s="35"/>
      <c r="AT173" s="74">
        <f t="shared" si="53"/>
        <v>0</v>
      </c>
      <c r="AU173" s="35"/>
      <c r="AV173" s="37">
        <f t="shared" si="48"/>
        <v>0</v>
      </c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x14ac:dyDescent="0.2">
      <c r="A174" s="13"/>
      <c r="B174" s="3" t="s">
        <v>375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>
        <f t="shared" si="54"/>
        <v>0</v>
      </c>
      <c r="AK174" s="145"/>
      <c r="AL174" s="74">
        <f t="shared" si="49"/>
        <v>0</v>
      </c>
      <c r="AM174" s="35"/>
      <c r="AN174" s="74">
        <f t="shared" si="50"/>
        <v>0</v>
      </c>
      <c r="AO174" s="35"/>
      <c r="AP174" s="74">
        <f t="shared" si="51"/>
        <v>0</v>
      </c>
      <c r="AQ174" s="35"/>
      <c r="AR174" s="74">
        <f t="shared" si="52"/>
        <v>0</v>
      </c>
      <c r="AS174" s="35"/>
      <c r="AT174" s="74">
        <f t="shared" si="53"/>
        <v>0</v>
      </c>
      <c r="AU174" s="35"/>
      <c r="AV174" s="37">
        <f t="shared" si="48"/>
        <v>0</v>
      </c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x14ac:dyDescent="0.2">
      <c r="A175" s="13"/>
      <c r="B175" s="3" t="s">
        <v>376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>
        <f t="shared" si="54"/>
        <v>0</v>
      </c>
      <c r="AK175" s="145"/>
      <c r="AL175" s="74">
        <f t="shared" si="49"/>
        <v>0</v>
      </c>
      <c r="AM175" s="35"/>
      <c r="AN175" s="74">
        <f t="shared" si="50"/>
        <v>0</v>
      </c>
      <c r="AO175" s="35"/>
      <c r="AP175" s="74">
        <f t="shared" si="51"/>
        <v>0</v>
      </c>
      <c r="AQ175" s="35"/>
      <c r="AR175" s="74">
        <f t="shared" si="52"/>
        <v>0</v>
      </c>
      <c r="AS175" s="35"/>
      <c r="AT175" s="74">
        <f t="shared" si="53"/>
        <v>0</v>
      </c>
      <c r="AU175" s="35"/>
      <c r="AV175" s="37">
        <f t="shared" si="48"/>
        <v>0</v>
      </c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x14ac:dyDescent="0.2">
      <c r="A176" s="13"/>
      <c r="B176" s="3" t="s">
        <v>377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>
        <f t="shared" si="54"/>
        <v>0</v>
      </c>
      <c r="AK176" s="145"/>
      <c r="AL176" s="74">
        <f t="shared" si="49"/>
        <v>0</v>
      </c>
      <c r="AM176" s="35"/>
      <c r="AN176" s="74">
        <f t="shared" si="50"/>
        <v>0</v>
      </c>
      <c r="AO176" s="35"/>
      <c r="AP176" s="74">
        <f t="shared" si="51"/>
        <v>0</v>
      </c>
      <c r="AQ176" s="35"/>
      <c r="AR176" s="74">
        <f t="shared" si="52"/>
        <v>0</v>
      </c>
      <c r="AS176" s="35"/>
      <c r="AT176" s="74">
        <f t="shared" si="53"/>
        <v>0</v>
      </c>
      <c r="AU176" s="35"/>
      <c r="AV176" s="37">
        <f t="shared" si="48"/>
        <v>0</v>
      </c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x14ac:dyDescent="0.2">
      <c r="A177" s="13"/>
      <c r="B177" s="3" t="s">
        <v>378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>
        <f t="shared" si="54"/>
        <v>0</v>
      </c>
      <c r="AK177" s="145"/>
      <c r="AL177" s="74">
        <f t="shared" si="49"/>
        <v>0</v>
      </c>
      <c r="AM177" s="35"/>
      <c r="AN177" s="74">
        <f t="shared" si="50"/>
        <v>0</v>
      </c>
      <c r="AO177" s="35"/>
      <c r="AP177" s="74">
        <f t="shared" si="51"/>
        <v>0</v>
      </c>
      <c r="AQ177" s="35"/>
      <c r="AR177" s="74">
        <f t="shared" si="52"/>
        <v>0</v>
      </c>
      <c r="AS177" s="35"/>
      <c r="AT177" s="74">
        <f t="shared" si="53"/>
        <v>0</v>
      </c>
      <c r="AU177" s="35"/>
      <c r="AV177" s="37">
        <f t="shared" si="48"/>
        <v>0</v>
      </c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outlineLevel="1" x14ac:dyDescent="0.2">
      <c r="A178" s="13"/>
      <c r="B178" s="3" t="s">
        <v>379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>
        <f t="shared" si="54"/>
        <v>0</v>
      </c>
      <c r="AK178" s="145"/>
      <c r="AL178" s="74">
        <f t="shared" si="49"/>
        <v>0</v>
      </c>
      <c r="AM178" s="35"/>
      <c r="AN178" s="74">
        <f t="shared" si="50"/>
        <v>0</v>
      </c>
      <c r="AO178" s="35"/>
      <c r="AP178" s="74">
        <f t="shared" si="51"/>
        <v>0</v>
      </c>
      <c r="AQ178" s="35"/>
      <c r="AR178" s="74">
        <f t="shared" si="52"/>
        <v>0</v>
      </c>
      <c r="AS178" s="35"/>
      <c r="AT178" s="74">
        <f t="shared" si="53"/>
        <v>0</v>
      </c>
      <c r="AU178" s="35"/>
      <c r="AV178" s="37">
        <f t="shared" si="48"/>
        <v>0</v>
      </c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outlineLevel="1" x14ac:dyDescent="0.2">
      <c r="A179" s="13"/>
      <c r="B179" s="29" t="s">
        <v>380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>
        <v>1120194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>
        <v>0</v>
      </c>
      <c r="AH179" s="14"/>
      <c r="AI179" s="14"/>
      <c r="AJ179" s="14">
        <f t="shared" si="54"/>
        <v>1120194</v>
      </c>
      <c r="AK179" s="145"/>
      <c r="AL179" s="74">
        <f t="shared" si="49"/>
        <v>1120194</v>
      </c>
      <c r="AM179" s="35"/>
      <c r="AN179" s="74">
        <f t="shared" si="50"/>
        <v>0</v>
      </c>
      <c r="AO179" s="35"/>
      <c r="AP179" s="74">
        <f t="shared" si="51"/>
        <v>0</v>
      </c>
      <c r="AQ179" s="35"/>
      <c r="AR179" s="74">
        <f t="shared" si="52"/>
        <v>0</v>
      </c>
      <c r="AS179" s="35"/>
      <c r="AT179" s="74">
        <f t="shared" si="53"/>
        <v>1120194</v>
      </c>
      <c r="AU179" s="35"/>
      <c r="AV179" s="37">
        <f t="shared" si="48"/>
        <v>0</v>
      </c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x14ac:dyDescent="0.2">
      <c r="A180" s="13"/>
      <c r="B180" s="29" t="s">
        <v>381</v>
      </c>
      <c r="C180" s="14">
        <f>SUM(C178:C179)</f>
        <v>0</v>
      </c>
      <c r="D180" s="14"/>
      <c r="E180" s="14">
        <f>SUM(E178:E179)</f>
        <v>0</v>
      </c>
      <c r="F180" s="14"/>
      <c r="G180" s="14">
        <f>SUM(G178:G179)</f>
        <v>0</v>
      </c>
      <c r="H180" s="14"/>
      <c r="I180" s="14">
        <f>SUM(I178:I179)</f>
        <v>0</v>
      </c>
      <c r="J180" s="14"/>
      <c r="K180" s="14">
        <f>SUM(K178:K179)</f>
        <v>0</v>
      </c>
      <c r="L180" s="14"/>
      <c r="M180" s="14">
        <f>SUM(M178:M179)</f>
        <v>0</v>
      </c>
      <c r="N180" s="14"/>
      <c r="O180" s="14">
        <f>SUM(O178:O179)</f>
        <v>1120194</v>
      </c>
      <c r="P180" s="14"/>
      <c r="Q180" s="14">
        <f>SUM(Q178:Q179)</f>
        <v>0</v>
      </c>
      <c r="R180" s="14"/>
      <c r="S180" s="14">
        <f>SUM(S178:S179)</f>
        <v>0</v>
      </c>
      <c r="T180" s="14"/>
      <c r="U180" s="14">
        <f>SUM(U178:U179)</f>
        <v>0</v>
      </c>
      <c r="V180" s="14"/>
      <c r="W180" s="14">
        <f>SUM(W178:W179)</f>
        <v>0</v>
      </c>
      <c r="X180" s="14"/>
      <c r="Y180" s="14">
        <f>SUM(Y178:Y179)</f>
        <v>0</v>
      </c>
      <c r="Z180" s="14"/>
      <c r="AA180" s="14">
        <f>SUM(AA178:AA179)</f>
        <v>0</v>
      </c>
      <c r="AB180" s="14"/>
      <c r="AC180" s="14">
        <f>SUM(AC178:AC179)</f>
        <v>0</v>
      </c>
      <c r="AD180" s="14"/>
      <c r="AE180" s="14">
        <f>SUM(AE178:AE179)</f>
        <v>0</v>
      </c>
      <c r="AF180" s="14"/>
      <c r="AG180" s="14">
        <f>SUM(AG178:AG179)</f>
        <v>0</v>
      </c>
      <c r="AH180" s="14">
        <f>SUM(AH178:AH179)</f>
        <v>0</v>
      </c>
      <c r="AI180" s="14"/>
      <c r="AJ180" s="14">
        <f t="shared" si="54"/>
        <v>1120194</v>
      </c>
      <c r="AK180" s="145"/>
      <c r="AL180" s="74">
        <f t="shared" si="49"/>
        <v>1120194</v>
      </c>
      <c r="AM180" s="35"/>
      <c r="AN180" s="74">
        <f t="shared" si="50"/>
        <v>0</v>
      </c>
      <c r="AO180" s="35"/>
      <c r="AP180" s="74">
        <f t="shared" si="51"/>
        <v>0</v>
      </c>
      <c r="AQ180" s="35"/>
      <c r="AR180" s="74">
        <f t="shared" si="52"/>
        <v>0</v>
      </c>
      <c r="AS180" s="35"/>
      <c r="AT180" s="74">
        <f t="shared" si="53"/>
        <v>1120194</v>
      </c>
      <c r="AU180" s="35"/>
      <c r="AV180" s="37">
        <f t="shared" si="48"/>
        <v>0</v>
      </c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x14ac:dyDescent="0.2">
      <c r="A181" s="13"/>
      <c r="B181" s="111" t="s">
        <v>382</v>
      </c>
      <c r="C181" s="19">
        <f>C180+SUM(C167:C177)+C164</f>
        <v>0</v>
      </c>
      <c r="D181" s="14"/>
      <c r="E181" s="19">
        <f>E180+SUM(E167:E177)+E164</f>
        <v>0</v>
      </c>
      <c r="F181" s="14"/>
      <c r="G181" s="19">
        <f>G180+SUM(G167:G177)+G164</f>
        <v>0</v>
      </c>
      <c r="H181" s="14"/>
      <c r="I181" s="19">
        <f>I180+SUM(I167:I177)+I164</f>
        <v>0</v>
      </c>
      <c r="J181" s="14"/>
      <c r="K181" s="19">
        <f>K180+SUM(K167:K177)+K164</f>
        <v>0</v>
      </c>
      <c r="L181" s="14"/>
      <c r="M181" s="19">
        <f>M180+SUM(M167:M177)+M164</f>
        <v>0</v>
      </c>
      <c r="N181" s="14"/>
      <c r="O181" s="19">
        <f>O180+SUM(O167:O177)+O164</f>
        <v>1120194</v>
      </c>
      <c r="P181" s="14"/>
      <c r="Q181" s="19">
        <f>Q180+SUM(Q167:Q177)+Q164</f>
        <v>0</v>
      </c>
      <c r="R181" s="14"/>
      <c r="S181" s="19">
        <f>S180+SUM(S167:S177)+S164</f>
        <v>0</v>
      </c>
      <c r="T181" s="19"/>
      <c r="U181" s="19">
        <f>U180+SUM(U167:U177)+U164</f>
        <v>0</v>
      </c>
      <c r="V181" s="19"/>
      <c r="W181" s="19">
        <f>W180+SUM(W167:W177)+W164</f>
        <v>0</v>
      </c>
      <c r="X181" s="14"/>
      <c r="Y181" s="19">
        <f>Y180+SUM(Y167:Y177)+Y164</f>
        <v>0</v>
      </c>
      <c r="Z181" s="14"/>
      <c r="AA181" s="19">
        <f>AA180+SUM(AA167:AA177)+AA164</f>
        <v>0</v>
      </c>
      <c r="AB181" s="14"/>
      <c r="AC181" s="19">
        <f>AC180+SUM(AC167:AC177)+AC164</f>
        <v>0</v>
      </c>
      <c r="AD181" s="14"/>
      <c r="AE181" s="19">
        <f>AE180+SUM(AE167:AE177)+AE164</f>
        <v>0</v>
      </c>
      <c r="AF181" s="14"/>
      <c r="AG181" s="19">
        <f>AG180+SUM(AG167:AG177)+AG164</f>
        <v>0</v>
      </c>
      <c r="AH181" s="14"/>
      <c r="AI181" s="19"/>
      <c r="AJ181" s="19">
        <f>AJ180+SUM(AJ167:AJ177)+AJ164</f>
        <v>1120194</v>
      </c>
      <c r="AK181" s="145"/>
      <c r="AL181" s="110">
        <f>AL180+SUM(AL167:AL177)+AL164</f>
        <v>1120194</v>
      </c>
      <c r="AM181" s="35"/>
      <c r="AN181" s="110">
        <f>AN180+SUM(AN167:AN177)+AN164</f>
        <v>0</v>
      </c>
      <c r="AO181" s="35"/>
      <c r="AP181" s="110">
        <f>AP180+SUM(AP167:AP177)+AP164</f>
        <v>0</v>
      </c>
      <c r="AQ181" s="35"/>
      <c r="AR181" s="110">
        <f>AR180+SUM(AR167:AR177)+AR164</f>
        <v>0</v>
      </c>
      <c r="AS181" s="35"/>
      <c r="AT181" s="110">
        <f>AT180+SUM(AT167:AT177)+AT164</f>
        <v>1120194</v>
      </c>
      <c r="AU181" s="35"/>
      <c r="AV181" s="37">
        <f t="shared" si="48"/>
        <v>0</v>
      </c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x14ac:dyDescent="0.2">
      <c r="A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5"/>
      <c r="AL182" s="74"/>
      <c r="AM182" s="35"/>
      <c r="AN182" s="74"/>
      <c r="AO182" s="35"/>
      <c r="AP182" s="35"/>
      <c r="AQ182" s="35"/>
      <c r="AR182" s="35"/>
      <c r="AS182" s="35"/>
      <c r="AT182" s="35"/>
      <c r="AU182" s="35"/>
      <c r="AV182" s="37">
        <f t="shared" si="48"/>
        <v>0</v>
      </c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x14ac:dyDescent="0.2">
      <c r="A183" s="13"/>
      <c r="B183" s="9" t="s">
        <v>28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5"/>
      <c r="AL183" s="74"/>
      <c r="AM183" s="35"/>
      <c r="AN183" s="74"/>
      <c r="AO183" s="35"/>
      <c r="AP183" s="35"/>
      <c r="AQ183" s="35"/>
      <c r="AR183" s="35"/>
      <c r="AS183" s="35"/>
      <c r="AT183" s="35"/>
      <c r="AU183" s="35"/>
      <c r="AV183" s="37">
        <f t="shared" si="48"/>
        <v>0</v>
      </c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outlineLevel="1" x14ac:dyDescent="0.2">
      <c r="A184" s="13"/>
      <c r="B184" s="3" t="s">
        <v>383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>SUM(C184:AI184)</f>
        <v>0</v>
      </c>
      <c r="AK184" s="145"/>
      <c r="AL184" s="74">
        <f t="shared" ref="AL184:AL193" si="55">SUMIF($C$10:$AI$10,"=Addition",$C184:$AI184)</f>
        <v>0</v>
      </c>
      <c r="AM184" s="35"/>
      <c r="AN184" s="74">
        <f t="shared" ref="AN184:AN193" si="56">SUMIF($C$10:$AI$10,"=Adjustment",$C184:$AI184)</f>
        <v>0</v>
      </c>
      <c r="AO184" s="35"/>
      <c r="AP184" s="74">
        <f t="shared" ref="AP184:AP193" si="57">SUMIF($C$10:$AI$10,"=Transfer",$C184:$AI184)</f>
        <v>0</v>
      </c>
      <c r="AQ184" s="35"/>
      <c r="AR184" s="74">
        <f t="shared" ref="AR184:AR193" si="58">SUMIF($C$10:$AI$10,"=N/A",$C184:$AI184)</f>
        <v>0</v>
      </c>
      <c r="AS184" s="35"/>
      <c r="AT184" s="74">
        <f t="shared" ref="AT184:AT193" si="59">SUM(AL184:AR184)</f>
        <v>0</v>
      </c>
      <c r="AU184" s="35"/>
      <c r="AV184" s="37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outlineLevel="1" x14ac:dyDescent="0.2">
      <c r="A185" s="13"/>
      <c r="B185" s="3" t="s">
        <v>384</v>
      </c>
      <c r="C185" s="14"/>
      <c r="D185" s="14"/>
      <c r="E185" s="14"/>
      <c r="F185" s="14"/>
      <c r="G185" s="14"/>
      <c r="H185" s="14"/>
      <c r="I185" s="14"/>
      <c r="J185" s="14"/>
      <c r="K185" s="14">
        <v>0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>SUM(C185:AI185)</f>
        <v>0</v>
      </c>
      <c r="AK185" s="145"/>
      <c r="AL185" s="74">
        <f t="shared" si="55"/>
        <v>0</v>
      </c>
      <c r="AM185" s="35"/>
      <c r="AN185" s="74">
        <f t="shared" si="56"/>
        <v>0</v>
      </c>
      <c r="AO185" s="35"/>
      <c r="AP185" s="74">
        <f t="shared" si="57"/>
        <v>0</v>
      </c>
      <c r="AQ185" s="35"/>
      <c r="AR185" s="74">
        <f t="shared" si="58"/>
        <v>0</v>
      </c>
      <c r="AS185" s="35"/>
      <c r="AT185" s="74">
        <f t="shared" si="59"/>
        <v>0</v>
      </c>
      <c r="AU185" s="35"/>
      <c r="AV185" s="37">
        <f t="shared" si="48"/>
        <v>0</v>
      </c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outlineLevel="1" x14ac:dyDescent="0.2">
      <c r="A186" s="13"/>
      <c r="B186" s="3" t="s">
        <v>385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>SUM(C186:AI186)</f>
        <v>0</v>
      </c>
      <c r="AK186" s="145"/>
      <c r="AL186" s="74">
        <f t="shared" si="55"/>
        <v>0</v>
      </c>
      <c r="AM186" s="35"/>
      <c r="AN186" s="74">
        <f t="shared" si="56"/>
        <v>0</v>
      </c>
      <c r="AO186" s="35"/>
      <c r="AP186" s="74">
        <f t="shared" si="57"/>
        <v>0</v>
      </c>
      <c r="AQ186" s="35"/>
      <c r="AR186" s="74">
        <f t="shared" si="58"/>
        <v>0</v>
      </c>
      <c r="AS186" s="35"/>
      <c r="AT186" s="74">
        <f t="shared" si="59"/>
        <v>0</v>
      </c>
      <c r="AU186" s="35"/>
      <c r="AV186" s="37">
        <f t="shared" si="48"/>
        <v>0</v>
      </c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x14ac:dyDescent="0.2">
      <c r="A187" s="13"/>
      <c r="B187" s="3" t="s">
        <v>386</v>
      </c>
      <c r="C187" s="14">
        <f>SUM(C184:C186)</f>
        <v>0</v>
      </c>
      <c r="D187" s="14"/>
      <c r="E187" s="14">
        <f>SUM(E184:E186)</f>
        <v>0</v>
      </c>
      <c r="F187" s="14"/>
      <c r="G187" s="14">
        <f>SUM(G184:G186)</f>
        <v>0</v>
      </c>
      <c r="H187" s="14"/>
      <c r="I187" s="14">
        <f>SUM(I184:I186)</f>
        <v>0</v>
      </c>
      <c r="J187" s="14"/>
      <c r="K187" s="14">
        <f>SUM(K184:K186)</f>
        <v>0</v>
      </c>
      <c r="L187" s="14"/>
      <c r="M187" s="14">
        <f>SUM(M184:M186)</f>
        <v>0</v>
      </c>
      <c r="N187" s="14"/>
      <c r="O187" s="14">
        <f>SUM(O184:O186)</f>
        <v>0</v>
      </c>
      <c r="P187" s="14"/>
      <c r="Q187" s="14">
        <f>SUM(Q184:Q186)</f>
        <v>0</v>
      </c>
      <c r="R187" s="14"/>
      <c r="S187" s="14">
        <f>SUM(S184:S186)</f>
        <v>0</v>
      </c>
      <c r="T187" s="14"/>
      <c r="U187" s="14">
        <f>SUM(U184:U186)</f>
        <v>0</v>
      </c>
      <c r="V187" s="14"/>
      <c r="W187" s="14">
        <f>SUM(W184:W186)</f>
        <v>0</v>
      </c>
      <c r="X187" s="14"/>
      <c r="Y187" s="14">
        <f>SUM(Y184:Y186)</f>
        <v>0</v>
      </c>
      <c r="Z187" s="14"/>
      <c r="AA187" s="14">
        <f>SUM(AA184:AA186)</f>
        <v>0</v>
      </c>
      <c r="AB187" s="14"/>
      <c r="AC187" s="14">
        <f>SUM(AC184:AC186)</f>
        <v>0</v>
      </c>
      <c r="AD187" s="14"/>
      <c r="AE187" s="14">
        <f>SUM(AE184:AE186)</f>
        <v>0</v>
      </c>
      <c r="AF187" s="14"/>
      <c r="AG187" s="14">
        <f>SUM(AG184:AG186)</f>
        <v>0</v>
      </c>
      <c r="AH187" s="14"/>
      <c r="AI187" s="14"/>
      <c r="AJ187" s="14">
        <f>SUM(AJ184:AJ186)</f>
        <v>0</v>
      </c>
      <c r="AK187" s="145"/>
      <c r="AL187" s="74">
        <f t="shared" si="55"/>
        <v>0</v>
      </c>
      <c r="AM187" s="35"/>
      <c r="AN187" s="74">
        <f t="shared" si="56"/>
        <v>0</v>
      </c>
      <c r="AO187" s="35"/>
      <c r="AP187" s="74">
        <f t="shared" si="57"/>
        <v>0</v>
      </c>
      <c r="AQ187" s="35"/>
      <c r="AR187" s="74">
        <f t="shared" si="58"/>
        <v>0</v>
      </c>
      <c r="AS187" s="35"/>
      <c r="AT187" s="74">
        <f t="shared" si="59"/>
        <v>0</v>
      </c>
      <c r="AU187" s="35"/>
      <c r="AV187" s="37">
        <f t="shared" si="48"/>
        <v>0</v>
      </c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x14ac:dyDescent="0.2">
      <c r="A188" s="13"/>
      <c r="B188" s="3" t="s">
        <v>387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>SUM(C188:AI188)</f>
        <v>0</v>
      </c>
      <c r="AK188" s="145"/>
      <c r="AL188" s="74">
        <f t="shared" si="55"/>
        <v>0</v>
      </c>
      <c r="AM188" s="35"/>
      <c r="AN188" s="74">
        <f t="shared" si="56"/>
        <v>0</v>
      </c>
      <c r="AO188" s="35"/>
      <c r="AP188" s="74">
        <f t="shared" si="57"/>
        <v>0</v>
      </c>
      <c r="AQ188" s="35"/>
      <c r="AR188" s="74">
        <f t="shared" si="58"/>
        <v>0</v>
      </c>
      <c r="AS188" s="35"/>
      <c r="AT188" s="74">
        <f t="shared" si="59"/>
        <v>0</v>
      </c>
      <c r="AU188" s="35"/>
      <c r="AV188" s="37">
        <f t="shared" si="48"/>
        <v>0</v>
      </c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x14ac:dyDescent="0.2">
      <c r="A189" s="13"/>
      <c r="B189" s="3" t="s">
        <v>388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>SUM(C189:AI189)</f>
        <v>0</v>
      </c>
      <c r="AK189" s="145"/>
      <c r="AL189" s="74">
        <f t="shared" si="55"/>
        <v>0</v>
      </c>
      <c r="AM189" s="35"/>
      <c r="AN189" s="74">
        <f t="shared" si="56"/>
        <v>0</v>
      </c>
      <c r="AO189" s="35"/>
      <c r="AP189" s="74">
        <f t="shared" si="57"/>
        <v>0</v>
      </c>
      <c r="AQ189" s="35"/>
      <c r="AR189" s="74">
        <f t="shared" si="58"/>
        <v>0</v>
      </c>
      <c r="AS189" s="35"/>
      <c r="AT189" s="74">
        <f t="shared" si="59"/>
        <v>0</v>
      </c>
      <c r="AU189" s="35"/>
      <c r="AV189" s="37">
        <f t="shared" si="48"/>
        <v>0</v>
      </c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outlineLevel="1" x14ac:dyDescent="0.2">
      <c r="A190" s="13"/>
      <c r="B190" s="3" t="s">
        <v>389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>SUM(C190:AI190)</f>
        <v>0</v>
      </c>
      <c r="AK190" s="145"/>
      <c r="AL190" s="74">
        <f t="shared" si="55"/>
        <v>0</v>
      </c>
      <c r="AM190" s="35"/>
      <c r="AN190" s="74">
        <f t="shared" si="56"/>
        <v>0</v>
      </c>
      <c r="AO190" s="35"/>
      <c r="AP190" s="74">
        <f t="shared" si="57"/>
        <v>0</v>
      </c>
      <c r="AQ190" s="35"/>
      <c r="AR190" s="74">
        <f t="shared" si="58"/>
        <v>0</v>
      </c>
      <c r="AS190" s="35"/>
      <c r="AT190" s="74">
        <f t="shared" si="59"/>
        <v>0</v>
      </c>
      <c r="AU190" s="35"/>
      <c r="AV190" s="37">
        <f t="shared" si="48"/>
        <v>0</v>
      </c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outlineLevel="1" x14ac:dyDescent="0.2">
      <c r="A191" s="13"/>
      <c r="B191" s="29" t="s">
        <v>390</v>
      </c>
      <c r="C191" s="14"/>
      <c r="D191" s="14"/>
      <c r="E191" s="14"/>
      <c r="F191" s="14"/>
      <c r="G191" s="14"/>
      <c r="H191" s="14"/>
      <c r="I191" s="14"/>
      <c r="J191" s="14"/>
      <c r="K191" s="14">
        <v>0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>SUM(C191:AI191)</f>
        <v>0</v>
      </c>
      <c r="AK191" s="145"/>
      <c r="AL191" s="74">
        <f t="shared" si="55"/>
        <v>0</v>
      </c>
      <c r="AM191" s="35"/>
      <c r="AN191" s="74">
        <f t="shared" si="56"/>
        <v>0</v>
      </c>
      <c r="AO191" s="35"/>
      <c r="AP191" s="74">
        <f t="shared" si="57"/>
        <v>0</v>
      </c>
      <c r="AQ191" s="35"/>
      <c r="AR191" s="74">
        <f t="shared" si="58"/>
        <v>0</v>
      </c>
      <c r="AS191" s="35"/>
      <c r="AT191" s="74">
        <f t="shared" si="59"/>
        <v>0</v>
      </c>
      <c r="AU191" s="35"/>
      <c r="AV191" s="37">
        <f t="shared" si="48"/>
        <v>0</v>
      </c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x14ac:dyDescent="0.2">
      <c r="A192" s="13"/>
      <c r="B192" s="29" t="s">
        <v>391</v>
      </c>
      <c r="C192" s="14">
        <f>SUM(C190:C191)</f>
        <v>0</v>
      </c>
      <c r="D192" s="14"/>
      <c r="E192" s="14">
        <f>SUM(E190:E191)</f>
        <v>0</v>
      </c>
      <c r="F192" s="14"/>
      <c r="G192" s="14">
        <f>SUM(G190:G191)</f>
        <v>0</v>
      </c>
      <c r="H192" s="14"/>
      <c r="I192" s="14">
        <f>SUM(I190:I191)</f>
        <v>0</v>
      </c>
      <c r="J192" s="14"/>
      <c r="K192" s="14">
        <f>SUM(K190:K191)</f>
        <v>0</v>
      </c>
      <c r="L192" s="14"/>
      <c r="M192" s="14">
        <f>SUM(M190:M191)</f>
        <v>0</v>
      </c>
      <c r="N192" s="14"/>
      <c r="O192" s="14">
        <f>SUM(O190:O191)</f>
        <v>0</v>
      </c>
      <c r="P192" s="14"/>
      <c r="Q192" s="14">
        <f>SUM(Q190:Q191)</f>
        <v>0</v>
      </c>
      <c r="R192" s="14"/>
      <c r="S192" s="14">
        <f>SUM(S190:S191)</f>
        <v>0</v>
      </c>
      <c r="T192" s="14"/>
      <c r="U192" s="14">
        <f>SUM(U190:U191)</f>
        <v>0</v>
      </c>
      <c r="V192" s="14"/>
      <c r="W192" s="14">
        <f>SUM(W190:W191)</f>
        <v>0</v>
      </c>
      <c r="X192" s="14"/>
      <c r="Y192" s="14">
        <f>SUM(Y190:Y191)</f>
        <v>0</v>
      </c>
      <c r="Z192" s="14"/>
      <c r="AA192" s="14">
        <f>SUM(AA190:AA191)</f>
        <v>0</v>
      </c>
      <c r="AB192" s="14"/>
      <c r="AC192" s="14">
        <f>SUM(AC190:AC191)</f>
        <v>0</v>
      </c>
      <c r="AD192" s="14"/>
      <c r="AE192" s="14">
        <f>SUM(AE190:AE191)</f>
        <v>0</v>
      </c>
      <c r="AF192" s="14"/>
      <c r="AG192" s="14">
        <f>SUM(AG190:AG191)</f>
        <v>0</v>
      </c>
      <c r="AH192" s="14"/>
      <c r="AI192" s="14"/>
      <c r="AJ192" s="14">
        <f>SUM(C192:AH192)</f>
        <v>0</v>
      </c>
      <c r="AK192" s="145"/>
      <c r="AL192" s="74">
        <f t="shared" si="55"/>
        <v>0</v>
      </c>
      <c r="AM192" s="35"/>
      <c r="AN192" s="74">
        <f t="shared" si="56"/>
        <v>0</v>
      </c>
      <c r="AO192" s="35"/>
      <c r="AP192" s="74">
        <f t="shared" si="57"/>
        <v>0</v>
      </c>
      <c r="AQ192" s="35"/>
      <c r="AR192" s="74">
        <f t="shared" si="58"/>
        <v>0</v>
      </c>
      <c r="AS192" s="35"/>
      <c r="AT192" s="74">
        <f t="shared" si="59"/>
        <v>0</v>
      </c>
      <c r="AU192" s="35"/>
      <c r="AV192" s="37">
        <f t="shared" si="48"/>
        <v>0</v>
      </c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x14ac:dyDescent="0.2">
      <c r="A193" s="13"/>
      <c r="B193" s="21" t="s">
        <v>392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>
        <f>SUM(C193:AI193)</f>
        <v>0</v>
      </c>
      <c r="AK193" s="145"/>
      <c r="AL193" s="74">
        <f t="shared" si="55"/>
        <v>0</v>
      </c>
      <c r="AM193" s="35"/>
      <c r="AN193" s="74">
        <f t="shared" si="56"/>
        <v>0</v>
      </c>
      <c r="AO193" s="35"/>
      <c r="AP193" s="74">
        <f t="shared" si="57"/>
        <v>0</v>
      </c>
      <c r="AQ193" s="35"/>
      <c r="AR193" s="74">
        <f t="shared" si="58"/>
        <v>0</v>
      </c>
      <c r="AS193" s="35"/>
      <c r="AT193" s="74">
        <f t="shared" si="59"/>
        <v>0</v>
      </c>
      <c r="AU193" s="35"/>
      <c r="AV193" s="37">
        <f t="shared" si="48"/>
        <v>0</v>
      </c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x14ac:dyDescent="0.2">
      <c r="A194" s="13"/>
      <c r="B194" s="9" t="s">
        <v>393</v>
      </c>
      <c r="C194" s="19">
        <f>C193+C192+C189+C188+C187</f>
        <v>0</v>
      </c>
      <c r="D194" s="14"/>
      <c r="E194" s="19">
        <f>E193+E192+E189+E188+E187</f>
        <v>0</v>
      </c>
      <c r="F194" s="14"/>
      <c r="G194" s="19">
        <f>G193+G192+G189+G188+G187</f>
        <v>0</v>
      </c>
      <c r="H194" s="14"/>
      <c r="I194" s="19">
        <f>I193+I192+I189+I188+I187</f>
        <v>0</v>
      </c>
      <c r="J194" s="14"/>
      <c r="K194" s="19">
        <f>K193+K192+K189+K188+K187</f>
        <v>0</v>
      </c>
      <c r="L194" s="14"/>
      <c r="M194" s="19">
        <f>M193+M192+M189+M188+M187</f>
        <v>0</v>
      </c>
      <c r="N194" s="14"/>
      <c r="O194" s="19">
        <f>O193+O192+O189+O188+O187</f>
        <v>0</v>
      </c>
      <c r="P194" s="14"/>
      <c r="Q194" s="19">
        <f>Q193+Q192+Q189+Q188+Q187</f>
        <v>0</v>
      </c>
      <c r="R194" s="14"/>
      <c r="S194" s="19">
        <f>S193+S192+S189+S188+S187</f>
        <v>0</v>
      </c>
      <c r="T194" s="19"/>
      <c r="U194" s="19">
        <f>U193+U192+U189+U188+U187</f>
        <v>0</v>
      </c>
      <c r="V194" s="19"/>
      <c r="W194" s="19">
        <f>W193+W192+W189+W188+W187</f>
        <v>0</v>
      </c>
      <c r="X194" s="14"/>
      <c r="Y194" s="19">
        <f>Y193+Y192+Y189+Y188+Y187</f>
        <v>0</v>
      </c>
      <c r="Z194" s="14"/>
      <c r="AA194" s="19">
        <f>AA193+AA192+AA189+AA188+AA187</f>
        <v>0</v>
      </c>
      <c r="AB194" s="14"/>
      <c r="AC194" s="19">
        <f>AC193+AC192+AC189+AC188+AC187</f>
        <v>0</v>
      </c>
      <c r="AD194" s="14"/>
      <c r="AE194" s="19">
        <f>AE193+AE192+AE189+AE188+AE187</f>
        <v>0</v>
      </c>
      <c r="AF194" s="14"/>
      <c r="AG194" s="19">
        <f>AG193+AG192+AG189+AG188+AG187</f>
        <v>0</v>
      </c>
      <c r="AH194" s="14"/>
      <c r="AI194" s="19"/>
      <c r="AJ194" s="19">
        <f>AJ193+AJ192+AJ189+AJ188+AJ187</f>
        <v>0</v>
      </c>
      <c r="AK194" s="145"/>
      <c r="AL194" s="110">
        <f>AL193+AL192+AL189+AL188+AL187</f>
        <v>0</v>
      </c>
      <c r="AM194" s="35"/>
      <c r="AN194" s="110">
        <f>AN193+AN192+AN189+AN188+AN187</f>
        <v>0</v>
      </c>
      <c r="AO194" s="35"/>
      <c r="AP194" s="110">
        <f>AP193+AP192+AP189+AP188+AP187</f>
        <v>0</v>
      </c>
      <c r="AQ194" s="35"/>
      <c r="AR194" s="110">
        <f>AR193+AR192+AR189+AR188+AR187</f>
        <v>0</v>
      </c>
      <c r="AS194" s="35"/>
      <c r="AT194" s="74">
        <f>SUM(AL194:AR194)</f>
        <v>0</v>
      </c>
      <c r="AU194" s="35"/>
      <c r="AV194" s="37">
        <f t="shared" si="48"/>
        <v>0</v>
      </c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x14ac:dyDescent="0.2">
      <c r="A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5"/>
      <c r="AL195" s="74"/>
      <c r="AM195" s="35"/>
      <c r="AN195" s="74"/>
      <c r="AO195" s="35"/>
      <c r="AP195" s="35"/>
      <c r="AQ195" s="35"/>
      <c r="AR195" s="35"/>
      <c r="AS195" s="35"/>
      <c r="AT195" s="35"/>
      <c r="AU195" s="35"/>
      <c r="AV195" s="37">
        <f t="shared" si="48"/>
        <v>0</v>
      </c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x14ac:dyDescent="0.2">
      <c r="A196" s="13"/>
      <c r="B196" s="9" t="s">
        <v>29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5"/>
      <c r="AL196" s="74"/>
      <c r="AM196" s="35"/>
      <c r="AN196" s="74"/>
      <c r="AO196" s="35"/>
      <c r="AP196" s="35"/>
      <c r="AQ196" s="35"/>
      <c r="AR196" s="35"/>
      <c r="AS196" s="35"/>
      <c r="AT196" s="35"/>
      <c r="AU196" s="35"/>
      <c r="AV196" s="37">
        <f t="shared" si="48"/>
        <v>0</v>
      </c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x14ac:dyDescent="0.2">
      <c r="A197" s="13"/>
      <c r="B197" s="3" t="s">
        <v>394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>
        <f>SUM(C197:AI197)</f>
        <v>0</v>
      </c>
      <c r="AK197" s="145"/>
      <c r="AL197" s="74">
        <f>SUMIF($C$10:$AI$10,"=Addition",$C197:$AI197)</f>
        <v>0</v>
      </c>
      <c r="AM197" s="35"/>
      <c r="AN197" s="74">
        <f>SUMIF($C$10:$AI$10,"=Adjustment",$C197:$AI197)</f>
        <v>0</v>
      </c>
      <c r="AO197" s="35"/>
      <c r="AP197" s="74">
        <f>SUMIF($C$10:$AI$10,"=Transfer",$C197:$AI197)</f>
        <v>0</v>
      </c>
      <c r="AQ197" s="35"/>
      <c r="AR197" s="74">
        <f>SUMIF($C$10:$AI$10,"=N/A",$C197:$AI197)</f>
        <v>0</v>
      </c>
      <c r="AS197" s="35"/>
      <c r="AT197" s="74">
        <f t="shared" ref="AT197" si="60">SUM(AL197:AR197)</f>
        <v>0</v>
      </c>
      <c r="AU197" s="35"/>
      <c r="AV197" s="37">
        <f t="shared" si="48"/>
        <v>0</v>
      </c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x14ac:dyDescent="0.2">
      <c r="A198" s="13"/>
      <c r="B198" s="9" t="s">
        <v>395</v>
      </c>
      <c r="C198" s="19">
        <f>SUM(C197)</f>
        <v>0</v>
      </c>
      <c r="D198" s="14"/>
      <c r="E198" s="19">
        <f>SUM(E197)</f>
        <v>0</v>
      </c>
      <c r="F198" s="14"/>
      <c r="G198" s="19">
        <f>SUM(G197)</f>
        <v>0</v>
      </c>
      <c r="H198" s="14"/>
      <c r="I198" s="19">
        <f>SUM(I197)</f>
        <v>0</v>
      </c>
      <c r="J198" s="14"/>
      <c r="K198" s="19">
        <f>SUM(K197)</f>
        <v>0</v>
      </c>
      <c r="L198" s="14"/>
      <c r="M198" s="19">
        <f>SUM(M197)</f>
        <v>0</v>
      </c>
      <c r="N198" s="14"/>
      <c r="O198" s="19">
        <f>SUM(O197)</f>
        <v>0</v>
      </c>
      <c r="P198" s="14"/>
      <c r="Q198" s="19">
        <f>SUM(Q197)</f>
        <v>0</v>
      </c>
      <c r="R198" s="14"/>
      <c r="S198" s="19">
        <f>SUM(S197)</f>
        <v>0</v>
      </c>
      <c r="T198" s="19"/>
      <c r="U198" s="19">
        <f>SUM(U197)</f>
        <v>0</v>
      </c>
      <c r="V198" s="19"/>
      <c r="W198" s="19">
        <f>SUM(W197)</f>
        <v>0</v>
      </c>
      <c r="X198" s="14"/>
      <c r="Y198" s="19">
        <f>SUM(Y197)</f>
        <v>0</v>
      </c>
      <c r="Z198" s="14"/>
      <c r="AA198" s="19">
        <f>SUM(AA197)</f>
        <v>0</v>
      </c>
      <c r="AB198" s="14"/>
      <c r="AC198" s="19">
        <f>SUM(AC197)</f>
        <v>0</v>
      </c>
      <c r="AD198" s="14"/>
      <c r="AE198" s="19">
        <f>SUM(AE197)</f>
        <v>0</v>
      </c>
      <c r="AF198" s="14"/>
      <c r="AG198" s="19">
        <f>SUM(AG197)</f>
        <v>0</v>
      </c>
      <c r="AH198" s="14"/>
      <c r="AI198" s="19"/>
      <c r="AJ198" s="19">
        <f>SUM(AJ197)</f>
        <v>0</v>
      </c>
      <c r="AK198" s="145"/>
      <c r="AL198" s="110">
        <f>SUM(AL197)</f>
        <v>0</v>
      </c>
      <c r="AM198" s="35"/>
      <c r="AN198" s="110">
        <f>SUM(AN197)</f>
        <v>0</v>
      </c>
      <c r="AO198" s="35"/>
      <c r="AP198" s="110">
        <f>SUM(AP197)</f>
        <v>0</v>
      </c>
      <c r="AQ198" s="35"/>
      <c r="AR198" s="110">
        <f>SUM(AR197)</f>
        <v>0</v>
      </c>
      <c r="AS198" s="35"/>
      <c r="AT198" s="110">
        <f>SUM(AT197)</f>
        <v>0</v>
      </c>
      <c r="AU198" s="35"/>
      <c r="AV198" s="37">
        <f t="shared" si="48"/>
        <v>0</v>
      </c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x14ac:dyDescent="0.2">
      <c r="A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5"/>
      <c r="AL199" s="74"/>
      <c r="AM199" s="35"/>
      <c r="AN199" s="74"/>
      <c r="AO199" s="35"/>
      <c r="AP199" s="35"/>
      <c r="AQ199" s="35"/>
      <c r="AR199" s="35"/>
      <c r="AS199" s="35"/>
      <c r="AT199" s="35"/>
      <c r="AU199" s="35"/>
      <c r="AV199" s="37">
        <f t="shared" si="48"/>
        <v>0</v>
      </c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x14ac:dyDescent="0.2">
      <c r="A200" s="13"/>
      <c r="B200" s="9" t="s">
        <v>30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5"/>
      <c r="AL200" s="74"/>
      <c r="AM200" s="35"/>
      <c r="AN200" s="74"/>
      <c r="AO200" s="35"/>
      <c r="AP200" s="35"/>
      <c r="AQ200" s="35"/>
      <c r="AR200" s="35"/>
      <c r="AS200" s="35"/>
      <c r="AT200" s="35"/>
      <c r="AU200" s="35"/>
      <c r="AV200" s="37">
        <f t="shared" si="48"/>
        <v>0</v>
      </c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outlineLevel="1" x14ac:dyDescent="0.2">
      <c r="A201" s="13"/>
      <c r="B201" s="3" t="s">
        <v>396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>
        <f>SUM(C201:AI201)</f>
        <v>0</v>
      </c>
      <c r="AK201" s="145"/>
      <c r="AL201" s="74">
        <f t="shared" ref="AL201:AL222" si="61">SUMIF($C$10:$AI$10,"=Addition",$C201:$AI201)</f>
        <v>0</v>
      </c>
      <c r="AM201" s="35"/>
      <c r="AN201" s="74">
        <f t="shared" ref="AN201:AN222" si="62">SUMIF($C$10:$AI$10,"=Adjustment",$C201:$AI201)</f>
        <v>0</v>
      </c>
      <c r="AO201" s="35"/>
      <c r="AP201" s="74">
        <f t="shared" ref="AP201:AP222" si="63">SUMIF($C$10:$AI$10,"=Transfer",$C201:$AI201)</f>
        <v>0</v>
      </c>
      <c r="AQ201" s="35"/>
      <c r="AR201" s="74">
        <f t="shared" ref="AR201:AR222" si="64">SUMIF($C$10:$AI$10,"=N/A",$C201:$AI201)</f>
        <v>0</v>
      </c>
      <c r="AS201" s="35"/>
      <c r="AT201" s="74">
        <f t="shared" ref="AT201:AT222" si="65">SUM(AL201:AR201)</f>
        <v>0</v>
      </c>
      <c r="AU201" s="35"/>
      <c r="AV201" s="37">
        <f t="shared" si="48"/>
        <v>0</v>
      </c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outlineLevel="1" x14ac:dyDescent="0.2">
      <c r="A202" s="13"/>
      <c r="B202" s="3" t="s">
        <v>397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>
        <f>SUM(C202:AI202)</f>
        <v>0</v>
      </c>
      <c r="AK202" s="145"/>
      <c r="AL202" s="74">
        <f t="shared" si="61"/>
        <v>0</v>
      </c>
      <c r="AM202" s="35"/>
      <c r="AN202" s="74">
        <f t="shared" si="62"/>
        <v>0</v>
      </c>
      <c r="AO202" s="35"/>
      <c r="AP202" s="74">
        <f t="shared" si="63"/>
        <v>0</v>
      </c>
      <c r="AQ202" s="35"/>
      <c r="AR202" s="74">
        <f t="shared" si="64"/>
        <v>0</v>
      </c>
      <c r="AS202" s="35"/>
      <c r="AT202" s="74">
        <f t="shared" si="65"/>
        <v>0</v>
      </c>
      <c r="AU202" s="35"/>
      <c r="AV202" s="37">
        <f t="shared" si="48"/>
        <v>0</v>
      </c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x14ac:dyDescent="0.2">
      <c r="A203" s="13"/>
      <c r="B203" s="21" t="s">
        <v>398</v>
      </c>
      <c r="C203" s="14">
        <f>SUM(C201:C202)</f>
        <v>0</v>
      </c>
      <c r="D203" s="14"/>
      <c r="E203" s="14">
        <f>SUM(E201:E202)</f>
        <v>0</v>
      </c>
      <c r="F203" s="14"/>
      <c r="G203" s="14">
        <f>SUM(G201:G202)</f>
        <v>0</v>
      </c>
      <c r="H203" s="14"/>
      <c r="I203" s="14">
        <f>SUM(I201:I202)</f>
        <v>0</v>
      </c>
      <c r="J203" s="14"/>
      <c r="K203" s="14">
        <f>SUM(K201:K202)</f>
        <v>0</v>
      </c>
      <c r="L203" s="14"/>
      <c r="M203" s="14">
        <f>SUM(M201:M202)</f>
        <v>0</v>
      </c>
      <c r="N203" s="14"/>
      <c r="O203" s="14">
        <f>SUM(O201:O202)</f>
        <v>0</v>
      </c>
      <c r="P203" s="14"/>
      <c r="Q203" s="14">
        <f>SUM(Q201:Q202)</f>
        <v>0</v>
      </c>
      <c r="R203" s="14"/>
      <c r="S203" s="14">
        <f>SUM(S201:S202)</f>
        <v>0</v>
      </c>
      <c r="T203" s="14"/>
      <c r="U203" s="14">
        <f>SUM(U201:U202)</f>
        <v>0</v>
      </c>
      <c r="V203" s="14"/>
      <c r="W203" s="14">
        <f>SUM(W201:W202)</f>
        <v>0</v>
      </c>
      <c r="X203" s="14"/>
      <c r="Y203" s="14">
        <f>SUM(Y201:Y202)</f>
        <v>0</v>
      </c>
      <c r="Z203" s="14"/>
      <c r="AA203" s="14">
        <f>SUM(AA201:AA202)</f>
        <v>0</v>
      </c>
      <c r="AB203" s="14"/>
      <c r="AC203" s="14">
        <f>SUM(AC201:AC202)</f>
        <v>0</v>
      </c>
      <c r="AD203" s="14"/>
      <c r="AE203" s="14">
        <f>SUM(AE201:AE202)</f>
        <v>0</v>
      </c>
      <c r="AF203" s="14"/>
      <c r="AG203" s="14">
        <f>SUM(AG201:AG202)</f>
        <v>0</v>
      </c>
      <c r="AH203" s="14"/>
      <c r="AI203" s="14"/>
      <c r="AJ203" s="14">
        <f>SUM(C203:AH203)</f>
        <v>0</v>
      </c>
      <c r="AK203" s="145"/>
      <c r="AL203" s="74">
        <f t="shared" si="61"/>
        <v>0</v>
      </c>
      <c r="AM203" s="35"/>
      <c r="AN203" s="74">
        <f t="shared" si="62"/>
        <v>0</v>
      </c>
      <c r="AO203" s="35"/>
      <c r="AP203" s="74">
        <f t="shared" si="63"/>
        <v>0</v>
      </c>
      <c r="AQ203" s="35"/>
      <c r="AR203" s="74">
        <f t="shared" si="64"/>
        <v>0</v>
      </c>
      <c r="AS203" s="35"/>
      <c r="AT203" s="74">
        <f t="shared" si="65"/>
        <v>0</v>
      </c>
      <c r="AU203" s="35"/>
      <c r="AV203" s="37">
        <f t="shared" si="48"/>
        <v>0</v>
      </c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outlineLevel="1" x14ac:dyDescent="0.2">
      <c r="A204" s="13"/>
      <c r="B204" s="3" t="s">
        <v>399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>
        <f>SUM(C204:AI204)</f>
        <v>0</v>
      </c>
      <c r="AK204" s="145"/>
      <c r="AL204" s="74">
        <f t="shared" si="61"/>
        <v>0</v>
      </c>
      <c r="AM204" s="35"/>
      <c r="AN204" s="74">
        <f t="shared" si="62"/>
        <v>0</v>
      </c>
      <c r="AO204" s="35"/>
      <c r="AP204" s="74">
        <f t="shared" si="63"/>
        <v>0</v>
      </c>
      <c r="AQ204" s="35"/>
      <c r="AR204" s="74">
        <f t="shared" si="64"/>
        <v>0</v>
      </c>
      <c r="AS204" s="35"/>
      <c r="AT204" s="74">
        <f t="shared" si="65"/>
        <v>0</v>
      </c>
      <c r="AU204" s="35"/>
      <c r="AV204" s="37">
        <f t="shared" si="48"/>
        <v>0</v>
      </c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outlineLevel="1" x14ac:dyDescent="0.2">
      <c r="A205" s="13"/>
      <c r="B205" s="3" t="s">
        <v>400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>
        <f>SUM(C205:AI205)</f>
        <v>0</v>
      </c>
      <c r="AK205" s="145"/>
      <c r="AL205" s="74">
        <f t="shared" si="61"/>
        <v>0</v>
      </c>
      <c r="AM205" s="35"/>
      <c r="AN205" s="74">
        <f t="shared" si="62"/>
        <v>0</v>
      </c>
      <c r="AO205" s="35"/>
      <c r="AP205" s="74">
        <f t="shared" si="63"/>
        <v>0</v>
      </c>
      <c r="AQ205" s="35"/>
      <c r="AR205" s="74">
        <f t="shared" si="64"/>
        <v>0</v>
      </c>
      <c r="AS205" s="35"/>
      <c r="AT205" s="74">
        <f t="shared" si="65"/>
        <v>0</v>
      </c>
      <c r="AU205" s="35"/>
      <c r="AV205" s="37">
        <f t="shared" si="48"/>
        <v>0</v>
      </c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outlineLevel="1" x14ac:dyDescent="0.2">
      <c r="A206" s="13"/>
      <c r="B206" s="3" t="s">
        <v>401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>
        <f>SUM(C206:AI206)</f>
        <v>0</v>
      </c>
      <c r="AK206" s="145"/>
      <c r="AL206" s="74">
        <f t="shared" si="61"/>
        <v>0</v>
      </c>
      <c r="AM206" s="35"/>
      <c r="AN206" s="74">
        <f t="shared" si="62"/>
        <v>0</v>
      </c>
      <c r="AO206" s="35"/>
      <c r="AP206" s="74">
        <f t="shared" si="63"/>
        <v>0</v>
      </c>
      <c r="AQ206" s="35"/>
      <c r="AR206" s="74">
        <f t="shared" si="64"/>
        <v>0</v>
      </c>
      <c r="AS206" s="35"/>
      <c r="AT206" s="74">
        <f t="shared" si="65"/>
        <v>0</v>
      </c>
      <c r="AU206" s="35"/>
      <c r="AV206" s="37">
        <f t="shared" si="48"/>
        <v>0</v>
      </c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x14ac:dyDescent="0.2">
      <c r="A207" s="13"/>
      <c r="B207" s="3" t="s">
        <v>402</v>
      </c>
      <c r="C207" s="14">
        <f>SUM(C204:C206)</f>
        <v>0</v>
      </c>
      <c r="D207" s="14"/>
      <c r="E207" s="14">
        <f>SUM(E204:E206)</f>
        <v>0</v>
      </c>
      <c r="F207" s="14"/>
      <c r="G207" s="14">
        <f>SUM(G204:G206)</f>
        <v>0</v>
      </c>
      <c r="H207" s="14"/>
      <c r="I207" s="14">
        <f>SUM(I204:I206)</f>
        <v>0</v>
      </c>
      <c r="J207" s="14"/>
      <c r="K207" s="14">
        <f>SUM(K204:K206)</f>
        <v>0</v>
      </c>
      <c r="L207" s="14"/>
      <c r="M207" s="14">
        <f>SUM(M204:M206)</f>
        <v>0</v>
      </c>
      <c r="N207" s="14"/>
      <c r="O207" s="14">
        <f>SUM(O204:O206)</f>
        <v>0</v>
      </c>
      <c r="P207" s="14"/>
      <c r="Q207" s="14">
        <f>SUM(Q204:Q206)</f>
        <v>0</v>
      </c>
      <c r="R207" s="14"/>
      <c r="S207" s="14">
        <f>SUM(S204:S206)</f>
        <v>0</v>
      </c>
      <c r="T207" s="14"/>
      <c r="U207" s="14">
        <f>SUM(U204:U206)</f>
        <v>0</v>
      </c>
      <c r="V207" s="14"/>
      <c r="W207" s="14">
        <f>SUM(W204:W206)</f>
        <v>0</v>
      </c>
      <c r="X207" s="14"/>
      <c r="Y207" s="14">
        <f>SUM(Y204:Y206)</f>
        <v>0</v>
      </c>
      <c r="Z207" s="14"/>
      <c r="AA207" s="14">
        <f>SUM(AA204:AA206)</f>
        <v>0</v>
      </c>
      <c r="AB207" s="14"/>
      <c r="AC207" s="14">
        <f>SUM(AC204:AC206)</f>
        <v>0</v>
      </c>
      <c r="AD207" s="14"/>
      <c r="AE207" s="14">
        <f>SUM(AE204:AE206)</f>
        <v>0</v>
      </c>
      <c r="AF207" s="14"/>
      <c r="AG207" s="14">
        <f>SUM(AG204:AG206)</f>
        <v>0</v>
      </c>
      <c r="AH207" s="14"/>
      <c r="AI207" s="14"/>
      <c r="AJ207" s="14">
        <f>SUM(C207:AH207)</f>
        <v>0</v>
      </c>
      <c r="AK207" s="145"/>
      <c r="AL207" s="74">
        <f t="shared" si="61"/>
        <v>0</v>
      </c>
      <c r="AM207" s="35"/>
      <c r="AN207" s="74">
        <f t="shared" si="62"/>
        <v>0</v>
      </c>
      <c r="AO207" s="35"/>
      <c r="AP207" s="74">
        <f t="shared" si="63"/>
        <v>0</v>
      </c>
      <c r="AQ207" s="35"/>
      <c r="AR207" s="74">
        <f t="shared" si="64"/>
        <v>0</v>
      </c>
      <c r="AS207" s="35"/>
      <c r="AT207" s="74">
        <f t="shared" si="65"/>
        <v>0</v>
      </c>
      <c r="AU207" s="35"/>
      <c r="AV207" s="37">
        <f t="shared" si="48"/>
        <v>0</v>
      </c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outlineLevel="1" x14ac:dyDescent="0.2">
      <c r="A208" s="13"/>
      <c r="B208" s="3" t="s">
        <v>403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>
        <f>SUM(C208:AI208)</f>
        <v>0</v>
      </c>
      <c r="AK208" s="145"/>
      <c r="AL208" s="74">
        <f t="shared" si="61"/>
        <v>0</v>
      </c>
      <c r="AM208" s="35"/>
      <c r="AN208" s="74">
        <f t="shared" si="62"/>
        <v>0</v>
      </c>
      <c r="AO208" s="35"/>
      <c r="AP208" s="74">
        <f t="shared" si="63"/>
        <v>0</v>
      </c>
      <c r="AQ208" s="35"/>
      <c r="AR208" s="74">
        <f t="shared" si="64"/>
        <v>0</v>
      </c>
      <c r="AS208" s="35"/>
      <c r="AT208" s="74">
        <f t="shared" si="65"/>
        <v>0</v>
      </c>
      <c r="AU208" s="35"/>
      <c r="AV208" s="37">
        <f t="shared" si="48"/>
        <v>0</v>
      </c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outlineLevel="1" x14ac:dyDescent="0.2">
      <c r="A209" s="13"/>
      <c r="B209" s="3" t="s">
        <v>404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>
        <f>SUM(C209:AI209)</f>
        <v>0</v>
      </c>
      <c r="AK209" s="145"/>
      <c r="AL209" s="74">
        <f t="shared" si="61"/>
        <v>0</v>
      </c>
      <c r="AM209" s="35"/>
      <c r="AN209" s="74">
        <f t="shared" si="62"/>
        <v>0</v>
      </c>
      <c r="AO209" s="35"/>
      <c r="AP209" s="74">
        <f t="shared" si="63"/>
        <v>0</v>
      </c>
      <c r="AQ209" s="35"/>
      <c r="AR209" s="74">
        <f t="shared" si="64"/>
        <v>0</v>
      </c>
      <c r="AS209" s="35"/>
      <c r="AT209" s="74">
        <f t="shared" si="65"/>
        <v>0</v>
      </c>
      <c r="AU209" s="35"/>
      <c r="AV209" s="37">
        <f t="shared" si="48"/>
        <v>0</v>
      </c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s="29" customFormat="1" outlineLevel="1" x14ac:dyDescent="0.2">
      <c r="A210" s="108"/>
      <c r="B210" s="3" t="s">
        <v>405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>
        <v>0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4">
        <f>SUM(C210:AI210)</f>
        <v>0</v>
      </c>
      <c r="AK210" s="112"/>
      <c r="AL210" s="74">
        <f t="shared" si="61"/>
        <v>0</v>
      </c>
      <c r="AM210" s="35"/>
      <c r="AN210" s="74">
        <f t="shared" si="62"/>
        <v>0</v>
      </c>
      <c r="AO210" s="35"/>
      <c r="AP210" s="74">
        <f t="shared" si="63"/>
        <v>0</v>
      </c>
      <c r="AQ210" s="35"/>
      <c r="AR210" s="74">
        <f t="shared" si="64"/>
        <v>0</v>
      </c>
      <c r="AS210" s="35"/>
      <c r="AT210" s="74">
        <f t="shared" si="65"/>
        <v>0</v>
      </c>
      <c r="AU210" s="35"/>
      <c r="AV210" s="37">
        <f t="shared" si="48"/>
        <v>0</v>
      </c>
    </row>
    <row r="211" spans="1:66" s="29" customFormat="1" x14ac:dyDescent="0.2">
      <c r="A211" s="108"/>
      <c r="B211" s="3" t="s">
        <v>406</v>
      </c>
      <c r="C211" s="16">
        <f>SUM(C208:C210)</f>
        <v>0</v>
      </c>
      <c r="D211" s="16"/>
      <c r="E211" s="16">
        <f>SUM(E208:E210)</f>
        <v>0</v>
      </c>
      <c r="F211" s="16"/>
      <c r="G211" s="16">
        <f>SUM(G208:G210)</f>
        <v>0</v>
      </c>
      <c r="H211" s="16"/>
      <c r="I211" s="16">
        <f>SUM(I208:I210)</f>
        <v>0</v>
      </c>
      <c r="J211" s="16"/>
      <c r="K211" s="16">
        <f>SUM(K208:K210)</f>
        <v>0</v>
      </c>
      <c r="L211" s="16"/>
      <c r="M211" s="16">
        <f>SUM(M208:M210)</f>
        <v>0</v>
      </c>
      <c r="N211" s="16"/>
      <c r="O211" s="16">
        <f>SUM(O208:O210)</f>
        <v>0</v>
      </c>
      <c r="P211" s="16"/>
      <c r="Q211" s="16">
        <f>SUM(Q208:Q210)</f>
        <v>0</v>
      </c>
      <c r="R211" s="16"/>
      <c r="S211" s="16">
        <f>SUM(S208:S210)</f>
        <v>0</v>
      </c>
      <c r="T211" s="16"/>
      <c r="U211" s="16">
        <f>SUM(U208:U210)</f>
        <v>0</v>
      </c>
      <c r="V211" s="16"/>
      <c r="W211" s="16">
        <f>SUM(W208:W210)</f>
        <v>0</v>
      </c>
      <c r="X211" s="16"/>
      <c r="Y211" s="16">
        <f>SUM(Y208:Y210)</f>
        <v>0</v>
      </c>
      <c r="Z211" s="16"/>
      <c r="AA211" s="16">
        <f>SUM(AA208:AA210)</f>
        <v>0</v>
      </c>
      <c r="AB211" s="16"/>
      <c r="AC211" s="16">
        <f>SUM(AC208:AC210)</f>
        <v>0</v>
      </c>
      <c r="AD211" s="16"/>
      <c r="AE211" s="16">
        <f>SUM(AE208:AE210)</f>
        <v>0</v>
      </c>
      <c r="AF211" s="16"/>
      <c r="AG211" s="16">
        <f>SUM(AG208:AG210)</f>
        <v>0</v>
      </c>
      <c r="AH211" s="16"/>
      <c r="AI211" s="16"/>
      <c r="AJ211" s="14">
        <f>SUM(C211:AH211)</f>
        <v>0</v>
      </c>
      <c r="AK211" s="112"/>
      <c r="AL211" s="74">
        <f t="shared" si="61"/>
        <v>0</v>
      </c>
      <c r="AM211" s="35"/>
      <c r="AN211" s="74">
        <f t="shared" si="62"/>
        <v>0</v>
      </c>
      <c r="AO211" s="35"/>
      <c r="AP211" s="74">
        <f t="shared" si="63"/>
        <v>0</v>
      </c>
      <c r="AQ211" s="35"/>
      <c r="AR211" s="74">
        <f t="shared" si="64"/>
        <v>0</v>
      </c>
      <c r="AS211" s="35"/>
      <c r="AT211" s="74">
        <f t="shared" si="65"/>
        <v>0</v>
      </c>
      <c r="AU211" s="35"/>
      <c r="AV211" s="37">
        <f t="shared" si="48"/>
        <v>0</v>
      </c>
    </row>
    <row r="212" spans="1:66" s="29" customFormat="1" x14ac:dyDescent="0.2">
      <c r="A212" s="108"/>
      <c r="B212" s="3" t="s">
        <v>407</v>
      </c>
      <c r="F212" s="16"/>
      <c r="H212" s="16"/>
      <c r="J212" s="16"/>
      <c r="L212" s="16"/>
      <c r="N212" s="16"/>
      <c r="P212" s="16"/>
      <c r="R212" s="16"/>
      <c r="X212" s="16"/>
      <c r="Z212" s="16"/>
      <c r="AB212" s="16"/>
      <c r="AD212" s="16"/>
      <c r="AF212" s="16"/>
      <c r="AH212" s="16"/>
      <c r="AJ212" s="14">
        <f t="shared" ref="AJ212:AJ221" si="66">SUM(C212:AI212)</f>
        <v>0</v>
      </c>
      <c r="AK212" s="16"/>
      <c r="AL212" s="74">
        <f t="shared" si="61"/>
        <v>0</v>
      </c>
      <c r="AM212" s="35"/>
      <c r="AN212" s="74">
        <f t="shared" si="62"/>
        <v>0</v>
      </c>
      <c r="AO212" s="35"/>
      <c r="AP212" s="74">
        <f t="shared" si="63"/>
        <v>0</v>
      </c>
      <c r="AQ212" s="35"/>
      <c r="AR212" s="74">
        <f t="shared" si="64"/>
        <v>0</v>
      </c>
      <c r="AS212" s="35"/>
      <c r="AT212" s="74">
        <f t="shared" si="65"/>
        <v>0</v>
      </c>
      <c r="AU212" s="35"/>
      <c r="AV212" s="37">
        <f t="shared" si="48"/>
        <v>0</v>
      </c>
    </row>
    <row r="213" spans="1:66" s="29" customFormat="1" x14ac:dyDescent="0.2">
      <c r="A213" s="108"/>
      <c r="B213" s="3" t="s">
        <v>408</v>
      </c>
      <c r="F213" s="16"/>
      <c r="H213" s="16"/>
      <c r="J213" s="16"/>
      <c r="L213" s="16"/>
      <c r="N213" s="16"/>
      <c r="P213" s="16"/>
      <c r="R213" s="16"/>
      <c r="X213" s="16"/>
      <c r="Z213" s="16"/>
      <c r="AB213" s="16"/>
      <c r="AD213" s="16"/>
      <c r="AF213" s="16"/>
      <c r="AH213" s="16"/>
      <c r="AJ213" s="14">
        <f t="shared" si="66"/>
        <v>0</v>
      </c>
      <c r="AK213" s="16"/>
      <c r="AL213" s="74">
        <f t="shared" si="61"/>
        <v>0</v>
      </c>
      <c r="AM213" s="35"/>
      <c r="AN213" s="74">
        <f t="shared" si="62"/>
        <v>0</v>
      </c>
      <c r="AO213" s="35"/>
      <c r="AP213" s="74">
        <f t="shared" si="63"/>
        <v>0</v>
      </c>
      <c r="AQ213" s="35"/>
      <c r="AR213" s="74">
        <f t="shared" si="64"/>
        <v>0</v>
      </c>
      <c r="AS213" s="35"/>
      <c r="AT213" s="74">
        <f t="shared" si="65"/>
        <v>0</v>
      </c>
      <c r="AU213" s="35"/>
      <c r="AV213" s="37">
        <f t="shared" si="48"/>
        <v>0</v>
      </c>
    </row>
    <row r="214" spans="1:66" s="29" customFormat="1" x14ac:dyDescent="0.2">
      <c r="A214" s="108"/>
      <c r="B214" s="3" t="s">
        <v>409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4">
        <f t="shared" si="66"/>
        <v>0</v>
      </c>
      <c r="AK214" s="112"/>
      <c r="AL214" s="74">
        <f t="shared" si="61"/>
        <v>0</v>
      </c>
      <c r="AM214" s="35"/>
      <c r="AN214" s="74">
        <f t="shared" si="62"/>
        <v>0</v>
      </c>
      <c r="AO214" s="35"/>
      <c r="AP214" s="74">
        <f t="shared" si="63"/>
        <v>0</v>
      </c>
      <c r="AQ214" s="35"/>
      <c r="AR214" s="74">
        <f t="shared" si="64"/>
        <v>0</v>
      </c>
      <c r="AS214" s="35"/>
      <c r="AT214" s="74">
        <f t="shared" si="65"/>
        <v>0</v>
      </c>
      <c r="AU214" s="35"/>
      <c r="AV214" s="37">
        <f t="shared" si="48"/>
        <v>0</v>
      </c>
    </row>
    <row r="215" spans="1:66" s="29" customFormat="1" x14ac:dyDescent="0.2">
      <c r="A215" s="108"/>
      <c r="B215" s="3" t="s">
        <v>410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4">
        <f t="shared" si="66"/>
        <v>0</v>
      </c>
      <c r="AK215" s="112"/>
      <c r="AL215" s="74">
        <f t="shared" si="61"/>
        <v>0</v>
      </c>
      <c r="AM215" s="35"/>
      <c r="AN215" s="74">
        <f t="shared" si="62"/>
        <v>0</v>
      </c>
      <c r="AO215" s="35"/>
      <c r="AP215" s="74">
        <f t="shared" si="63"/>
        <v>0</v>
      </c>
      <c r="AQ215" s="35"/>
      <c r="AR215" s="74">
        <f t="shared" si="64"/>
        <v>0</v>
      </c>
      <c r="AS215" s="35"/>
      <c r="AT215" s="74">
        <f t="shared" si="65"/>
        <v>0</v>
      </c>
      <c r="AU215" s="35"/>
      <c r="AV215" s="37">
        <f t="shared" ref="AV215:AV282" si="67">AJ215-AT215</f>
        <v>0</v>
      </c>
    </row>
    <row r="216" spans="1:66" s="29" customFormat="1" x14ac:dyDescent="0.2">
      <c r="A216" s="108"/>
      <c r="B216" s="3" t="s">
        <v>411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>
        <v>0</v>
      </c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4">
        <f t="shared" si="66"/>
        <v>0</v>
      </c>
      <c r="AK216" s="112"/>
      <c r="AL216" s="74">
        <f t="shared" si="61"/>
        <v>0</v>
      </c>
      <c r="AM216" s="35"/>
      <c r="AN216" s="74">
        <f t="shared" si="62"/>
        <v>0</v>
      </c>
      <c r="AO216" s="35"/>
      <c r="AP216" s="74">
        <f t="shared" si="63"/>
        <v>0</v>
      </c>
      <c r="AQ216" s="35"/>
      <c r="AR216" s="74">
        <f t="shared" si="64"/>
        <v>0</v>
      </c>
      <c r="AS216" s="35"/>
      <c r="AT216" s="74">
        <f t="shared" si="65"/>
        <v>0</v>
      </c>
      <c r="AU216" s="35"/>
      <c r="AV216" s="37">
        <f t="shared" si="67"/>
        <v>0</v>
      </c>
    </row>
    <row r="217" spans="1:66" s="29" customFormat="1" x14ac:dyDescent="0.2">
      <c r="A217" s="108"/>
      <c r="B217" s="3" t="s">
        <v>412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4">
        <f t="shared" si="66"/>
        <v>0</v>
      </c>
      <c r="AK217" s="112"/>
      <c r="AL217" s="74">
        <f t="shared" si="61"/>
        <v>0</v>
      </c>
      <c r="AM217" s="35"/>
      <c r="AN217" s="74">
        <f t="shared" si="62"/>
        <v>0</v>
      </c>
      <c r="AO217" s="35"/>
      <c r="AP217" s="74">
        <f t="shared" si="63"/>
        <v>0</v>
      </c>
      <c r="AQ217" s="35"/>
      <c r="AR217" s="74">
        <f t="shared" si="64"/>
        <v>0</v>
      </c>
      <c r="AS217" s="35"/>
      <c r="AT217" s="74">
        <f t="shared" si="65"/>
        <v>0</v>
      </c>
      <c r="AU217" s="35"/>
      <c r="AV217" s="37">
        <f t="shared" si="67"/>
        <v>0</v>
      </c>
    </row>
    <row r="218" spans="1:66" s="29" customFormat="1" x14ac:dyDescent="0.2">
      <c r="A218" s="108"/>
      <c r="B218" s="3" t="s">
        <v>413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4">
        <f t="shared" si="66"/>
        <v>0</v>
      </c>
      <c r="AK218" s="112"/>
      <c r="AL218" s="74">
        <f t="shared" si="61"/>
        <v>0</v>
      </c>
      <c r="AM218" s="35"/>
      <c r="AN218" s="74">
        <f t="shared" si="62"/>
        <v>0</v>
      </c>
      <c r="AO218" s="35"/>
      <c r="AP218" s="74">
        <f t="shared" si="63"/>
        <v>0</v>
      </c>
      <c r="AQ218" s="35"/>
      <c r="AR218" s="74">
        <f t="shared" si="64"/>
        <v>0</v>
      </c>
      <c r="AS218" s="35"/>
      <c r="AT218" s="74">
        <f t="shared" si="65"/>
        <v>0</v>
      </c>
      <c r="AU218" s="35"/>
      <c r="AV218" s="37">
        <f t="shared" si="67"/>
        <v>0</v>
      </c>
    </row>
    <row r="219" spans="1:66" s="29" customFormat="1" x14ac:dyDescent="0.2">
      <c r="A219" s="108"/>
      <c r="B219" s="3" t="s">
        <v>414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>
        <v>0</v>
      </c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4">
        <f t="shared" si="66"/>
        <v>0</v>
      </c>
      <c r="AK219" s="112"/>
      <c r="AL219" s="74">
        <f t="shared" si="61"/>
        <v>0</v>
      </c>
      <c r="AM219" s="35"/>
      <c r="AN219" s="74">
        <f t="shared" si="62"/>
        <v>0</v>
      </c>
      <c r="AO219" s="35"/>
      <c r="AP219" s="74">
        <f t="shared" si="63"/>
        <v>0</v>
      </c>
      <c r="AQ219" s="35"/>
      <c r="AR219" s="74">
        <f t="shared" si="64"/>
        <v>0</v>
      </c>
      <c r="AS219" s="35"/>
      <c r="AT219" s="74">
        <f t="shared" si="65"/>
        <v>0</v>
      </c>
      <c r="AU219" s="35"/>
      <c r="AV219" s="37">
        <f t="shared" si="67"/>
        <v>0</v>
      </c>
    </row>
    <row r="220" spans="1:66" s="29" customFormat="1" outlineLevel="1" x14ac:dyDescent="0.2">
      <c r="A220" s="108"/>
      <c r="B220" s="3" t="s">
        <v>415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>
        <v>-5822.04</v>
      </c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>
        <v>44531.8</v>
      </c>
      <c r="AF220" s="16"/>
      <c r="AG220" s="16"/>
      <c r="AH220" s="16"/>
      <c r="AI220" s="16"/>
      <c r="AJ220" s="14">
        <f t="shared" si="66"/>
        <v>38709.760000000002</v>
      </c>
      <c r="AK220" s="112"/>
      <c r="AL220" s="74">
        <f t="shared" si="61"/>
        <v>44531.8</v>
      </c>
      <c r="AM220" s="35"/>
      <c r="AN220" s="74">
        <f t="shared" si="62"/>
        <v>-5822.04</v>
      </c>
      <c r="AO220" s="35"/>
      <c r="AP220" s="74">
        <f t="shared" si="63"/>
        <v>0</v>
      </c>
      <c r="AQ220" s="35"/>
      <c r="AR220" s="74">
        <f t="shared" si="64"/>
        <v>0</v>
      </c>
      <c r="AS220" s="35"/>
      <c r="AT220" s="74">
        <f t="shared" si="65"/>
        <v>38709.760000000002</v>
      </c>
      <c r="AU220" s="35"/>
      <c r="AV220" s="37">
        <f t="shared" si="67"/>
        <v>0</v>
      </c>
    </row>
    <row r="221" spans="1:66" s="29" customFormat="1" outlineLevel="1" x14ac:dyDescent="0.2">
      <c r="A221" s="108"/>
      <c r="B221" s="29" t="s">
        <v>416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>
        <v>-688774.51</v>
      </c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>
        <v>0</v>
      </c>
      <c r="AH221" s="16"/>
      <c r="AI221" s="16"/>
      <c r="AJ221" s="14">
        <f t="shared" si="66"/>
        <v>-688774.51</v>
      </c>
      <c r="AK221" s="112"/>
      <c r="AL221" s="74">
        <f t="shared" si="61"/>
        <v>0</v>
      </c>
      <c r="AM221" s="35"/>
      <c r="AN221" s="74">
        <f t="shared" si="62"/>
        <v>-688774.51</v>
      </c>
      <c r="AO221" s="35"/>
      <c r="AP221" s="74">
        <f t="shared" si="63"/>
        <v>0</v>
      </c>
      <c r="AQ221" s="35"/>
      <c r="AR221" s="74">
        <f t="shared" si="64"/>
        <v>0</v>
      </c>
      <c r="AS221" s="35"/>
      <c r="AT221" s="74">
        <f t="shared" si="65"/>
        <v>-688774.51</v>
      </c>
      <c r="AU221" s="35"/>
      <c r="AV221" s="37">
        <f t="shared" si="67"/>
        <v>0</v>
      </c>
    </row>
    <row r="222" spans="1:66" s="29" customFormat="1" x14ac:dyDescent="0.2">
      <c r="A222" s="108"/>
      <c r="B222" s="29" t="s">
        <v>417</v>
      </c>
      <c r="C222" s="36">
        <f>SUM(C220:C221)</f>
        <v>0</v>
      </c>
      <c r="E222" s="36">
        <f>SUM(E220:E221)</f>
        <v>0</v>
      </c>
      <c r="F222" s="16"/>
      <c r="G222" s="36">
        <f>SUM(G220:G221)</f>
        <v>0</v>
      </c>
      <c r="H222" s="16"/>
      <c r="I222" s="36">
        <f>SUM(I220:I221)</f>
        <v>0</v>
      </c>
      <c r="J222" s="16"/>
      <c r="K222" s="36">
        <f>SUM(K220:K221)</f>
        <v>0</v>
      </c>
      <c r="L222" s="16"/>
      <c r="M222" s="36">
        <f>SUM(M220:M221)</f>
        <v>-694596.55</v>
      </c>
      <c r="N222" s="16"/>
      <c r="O222" s="36">
        <f>SUM(O220:O221)</f>
        <v>0</v>
      </c>
      <c r="P222" s="16"/>
      <c r="Q222" s="36">
        <f>SUM(Q220:Q221)</f>
        <v>0</v>
      </c>
      <c r="R222" s="16"/>
      <c r="S222" s="36">
        <f>SUM(S220:S221)</f>
        <v>0</v>
      </c>
      <c r="T222" s="36"/>
      <c r="U222" s="36">
        <f>SUM(U220:U221)</f>
        <v>0</v>
      </c>
      <c r="V222" s="36"/>
      <c r="W222" s="36">
        <f>SUM(W220:W221)</f>
        <v>0</v>
      </c>
      <c r="X222" s="16"/>
      <c r="Y222" s="36">
        <f>SUM(Y220:Y221)</f>
        <v>0</v>
      </c>
      <c r="Z222" s="16"/>
      <c r="AA222" s="36">
        <f>SUM(AA220:AA221)</f>
        <v>0</v>
      </c>
      <c r="AB222" s="16"/>
      <c r="AC222" s="36">
        <f>SUM(AC220:AC221)</f>
        <v>0</v>
      </c>
      <c r="AD222" s="16"/>
      <c r="AE222" s="36">
        <f>SUM(AE220:AE221)</f>
        <v>44531.8</v>
      </c>
      <c r="AF222" s="16"/>
      <c r="AG222" s="36">
        <f>SUM(AG220:AG221)</f>
        <v>0</v>
      </c>
      <c r="AH222" s="16"/>
      <c r="AI222" s="36"/>
      <c r="AJ222" s="14">
        <f>SUM(C222:AH222)</f>
        <v>-650064.75</v>
      </c>
      <c r="AK222" s="16"/>
      <c r="AL222" s="74">
        <f t="shared" si="61"/>
        <v>44531.8</v>
      </c>
      <c r="AM222" s="35"/>
      <c r="AN222" s="74">
        <f t="shared" si="62"/>
        <v>-694596.55</v>
      </c>
      <c r="AO222" s="35"/>
      <c r="AP222" s="74">
        <f t="shared" si="63"/>
        <v>0</v>
      </c>
      <c r="AQ222" s="35"/>
      <c r="AR222" s="74">
        <f t="shared" si="64"/>
        <v>0</v>
      </c>
      <c r="AS222" s="35"/>
      <c r="AT222" s="74">
        <f t="shared" si="65"/>
        <v>-650064.75</v>
      </c>
      <c r="AU222" s="35"/>
      <c r="AV222" s="37">
        <f t="shared" si="67"/>
        <v>0</v>
      </c>
    </row>
    <row r="223" spans="1:66" s="29" customFormat="1" x14ac:dyDescent="0.2">
      <c r="A223" s="108"/>
      <c r="B223" s="111" t="s">
        <v>418</v>
      </c>
      <c r="C223" s="113">
        <f>C222+SUM(C211:C219)+C207+C203:C203</f>
        <v>0</v>
      </c>
      <c r="E223" s="113">
        <f>E222+SUM(E211:E219)+E207+E203:E203</f>
        <v>0</v>
      </c>
      <c r="F223" s="16"/>
      <c r="G223" s="113">
        <f>G222+SUM(G211:G219)+G207+G203:G203</f>
        <v>0</v>
      </c>
      <c r="H223" s="16"/>
      <c r="I223" s="113">
        <f>I222+SUM(I211:I219)+I207+I203:I203</f>
        <v>0</v>
      </c>
      <c r="J223" s="16"/>
      <c r="K223" s="113">
        <f>K222+SUM(K211:K219)+K207+K203:K203</f>
        <v>0</v>
      </c>
      <c r="L223" s="16"/>
      <c r="M223" s="113">
        <f>M222+SUM(M211:M219)+M207+M203:M203</f>
        <v>-694596.55</v>
      </c>
      <c r="N223" s="16"/>
      <c r="O223" s="113">
        <f>O222+SUM(O211:O219)+O207+O203:O203</f>
        <v>0</v>
      </c>
      <c r="P223" s="16"/>
      <c r="Q223" s="113">
        <f>Q222+SUM(Q211:Q219)+Q207+Q203:Q203</f>
        <v>0</v>
      </c>
      <c r="R223" s="16"/>
      <c r="S223" s="113">
        <f>S222+SUM(S211:S219)+S207+S203:S203</f>
        <v>0</v>
      </c>
      <c r="T223" s="113"/>
      <c r="U223" s="113">
        <f>U222+SUM(U211:U219)+U207+U203:U203</f>
        <v>0</v>
      </c>
      <c r="V223" s="113"/>
      <c r="W223" s="113">
        <f>W222+SUM(W211:W219)+W207+W203:W203</f>
        <v>0</v>
      </c>
      <c r="X223" s="16"/>
      <c r="Y223" s="113">
        <f>Y222+SUM(Y211:Y219)+Y207+Y203:Y203</f>
        <v>0</v>
      </c>
      <c r="Z223" s="16"/>
      <c r="AA223" s="113">
        <f>AA222+SUM(AA211:AA219)+AA207+AA203:AA203</f>
        <v>0</v>
      </c>
      <c r="AB223" s="16"/>
      <c r="AC223" s="113">
        <f>AC222+SUM(AC211:AC219)+AC207+AC203:AC203</f>
        <v>0</v>
      </c>
      <c r="AD223" s="16"/>
      <c r="AE223" s="113">
        <f>AE222+SUM(AE211:AE219)+AE207+AE203:AE203</f>
        <v>44531.8</v>
      </c>
      <c r="AF223" s="16"/>
      <c r="AG223" s="113">
        <f>AG222+SUM(AG211:AG219)+AG207+AG203:AG203</f>
        <v>0</v>
      </c>
      <c r="AH223" s="16"/>
      <c r="AI223" s="113"/>
      <c r="AJ223" s="113">
        <f>AJ222+SUM(AJ211:AJ219)+AJ207+AJ203:AJ203</f>
        <v>-650064.75</v>
      </c>
      <c r="AK223" s="16"/>
      <c r="AL223" s="114">
        <f>AL222+SUM(AL211:AL219)+AL207+AL203:AL203</f>
        <v>44531.8</v>
      </c>
      <c r="AM223" s="83"/>
      <c r="AN223" s="114">
        <f>AN222+SUM(AN211:AN219)+AN207+AN203:AN203</f>
        <v>-694596.55</v>
      </c>
      <c r="AO223" s="83"/>
      <c r="AP223" s="114">
        <f>AP222+SUM(AP211:AP219)+AP207+AP203:AP203</f>
        <v>0</v>
      </c>
      <c r="AQ223" s="83"/>
      <c r="AR223" s="114">
        <f>AR222+SUM(AR211:AR219)+AR207+AR203:AR203</f>
        <v>0</v>
      </c>
      <c r="AS223" s="83"/>
      <c r="AT223" s="114">
        <f>AT222+SUM(AT211:AT219)+AT207+AT203:AT203</f>
        <v>-650064.75</v>
      </c>
      <c r="AU223" s="83"/>
      <c r="AV223" s="37">
        <f t="shared" si="67"/>
        <v>0</v>
      </c>
    </row>
    <row r="224" spans="1:66" s="29" customFormat="1" x14ac:dyDescent="0.2">
      <c r="A224" s="108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12"/>
      <c r="AL224" s="30"/>
      <c r="AM224" s="83"/>
      <c r="AN224" s="30"/>
      <c r="AO224" s="83"/>
      <c r="AP224" s="83"/>
      <c r="AQ224" s="83"/>
      <c r="AR224" s="83"/>
      <c r="AS224" s="83"/>
      <c r="AT224" s="83"/>
      <c r="AU224" s="83"/>
      <c r="AV224" s="37">
        <f t="shared" si="67"/>
        <v>0</v>
      </c>
    </row>
    <row r="225" spans="1:66" s="29" customFormat="1" x14ac:dyDescent="0.2">
      <c r="A225" s="108"/>
      <c r="B225" s="9" t="s">
        <v>31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12"/>
      <c r="AL225" s="30"/>
      <c r="AM225" s="83"/>
      <c r="AN225" s="30"/>
      <c r="AO225" s="83"/>
      <c r="AP225" s="83"/>
      <c r="AQ225" s="83"/>
      <c r="AR225" s="83"/>
      <c r="AS225" s="83"/>
      <c r="AT225" s="83"/>
      <c r="AU225" s="83"/>
      <c r="AV225" s="37">
        <f t="shared" si="67"/>
        <v>0</v>
      </c>
    </row>
    <row r="226" spans="1:66" s="29" customFormat="1" x14ac:dyDescent="0.2">
      <c r="A226" s="108"/>
      <c r="B226" s="3" t="s">
        <v>419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4">
        <f>SUM(C226:AI226)</f>
        <v>0</v>
      </c>
      <c r="AK226" s="112"/>
      <c r="AL226" s="74">
        <f>SUMIF($C$10:$AI$10,"=Addition",$C226:$AI226)</f>
        <v>0</v>
      </c>
      <c r="AM226" s="35"/>
      <c r="AN226" s="74">
        <f>SUMIF($C$10:$AI$10,"=Adjustment",$C226:$AI226)</f>
        <v>0</v>
      </c>
      <c r="AO226" s="35"/>
      <c r="AP226" s="74">
        <f>SUMIF($C$10:$AI$10,"=Transfer",$C226:$AI226)</f>
        <v>0</v>
      </c>
      <c r="AQ226" s="35"/>
      <c r="AR226" s="74">
        <f>SUMIF($C$10:$AI$10,"=N/A",$C226:$AI226)</f>
        <v>0</v>
      </c>
      <c r="AS226" s="35"/>
      <c r="AT226" s="74">
        <f t="shared" ref="AT226:AT228" si="68">SUM(AL226:AR226)</f>
        <v>0</v>
      </c>
      <c r="AU226" s="35"/>
      <c r="AV226" s="37">
        <f t="shared" si="67"/>
        <v>0</v>
      </c>
    </row>
    <row r="227" spans="1:66" s="29" customFormat="1" x14ac:dyDescent="0.2">
      <c r="A227" s="108"/>
      <c r="B227" s="3" t="s">
        <v>420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4">
        <f>SUM(C227:AI227)</f>
        <v>0</v>
      </c>
      <c r="AK227" s="112"/>
      <c r="AL227" s="74">
        <f>SUMIF($C$10:$AI$10,"=Addition",$C227:$AI227)</f>
        <v>0</v>
      </c>
      <c r="AM227" s="35"/>
      <c r="AN227" s="74">
        <f>SUMIF($C$10:$AI$10,"=Adjustment",$C227:$AI227)</f>
        <v>0</v>
      </c>
      <c r="AO227" s="35"/>
      <c r="AP227" s="74">
        <f>SUMIF($C$10:$AI$10,"=Transfer",$C227:$AI227)</f>
        <v>0</v>
      </c>
      <c r="AQ227" s="35"/>
      <c r="AR227" s="74">
        <f>SUMIF($C$10:$AI$10,"=N/A",$C227:$AI227)</f>
        <v>0</v>
      </c>
      <c r="AS227" s="35"/>
      <c r="AT227" s="74">
        <f t="shared" si="68"/>
        <v>0</v>
      </c>
      <c r="AU227" s="35"/>
      <c r="AV227" s="37">
        <f t="shared" si="67"/>
        <v>0</v>
      </c>
    </row>
    <row r="228" spans="1:66" s="29" customFormat="1" x14ac:dyDescent="0.2">
      <c r="A228" s="108"/>
      <c r="B228" s="21" t="s">
        <v>421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>
        <v>28516.28</v>
      </c>
      <c r="P228" s="16"/>
      <c r="Q228" s="16"/>
      <c r="R228" s="16"/>
      <c r="S228" s="16"/>
      <c r="T228" s="16"/>
      <c r="U228" s="16"/>
      <c r="V228" s="16"/>
      <c r="W228" s="16">
        <v>0</v>
      </c>
      <c r="X228" s="16"/>
      <c r="Y228" s="16">
        <v>0</v>
      </c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4">
        <f>SUM(C228:AI228)</f>
        <v>28516.28</v>
      </c>
      <c r="AK228" s="112"/>
      <c r="AL228" s="74">
        <f>SUMIF($C$10:$AI$10,"=Addition",$C228:$AI228)</f>
        <v>28516.28</v>
      </c>
      <c r="AM228" s="35"/>
      <c r="AN228" s="74">
        <f>SUMIF($C$10:$AI$10,"=Adjustment",$C228:$AI228)</f>
        <v>0</v>
      </c>
      <c r="AO228" s="35"/>
      <c r="AP228" s="74">
        <f>SUMIF($C$10:$AI$10,"=Transfer",$C228:$AI228)</f>
        <v>0</v>
      </c>
      <c r="AQ228" s="35"/>
      <c r="AR228" s="74">
        <f>SUMIF($C$10:$AI$10,"=N/A",$C228:$AI228)</f>
        <v>0</v>
      </c>
      <c r="AS228" s="35"/>
      <c r="AT228" s="74">
        <f t="shared" si="68"/>
        <v>28516.28</v>
      </c>
      <c r="AU228" s="35"/>
      <c r="AV228" s="37">
        <f t="shared" si="67"/>
        <v>0</v>
      </c>
    </row>
    <row r="229" spans="1:66" s="29" customFormat="1" x14ac:dyDescent="0.2">
      <c r="A229" s="108"/>
      <c r="B229" s="115" t="s">
        <v>422</v>
      </c>
      <c r="C229" s="19">
        <f>SUM(C226:C228)</f>
        <v>0</v>
      </c>
      <c r="D229" s="16"/>
      <c r="E229" s="19">
        <f>SUM(E226:E228)</f>
        <v>0</v>
      </c>
      <c r="F229" s="16"/>
      <c r="G229" s="19">
        <f>SUM(G226:G228)</f>
        <v>0</v>
      </c>
      <c r="H229" s="16"/>
      <c r="I229" s="19">
        <f>SUM(I226:I228)</f>
        <v>0</v>
      </c>
      <c r="J229" s="16"/>
      <c r="K229" s="19">
        <f>SUM(K226:K228)</f>
        <v>0</v>
      </c>
      <c r="L229" s="16"/>
      <c r="M229" s="19">
        <f>SUM(M226:M228)</f>
        <v>0</v>
      </c>
      <c r="N229" s="16"/>
      <c r="O229" s="19">
        <f>SUM(O226:O228)</f>
        <v>28516.28</v>
      </c>
      <c r="P229" s="16"/>
      <c r="Q229" s="19">
        <f>SUM(Q226:Q228)</f>
        <v>0</v>
      </c>
      <c r="R229" s="16"/>
      <c r="S229" s="19">
        <f>SUM(S226:S228)</f>
        <v>0</v>
      </c>
      <c r="T229" s="19"/>
      <c r="U229" s="19">
        <f>SUM(U226:U228)</f>
        <v>0</v>
      </c>
      <c r="V229" s="19"/>
      <c r="W229" s="19">
        <f>SUM(W226:W228)</f>
        <v>0</v>
      </c>
      <c r="X229" s="16"/>
      <c r="Y229" s="19">
        <f>SUM(Y226:Y228)</f>
        <v>0</v>
      </c>
      <c r="Z229" s="16"/>
      <c r="AA229" s="19">
        <f>SUM(AA226:AA228)</f>
        <v>0</v>
      </c>
      <c r="AB229" s="16"/>
      <c r="AC229" s="19">
        <f>SUM(AC226:AC228)</f>
        <v>0</v>
      </c>
      <c r="AD229" s="16"/>
      <c r="AE229" s="19">
        <f>SUM(AE226:AE228)</f>
        <v>0</v>
      </c>
      <c r="AF229" s="16"/>
      <c r="AG229" s="19">
        <f>SUM(AG226:AG228)</f>
        <v>0</v>
      </c>
      <c r="AH229" s="16"/>
      <c r="AI229" s="19"/>
      <c r="AJ229" s="19">
        <f>SUM(AJ226:AJ228)</f>
        <v>28516.28</v>
      </c>
      <c r="AK229" s="112"/>
      <c r="AL229" s="110">
        <f>SUM(AL226:AL228)</f>
        <v>28516.28</v>
      </c>
      <c r="AM229" s="83"/>
      <c r="AN229" s="110">
        <f>SUM(AN226:AN228)</f>
        <v>0</v>
      </c>
      <c r="AO229" s="83"/>
      <c r="AP229" s="110">
        <f>SUM(AP226:AP228)</f>
        <v>0</v>
      </c>
      <c r="AQ229" s="83"/>
      <c r="AR229" s="110">
        <f>SUM(AR226:AR228)</f>
        <v>0</v>
      </c>
      <c r="AS229" s="83"/>
      <c r="AT229" s="110">
        <f>SUM(AT226:AT228)</f>
        <v>28516.28</v>
      </c>
      <c r="AU229" s="83"/>
      <c r="AV229" s="37">
        <f t="shared" si="67"/>
        <v>0</v>
      </c>
    </row>
    <row r="230" spans="1:66" s="29" customFormat="1" x14ac:dyDescent="0.2">
      <c r="A230" s="108"/>
      <c r="B230" s="1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12"/>
      <c r="AL230" s="30"/>
      <c r="AM230" s="83"/>
      <c r="AN230" s="30"/>
      <c r="AO230" s="83"/>
      <c r="AP230" s="83"/>
      <c r="AQ230" s="83"/>
      <c r="AR230" s="83"/>
      <c r="AS230" s="83"/>
      <c r="AT230" s="83"/>
      <c r="AU230" s="83"/>
      <c r="AV230" s="37">
        <f t="shared" si="67"/>
        <v>0</v>
      </c>
    </row>
    <row r="231" spans="1:66" s="29" customFormat="1" x14ac:dyDescent="0.2">
      <c r="A231" s="108"/>
      <c r="B231" s="1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12"/>
      <c r="AL231" s="74"/>
      <c r="AM231" s="35"/>
      <c r="AN231" s="74"/>
      <c r="AO231" s="35"/>
      <c r="AP231" s="74"/>
      <c r="AQ231" s="35"/>
      <c r="AR231" s="74"/>
      <c r="AS231" s="35"/>
      <c r="AT231" s="74"/>
      <c r="AU231" s="35"/>
      <c r="AV231" s="37">
        <f t="shared" si="67"/>
        <v>0</v>
      </c>
    </row>
    <row r="232" spans="1:66" s="29" customFormat="1" x14ac:dyDescent="0.2">
      <c r="A232" s="108"/>
      <c r="B232" s="115" t="s">
        <v>423</v>
      </c>
      <c r="C232" s="19">
        <f>C229+C223+C198+C194+C181</f>
        <v>0</v>
      </c>
      <c r="D232" s="16"/>
      <c r="E232" s="19">
        <f>E229+E223+E198+E194+E181</f>
        <v>0</v>
      </c>
      <c r="F232" s="16"/>
      <c r="G232" s="19">
        <f>G229+G223+G198+G194+G181</f>
        <v>0</v>
      </c>
      <c r="H232" s="16"/>
      <c r="I232" s="19">
        <f>I229+I223+I198+I194+I181</f>
        <v>0</v>
      </c>
      <c r="J232" s="16"/>
      <c r="K232" s="19">
        <f>K229+K223+K198+K194+K181</f>
        <v>0</v>
      </c>
      <c r="L232" s="16"/>
      <c r="M232" s="19">
        <f>M229+M223+M198+M194+M181</f>
        <v>-694596.55</v>
      </c>
      <c r="N232" s="16"/>
      <c r="O232" s="19">
        <f>O229+O223+O198+O194+O181</f>
        <v>1148710.28</v>
      </c>
      <c r="P232" s="16"/>
      <c r="Q232" s="19">
        <f>Q229+Q223+Q198+Q194+Q181</f>
        <v>0</v>
      </c>
      <c r="R232" s="16"/>
      <c r="S232" s="19">
        <f>S229+S223+S198+S194+S181</f>
        <v>0</v>
      </c>
      <c r="T232" s="19"/>
      <c r="U232" s="19">
        <f>U229+U223+U198+U194+U181</f>
        <v>0</v>
      </c>
      <c r="V232" s="19"/>
      <c r="W232" s="19">
        <f>W229+W223+W198+W194+W181</f>
        <v>0</v>
      </c>
      <c r="X232" s="16"/>
      <c r="Y232" s="19">
        <f>Y229+Y223+Y198+Y194+Y181</f>
        <v>0</v>
      </c>
      <c r="Z232" s="16"/>
      <c r="AA232" s="19">
        <f>AA229+AA223+AA198+AA194+AA181</f>
        <v>0</v>
      </c>
      <c r="AB232" s="16"/>
      <c r="AC232" s="19">
        <f>AC229+AC223+AC198+AC194+AC181</f>
        <v>0</v>
      </c>
      <c r="AD232" s="16"/>
      <c r="AE232" s="19">
        <f>AE229+AE223+AE198+AE194+AE181</f>
        <v>44531.8</v>
      </c>
      <c r="AF232" s="16"/>
      <c r="AG232" s="19">
        <f>AG229+AG223+AG198+AG194+AG181</f>
        <v>0</v>
      </c>
      <c r="AH232" s="16"/>
      <c r="AI232" s="19"/>
      <c r="AJ232" s="19">
        <f>AJ229+AJ223+AJ198+AJ194+AJ181</f>
        <v>498645.53</v>
      </c>
      <c r="AK232" s="112"/>
      <c r="AL232" s="110">
        <f>AL229+AL223+AL198+AL194+AL181</f>
        <v>1193242.08</v>
      </c>
      <c r="AM232" s="83"/>
      <c r="AN232" s="110">
        <f>AN229+AN223+AN198+AN194+AN181</f>
        <v>-694596.55</v>
      </c>
      <c r="AO232" s="83"/>
      <c r="AP232" s="110">
        <f>AP229+AP223+AP198+AP194+AP181</f>
        <v>0</v>
      </c>
      <c r="AQ232" s="83"/>
      <c r="AR232" s="110">
        <f>AR229+AR223+AR198+AR194+AR181</f>
        <v>0</v>
      </c>
      <c r="AS232" s="83"/>
      <c r="AT232" s="110">
        <f>AT229+AT223+AT198+AT194+AT181</f>
        <v>498645.53</v>
      </c>
      <c r="AU232" s="83"/>
      <c r="AV232" s="37">
        <f t="shared" si="67"/>
        <v>0</v>
      </c>
    </row>
    <row r="233" spans="1:66" s="29" customFormat="1" x14ac:dyDescent="0.2">
      <c r="A233" s="108"/>
      <c r="B233" s="1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12"/>
      <c r="AL233" s="30"/>
      <c r="AM233" s="83"/>
      <c r="AN233" s="30"/>
      <c r="AO233" s="83"/>
      <c r="AP233" s="83"/>
      <c r="AQ233" s="83"/>
      <c r="AR233" s="83"/>
      <c r="AS233" s="83"/>
      <c r="AT233" s="83"/>
      <c r="AU233" s="83"/>
      <c r="AV233" s="37">
        <f t="shared" si="67"/>
        <v>0</v>
      </c>
    </row>
    <row r="234" spans="1:66" x14ac:dyDescent="0.2">
      <c r="A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5"/>
      <c r="AL234" s="74"/>
      <c r="AM234" s="35"/>
      <c r="AN234" s="74"/>
      <c r="AO234" s="35"/>
      <c r="AP234" s="35"/>
      <c r="AQ234" s="35"/>
      <c r="AR234" s="35"/>
      <c r="AS234" s="35"/>
      <c r="AT234" s="35"/>
      <c r="AU234" s="35"/>
      <c r="AV234" s="37">
        <f t="shared" si="67"/>
        <v>0</v>
      </c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x14ac:dyDescent="0.2">
      <c r="A235" s="13"/>
      <c r="B235" s="9" t="s">
        <v>33</v>
      </c>
      <c r="C235" s="88">
        <f>C232+C157+C45</f>
        <v>0</v>
      </c>
      <c r="D235" s="16"/>
      <c r="E235" s="88">
        <f>E232+E157+E45</f>
        <v>0</v>
      </c>
      <c r="F235" s="14"/>
      <c r="G235" s="88">
        <f>G232+G157+G45</f>
        <v>-185185.13</v>
      </c>
      <c r="H235" s="16"/>
      <c r="I235" s="88">
        <f>I232+I157+I45</f>
        <v>0</v>
      </c>
      <c r="J235" s="16"/>
      <c r="K235" s="88">
        <f>K232+K157+K45</f>
        <v>0</v>
      </c>
      <c r="L235" s="16"/>
      <c r="M235" s="88">
        <f>M232+M157+M45</f>
        <v>-11353036.350000001</v>
      </c>
      <c r="N235" s="16"/>
      <c r="O235" s="88">
        <f>O232+O157+O45</f>
        <v>2060401.67</v>
      </c>
      <c r="P235" s="14"/>
      <c r="Q235" s="88">
        <f>Q232+Q157+Q45</f>
        <v>-5776821.0199999996</v>
      </c>
      <c r="R235" s="14"/>
      <c r="S235" s="88">
        <f>S232+S157+S45</f>
        <v>0</v>
      </c>
      <c r="T235" s="88"/>
      <c r="U235" s="88">
        <f>U232+U157+U45</f>
        <v>0</v>
      </c>
      <c r="V235" s="88"/>
      <c r="W235" s="88">
        <f>W232+W157+W45</f>
        <v>1.4551915228366852E-11</v>
      </c>
      <c r="X235" s="14"/>
      <c r="Y235" s="88">
        <f>Y232+Y157+Y45</f>
        <v>282056.8</v>
      </c>
      <c r="Z235" s="14"/>
      <c r="AA235" s="88">
        <f>AA232+AA157+AA45</f>
        <v>-3337448.13</v>
      </c>
      <c r="AB235" s="14"/>
      <c r="AC235" s="88">
        <f>AC232+AC157+AC45</f>
        <v>0</v>
      </c>
      <c r="AD235" s="14"/>
      <c r="AE235" s="88">
        <f>AE232+AE157+AE45</f>
        <v>1312832.73</v>
      </c>
      <c r="AF235" s="14"/>
      <c r="AG235" s="88">
        <f>AG232+AG157+AG45</f>
        <v>2601840.79</v>
      </c>
      <c r="AH235" s="14"/>
      <c r="AI235" s="88"/>
      <c r="AJ235" s="88">
        <f>AJ232+AJ157+AJ45</f>
        <v>-8618537.6199999992</v>
      </c>
      <c r="AK235" s="145"/>
      <c r="AL235" s="88">
        <f>AL232+AL157+AL45</f>
        <v>6257131.9900000002</v>
      </c>
      <c r="AM235" s="35"/>
      <c r="AN235" s="88">
        <f>AN232+AN157+AN45</f>
        <v>-4680342.68</v>
      </c>
      <c r="AO235" s="35"/>
      <c r="AP235" s="88">
        <f>AP232+AP157+AP45</f>
        <v>0</v>
      </c>
      <c r="AQ235" s="35"/>
      <c r="AR235" s="88">
        <f>AR232+AR157+AR45</f>
        <v>0</v>
      </c>
      <c r="AS235" s="35"/>
      <c r="AT235" s="88">
        <f>AT232+AT157+AT45</f>
        <v>-8618537.6199999992</v>
      </c>
      <c r="AU235" s="35"/>
      <c r="AV235" s="37">
        <f>AJ235-AT235</f>
        <v>0</v>
      </c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x14ac:dyDescent="0.2">
      <c r="A236" s="13"/>
      <c r="B236" s="9"/>
      <c r="C236" s="9"/>
      <c r="D236" s="9"/>
      <c r="E236" s="9"/>
      <c r="F236" s="16"/>
      <c r="G236" s="9"/>
      <c r="H236" s="14"/>
      <c r="I236" s="9"/>
      <c r="J236" s="14"/>
      <c r="K236" s="9"/>
      <c r="L236" s="14"/>
      <c r="M236" s="9"/>
      <c r="N236" s="14"/>
      <c r="O236" s="9"/>
      <c r="P236" s="16"/>
      <c r="Q236" s="9"/>
      <c r="R236" s="16"/>
      <c r="S236" s="9"/>
      <c r="T236" s="9"/>
      <c r="U236" s="9"/>
      <c r="V236" s="9"/>
      <c r="W236" s="9"/>
      <c r="X236" s="16"/>
      <c r="Y236" s="9"/>
      <c r="Z236" s="16"/>
      <c r="AA236" s="9"/>
      <c r="AB236" s="16"/>
      <c r="AC236" s="9"/>
      <c r="AD236" s="16"/>
      <c r="AE236" s="9"/>
      <c r="AF236" s="16"/>
      <c r="AG236" s="9"/>
      <c r="AH236" s="16"/>
      <c r="AI236" s="9"/>
      <c r="AJ236" s="14"/>
      <c r="AK236" s="16"/>
      <c r="AL236" s="74"/>
      <c r="AM236" s="35"/>
      <c r="AN236" s="74"/>
      <c r="AO236" s="35"/>
      <c r="AP236" s="35"/>
      <c r="AQ236" s="35"/>
      <c r="AR236" s="35"/>
      <c r="AS236" s="35"/>
      <c r="AT236" s="35"/>
      <c r="AU236" s="35"/>
      <c r="AV236" s="37">
        <f t="shared" si="67"/>
        <v>0</v>
      </c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x14ac:dyDescent="0.2">
      <c r="A237" s="13"/>
      <c r="B237" s="9"/>
      <c r="F237" s="14"/>
      <c r="H237" s="14"/>
      <c r="J237" s="14"/>
      <c r="L237" s="14"/>
      <c r="N237" s="14"/>
      <c r="P237" s="14"/>
      <c r="R237" s="14"/>
      <c r="X237" s="14"/>
      <c r="Z237" s="14"/>
      <c r="AB237" s="14"/>
      <c r="AD237" s="14"/>
      <c r="AF237" s="14"/>
      <c r="AH237" s="14"/>
      <c r="AJ237" s="14"/>
      <c r="AK237" s="14"/>
      <c r="AL237" s="74"/>
      <c r="AM237" s="35"/>
      <c r="AN237" s="74"/>
      <c r="AO237" s="35"/>
      <c r="AP237" s="35"/>
      <c r="AQ237" s="35"/>
      <c r="AR237" s="35"/>
      <c r="AS237" s="35"/>
      <c r="AT237" s="35"/>
      <c r="AU237" s="35"/>
      <c r="AV237" s="37">
        <f t="shared" si="67"/>
        <v>0</v>
      </c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x14ac:dyDescent="0.2">
      <c r="A238" s="13">
        <v>102</v>
      </c>
      <c r="B238" s="9" t="s">
        <v>424</v>
      </c>
      <c r="F238" s="14"/>
      <c r="H238" s="14"/>
      <c r="J238" s="14"/>
      <c r="L238" s="14"/>
      <c r="N238" s="14"/>
      <c r="P238" s="14"/>
      <c r="R238" s="14"/>
      <c r="X238" s="14"/>
      <c r="Z238" s="14"/>
      <c r="AB238" s="14"/>
      <c r="AD238" s="14"/>
      <c r="AF238" s="14"/>
      <c r="AH238" s="14"/>
      <c r="AJ238" s="14"/>
      <c r="AK238" s="14"/>
      <c r="AL238" s="74"/>
      <c r="AM238" s="35"/>
      <c r="AN238" s="74"/>
      <c r="AO238" s="35"/>
      <c r="AP238" s="35"/>
      <c r="AQ238" s="35"/>
      <c r="AR238" s="35"/>
      <c r="AS238" s="35"/>
      <c r="AT238" s="35"/>
      <c r="AU238" s="35"/>
      <c r="AV238" s="37">
        <f t="shared" si="67"/>
        <v>0</v>
      </c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x14ac:dyDescent="0.2">
      <c r="A239" s="13"/>
      <c r="B239" s="9" t="s">
        <v>17</v>
      </c>
      <c r="F239" s="14"/>
      <c r="H239" s="14"/>
      <c r="J239" s="14"/>
      <c r="L239" s="14"/>
      <c r="N239" s="14"/>
      <c r="P239" s="14"/>
      <c r="R239" s="14"/>
      <c r="X239" s="14"/>
      <c r="Z239" s="14"/>
      <c r="AB239" s="14"/>
      <c r="AD239" s="14"/>
      <c r="AF239" s="14"/>
      <c r="AH239" s="14"/>
      <c r="AJ239" s="14"/>
      <c r="AK239" s="14"/>
      <c r="AL239" s="74"/>
      <c r="AM239" s="35"/>
      <c r="AN239" s="74"/>
      <c r="AO239" s="35"/>
      <c r="AP239" s="35"/>
      <c r="AQ239" s="35"/>
      <c r="AR239" s="35"/>
      <c r="AS239" s="35"/>
      <c r="AT239" s="35"/>
      <c r="AU239" s="35"/>
      <c r="AV239" s="37">
        <f t="shared" si="67"/>
        <v>0</v>
      </c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x14ac:dyDescent="0.2">
      <c r="A240" s="13"/>
      <c r="B240" s="3" t="s">
        <v>23</v>
      </c>
      <c r="C240" s="15">
        <v>0</v>
      </c>
      <c r="D240" s="16"/>
      <c r="E240" s="15">
        <v>0</v>
      </c>
      <c r="F240" s="14"/>
      <c r="G240" s="15">
        <v>0</v>
      </c>
      <c r="H240" s="16"/>
      <c r="I240" s="15">
        <v>0</v>
      </c>
      <c r="J240" s="16"/>
      <c r="K240" s="15">
        <v>0</v>
      </c>
      <c r="L240" s="16"/>
      <c r="M240" s="15">
        <v>0</v>
      </c>
      <c r="N240" s="16"/>
      <c r="O240" s="15">
        <v>0</v>
      </c>
      <c r="P240" s="14"/>
      <c r="Q240" s="15">
        <v>0</v>
      </c>
      <c r="R240" s="14"/>
      <c r="S240" s="15">
        <v>0</v>
      </c>
      <c r="T240" s="15"/>
      <c r="U240" s="15">
        <v>76448.429999999993</v>
      </c>
      <c r="V240" s="15"/>
      <c r="W240" s="15">
        <v>0</v>
      </c>
      <c r="X240" s="14"/>
      <c r="Y240" s="15">
        <v>0</v>
      </c>
      <c r="Z240" s="14"/>
      <c r="AA240" s="15">
        <v>0</v>
      </c>
      <c r="AB240" s="14"/>
      <c r="AC240" s="15">
        <v>0</v>
      </c>
      <c r="AD240" s="14"/>
      <c r="AE240" s="15">
        <v>0</v>
      </c>
      <c r="AF240" s="14"/>
      <c r="AG240" s="15">
        <v>0</v>
      </c>
      <c r="AH240" s="14"/>
      <c r="AI240" s="15"/>
      <c r="AJ240" s="14">
        <f>SUM(C240:AI240)</f>
        <v>76448.429999999993</v>
      </c>
      <c r="AK240" s="145"/>
      <c r="AL240" s="74">
        <f>SUMIF($C$10:$AI$10,"=Addition",$C240:$AI240)</f>
        <v>0</v>
      </c>
      <c r="AM240" s="35"/>
      <c r="AN240" s="74">
        <f>SUMIF($C$10:$AI$10,"=Adjustment",$C240:$AI240)</f>
        <v>0</v>
      </c>
      <c r="AO240" s="35"/>
      <c r="AP240" s="74">
        <f>SUMIF($C$10:$AI$10,"=Transfer",$C240:$AI240)</f>
        <v>76448.429999999993</v>
      </c>
      <c r="AQ240" s="35"/>
      <c r="AR240" s="74">
        <f>SUMIF($C$10:$AI$10,"=N/A",$C240:$AI240)</f>
        <v>0</v>
      </c>
      <c r="AS240" s="35"/>
      <c r="AT240" s="74">
        <f t="shared" ref="AT240" si="69">SUM(AL240:AR240)</f>
        <v>76448.429999999993</v>
      </c>
      <c r="AU240" s="35"/>
      <c r="AV240" s="37">
        <f t="shared" si="67"/>
        <v>0</v>
      </c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x14ac:dyDescent="0.2">
      <c r="A241" s="13"/>
      <c r="B241" s="18"/>
      <c r="C241" s="16">
        <f>SUM(C240)</f>
        <v>0</v>
      </c>
      <c r="D241" s="16"/>
      <c r="E241" s="16">
        <f>SUM(E240)</f>
        <v>0</v>
      </c>
      <c r="F241" s="16"/>
      <c r="G241" s="16">
        <f>SUM(G240)</f>
        <v>0</v>
      </c>
      <c r="H241" s="16"/>
      <c r="I241" s="16">
        <f>SUM(I240)</f>
        <v>0</v>
      </c>
      <c r="J241" s="16"/>
      <c r="K241" s="16">
        <f>SUM(K240)</f>
        <v>0</v>
      </c>
      <c r="L241" s="16"/>
      <c r="M241" s="16">
        <f>SUM(M240)</f>
        <v>0</v>
      </c>
      <c r="N241" s="16"/>
      <c r="O241" s="16">
        <f>SUM(O240)</f>
        <v>0</v>
      </c>
      <c r="P241" s="16"/>
      <c r="Q241" s="16">
        <f>SUM(Q240)</f>
        <v>0</v>
      </c>
      <c r="R241" s="16"/>
      <c r="S241" s="16">
        <f>SUM(S240)</f>
        <v>0</v>
      </c>
      <c r="T241" s="16"/>
      <c r="U241" s="16">
        <f>SUM(U240)</f>
        <v>76448.429999999993</v>
      </c>
      <c r="V241" s="16"/>
      <c r="W241" s="16">
        <f>SUM(W240)</f>
        <v>0</v>
      </c>
      <c r="X241" s="16"/>
      <c r="Y241" s="16">
        <f>SUM(Y240)</f>
        <v>0</v>
      </c>
      <c r="Z241" s="16"/>
      <c r="AA241" s="16">
        <f>SUM(AA240)</f>
        <v>0</v>
      </c>
      <c r="AB241" s="16"/>
      <c r="AC241" s="16">
        <f>SUM(AC240)</f>
        <v>0</v>
      </c>
      <c r="AD241" s="16"/>
      <c r="AE241" s="16">
        <f>SUM(AE240)</f>
        <v>0</v>
      </c>
      <c r="AF241" s="16"/>
      <c r="AG241" s="16">
        <f>SUM(AG240)</f>
        <v>0</v>
      </c>
      <c r="AH241" s="16"/>
      <c r="AI241" s="16"/>
      <c r="AJ241" s="19">
        <f>SUM(AJ240)</f>
        <v>76448.429999999993</v>
      </c>
      <c r="AK241" s="145"/>
      <c r="AL241" s="110">
        <f>SUM(AL240)</f>
        <v>0</v>
      </c>
      <c r="AM241" s="35"/>
      <c r="AN241" s="110">
        <f>SUM(AN240)</f>
        <v>0</v>
      </c>
      <c r="AO241" s="35"/>
      <c r="AP241" s="110">
        <f>SUM(AP240)</f>
        <v>76448.429999999993</v>
      </c>
      <c r="AQ241" s="35"/>
      <c r="AR241" s="110">
        <f>SUM(AR240)</f>
        <v>0</v>
      </c>
      <c r="AS241" s="35"/>
      <c r="AT241" s="110">
        <f>SUM(AT240)</f>
        <v>76448.429999999993</v>
      </c>
      <c r="AU241" s="35"/>
      <c r="AV241" s="37">
        <f t="shared" si="67"/>
        <v>0</v>
      </c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x14ac:dyDescent="0.2">
      <c r="A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5"/>
      <c r="AL242" s="74"/>
      <c r="AM242" s="35"/>
      <c r="AN242" s="74"/>
      <c r="AO242" s="35"/>
      <c r="AP242" s="35"/>
      <c r="AQ242" s="35"/>
      <c r="AR242" s="35"/>
      <c r="AS242" s="35"/>
      <c r="AT242" s="35"/>
      <c r="AU242" s="35"/>
      <c r="AV242" s="37">
        <f t="shared" si="67"/>
        <v>0</v>
      </c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x14ac:dyDescent="0.2">
      <c r="B243" s="9" t="s">
        <v>13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5"/>
      <c r="AL243" s="74"/>
      <c r="AM243" s="35"/>
      <c r="AN243" s="74"/>
      <c r="AO243" s="35"/>
      <c r="AP243" s="35"/>
      <c r="AQ243" s="35"/>
      <c r="AR243" s="35"/>
      <c r="AS243" s="35"/>
      <c r="AT243" s="35"/>
      <c r="AU243" s="35"/>
      <c r="AV243" s="37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x14ac:dyDescent="0.2">
      <c r="A244" s="9"/>
      <c r="B244" s="21" t="s">
        <v>14</v>
      </c>
      <c r="C244" s="15">
        <v>0</v>
      </c>
      <c r="D244" s="16"/>
      <c r="E244" s="15">
        <v>0</v>
      </c>
      <c r="F244" s="14"/>
      <c r="G244" s="15">
        <v>0</v>
      </c>
      <c r="H244" s="16"/>
      <c r="I244" s="15">
        <v>0</v>
      </c>
      <c r="J244" s="16"/>
      <c r="K244" s="15">
        <v>0</v>
      </c>
      <c r="L244" s="16"/>
      <c r="M244" s="15">
        <v>0</v>
      </c>
      <c r="N244" s="16"/>
      <c r="O244" s="15">
        <v>0</v>
      </c>
      <c r="P244" s="14"/>
      <c r="Q244" s="15">
        <v>0</v>
      </c>
      <c r="R244" s="14"/>
      <c r="S244" s="15">
        <v>0</v>
      </c>
      <c r="T244" s="15"/>
      <c r="U244" s="15">
        <v>0</v>
      </c>
      <c r="V244" s="15"/>
      <c r="W244" s="15">
        <v>0</v>
      </c>
      <c r="X244" s="14"/>
      <c r="Y244" s="15">
        <v>0</v>
      </c>
      <c r="Z244" s="14"/>
      <c r="AA244" s="15">
        <v>0</v>
      </c>
      <c r="AB244" s="14"/>
      <c r="AC244" s="15">
        <v>0</v>
      </c>
      <c r="AD244" s="14"/>
      <c r="AE244" s="15">
        <v>0</v>
      </c>
      <c r="AF244" s="14"/>
      <c r="AG244" s="15">
        <v>0</v>
      </c>
      <c r="AH244" s="14"/>
      <c r="AI244" s="15"/>
      <c r="AJ244" s="14">
        <f>SUM(C244:AI244)</f>
        <v>0</v>
      </c>
      <c r="AK244" s="145"/>
      <c r="AL244" s="74">
        <f>SUMIF($C$10:$AI$10,"=Addition",$C244:$AI244)</f>
        <v>0</v>
      </c>
      <c r="AM244" s="35"/>
      <c r="AN244" s="74">
        <f>SUMIF($C$10:$AI$10,"=Adjustment",$C244:$AI244)</f>
        <v>0</v>
      </c>
      <c r="AO244" s="35"/>
      <c r="AP244" s="74">
        <f>SUMIF($C$10:$AI$10,"=Transfer",$C244:$AI244)</f>
        <v>0</v>
      </c>
      <c r="AQ244" s="35"/>
      <c r="AR244" s="74">
        <f>SUMIF($C$10:$AI$10,"=N/A",$C244:$AI244)</f>
        <v>0</v>
      </c>
      <c r="AS244" s="35"/>
      <c r="AT244" s="74">
        <f t="shared" ref="AT244" si="70">SUM(AL244:AR244)</f>
        <v>0</v>
      </c>
      <c r="AU244" s="35"/>
      <c r="AV244" s="37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x14ac:dyDescent="0.2">
      <c r="A245" s="13"/>
      <c r="C245" s="16">
        <f>SUM(C244)</f>
        <v>0</v>
      </c>
      <c r="D245" s="16"/>
      <c r="E245" s="16">
        <f>SUM(E244)</f>
        <v>0</v>
      </c>
      <c r="F245" s="16"/>
      <c r="G245" s="16">
        <f>SUM(G244)</f>
        <v>0</v>
      </c>
      <c r="H245" s="16"/>
      <c r="I245" s="16">
        <f>SUM(I244)</f>
        <v>0</v>
      </c>
      <c r="J245" s="16"/>
      <c r="K245" s="16">
        <f>SUM(K244)</f>
        <v>0</v>
      </c>
      <c r="L245" s="16"/>
      <c r="M245" s="16">
        <f>SUM(M244)</f>
        <v>0</v>
      </c>
      <c r="N245" s="16"/>
      <c r="O245" s="16">
        <f>SUM(O244)</f>
        <v>0</v>
      </c>
      <c r="P245" s="16"/>
      <c r="Q245" s="16">
        <f>SUM(Q244)</f>
        <v>0</v>
      </c>
      <c r="R245" s="16"/>
      <c r="S245" s="16">
        <f>SUM(S244)</f>
        <v>0</v>
      </c>
      <c r="T245" s="16"/>
      <c r="U245" s="16">
        <f>SUM(U244)</f>
        <v>0</v>
      </c>
      <c r="V245" s="16"/>
      <c r="W245" s="16">
        <f>SUM(W244)</f>
        <v>0</v>
      </c>
      <c r="X245" s="16"/>
      <c r="Y245" s="16">
        <f>SUM(Y244)</f>
        <v>0</v>
      </c>
      <c r="Z245" s="16"/>
      <c r="AA245" s="16">
        <f>SUM(AA244)</f>
        <v>0</v>
      </c>
      <c r="AB245" s="16"/>
      <c r="AC245" s="16">
        <f>SUM(AC244)</f>
        <v>0</v>
      </c>
      <c r="AD245" s="16"/>
      <c r="AE245" s="16">
        <f>SUM(AE244)</f>
        <v>0</v>
      </c>
      <c r="AF245" s="16"/>
      <c r="AG245" s="16">
        <f>SUM(AG244)</f>
        <v>0</v>
      </c>
      <c r="AH245" s="16"/>
      <c r="AI245" s="16"/>
      <c r="AJ245" s="19">
        <f>SUM(AJ244)</f>
        <v>0</v>
      </c>
      <c r="AK245" s="145"/>
      <c r="AL245" s="110">
        <f>SUM(AL244)</f>
        <v>0</v>
      </c>
      <c r="AM245" s="35"/>
      <c r="AN245" s="110">
        <f>SUM(AN244)</f>
        <v>0</v>
      </c>
      <c r="AO245" s="35"/>
      <c r="AP245" s="110">
        <f>SUM(AP244)</f>
        <v>0</v>
      </c>
      <c r="AQ245" s="35"/>
      <c r="AR245" s="110">
        <f>SUM(AR244)</f>
        <v>0</v>
      </c>
      <c r="AS245" s="35"/>
      <c r="AT245" s="110">
        <f>SUM(AT244)</f>
        <v>0</v>
      </c>
      <c r="AU245" s="35"/>
      <c r="AV245" s="37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x14ac:dyDescent="0.2">
      <c r="A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5"/>
      <c r="AL246" s="74"/>
      <c r="AM246" s="35"/>
      <c r="AN246" s="74"/>
      <c r="AO246" s="35"/>
      <c r="AP246" s="35"/>
      <c r="AQ246" s="35"/>
      <c r="AR246" s="35"/>
      <c r="AS246" s="35"/>
      <c r="AT246" s="35"/>
      <c r="AU246" s="35"/>
      <c r="AV246" s="37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x14ac:dyDescent="0.2">
      <c r="A247" s="13"/>
      <c r="B247" s="9" t="s">
        <v>38</v>
      </c>
      <c r="C247" s="20">
        <f>C241</f>
        <v>0</v>
      </c>
      <c r="D247" s="16"/>
      <c r="E247" s="20">
        <f>E241</f>
        <v>0</v>
      </c>
      <c r="F247" s="14"/>
      <c r="G247" s="20">
        <f>G241</f>
        <v>0</v>
      </c>
      <c r="H247" s="16"/>
      <c r="I247" s="20">
        <f>I241</f>
        <v>0</v>
      </c>
      <c r="J247" s="16"/>
      <c r="K247" s="20">
        <f>K241</f>
        <v>0</v>
      </c>
      <c r="L247" s="16"/>
      <c r="M247" s="20">
        <f>M241</f>
        <v>0</v>
      </c>
      <c r="N247" s="16"/>
      <c r="O247" s="20">
        <f>O241+O245</f>
        <v>0</v>
      </c>
      <c r="P247" s="14"/>
      <c r="Q247" s="20">
        <f>Q241+Q245</f>
        <v>0</v>
      </c>
      <c r="R247" s="14"/>
      <c r="S247" s="20">
        <f>S241+S245</f>
        <v>0</v>
      </c>
      <c r="T247" s="20"/>
      <c r="U247" s="20">
        <f>U241+U245</f>
        <v>76448.429999999993</v>
      </c>
      <c r="V247" s="20"/>
      <c r="W247" s="20">
        <f>W241</f>
        <v>0</v>
      </c>
      <c r="X247" s="14"/>
      <c r="Y247" s="20">
        <f>Y241</f>
        <v>0</v>
      </c>
      <c r="Z247" s="14"/>
      <c r="AA247" s="20">
        <f>AA241</f>
        <v>0</v>
      </c>
      <c r="AB247" s="14"/>
      <c r="AC247" s="20">
        <f>AC241</f>
        <v>0</v>
      </c>
      <c r="AD247" s="14"/>
      <c r="AE247" s="20">
        <f>AE241</f>
        <v>0</v>
      </c>
      <c r="AF247" s="14"/>
      <c r="AG247" s="20">
        <f>AG241</f>
        <v>0</v>
      </c>
      <c r="AH247" s="14"/>
      <c r="AI247" s="20"/>
      <c r="AJ247" s="20">
        <f>AJ241</f>
        <v>76448.429999999993</v>
      </c>
      <c r="AK247" s="145"/>
      <c r="AL247" s="88">
        <f>AL241</f>
        <v>0</v>
      </c>
      <c r="AM247" s="35"/>
      <c r="AN247" s="88">
        <f>AN241</f>
        <v>0</v>
      </c>
      <c r="AO247" s="35"/>
      <c r="AP247" s="88">
        <f>AP241</f>
        <v>76448.429999999993</v>
      </c>
      <c r="AQ247" s="35"/>
      <c r="AR247" s="88">
        <f>AR241</f>
        <v>0</v>
      </c>
      <c r="AS247" s="35"/>
      <c r="AT247" s="88">
        <f>AT241</f>
        <v>76448.429999999993</v>
      </c>
      <c r="AU247" s="35"/>
      <c r="AV247" s="37">
        <f t="shared" si="67"/>
        <v>0</v>
      </c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x14ac:dyDescent="0.2">
      <c r="A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5"/>
      <c r="AL248" s="74"/>
      <c r="AM248" s="35"/>
      <c r="AN248" s="74"/>
      <c r="AO248" s="35"/>
      <c r="AP248" s="35"/>
      <c r="AQ248" s="35"/>
      <c r="AR248" s="35"/>
      <c r="AS248" s="35"/>
      <c r="AT248" s="35"/>
      <c r="AU248" s="35"/>
      <c r="AV248" s="37">
        <f t="shared" si="67"/>
        <v>0</v>
      </c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x14ac:dyDescent="0.2">
      <c r="A249" s="13"/>
      <c r="B249" s="9"/>
      <c r="F249" s="14"/>
      <c r="H249" s="14"/>
      <c r="J249" s="14"/>
      <c r="L249" s="14"/>
      <c r="N249" s="14"/>
      <c r="P249" s="14"/>
      <c r="R249" s="14"/>
      <c r="X249" s="14"/>
      <c r="Z249" s="14"/>
      <c r="AB249" s="14"/>
      <c r="AD249" s="14"/>
      <c r="AF249" s="14"/>
      <c r="AH249" s="14"/>
      <c r="AJ249" s="14"/>
      <c r="AK249" s="14"/>
      <c r="AL249" s="74"/>
      <c r="AM249" s="35"/>
      <c r="AN249" s="74"/>
      <c r="AO249" s="35"/>
      <c r="AP249" s="35"/>
      <c r="AQ249" s="35"/>
      <c r="AR249" s="35"/>
      <c r="AS249" s="35"/>
      <c r="AT249" s="35"/>
      <c r="AU249" s="35"/>
      <c r="AV249" s="37">
        <f t="shared" si="67"/>
        <v>0</v>
      </c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x14ac:dyDescent="0.2">
      <c r="A250" s="13">
        <v>105</v>
      </c>
      <c r="B250" s="9" t="s">
        <v>40</v>
      </c>
      <c r="F250" s="14"/>
      <c r="H250" s="14"/>
      <c r="J250" s="14"/>
      <c r="L250" s="14"/>
      <c r="N250" s="14"/>
      <c r="P250" s="14"/>
      <c r="R250" s="14"/>
      <c r="X250" s="14"/>
      <c r="Z250" s="14"/>
      <c r="AB250" s="14"/>
      <c r="AD250" s="14"/>
      <c r="AF250" s="14"/>
      <c r="AH250" s="14"/>
      <c r="AJ250" s="14"/>
      <c r="AK250" s="14"/>
      <c r="AL250" s="74"/>
      <c r="AM250" s="35"/>
      <c r="AN250" s="74"/>
      <c r="AO250" s="35"/>
      <c r="AP250" s="35"/>
      <c r="AQ250" s="35"/>
      <c r="AR250" s="35"/>
      <c r="AS250" s="35"/>
      <c r="AT250" s="35"/>
      <c r="AU250" s="35"/>
      <c r="AV250" s="37">
        <f t="shared" si="67"/>
        <v>0</v>
      </c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x14ac:dyDescent="0.2">
      <c r="A251" s="13"/>
      <c r="B251" s="9" t="s">
        <v>41</v>
      </c>
      <c r="F251" s="14"/>
      <c r="H251" s="14"/>
      <c r="J251" s="14"/>
      <c r="L251" s="14"/>
      <c r="N251" s="14"/>
      <c r="P251" s="14"/>
      <c r="R251" s="14"/>
      <c r="X251" s="14"/>
      <c r="Z251" s="14"/>
      <c r="AB251" s="14"/>
      <c r="AD251" s="14"/>
      <c r="AF251" s="14"/>
      <c r="AH251" s="14"/>
      <c r="AJ251" s="14"/>
      <c r="AK251" s="14"/>
      <c r="AL251" s="74"/>
      <c r="AM251" s="35"/>
      <c r="AN251" s="74"/>
      <c r="AO251" s="35"/>
      <c r="AP251" s="35"/>
      <c r="AQ251" s="35"/>
      <c r="AR251" s="35"/>
      <c r="AS251" s="35"/>
      <c r="AT251" s="35"/>
      <c r="AU251" s="35"/>
      <c r="AV251" s="37">
        <f t="shared" si="67"/>
        <v>0</v>
      </c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x14ac:dyDescent="0.2">
      <c r="A252" s="13"/>
      <c r="B252" s="3" t="s">
        <v>18</v>
      </c>
      <c r="C252" s="14">
        <v>0</v>
      </c>
      <c r="D252" s="14"/>
      <c r="E252" s="14">
        <v>0</v>
      </c>
      <c r="F252" s="14"/>
      <c r="G252" s="14">
        <v>0</v>
      </c>
      <c r="H252" s="14"/>
      <c r="I252" s="14">
        <v>0</v>
      </c>
      <c r="J252" s="14"/>
      <c r="K252" s="14">
        <v>0</v>
      </c>
      <c r="L252" s="14"/>
      <c r="M252" s="14">
        <v>0</v>
      </c>
      <c r="N252" s="14"/>
      <c r="O252" s="14">
        <v>0</v>
      </c>
      <c r="P252" s="14"/>
      <c r="Q252" s="14">
        <v>0</v>
      </c>
      <c r="R252" s="14"/>
      <c r="S252" s="14">
        <v>0</v>
      </c>
      <c r="T252" s="14"/>
      <c r="U252" s="14">
        <v>0</v>
      </c>
      <c r="V252" s="14"/>
      <c r="W252" s="14">
        <v>0</v>
      </c>
      <c r="X252" s="14"/>
      <c r="Y252" s="14">
        <v>0</v>
      </c>
      <c r="Z252" s="14"/>
      <c r="AA252" s="14"/>
      <c r="AB252" s="14"/>
      <c r="AC252" s="14">
        <v>0</v>
      </c>
      <c r="AD252" s="14"/>
      <c r="AE252" s="14">
        <v>0</v>
      </c>
      <c r="AF252" s="14"/>
      <c r="AG252" s="14">
        <v>0</v>
      </c>
      <c r="AH252" s="14"/>
      <c r="AI252" s="14"/>
      <c r="AJ252" s="14">
        <f>SUM(C252:AI252)</f>
        <v>0</v>
      </c>
      <c r="AK252" s="145"/>
      <c r="AL252" s="74">
        <f>SUMIF($C$10:$AI$10,"=Addition",$C252:$AI252)</f>
        <v>0</v>
      </c>
      <c r="AM252" s="35"/>
      <c r="AN252" s="74">
        <f>SUMIF($C$10:$AI$10,"=Adjustment",$C252:$AI252)</f>
        <v>0</v>
      </c>
      <c r="AO252" s="35"/>
      <c r="AP252" s="74">
        <f>SUMIF($C$10:$AI$10,"=Transfer",$C252:$AI252)</f>
        <v>0</v>
      </c>
      <c r="AQ252" s="35"/>
      <c r="AR252" s="74">
        <f>SUMIF($C$10:$AI$10,"=N/A",$C252:$AI252)</f>
        <v>0</v>
      </c>
      <c r="AS252" s="35"/>
      <c r="AT252" s="74">
        <f t="shared" ref="AT252:AT253" si="71">SUM(AL252:AR252)</f>
        <v>0</v>
      </c>
      <c r="AU252" s="35"/>
      <c r="AV252" s="37">
        <f t="shared" si="67"/>
        <v>0</v>
      </c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x14ac:dyDescent="0.2">
      <c r="A253" s="13"/>
      <c r="B253" s="3" t="s">
        <v>23</v>
      </c>
      <c r="C253" s="15">
        <v>0</v>
      </c>
      <c r="D253" s="16"/>
      <c r="E253" s="15">
        <v>0</v>
      </c>
      <c r="F253" s="16"/>
      <c r="G253" s="15">
        <v>0</v>
      </c>
      <c r="H253" s="16"/>
      <c r="I253" s="15">
        <v>0</v>
      </c>
      <c r="J253" s="16"/>
      <c r="K253" s="15">
        <v>0</v>
      </c>
      <c r="L253" s="16"/>
      <c r="M253" s="15">
        <v>0</v>
      </c>
      <c r="N253" s="16"/>
      <c r="O253" s="15"/>
      <c r="P253" s="16"/>
      <c r="Q253" s="15">
        <v>0</v>
      </c>
      <c r="R253" s="16"/>
      <c r="S253" s="15">
        <v>0</v>
      </c>
      <c r="T253" s="15"/>
      <c r="U253" s="15">
        <v>0</v>
      </c>
      <c r="V253" s="15"/>
      <c r="W253" s="15">
        <v>0</v>
      </c>
      <c r="X253" s="16"/>
      <c r="Y253" s="15">
        <v>0</v>
      </c>
      <c r="Z253" s="16"/>
      <c r="AA253" s="15">
        <v>0</v>
      </c>
      <c r="AB253" s="16"/>
      <c r="AC253" s="15">
        <v>0</v>
      </c>
      <c r="AD253" s="16"/>
      <c r="AE253" s="15">
        <v>0</v>
      </c>
      <c r="AF253" s="16"/>
      <c r="AG253" s="15">
        <v>0</v>
      </c>
      <c r="AH253" s="16"/>
      <c r="AI253" s="15"/>
      <c r="AJ253" s="14">
        <f>SUM(C253:AI253)</f>
        <v>0</v>
      </c>
      <c r="AK253" s="145"/>
      <c r="AL253" s="74">
        <f>SUMIF($C$10:$AI$10,"=Addition",$C253:$AI253)</f>
        <v>0</v>
      </c>
      <c r="AM253" s="35"/>
      <c r="AN253" s="74">
        <f>SUMIF($C$10:$AI$10,"=Adjustment",$C253:$AI253)</f>
        <v>0</v>
      </c>
      <c r="AO253" s="35"/>
      <c r="AP253" s="74">
        <f>SUMIF($C$10:$AI$10,"=Transfer",$C253:$AI253)</f>
        <v>0</v>
      </c>
      <c r="AQ253" s="35"/>
      <c r="AR253" s="74">
        <f>SUMIF($C$10:$AI$10,"=N/A",$C253:$AI253)</f>
        <v>0</v>
      </c>
      <c r="AS253" s="35"/>
      <c r="AT253" s="74">
        <f t="shared" si="71"/>
        <v>0</v>
      </c>
      <c r="AU253" s="35"/>
      <c r="AV253" s="37">
        <f t="shared" si="67"/>
        <v>0</v>
      </c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x14ac:dyDescent="0.2">
      <c r="A254" s="13"/>
      <c r="B254" s="18"/>
      <c r="C254" s="16">
        <f>SUM(C252:C253)</f>
        <v>0</v>
      </c>
      <c r="D254" s="16"/>
      <c r="E254" s="16">
        <f>SUM(E252:E253)</f>
        <v>0</v>
      </c>
      <c r="F254" s="16"/>
      <c r="G254" s="16">
        <f>SUM(G252:G253)</f>
        <v>0</v>
      </c>
      <c r="H254" s="16"/>
      <c r="I254" s="16">
        <f>SUM(I252:I253)</f>
        <v>0</v>
      </c>
      <c r="J254" s="16"/>
      <c r="K254" s="16">
        <f>SUM(K252:K253)</f>
        <v>0</v>
      </c>
      <c r="L254" s="16"/>
      <c r="M254" s="16">
        <f>SUM(M252:M253)</f>
        <v>0</v>
      </c>
      <c r="N254" s="16"/>
      <c r="O254" s="16">
        <f>SUM(O252:O253)</f>
        <v>0</v>
      </c>
      <c r="P254" s="16"/>
      <c r="Q254" s="16">
        <f>SUM(Q252:Q253)</f>
        <v>0</v>
      </c>
      <c r="R254" s="16"/>
      <c r="S254" s="16">
        <f>SUM(S252:S253)</f>
        <v>0</v>
      </c>
      <c r="T254" s="16"/>
      <c r="U254" s="16">
        <f>SUM(U252:U253)</f>
        <v>0</v>
      </c>
      <c r="V254" s="16"/>
      <c r="W254" s="16">
        <f>SUM(W252:W253)</f>
        <v>0</v>
      </c>
      <c r="X254" s="16"/>
      <c r="Y254" s="16">
        <f>SUM(Y252:Y253)</f>
        <v>0</v>
      </c>
      <c r="Z254" s="16"/>
      <c r="AA254" s="16">
        <f>SUM(AA252:AA253)</f>
        <v>0</v>
      </c>
      <c r="AB254" s="16"/>
      <c r="AC254" s="16">
        <f>SUM(AC252:AC253)</f>
        <v>0</v>
      </c>
      <c r="AD254" s="16"/>
      <c r="AE254" s="16">
        <f>SUM(AE252:AE253)</f>
        <v>0</v>
      </c>
      <c r="AF254" s="16"/>
      <c r="AG254" s="16">
        <f>SUM(AG252:AG253)</f>
        <v>0</v>
      </c>
      <c r="AH254" s="16"/>
      <c r="AI254" s="16"/>
      <c r="AJ254" s="16">
        <f>SUM(AJ252:AJ253)</f>
        <v>0</v>
      </c>
      <c r="AK254" s="145"/>
      <c r="AL254" s="110">
        <f>SUM(AL252:AL253)</f>
        <v>0</v>
      </c>
      <c r="AM254" s="35"/>
      <c r="AN254" s="110">
        <f>SUM(AN252:AN253)</f>
        <v>0</v>
      </c>
      <c r="AO254" s="35"/>
      <c r="AP254" s="110">
        <f>SUM(AP252:AP253)</f>
        <v>0</v>
      </c>
      <c r="AQ254" s="35"/>
      <c r="AR254" s="110">
        <f>SUM(AR252:AR253)</f>
        <v>0</v>
      </c>
      <c r="AS254" s="35"/>
      <c r="AT254" s="110">
        <f>SUM(AT252:AT253)</f>
        <v>0</v>
      </c>
      <c r="AU254" s="35"/>
      <c r="AV254" s="37">
        <f t="shared" si="67"/>
        <v>0</v>
      </c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x14ac:dyDescent="0.2">
      <c r="A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5"/>
      <c r="AL255" s="74"/>
      <c r="AM255" s="35"/>
      <c r="AN255" s="74"/>
      <c r="AO255" s="35"/>
      <c r="AP255" s="35"/>
      <c r="AQ255" s="35"/>
      <c r="AR255" s="35"/>
      <c r="AS255" s="35"/>
      <c r="AT255" s="35"/>
      <c r="AU255" s="35"/>
      <c r="AV255" s="37">
        <f t="shared" si="67"/>
        <v>0</v>
      </c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x14ac:dyDescent="0.2">
      <c r="A256" s="13"/>
      <c r="B256" s="9" t="s">
        <v>179</v>
      </c>
      <c r="C256" s="20">
        <f>C254</f>
        <v>0</v>
      </c>
      <c r="D256" s="16"/>
      <c r="E256" s="20">
        <f>E254</f>
        <v>0</v>
      </c>
      <c r="F256" s="14"/>
      <c r="G256" s="20">
        <f>G254</f>
        <v>0</v>
      </c>
      <c r="H256" s="16"/>
      <c r="I256" s="20">
        <f>I254</f>
        <v>0</v>
      </c>
      <c r="J256" s="16"/>
      <c r="K256" s="20">
        <f>K254</f>
        <v>0</v>
      </c>
      <c r="L256" s="16"/>
      <c r="M256" s="20">
        <f>M254</f>
        <v>0</v>
      </c>
      <c r="N256" s="16"/>
      <c r="O256" s="20">
        <f>O254</f>
        <v>0</v>
      </c>
      <c r="P256" s="14"/>
      <c r="Q256" s="20">
        <f>Q254</f>
        <v>0</v>
      </c>
      <c r="R256" s="14"/>
      <c r="S256" s="20">
        <f>S254</f>
        <v>0</v>
      </c>
      <c r="T256" s="20"/>
      <c r="U256" s="20">
        <f>U254</f>
        <v>0</v>
      </c>
      <c r="V256" s="20"/>
      <c r="W256" s="20">
        <f>W254</f>
        <v>0</v>
      </c>
      <c r="X256" s="14"/>
      <c r="Y256" s="20">
        <f>Y254</f>
        <v>0</v>
      </c>
      <c r="Z256" s="14"/>
      <c r="AA256" s="20">
        <f>AA254</f>
        <v>0</v>
      </c>
      <c r="AB256" s="14"/>
      <c r="AC256" s="20">
        <f>AC254</f>
        <v>0</v>
      </c>
      <c r="AD256" s="14"/>
      <c r="AE256" s="20">
        <f>AE254</f>
        <v>0</v>
      </c>
      <c r="AF256" s="14"/>
      <c r="AG256" s="20">
        <f>AG254</f>
        <v>0</v>
      </c>
      <c r="AH256" s="14"/>
      <c r="AI256" s="20"/>
      <c r="AJ256" s="20">
        <f>AJ254</f>
        <v>0</v>
      </c>
      <c r="AK256" s="145"/>
      <c r="AL256" s="88">
        <f>AL254</f>
        <v>0</v>
      </c>
      <c r="AM256" s="35"/>
      <c r="AN256" s="88">
        <f>AN254</f>
        <v>0</v>
      </c>
      <c r="AO256" s="35"/>
      <c r="AP256" s="88">
        <f>AP254</f>
        <v>0</v>
      </c>
      <c r="AQ256" s="35"/>
      <c r="AR256" s="88">
        <f>AR254</f>
        <v>0</v>
      </c>
      <c r="AS256" s="35"/>
      <c r="AT256" s="88">
        <f>AT254</f>
        <v>0</v>
      </c>
      <c r="AU256" s="35"/>
      <c r="AV256" s="37">
        <f t="shared" si="67"/>
        <v>0</v>
      </c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x14ac:dyDescent="0.2">
      <c r="A257" s="13"/>
      <c r="B257" s="9"/>
      <c r="F257" s="14"/>
      <c r="H257" s="14"/>
      <c r="J257" s="14"/>
      <c r="L257" s="14"/>
      <c r="N257" s="14"/>
      <c r="P257" s="14"/>
      <c r="R257" s="14"/>
      <c r="X257" s="14"/>
      <c r="Z257" s="14"/>
      <c r="AB257" s="14"/>
      <c r="AD257" s="14"/>
      <c r="AF257" s="14"/>
      <c r="AH257" s="14"/>
      <c r="AJ257" s="14"/>
      <c r="AK257" s="14"/>
      <c r="AL257" s="74"/>
      <c r="AM257" s="35"/>
      <c r="AN257" s="74"/>
      <c r="AO257" s="35"/>
      <c r="AP257" s="35"/>
      <c r="AQ257" s="35"/>
      <c r="AR257" s="35"/>
      <c r="AS257" s="35"/>
      <c r="AT257" s="35"/>
      <c r="AU257" s="35"/>
      <c r="AV257" s="37">
        <f t="shared" si="67"/>
        <v>0</v>
      </c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x14ac:dyDescent="0.2">
      <c r="A258" s="13"/>
      <c r="B258" s="9" t="s">
        <v>42</v>
      </c>
      <c r="F258" s="14"/>
      <c r="H258" s="14"/>
      <c r="J258" s="14"/>
      <c r="L258" s="14"/>
      <c r="N258" s="14"/>
      <c r="P258" s="14"/>
      <c r="R258" s="14"/>
      <c r="X258" s="14"/>
      <c r="Z258" s="14"/>
      <c r="AB258" s="14"/>
      <c r="AD258" s="14"/>
      <c r="AF258" s="14"/>
      <c r="AH258" s="14"/>
      <c r="AJ258" s="14"/>
      <c r="AK258" s="14"/>
      <c r="AL258" s="74"/>
      <c r="AM258" s="35"/>
      <c r="AN258" s="74"/>
      <c r="AO258" s="35"/>
      <c r="AP258" s="35"/>
      <c r="AQ258" s="35"/>
      <c r="AR258" s="35"/>
      <c r="AS258" s="35"/>
      <c r="AT258" s="35"/>
      <c r="AU258" s="35"/>
      <c r="AV258" s="37">
        <f t="shared" si="67"/>
        <v>0</v>
      </c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x14ac:dyDescent="0.2">
      <c r="A259" s="13"/>
      <c r="B259" s="3" t="s">
        <v>18</v>
      </c>
      <c r="C259" s="14">
        <v>0</v>
      </c>
      <c r="D259" s="14"/>
      <c r="E259" s="14">
        <v>0</v>
      </c>
      <c r="F259" s="14"/>
      <c r="G259" s="14">
        <v>0</v>
      </c>
      <c r="H259" s="14"/>
      <c r="I259" s="14">
        <v>0</v>
      </c>
      <c r="J259" s="14"/>
      <c r="K259" s="14">
        <v>0</v>
      </c>
      <c r="L259" s="14"/>
      <c r="M259" s="14">
        <v>0</v>
      </c>
      <c r="N259" s="14"/>
      <c r="O259" s="14">
        <v>0</v>
      </c>
      <c r="P259" s="14"/>
      <c r="Q259" s="14">
        <v>0</v>
      </c>
      <c r="R259" s="14"/>
      <c r="S259" s="14">
        <v>0</v>
      </c>
      <c r="T259" s="14"/>
      <c r="U259" s="14">
        <v>0</v>
      </c>
      <c r="V259" s="14"/>
      <c r="W259" s="14">
        <v>0</v>
      </c>
      <c r="X259" s="14"/>
      <c r="Y259" s="14">
        <v>0</v>
      </c>
      <c r="Z259" s="14"/>
      <c r="AA259" s="14">
        <v>0</v>
      </c>
      <c r="AB259" s="14"/>
      <c r="AC259" s="14">
        <v>0</v>
      </c>
      <c r="AD259" s="14"/>
      <c r="AE259" s="14">
        <v>0</v>
      </c>
      <c r="AF259" s="14"/>
      <c r="AG259" s="14">
        <v>0</v>
      </c>
      <c r="AH259" s="14"/>
      <c r="AI259" s="14"/>
      <c r="AJ259" s="14">
        <f>SUM(C259:AI259)</f>
        <v>0</v>
      </c>
      <c r="AK259" s="145"/>
      <c r="AL259" s="74">
        <f>SUMIF($C$10:$AI$10,"=Addition",$C259:$AI259)</f>
        <v>0</v>
      </c>
      <c r="AM259" s="35"/>
      <c r="AN259" s="74">
        <f>SUMIF($C$10:$AI$10,"=Adjustment",$C259:$AI259)</f>
        <v>0</v>
      </c>
      <c r="AO259" s="35"/>
      <c r="AP259" s="74">
        <f>SUMIF($C$10:$AI$10,"=Transfer",$C259:$AI259)</f>
        <v>0</v>
      </c>
      <c r="AQ259" s="35"/>
      <c r="AR259" s="74">
        <f>SUMIF($C$10:$AI$10,"=N/A",$C259:$AI259)</f>
        <v>0</v>
      </c>
      <c r="AS259" s="35"/>
      <c r="AT259" s="74">
        <f t="shared" ref="AT259:AT260" si="72">SUM(AL259:AR259)</f>
        <v>0</v>
      </c>
      <c r="AU259" s="35"/>
      <c r="AV259" s="37">
        <f t="shared" si="67"/>
        <v>0</v>
      </c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x14ac:dyDescent="0.2">
      <c r="A260" s="13"/>
      <c r="B260" s="3" t="s">
        <v>23</v>
      </c>
      <c r="C260" s="15">
        <v>0</v>
      </c>
      <c r="D260" s="16"/>
      <c r="E260" s="15">
        <v>0</v>
      </c>
      <c r="F260" s="16"/>
      <c r="G260" s="15">
        <v>0</v>
      </c>
      <c r="H260" s="16"/>
      <c r="I260" s="15">
        <v>0</v>
      </c>
      <c r="J260" s="16"/>
      <c r="K260" s="15">
        <v>0</v>
      </c>
      <c r="L260" s="16"/>
      <c r="M260" s="15">
        <v>0</v>
      </c>
      <c r="N260" s="16"/>
      <c r="O260" s="15">
        <v>0</v>
      </c>
      <c r="P260" s="16"/>
      <c r="Q260" s="15">
        <v>0</v>
      </c>
      <c r="R260" s="16"/>
      <c r="S260" s="15">
        <v>0</v>
      </c>
      <c r="T260" s="15"/>
      <c r="U260" s="15">
        <v>0</v>
      </c>
      <c r="V260" s="15"/>
      <c r="W260" s="15">
        <v>0</v>
      </c>
      <c r="X260" s="16"/>
      <c r="Y260" s="15">
        <v>0</v>
      </c>
      <c r="Z260" s="16"/>
      <c r="AA260" s="15">
        <v>0</v>
      </c>
      <c r="AB260" s="16"/>
      <c r="AC260" s="15">
        <v>0</v>
      </c>
      <c r="AD260" s="16"/>
      <c r="AE260" s="15">
        <v>0</v>
      </c>
      <c r="AF260" s="16"/>
      <c r="AG260" s="15">
        <v>0</v>
      </c>
      <c r="AH260" s="16"/>
      <c r="AI260" s="15"/>
      <c r="AJ260" s="14">
        <f>SUM(C260:AI260)</f>
        <v>0</v>
      </c>
      <c r="AK260" s="145"/>
      <c r="AL260" s="74">
        <f>SUMIF($C$10:$AI$10,"=Addition",$C260:$AI260)</f>
        <v>0</v>
      </c>
      <c r="AM260" s="35"/>
      <c r="AN260" s="74">
        <f>SUMIF($C$10:$AI$10,"=Adjustment",$C260:$AI260)</f>
        <v>0</v>
      </c>
      <c r="AO260" s="35"/>
      <c r="AP260" s="74">
        <f>SUMIF($C$10:$AI$10,"=Transfer",$C260:$AI260)</f>
        <v>0</v>
      </c>
      <c r="AQ260" s="35"/>
      <c r="AR260" s="74">
        <f>SUMIF($C$10:$AI$10,"=N/A",$C260:$AI260)</f>
        <v>0</v>
      </c>
      <c r="AS260" s="35"/>
      <c r="AT260" s="74">
        <f t="shared" si="72"/>
        <v>0</v>
      </c>
      <c r="AU260" s="35"/>
      <c r="AV260" s="37">
        <f t="shared" si="67"/>
        <v>0</v>
      </c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x14ac:dyDescent="0.2">
      <c r="A261" s="13"/>
      <c r="B261" s="18"/>
      <c r="C261" s="16">
        <f>SUM(C259:C260)</f>
        <v>0</v>
      </c>
      <c r="D261" s="16"/>
      <c r="E261" s="16">
        <f>SUM(E259:E260)</f>
        <v>0</v>
      </c>
      <c r="F261" s="16"/>
      <c r="G261" s="16">
        <f>SUM(G259:G260)</f>
        <v>0</v>
      </c>
      <c r="H261" s="16"/>
      <c r="I261" s="16">
        <f>SUM(I259:I260)</f>
        <v>0</v>
      </c>
      <c r="J261" s="16"/>
      <c r="K261" s="16">
        <f>SUM(K259:K260)</f>
        <v>0</v>
      </c>
      <c r="L261" s="16"/>
      <c r="M261" s="16">
        <f>SUM(M259:M260)</f>
        <v>0</v>
      </c>
      <c r="N261" s="16"/>
      <c r="O261" s="16">
        <f>SUM(O259:O260)</f>
        <v>0</v>
      </c>
      <c r="P261" s="16"/>
      <c r="Q261" s="16">
        <f>SUM(Q259:Q260)</f>
        <v>0</v>
      </c>
      <c r="R261" s="16"/>
      <c r="S261" s="16">
        <f>SUM(S259:S260)</f>
        <v>0</v>
      </c>
      <c r="T261" s="16"/>
      <c r="U261" s="16">
        <f>SUM(U259:U260)</f>
        <v>0</v>
      </c>
      <c r="V261" s="16"/>
      <c r="W261" s="16">
        <f>SUM(W259:W260)</f>
        <v>0</v>
      </c>
      <c r="X261" s="16"/>
      <c r="Y261" s="16">
        <f>SUM(Y259:Y260)</f>
        <v>0</v>
      </c>
      <c r="Z261" s="16"/>
      <c r="AA261" s="16">
        <f>SUM(AA259:AA260)</f>
        <v>0</v>
      </c>
      <c r="AB261" s="16"/>
      <c r="AC261" s="16">
        <f>SUM(AC259:AC260)</f>
        <v>0</v>
      </c>
      <c r="AD261" s="16"/>
      <c r="AE261" s="16">
        <f>SUM(AE259:AE260)</f>
        <v>0</v>
      </c>
      <c r="AF261" s="16"/>
      <c r="AG261" s="16">
        <f>SUM(AG259:AG260)</f>
        <v>0</v>
      </c>
      <c r="AH261" s="16"/>
      <c r="AI261" s="16"/>
      <c r="AJ261" s="19">
        <f>SUM(AJ259:AJ260)</f>
        <v>0</v>
      </c>
      <c r="AK261" s="145"/>
      <c r="AL261" s="110">
        <f>SUM(AL259:AL260)</f>
        <v>0</v>
      </c>
      <c r="AM261" s="35"/>
      <c r="AN261" s="110">
        <f>SUM(AN259:AN260)</f>
        <v>0</v>
      </c>
      <c r="AO261" s="35"/>
      <c r="AP261" s="110">
        <f>SUM(AP259:AP260)</f>
        <v>0</v>
      </c>
      <c r="AQ261" s="35"/>
      <c r="AR261" s="110">
        <f>SUM(AR259:AR260)</f>
        <v>0</v>
      </c>
      <c r="AS261" s="35"/>
      <c r="AT261" s="110">
        <f>SUM(AT259:AT260)</f>
        <v>0</v>
      </c>
      <c r="AU261" s="35"/>
      <c r="AV261" s="37">
        <f t="shared" si="67"/>
        <v>0</v>
      </c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x14ac:dyDescent="0.2">
      <c r="A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5"/>
      <c r="AL262" s="74"/>
      <c r="AM262" s="35"/>
      <c r="AN262" s="74"/>
      <c r="AO262" s="35"/>
      <c r="AP262" s="35"/>
      <c r="AQ262" s="35"/>
      <c r="AR262" s="35"/>
      <c r="AS262" s="35"/>
      <c r="AT262" s="35"/>
      <c r="AU262" s="35"/>
      <c r="AV262" s="37">
        <f t="shared" si="67"/>
        <v>0</v>
      </c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x14ac:dyDescent="0.2">
      <c r="A263" s="13"/>
      <c r="B263" s="9" t="s">
        <v>425</v>
      </c>
      <c r="C263" s="20">
        <f>C261</f>
        <v>0</v>
      </c>
      <c r="D263" s="16"/>
      <c r="E263" s="20">
        <f>E261</f>
        <v>0</v>
      </c>
      <c r="F263" s="14"/>
      <c r="G263" s="20">
        <f>G261</f>
        <v>0</v>
      </c>
      <c r="H263" s="16"/>
      <c r="I263" s="20">
        <f>I261</f>
        <v>0</v>
      </c>
      <c r="J263" s="16"/>
      <c r="K263" s="20">
        <f>K261</f>
        <v>0</v>
      </c>
      <c r="L263" s="16"/>
      <c r="M263" s="20">
        <f>M261</f>
        <v>0</v>
      </c>
      <c r="N263" s="16"/>
      <c r="O263" s="20">
        <f>O261</f>
        <v>0</v>
      </c>
      <c r="P263" s="14"/>
      <c r="Q263" s="20">
        <f>Q261</f>
        <v>0</v>
      </c>
      <c r="R263" s="14"/>
      <c r="S263" s="20">
        <f>S261</f>
        <v>0</v>
      </c>
      <c r="T263" s="20"/>
      <c r="U263" s="20">
        <f>U261</f>
        <v>0</v>
      </c>
      <c r="V263" s="20"/>
      <c r="W263" s="20">
        <f>W261</f>
        <v>0</v>
      </c>
      <c r="X263" s="14"/>
      <c r="Y263" s="20">
        <f>Y261</f>
        <v>0</v>
      </c>
      <c r="Z263" s="14"/>
      <c r="AA263" s="20">
        <f>AA261</f>
        <v>0</v>
      </c>
      <c r="AB263" s="14"/>
      <c r="AC263" s="20">
        <f>AC261</f>
        <v>0</v>
      </c>
      <c r="AD263" s="14"/>
      <c r="AE263" s="20">
        <f>AE261</f>
        <v>0</v>
      </c>
      <c r="AF263" s="14"/>
      <c r="AG263" s="20">
        <f>AG261</f>
        <v>0</v>
      </c>
      <c r="AH263" s="14"/>
      <c r="AI263" s="20"/>
      <c r="AJ263" s="20">
        <f>AJ261</f>
        <v>0</v>
      </c>
      <c r="AK263" s="145"/>
      <c r="AL263" s="88">
        <f>AL261</f>
        <v>0</v>
      </c>
      <c r="AM263" s="35"/>
      <c r="AN263" s="88">
        <f>AN261</f>
        <v>0</v>
      </c>
      <c r="AO263" s="35"/>
      <c r="AP263" s="88">
        <f>AP261</f>
        <v>0</v>
      </c>
      <c r="AQ263" s="35"/>
      <c r="AR263" s="88">
        <f>AR261</f>
        <v>0</v>
      </c>
      <c r="AS263" s="35"/>
      <c r="AT263" s="88">
        <f>AT261</f>
        <v>0</v>
      </c>
      <c r="AU263" s="35"/>
      <c r="AV263" s="37">
        <f t="shared" si="67"/>
        <v>0</v>
      </c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x14ac:dyDescent="0.2">
      <c r="A264" s="13"/>
      <c r="B264" s="9"/>
      <c r="F264" s="14"/>
      <c r="H264" s="14"/>
      <c r="J264" s="14"/>
      <c r="L264" s="14"/>
      <c r="N264" s="14"/>
      <c r="P264" s="14"/>
      <c r="R264" s="14"/>
      <c r="X264" s="14"/>
      <c r="Z264" s="14"/>
      <c r="AB264" s="14"/>
      <c r="AD264" s="14"/>
      <c r="AF264" s="14"/>
      <c r="AH264" s="14"/>
      <c r="AJ264" s="14"/>
      <c r="AK264" s="14"/>
      <c r="AL264" s="74"/>
      <c r="AM264" s="35"/>
      <c r="AN264" s="74"/>
      <c r="AO264" s="35"/>
      <c r="AP264" s="35"/>
      <c r="AQ264" s="35"/>
      <c r="AR264" s="35"/>
      <c r="AS264" s="35"/>
      <c r="AT264" s="35"/>
      <c r="AU264" s="35"/>
      <c r="AV264" s="37">
        <f t="shared" si="67"/>
        <v>0</v>
      </c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x14ac:dyDescent="0.2">
      <c r="A265" s="13"/>
      <c r="B265" s="9"/>
      <c r="F265" s="14"/>
      <c r="H265" s="14"/>
      <c r="J265" s="14"/>
      <c r="L265" s="14"/>
      <c r="N265" s="14"/>
      <c r="P265" s="14"/>
      <c r="R265" s="14"/>
      <c r="X265" s="14"/>
      <c r="Z265" s="14"/>
      <c r="AB265" s="14"/>
      <c r="AD265" s="14"/>
      <c r="AF265" s="14"/>
      <c r="AH265" s="14"/>
      <c r="AJ265" s="14"/>
      <c r="AK265" s="14"/>
      <c r="AL265" s="74"/>
      <c r="AM265" s="35"/>
      <c r="AN265" s="74"/>
      <c r="AO265" s="35"/>
      <c r="AP265" s="35"/>
      <c r="AQ265" s="35"/>
      <c r="AR265" s="35"/>
      <c r="AS265" s="35"/>
      <c r="AT265" s="35"/>
      <c r="AU265" s="35"/>
      <c r="AV265" s="37">
        <f t="shared" si="67"/>
        <v>0</v>
      </c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x14ac:dyDescent="0.2">
      <c r="A266" s="13">
        <v>106</v>
      </c>
      <c r="B266" s="9"/>
      <c r="F266" s="14"/>
      <c r="H266" s="14"/>
      <c r="J266" s="14"/>
      <c r="L266" s="14"/>
      <c r="N266" s="14"/>
      <c r="P266" s="14"/>
      <c r="R266" s="14"/>
      <c r="X266" s="14"/>
      <c r="Z266" s="14"/>
      <c r="AB266" s="14"/>
      <c r="AD266" s="14"/>
      <c r="AF266" s="14"/>
      <c r="AH266" s="14"/>
      <c r="AJ266" s="14"/>
      <c r="AK266" s="14"/>
      <c r="AL266" s="74"/>
      <c r="AM266" s="35"/>
      <c r="AN266" s="74"/>
      <c r="AO266" s="35"/>
      <c r="AP266" s="35"/>
      <c r="AQ266" s="35"/>
      <c r="AR266" s="35"/>
      <c r="AS266" s="35"/>
      <c r="AT266" s="35"/>
      <c r="AU266" s="35"/>
      <c r="AV266" s="37">
        <f t="shared" si="67"/>
        <v>0</v>
      </c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x14ac:dyDescent="0.2">
      <c r="A267" s="13"/>
      <c r="B267" s="9" t="s">
        <v>45</v>
      </c>
      <c r="F267" s="14"/>
      <c r="H267" s="14"/>
      <c r="J267" s="14"/>
      <c r="L267" s="14"/>
      <c r="N267" s="14"/>
      <c r="P267" s="14"/>
      <c r="R267" s="14"/>
      <c r="X267" s="14"/>
      <c r="Z267" s="14"/>
      <c r="AB267" s="14"/>
      <c r="AD267" s="14"/>
      <c r="AF267" s="14"/>
      <c r="AH267" s="14"/>
      <c r="AJ267" s="14"/>
      <c r="AK267" s="14"/>
      <c r="AL267" s="74"/>
      <c r="AM267" s="35"/>
      <c r="AN267" s="74"/>
      <c r="AO267" s="35"/>
      <c r="AP267" s="35"/>
      <c r="AQ267" s="35"/>
      <c r="AR267" s="35"/>
      <c r="AS267" s="35"/>
      <c r="AT267" s="35"/>
      <c r="AU267" s="35"/>
      <c r="AV267" s="37">
        <f t="shared" si="67"/>
        <v>0</v>
      </c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x14ac:dyDescent="0.2">
      <c r="A268" s="13"/>
      <c r="B268" s="9"/>
      <c r="F268" s="14"/>
      <c r="H268" s="14"/>
      <c r="J268" s="14"/>
      <c r="L268" s="14"/>
      <c r="N268" s="14"/>
      <c r="P268" s="14"/>
      <c r="R268" s="14"/>
      <c r="X268" s="14"/>
      <c r="Z268" s="14"/>
      <c r="AB268" s="14"/>
      <c r="AD268" s="14"/>
      <c r="AF268" s="14"/>
      <c r="AH268" s="14"/>
      <c r="AJ268" s="14"/>
      <c r="AK268" s="14"/>
      <c r="AL268" s="74"/>
      <c r="AM268" s="35"/>
      <c r="AN268" s="74"/>
      <c r="AO268" s="35"/>
      <c r="AP268" s="35"/>
      <c r="AQ268" s="35"/>
      <c r="AR268" s="35"/>
      <c r="AS268" s="35"/>
      <c r="AT268" s="35"/>
      <c r="AU268" s="35"/>
      <c r="AV268" s="37">
        <f t="shared" si="67"/>
        <v>0</v>
      </c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x14ac:dyDescent="0.2">
      <c r="A269" s="8" t="s">
        <v>13</v>
      </c>
      <c r="B269" s="9"/>
      <c r="AL269" s="74"/>
      <c r="AM269" s="35"/>
      <c r="AN269" s="74"/>
      <c r="AO269" s="35"/>
      <c r="AP269" s="35"/>
      <c r="AQ269" s="35"/>
      <c r="AR269" s="35"/>
      <c r="AS269" s="35"/>
      <c r="AT269" s="35"/>
      <c r="AU269" s="35"/>
      <c r="AV269" s="37">
        <f t="shared" si="67"/>
        <v>0</v>
      </c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x14ac:dyDescent="0.2">
      <c r="A270" s="13"/>
      <c r="B270" s="3" t="s">
        <v>232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>
        <f t="shared" ref="AJ270:AJ299" si="73">SUM(C270:AI270)</f>
        <v>0</v>
      </c>
      <c r="AL270" s="74">
        <f t="shared" ref="AL270:AL299" si="74">SUMIF($C$10:$AI$10,"=Addition",$C270:$AI270)</f>
        <v>0</v>
      </c>
      <c r="AM270" s="35"/>
      <c r="AN270" s="74">
        <f t="shared" ref="AN270:AN299" si="75">SUMIF($C$10:$AI$10,"=Adjustment",$C270:$AI270)</f>
        <v>0</v>
      </c>
      <c r="AO270" s="35"/>
      <c r="AP270" s="74">
        <f t="shared" ref="AP270:AP299" si="76">SUMIF($C$10:$AI$10,"=Transfer",$C270:$AI270)</f>
        <v>0</v>
      </c>
      <c r="AQ270" s="35"/>
      <c r="AR270" s="74">
        <f t="shared" ref="AR270:AR299" si="77">SUMIF($C$10:$AI$10,"=N/A",$C270:$AI270)</f>
        <v>0</v>
      </c>
      <c r="AS270" s="35"/>
      <c r="AT270" s="74">
        <f t="shared" ref="AT270:AT299" si="78">SUM(AL270:AR270)</f>
        <v>0</v>
      </c>
      <c r="AU270" s="35"/>
      <c r="AV270" s="37">
        <f t="shared" si="67"/>
        <v>0</v>
      </c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x14ac:dyDescent="0.2">
      <c r="A271" s="13"/>
      <c r="B271" s="3" t="s">
        <v>233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>
        <f t="shared" si="73"/>
        <v>0</v>
      </c>
      <c r="AL271" s="74">
        <f t="shared" si="74"/>
        <v>0</v>
      </c>
      <c r="AM271" s="35"/>
      <c r="AN271" s="74">
        <f t="shared" si="75"/>
        <v>0</v>
      </c>
      <c r="AO271" s="35"/>
      <c r="AP271" s="74">
        <f t="shared" si="76"/>
        <v>0</v>
      </c>
      <c r="AQ271" s="35"/>
      <c r="AR271" s="74">
        <f t="shared" si="77"/>
        <v>0</v>
      </c>
      <c r="AS271" s="35"/>
      <c r="AT271" s="74">
        <f t="shared" si="78"/>
        <v>0</v>
      </c>
      <c r="AU271" s="35"/>
      <c r="AV271" s="37">
        <f t="shared" si="67"/>
        <v>0</v>
      </c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x14ac:dyDescent="0.2">
      <c r="A272" s="13"/>
      <c r="B272" s="3" t="s">
        <v>234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>
        <f t="shared" si="73"/>
        <v>0</v>
      </c>
      <c r="AL272" s="74">
        <f t="shared" si="74"/>
        <v>0</v>
      </c>
      <c r="AM272" s="35"/>
      <c r="AN272" s="74">
        <f t="shared" si="75"/>
        <v>0</v>
      </c>
      <c r="AO272" s="35"/>
      <c r="AP272" s="74">
        <f t="shared" si="76"/>
        <v>0</v>
      </c>
      <c r="AQ272" s="35"/>
      <c r="AR272" s="74">
        <f t="shared" si="77"/>
        <v>0</v>
      </c>
      <c r="AS272" s="35"/>
      <c r="AT272" s="74">
        <f t="shared" si="78"/>
        <v>0</v>
      </c>
      <c r="AU272" s="35"/>
      <c r="AV272" s="37">
        <f t="shared" si="67"/>
        <v>0</v>
      </c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x14ac:dyDescent="0.2">
      <c r="A273" s="13"/>
      <c r="B273" s="3" t="s">
        <v>235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>
        <f t="shared" si="73"/>
        <v>0</v>
      </c>
      <c r="AL273" s="74">
        <f t="shared" si="74"/>
        <v>0</v>
      </c>
      <c r="AM273" s="35"/>
      <c r="AN273" s="74">
        <f t="shared" si="75"/>
        <v>0</v>
      </c>
      <c r="AO273" s="35"/>
      <c r="AP273" s="74">
        <f t="shared" si="76"/>
        <v>0</v>
      </c>
      <c r="AQ273" s="35"/>
      <c r="AR273" s="74">
        <f t="shared" si="77"/>
        <v>0</v>
      </c>
      <c r="AS273" s="35"/>
      <c r="AT273" s="74">
        <f t="shared" si="78"/>
        <v>0</v>
      </c>
      <c r="AU273" s="35"/>
      <c r="AV273" s="37">
        <f t="shared" si="67"/>
        <v>0</v>
      </c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x14ac:dyDescent="0.2">
      <c r="A274" s="13"/>
      <c r="B274" s="3" t="s">
        <v>236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>
        <f t="shared" si="73"/>
        <v>0</v>
      </c>
      <c r="AL274" s="74">
        <f t="shared" si="74"/>
        <v>0</v>
      </c>
      <c r="AM274" s="35"/>
      <c r="AN274" s="74">
        <f t="shared" si="75"/>
        <v>0</v>
      </c>
      <c r="AO274" s="35"/>
      <c r="AP274" s="74">
        <f t="shared" si="76"/>
        <v>0</v>
      </c>
      <c r="AQ274" s="35"/>
      <c r="AR274" s="74">
        <f t="shared" si="77"/>
        <v>0</v>
      </c>
      <c r="AS274" s="35"/>
      <c r="AT274" s="74">
        <f t="shared" si="78"/>
        <v>0</v>
      </c>
      <c r="AU274" s="35"/>
      <c r="AV274" s="37">
        <f t="shared" si="67"/>
        <v>0</v>
      </c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x14ac:dyDescent="0.2">
      <c r="A275" s="13"/>
      <c r="B275" s="3" t="s">
        <v>237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>
        <f t="shared" si="73"/>
        <v>0</v>
      </c>
      <c r="AL275" s="74">
        <f t="shared" si="74"/>
        <v>0</v>
      </c>
      <c r="AM275" s="35"/>
      <c r="AN275" s="74">
        <f t="shared" si="75"/>
        <v>0</v>
      </c>
      <c r="AO275" s="35"/>
      <c r="AP275" s="74">
        <f t="shared" si="76"/>
        <v>0</v>
      </c>
      <c r="AQ275" s="35"/>
      <c r="AR275" s="74">
        <f t="shared" si="77"/>
        <v>0</v>
      </c>
      <c r="AS275" s="35"/>
      <c r="AT275" s="74">
        <f t="shared" si="78"/>
        <v>0</v>
      </c>
      <c r="AU275" s="35"/>
      <c r="AV275" s="37">
        <f t="shared" si="67"/>
        <v>0</v>
      </c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x14ac:dyDescent="0.2">
      <c r="A276" s="13"/>
      <c r="B276" s="3" t="s">
        <v>238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>
        <f t="shared" si="73"/>
        <v>0</v>
      </c>
      <c r="AL276" s="74">
        <f t="shared" si="74"/>
        <v>0</v>
      </c>
      <c r="AM276" s="35"/>
      <c r="AN276" s="74">
        <f t="shared" si="75"/>
        <v>0</v>
      </c>
      <c r="AO276" s="35"/>
      <c r="AP276" s="74">
        <f t="shared" si="76"/>
        <v>0</v>
      </c>
      <c r="AQ276" s="35"/>
      <c r="AR276" s="74">
        <f t="shared" si="77"/>
        <v>0</v>
      </c>
      <c r="AS276" s="35"/>
      <c r="AT276" s="74">
        <f t="shared" si="78"/>
        <v>0</v>
      </c>
      <c r="AU276" s="35"/>
      <c r="AV276" s="37">
        <f t="shared" si="67"/>
        <v>0</v>
      </c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x14ac:dyDescent="0.2">
      <c r="A277" s="13"/>
      <c r="B277" s="3" t="s">
        <v>239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>
        <f t="shared" si="73"/>
        <v>0</v>
      </c>
      <c r="AL277" s="74">
        <f t="shared" si="74"/>
        <v>0</v>
      </c>
      <c r="AM277" s="35"/>
      <c r="AN277" s="74">
        <f t="shared" si="75"/>
        <v>0</v>
      </c>
      <c r="AO277" s="35"/>
      <c r="AP277" s="74">
        <f t="shared" si="76"/>
        <v>0</v>
      </c>
      <c r="AQ277" s="35"/>
      <c r="AR277" s="74">
        <f t="shared" si="77"/>
        <v>0</v>
      </c>
      <c r="AS277" s="35"/>
      <c r="AT277" s="74">
        <f t="shared" si="78"/>
        <v>0</v>
      </c>
      <c r="AU277" s="35"/>
      <c r="AV277" s="37">
        <f t="shared" si="67"/>
        <v>0</v>
      </c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x14ac:dyDescent="0.2">
      <c r="A278" s="13"/>
      <c r="B278" s="3" t="s">
        <v>240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>
        <f t="shared" si="73"/>
        <v>0</v>
      </c>
      <c r="AL278" s="74">
        <f t="shared" si="74"/>
        <v>0</v>
      </c>
      <c r="AM278" s="35"/>
      <c r="AN278" s="74">
        <f t="shared" si="75"/>
        <v>0</v>
      </c>
      <c r="AO278" s="35"/>
      <c r="AP278" s="74">
        <f t="shared" si="76"/>
        <v>0</v>
      </c>
      <c r="AQ278" s="35"/>
      <c r="AR278" s="74">
        <f t="shared" si="77"/>
        <v>0</v>
      </c>
      <c r="AS278" s="35"/>
      <c r="AT278" s="74">
        <f t="shared" si="78"/>
        <v>0</v>
      </c>
      <c r="AU278" s="35"/>
      <c r="AV278" s="37">
        <f t="shared" si="67"/>
        <v>0</v>
      </c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x14ac:dyDescent="0.2">
      <c r="A279" s="13"/>
      <c r="B279" s="3" t="s">
        <v>241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>
        <f t="shared" si="73"/>
        <v>0</v>
      </c>
      <c r="AL279" s="74">
        <f t="shared" si="74"/>
        <v>0</v>
      </c>
      <c r="AM279" s="35"/>
      <c r="AN279" s="74">
        <f t="shared" si="75"/>
        <v>0</v>
      </c>
      <c r="AO279" s="35"/>
      <c r="AP279" s="74">
        <f t="shared" si="76"/>
        <v>0</v>
      </c>
      <c r="AQ279" s="35"/>
      <c r="AR279" s="74">
        <f t="shared" si="77"/>
        <v>0</v>
      </c>
      <c r="AS279" s="35"/>
      <c r="AT279" s="74">
        <f t="shared" si="78"/>
        <v>0</v>
      </c>
      <c r="AU279" s="35"/>
      <c r="AV279" s="37">
        <f t="shared" si="67"/>
        <v>0</v>
      </c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x14ac:dyDescent="0.2">
      <c r="A280" s="13"/>
      <c r="B280" s="3" t="s">
        <v>242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>
        <f t="shared" si="73"/>
        <v>0</v>
      </c>
      <c r="AL280" s="74">
        <f t="shared" si="74"/>
        <v>0</v>
      </c>
      <c r="AM280" s="35"/>
      <c r="AN280" s="74">
        <f t="shared" si="75"/>
        <v>0</v>
      </c>
      <c r="AO280" s="35"/>
      <c r="AP280" s="74">
        <f t="shared" si="76"/>
        <v>0</v>
      </c>
      <c r="AQ280" s="35"/>
      <c r="AR280" s="74">
        <f t="shared" si="77"/>
        <v>0</v>
      </c>
      <c r="AS280" s="35"/>
      <c r="AT280" s="74">
        <f t="shared" si="78"/>
        <v>0</v>
      </c>
      <c r="AU280" s="35"/>
      <c r="AV280" s="37">
        <f t="shared" si="67"/>
        <v>0</v>
      </c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x14ac:dyDescent="0.2">
      <c r="A281" s="13"/>
      <c r="B281" s="21" t="s">
        <v>243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>
        <f t="shared" si="73"/>
        <v>0</v>
      </c>
      <c r="AL281" s="74">
        <f t="shared" si="74"/>
        <v>0</v>
      </c>
      <c r="AM281" s="35"/>
      <c r="AN281" s="74">
        <f t="shared" si="75"/>
        <v>0</v>
      </c>
      <c r="AO281" s="35"/>
      <c r="AP281" s="74">
        <f t="shared" si="76"/>
        <v>0</v>
      </c>
      <c r="AQ281" s="35"/>
      <c r="AR281" s="74">
        <f t="shared" si="77"/>
        <v>0</v>
      </c>
      <c r="AS281" s="35"/>
      <c r="AT281" s="74">
        <f t="shared" si="78"/>
        <v>0</v>
      </c>
      <c r="AU281" s="35"/>
      <c r="AV281" s="37">
        <f t="shared" si="67"/>
        <v>0</v>
      </c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x14ac:dyDescent="0.2">
      <c r="A282" s="13"/>
      <c r="B282" s="3" t="s">
        <v>244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>
        <f t="shared" si="73"/>
        <v>0</v>
      </c>
      <c r="AL282" s="74">
        <f t="shared" si="74"/>
        <v>0</v>
      </c>
      <c r="AM282" s="35"/>
      <c r="AN282" s="74">
        <f t="shared" si="75"/>
        <v>0</v>
      </c>
      <c r="AO282" s="35"/>
      <c r="AP282" s="74">
        <f t="shared" si="76"/>
        <v>0</v>
      </c>
      <c r="AQ282" s="35"/>
      <c r="AR282" s="74">
        <f t="shared" si="77"/>
        <v>0</v>
      </c>
      <c r="AS282" s="35"/>
      <c r="AT282" s="74">
        <f t="shared" si="78"/>
        <v>0</v>
      </c>
      <c r="AU282" s="35"/>
      <c r="AV282" s="37">
        <f t="shared" si="67"/>
        <v>0</v>
      </c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x14ac:dyDescent="0.2">
      <c r="A283" s="13"/>
      <c r="B283" s="3" t="s">
        <v>245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>
        <f t="shared" si="73"/>
        <v>0</v>
      </c>
      <c r="AL283" s="74">
        <f t="shared" si="74"/>
        <v>0</v>
      </c>
      <c r="AM283" s="35"/>
      <c r="AN283" s="74">
        <f t="shared" si="75"/>
        <v>0</v>
      </c>
      <c r="AO283" s="35"/>
      <c r="AP283" s="74">
        <f t="shared" si="76"/>
        <v>0</v>
      </c>
      <c r="AQ283" s="35"/>
      <c r="AR283" s="74">
        <f t="shared" si="77"/>
        <v>0</v>
      </c>
      <c r="AS283" s="35"/>
      <c r="AT283" s="74">
        <f t="shared" si="78"/>
        <v>0</v>
      </c>
      <c r="AU283" s="35"/>
      <c r="AV283" s="37">
        <f t="shared" ref="AV283:AV346" si="79">AJ283-AT283</f>
        <v>0</v>
      </c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x14ac:dyDescent="0.2">
      <c r="A284" s="13"/>
      <c r="B284" s="3" t="s">
        <v>246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>
        <f t="shared" si="73"/>
        <v>0</v>
      </c>
      <c r="AL284" s="74">
        <f t="shared" si="74"/>
        <v>0</v>
      </c>
      <c r="AM284" s="35"/>
      <c r="AN284" s="74">
        <f t="shared" si="75"/>
        <v>0</v>
      </c>
      <c r="AO284" s="35"/>
      <c r="AP284" s="74">
        <f t="shared" si="76"/>
        <v>0</v>
      </c>
      <c r="AQ284" s="35"/>
      <c r="AR284" s="74">
        <f t="shared" si="77"/>
        <v>0</v>
      </c>
      <c r="AS284" s="35"/>
      <c r="AT284" s="74">
        <f t="shared" si="78"/>
        <v>0</v>
      </c>
      <c r="AU284" s="35"/>
      <c r="AV284" s="37">
        <f t="shared" si="79"/>
        <v>0</v>
      </c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x14ac:dyDescent="0.2">
      <c r="A285" s="13"/>
      <c r="B285" s="3" t="s">
        <v>247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>
        <f t="shared" si="73"/>
        <v>0</v>
      </c>
      <c r="AL285" s="74">
        <f t="shared" si="74"/>
        <v>0</v>
      </c>
      <c r="AM285" s="35"/>
      <c r="AN285" s="74">
        <f t="shared" si="75"/>
        <v>0</v>
      </c>
      <c r="AO285" s="35"/>
      <c r="AP285" s="74">
        <f t="shared" si="76"/>
        <v>0</v>
      </c>
      <c r="AQ285" s="35"/>
      <c r="AR285" s="74">
        <f t="shared" si="77"/>
        <v>0</v>
      </c>
      <c r="AS285" s="35"/>
      <c r="AT285" s="74">
        <f t="shared" si="78"/>
        <v>0</v>
      </c>
      <c r="AU285" s="35"/>
      <c r="AV285" s="37">
        <f t="shared" si="79"/>
        <v>0</v>
      </c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x14ac:dyDescent="0.2">
      <c r="A286" s="13"/>
      <c r="B286" s="3" t="s">
        <v>248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>
        <f t="shared" si="73"/>
        <v>0</v>
      </c>
      <c r="AL286" s="74">
        <f t="shared" si="74"/>
        <v>0</v>
      </c>
      <c r="AM286" s="35"/>
      <c r="AN286" s="74">
        <f t="shared" si="75"/>
        <v>0</v>
      </c>
      <c r="AO286" s="35"/>
      <c r="AP286" s="74">
        <f t="shared" si="76"/>
        <v>0</v>
      </c>
      <c r="AQ286" s="35"/>
      <c r="AR286" s="74">
        <f t="shared" si="77"/>
        <v>0</v>
      </c>
      <c r="AS286" s="35"/>
      <c r="AT286" s="74">
        <f t="shared" si="78"/>
        <v>0</v>
      </c>
      <c r="AU286" s="35"/>
      <c r="AV286" s="37">
        <f t="shared" si="79"/>
        <v>0</v>
      </c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x14ac:dyDescent="0.2">
      <c r="A287" s="13"/>
      <c r="B287" s="3" t="s">
        <v>249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>
        <f t="shared" si="73"/>
        <v>0</v>
      </c>
      <c r="AL287" s="74">
        <f t="shared" si="74"/>
        <v>0</v>
      </c>
      <c r="AM287" s="35"/>
      <c r="AN287" s="74">
        <f t="shared" si="75"/>
        <v>0</v>
      </c>
      <c r="AO287" s="35"/>
      <c r="AP287" s="74">
        <f t="shared" si="76"/>
        <v>0</v>
      </c>
      <c r="AQ287" s="35"/>
      <c r="AR287" s="74">
        <f t="shared" si="77"/>
        <v>0</v>
      </c>
      <c r="AS287" s="35"/>
      <c r="AT287" s="74">
        <f t="shared" si="78"/>
        <v>0</v>
      </c>
      <c r="AU287" s="35"/>
      <c r="AV287" s="37">
        <f t="shared" si="79"/>
        <v>0</v>
      </c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x14ac:dyDescent="0.2">
      <c r="A288" s="13"/>
      <c r="B288" s="3" t="s">
        <v>250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>
        <f t="shared" si="73"/>
        <v>0</v>
      </c>
      <c r="AL288" s="74">
        <f t="shared" si="74"/>
        <v>0</v>
      </c>
      <c r="AM288" s="35"/>
      <c r="AN288" s="74">
        <f t="shared" si="75"/>
        <v>0</v>
      </c>
      <c r="AO288" s="35"/>
      <c r="AP288" s="74">
        <f t="shared" si="76"/>
        <v>0</v>
      </c>
      <c r="AQ288" s="35"/>
      <c r="AR288" s="74">
        <f t="shared" si="77"/>
        <v>0</v>
      </c>
      <c r="AS288" s="35"/>
      <c r="AT288" s="74">
        <f t="shared" si="78"/>
        <v>0</v>
      </c>
      <c r="AU288" s="35"/>
      <c r="AV288" s="37">
        <f t="shared" si="79"/>
        <v>0</v>
      </c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x14ac:dyDescent="0.2">
      <c r="A289" s="13"/>
      <c r="B289" s="3" t="s">
        <v>251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>
        <f t="shared" si="73"/>
        <v>0</v>
      </c>
      <c r="AL289" s="74">
        <f t="shared" si="74"/>
        <v>0</v>
      </c>
      <c r="AM289" s="35"/>
      <c r="AN289" s="74">
        <f t="shared" si="75"/>
        <v>0</v>
      </c>
      <c r="AO289" s="35"/>
      <c r="AP289" s="74">
        <f t="shared" si="76"/>
        <v>0</v>
      </c>
      <c r="AQ289" s="35"/>
      <c r="AR289" s="74">
        <f t="shared" si="77"/>
        <v>0</v>
      </c>
      <c r="AS289" s="35"/>
      <c r="AT289" s="74">
        <f t="shared" si="78"/>
        <v>0</v>
      </c>
      <c r="AU289" s="35"/>
      <c r="AV289" s="37">
        <f t="shared" si="79"/>
        <v>0</v>
      </c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x14ac:dyDescent="0.2">
      <c r="A290" s="13"/>
      <c r="B290" s="3" t="s">
        <v>252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>
        <f t="shared" si="73"/>
        <v>0</v>
      </c>
      <c r="AL290" s="74">
        <f t="shared" si="74"/>
        <v>0</v>
      </c>
      <c r="AM290" s="35"/>
      <c r="AN290" s="74">
        <f t="shared" si="75"/>
        <v>0</v>
      </c>
      <c r="AO290" s="35"/>
      <c r="AP290" s="74">
        <f t="shared" si="76"/>
        <v>0</v>
      </c>
      <c r="AQ290" s="35"/>
      <c r="AR290" s="74">
        <f t="shared" si="77"/>
        <v>0</v>
      </c>
      <c r="AS290" s="35"/>
      <c r="AT290" s="74">
        <f t="shared" si="78"/>
        <v>0</v>
      </c>
      <c r="AU290" s="35"/>
      <c r="AV290" s="37">
        <f t="shared" si="79"/>
        <v>0</v>
      </c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x14ac:dyDescent="0.2">
      <c r="A291" s="13"/>
      <c r="B291" s="3" t="s">
        <v>426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>
        <f t="shared" si="73"/>
        <v>0</v>
      </c>
      <c r="AL291" s="74">
        <f t="shared" si="74"/>
        <v>0</v>
      </c>
      <c r="AM291" s="35"/>
      <c r="AN291" s="74">
        <f t="shared" si="75"/>
        <v>0</v>
      </c>
      <c r="AO291" s="35"/>
      <c r="AP291" s="74">
        <f t="shared" si="76"/>
        <v>0</v>
      </c>
      <c r="AQ291" s="35"/>
      <c r="AR291" s="74">
        <f t="shared" si="77"/>
        <v>0</v>
      </c>
      <c r="AS291" s="35"/>
      <c r="AT291" s="74">
        <f t="shared" si="78"/>
        <v>0</v>
      </c>
      <c r="AU291" s="35"/>
      <c r="AV291" s="37">
        <f t="shared" si="79"/>
        <v>0</v>
      </c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x14ac:dyDescent="0.2">
      <c r="A292" s="13"/>
      <c r="B292" s="3" t="s">
        <v>427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>
        <f t="shared" si="73"/>
        <v>0</v>
      </c>
      <c r="AL292" s="74">
        <f t="shared" si="74"/>
        <v>0</v>
      </c>
      <c r="AM292" s="35"/>
      <c r="AN292" s="74">
        <f t="shared" si="75"/>
        <v>0</v>
      </c>
      <c r="AO292" s="35"/>
      <c r="AP292" s="74">
        <f t="shared" si="76"/>
        <v>0</v>
      </c>
      <c r="AQ292" s="35"/>
      <c r="AR292" s="74">
        <f t="shared" si="77"/>
        <v>0</v>
      </c>
      <c r="AS292" s="35"/>
      <c r="AT292" s="74">
        <f t="shared" si="78"/>
        <v>0</v>
      </c>
      <c r="AU292" s="35"/>
      <c r="AV292" s="37">
        <f t="shared" si="79"/>
        <v>0</v>
      </c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x14ac:dyDescent="0.2">
      <c r="A293" s="13"/>
      <c r="B293" s="3" t="s">
        <v>255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>
        <f t="shared" si="73"/>
        <v>0</v>
      </c>
      <c r="AL293" s="74">
        <f t="shared" si="74"/>
        <v>0</v>
      </c>
      <c r="AM293" s="35"/>
      <c r="AN293" s="74">
        <f t="shared" si="75"/>
        <v>0</v>
      </c>
      <c r="AO293" s="35"/>
      <c r="AP293" s="74">
        <f t="shared" si="76"/>
        <v>0</v>
      </c>
      <c r="AQ293" s="35"/>
      <c r="AR293" s="74">
        <f t="shared" si="77"/>
        <v>0</v>
      </c>
      <c r="AS293" s="35"/>
      <c r="AT293" s="74">
        <f t="shared" si="78"/>
        <v>0</v>
      </c>
      <c r="AU293" s="35"/>
      <c r="AV293" s="37">
        <f t="shared" si="79"/>
        <v>0</v>
      </c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x14ac:dyDescent="0.2">
      <c r="A294" s="13"/>
      <c r="B294" s="3" t="s">
        <v>256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>
        <f t="shared" si="73"/>
        <v>0</v>
      </c>
      <c r="AL294" s="74">
        <f t="shared" si="74"/>
        <v>0</v>
      </c>
      <c r="AM294" s="35"/>
      <c r="AN294" s="74">
        <f t="shared" si="75"/>
        <v>0</v>
      </c>
      <c r="AO294" s="35"/>
      <c r="AP294" s="74">
        <f t="shared" si="76"/>
        <v>0</v>
      </c>
      <c r="AQ294" s="35"/>
      <c r="AR294" s="74">
        <f t="shared" si="77"/>
        <v>0</v>
      </c>
      <c r="AS294" s="35"/>
      <c r="AT294" s="74">
        <f t="shared" si="78"/>
        <v>0</v>
      </c>
      <c r="AU294" s="35"/>
      <c r="AV294" s="37">
        <f t="shared" si="79"/>
        <v>0</v>
      </c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x14ac:dyDescent="0.2">
      <c r="A295" s="13"/>
      <c r="B295" s="3" t="s">
        <v>257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>
        <f t="shared" si="73"/>
        <v>0</v>
      </c>
      <c r="AL295" s="74">
        <f t="shared" si="74"/>
        <v>0</v>
      </c>
      <c r="AM295" s="35"/>
      <c r="AN295" s="74">
        <f t="shared" si="75"/>
        <v>0</v>
      </c>
      <c r="AO295" s="35"/>
      <c r="AP295" s="74">
        <f t="shared" si="76"/>
        <v>0</v>
      </c>
      <c r="AQ295" s="35"/>
      <c r="AR295" s="74">
        <f t="shared" si="77"/>
        <v>0</v>
      </c>
      <c r="AS295" s="35"/>
      <c r="AT295" s="74">
        <f t="shared" si="78"/>
        <v>0</v>
      </c>
      <c r="AU295" s="35"/>
      <c r="AV295" s="37">
        <f t="shared" si="79"/>
        <v>0</v>
      </c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x14ac:dyDescent="0.2">
      <c r="A296" s="13"/>
      <c r="B296" s="3" t="s">
        <v>258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>
        <f t="shared" si="73"/>
        <v>0</v>
      </c>
      <c r="AL296" s="74">
        <f t="shared" si="74"/>
        <v>0</v>
      </c>
      <c r="AM296" s="35"/>
      <c r="AN296" s="74">
        <f t="shared" si="75"/>
        <v>0</v>
      </c>
      <c r="AO296" s="35"/>
      <c r="AP296" s="74">
        <f t="shared" si="76"/>
        <v>0</v>
      </c>
      <c r="AQ296" s="35"/>
      <c r="AR296" s="74">
        <f t="shared" si="77"/>
        <v>0</v>
      </c>
      <c r="AS296" s="35"/>
      <c r="AT296" s="74">
        <f t="shared" si="78"/>
        <v>0</v>
      </c>
      <c r="AU296" s="35"/>
      <c r="AV296" s="37">
        <f t="shared" si="79"/>
        <v>0</v>
      </c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x14ac:dyDescent="0.2">
      <c r="A297" s="13"/>
      <c r="B297" s="3" t="s">
        <v>259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>
        <f t="shared" si="73"/>
        <v>0</v>
      </c>
      <c r="AL297" s="74">
        <f t="shared" si="74"/>
        <v>0</v>
      </c>
      <c r="AM297" s="35"/>
      <c r="AN297" s="74">
        <f t="shared" si="75"/>
        <v>0</v>
      </c>
      <c r="AO297" s="35"/>
      <c r="AP297" s="74">
        <f t="shared" si="76"/>
        <v>0</v>
      </c>
      <c r="AQ297" s="35"/>
      <c r="AR297" s="74">
        <f t="shared" si="77"/>
        <v>0</v>
      </c>
      <c r="AS297" s="35"/>
      <c r="AT297" s="74">
        <f t="shared" si="78"/>
        <v>0</v>
      </c>
      <c r="AU297" s="35"/>
      <c r="AV297" s="37">
        <f t="shared" si="79"/>
        <v>0</v>
      </c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x14ac:dyDescent="0.2">
      <c r="A298" s="13"/>
      <c r="B298" s="3" t="s">
        <v>260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>
        <f t="shared" si="73"/>
        <v>0</v>
      </c>
      <c r="AL298" s="74">
        <f t="shared" si="74"/>
        <v>0</v>
      </c>
      <c r="AM298" s="35"/>
      <c r="AN298" s="74">
        <f t="shared" si="75"/>
        <v>0</v>
      </c>
      <c r="AO298" s="35"/>
      <c r="AP298" s="74">
        <f t="shared" si="76"/>
        <v>0</v>
      </c>
      <c r="AQ298" s="35"/>
      <c r="AR298" s="74">
        <f t="shared" si="77"/>
        <v>0</v>
      </c>
      <c r="AS298" s="35"/>
      <c r="AT298" s="74">
        <f t="shared" si="78"/>
        <v>0</v>
      </c>
      <c r="AU298" s="35"/>
      <c r="AV298" s="37">
        <f t="shared" si="79"/>
        <v>0</v>
      </c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x14ac:dyDescent="0.2">
      <c r="A299" s="13"/>
      <c r="B299" s="3" t="s">
        <v>261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>
        <f t="shared" si="73"/>
        <v>0</v>
      </c>
      <c r="AL299" s="74">
        <f t="shared" si="74"/>
        <v>0</v>
      </c>
      <c r="AM299" s="35"/>
      <c r="AN299" s="74">
        <f t="shared" si="75"/>
        <v>0</v>
      </c>
      <c r="AO299" s="35"/>
      <c r="AP299" s="74">
        <f t="shared" si="76"/>
        <v>0</v>
      </c>
      <c r="AQ299" s="35"/>
      <c r="AR299" s="74">
        <f t="shared" si="77"/>
        <v>0</v>
      </c>
      <c r="AS299" s="35"/>
      <c r="AT299" s="74">
        <f t="shared" si="78"/>
        <v>0</v>
      </c>
      <c r="AU299" s="35"/>
      <c r="AV299" s="37">
        <f t="shared" si="79"/>
        <v>0</v>
      </c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x14ac:dyDescent="0.2">
      <c r="A300" s="13"/>
      <c r="B300" s="9" t="s">
        <v>428</v>
      </c>
      <c r="C300" s="19">
        <f>SUM(C270:C299)</f>
        <v>0</v>
      </c>
      <c r="E300" s="19">
        <f>SUM(E270:E299)</f>
        <v>0</v>
      </c>
      <c r="G300" s="19">
        <f>SUM(G270:G299)</f>
        <v>0</v>
      </c>
      <c r="I300" s="19">
        <f>SUM(I270:I299)</f>
        <v>0</v>
      </c>
      <c r="K300" s="19">
        <f>SUM(K270:K299)</f>
        <v>0</v>
      </c>
      <c r="M300" s="19">
        <f>SUM(M270:M299)</f>
        <v>0</v>
      </c>
      <c r="O300" s="19">
        <f>SUM(O270:O299)</f>
        <v>0</v>
      </c>
      <c r="Q300" s="19">
        <f>SUM(Q270:Q299)</f>
        <v>0</v>
      </c>
      <c r="S300" s="19">
        <f>SUM(S270:S299)</f>
        <v>0</v>
      </c>
      <c r="T300" s="19"/>
      <c r="U300" s="19">
        <f>SUM(U270:U299)</f>
        <v>0</v>
      </c>
      <c r="V300" s="19"/>
      <c r="W300" s="19">
        <f>SUM(W270:W299)</f>
        <v>0</v>
      </c>
      <c r="Y300" s="19">
        <f>SUM(Y270:Y299)</f>
        <v>0</v>
      </c>
      <c r="AA300" s="19">
        <f>SUM(AA270:AA299)</f>
        <v>0</v>
      </c>
      <c r="AC300" s="19">
        <f>SUM(AC270:AC299)</f>
        <v>0</v>
      </c>
      <c r="AE300" s="19">
        <f>SUM(AE270:AE299)</f>
        <v>0</v>
      </c>
      <c r="AG300" s="19">
        <f>SUM(AG270:AG299)</f>
        <v>0</v>
      </c>
      <c r="AI300" s="19"/>
      <c r="AJ300" s="19">
        <f>SUM(AJ270:AJ299)</f>
        <v>0</v>
      </c>
      <c r="AL300" s="110">
        <f>SUM(AL270:AL299)</f>
        <v>0</v>
      </c>
      <c r="AM300" s="35"/>
      <c r="AN300" s="110">
        <f>SUM(AN270:AN299)</f>
        <v>0</v>
      </c>
      <c r="AO300" s="35"/>
      <c r="AP300" s="110">
        <f>SUM(AP270:AP299)</f>
        <v>0</v>
      </c>
      <c r="AQ300" s="35"/>
      <c r="AR300" s="110">
        <f>SUM(AR270:AR299)</f>
        <v>0</v>
      </c>
      <c r="AS300" s="35"/>
      <c r="AT300" s="110">
        <f>SUM(AT270:AT299)</f>
        <v>0</v>
      </c>
      <c r="AU300" s="35"/>
      <c r="AV300" s="37">
        <f t="shared" si="79"/>
        <v>0</v>
      </c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x14ac:dyDescent="0.2">
      <c r="A301" s="13"/>
      <c r="B301" s="9"/>
      <c r="AL301" s="74"/>
      <c r="AM301" s="35"/>
      <c r="AN301" s="74"/>
      <c r="AO301" s="35"/>
      <c r="AP301" s="35"/>
      <c r="AQ301" s="35"/>
      <c r="AR301" s="35"/>
      <c r="AS301" s="35"/>
      <c r="AT301" s="35"/>
      <c r="AU301" s="35"/>
      <c r="AV301" s="37">
        <f t="shared" si="79"/>
        <v>0</v>
      </c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x14ac:dyDescent="0.2">
      <c r="A302" s="13"/>
      <c r="B302" s="9"/>
      <c r="AL302" s="74"/>
      <c r="AM302" s="35"/>
      <c r="AN302" s="74"/>
      <c r="AO302" s="35"/>
      <c r="AP302" s="35"/>
      <c r="AQ302" s="35"/>
      <c r="AR302" s="35"/>
      <c r="AS302" s="35"/>
      <c r="AT302" s="35"/>
      <c r="AU302" s="35"/>
      <c r="AV302" s="37">
        <f t="shared" si="79"/>
        <v>0</v>
      </c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x14ac:dyDescent="0.2">
      <c r="A303" s="8" t="s">
        <v>17</v>
      </c>
      <c r="B303" s="9"/>
      <c r="AL303" s="74"/>
      <c r="AM303" s="35"/>
      <c r="AN303" s="74"/>
      <c r="AO303" s="35"/>
      <c r="AP303" s="35"/>
      <c r="AQ303" s="35"/>
      <c r="AR303" s="35"/>
      <c r="AS303" s="35"/>
      <c r="AT303" s="35"/>
      <c r="AU303" s="35"/>
      <c r="AV303" s="37">
        <f t="shared" si="79"/>
        <v>0</v>
      </c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x14ac:dyDescent="0.2">
      <c r="A304" s="13"/>
      <c r="B304" s="9" t="s">
        <v>263</v>
      </c>
      <c r="AL304" s="74"/>
      <c r="AM304" s="35"/>
      <c r="AN304" s="74"/>
      <c r="AO304" s="35"/>
      <c r="AP304" s="35"/>
      <c r="AQ304" s="35"/>
      <c r="AR304" s="35"/>
      <c r="AS304" s="35"/>
      <c r="AT304" s="35"/>
      <c r="AU304" s="35"/>
      <c r="AV304" s="37">
        <f t="shared" si="79"/>
        <v>0</v>
      </c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outlineLevel="1" x14ac:dyDescent="0.2">
      <c r="A305" s="13"/>
      <c r="B305" s="21" t="s">
        <v>264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>
        <f>SUM(C305:AI305)</f>
        <v>0</v>
      </c>
      <c r="AK305" s="145"/>
      <c r="AL305" s="74">
        <f t="shared" ref="AL305:AL325" si="80">SUMIF($C$10:$AI$10,"=Addition",$C305:$AI305)</f>
        <v>0</v>
      </c>
      <c r="AM305" s="35"/>
      <c r="AN305" s="74">
        <f t="shared" ref="AN305:AN325" si="81">SUMIF($C$10:$AI$10,"=Adjustment",$C305:$AI305)</f>
        <v>0</v>
      </c>
      <c r="AO305" s="35"/>
      <c r="AP305" s="74">
        <f t="shared" ref="AP305:AP325" si="82">SUMIF($C$10:$AI$10,"=Transfer",$C305:$AI305)</f>
        <v>0</v>
      </c>
      <c r="AQ305" s="35"/>
      <c r="AR305" s="74">
        <f t="shared" ref="AR305:AR325" si="83">SUMIF($C$10:$AI$10,"=N/A",$C305:$AI305)</f>
        <v>0</v>
      </c>
      <c r="AS305" s="35"/>
      <c r="AT305" s="74">
        <f t="shared" ref="AT305:AT325" si="84">SUM(AL305:AR305)</f>
        <v>0</v>
      </c>
      <c r="AU305" s="35"/>
      <c r="AV305" s="37">
        <f t="shared" si="79"/>
        <v>0</v>
      </c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outlineLevel="1" x14ac:dyDescent="0.2">
      <c r="A306" s="13"/>
      <c r="B306" s="3" t="s">
        <v>265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>
        <f>SUM(C306:AI306)</f>
        <v>0</v>
      </c>
      <c r="AK306" s="145"/>
      <c r="AL306" s="74">
        <f t="shared" si="80"/>
        <v>0</v>
      </c>
      <c r="AM306" s="35"/>
      <c r="AN306" s="74">
        <f t="shared" si="81"/>
        <v>0</v>
      </c>
      <c r="AO306" s="35"/>
      <c r="AP306" s="74">
        <f t="shared" si="82"/>
        <v>0</v>
      </c>
      <c r="AQ306" s="35"/>
      <c r="AR306" s="74">
        <f t="shared" si="83"/>
        <v>0</v>
      </c>
      <c r="AS306" s="35"/>
      <c r="AT306" s="74">
        <f t="shared" si="84"/>
        <v>0</v>
      </c>
      <c r="AU306" s="35"/>
      <c r="AV306" s="37">
        <f t="shared" si="79"/>
        <v>0</v>
      </c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x14ac:dyDescent="0.2">
      <c r="A307" s="13"/>
      <c r="B307" s="21" t="s">
        <v>266</v>
      </c>
      <c r="C307" s="14">
        <f>SUM(C305:C306)</f>
        <v>0</v>
      </c>
      <c r="D307" s="14"/>
      <c r="E307" s="14">
        <f>SUM(E305:E306)</f>
        <v>0</v>
      </c>
      <c r="F307" s="14"/>
      <c r="G307" s="14">
        <f>SUM(G305:G306)</f>
        <v>0</v>
      </c>
      <c r="H307" s="14"/>
      <c r="I307" s="14">
        <f>SUM(I305:I306)</f>
        <v>0</v>
      </c>
      <c r="J307" s="14"/>
      <c r="K307" s="14">
        <f>SUM(K305:K306)</f>
        <v>0</v>
      </c>
      <c r="L307" s="14"/>
      <c r="M307" s="14">
        <f>SUM(M305:M306)</f>
        <v>0</v>
      </c>
      <c r="N307" s="14"/>
      <c r="O307" s="14">
        <f>SUM(O305:O306)</f>
        <v>0</v>
      </c>
      <c r="P307" s="14"/>
      <c r="Q307" s="14">
        <f>SUM(Q305:Q306)</f>
        <v>0</v>
      </c>
      <c r="R307" s="14"/>
      <c r="S307" s="14">
        <f>SUM(S305:S306)</f>
        <v>0</v>
      </c>
      <c r="T307" s="14"/>
      <c r="U307" s="14">
        <f>SUM(U305:U306)</f>
        <v>0</v>
      </c>
      <c r="V307" s="14"/>
      <c r="W307" s="14">
        <f>SUM(W305:W306)</f>
        <v>0</v>
      </c>
      <c r="X307" s="14"/>
      <c r="Y307" s="14">
        <f>SUM(Y305:Y306)</f>
        <v>0</v>
      </c>
      <c r="Z307" s="14"/>
      <c r="AA307" s="14">
        <f>SUM(AA305:AA306)</f>
        <v>0</v>
      </c>
      <c r="AB307" s="14"/>
      <c r="AC307" s="14">
        <f>SUM(AC305:AC306)</f>
        <v>0</v>
      </c>
      <c r="AD307" s="14"/>
      <c r="AE307" s="14">
        <f>SUM(AE305:AE306)</f>
        <v>0</v>
      </c>
      <c r="AF307" s="14"/>
      <c r="AG307" s="14">
        <f>SUM(AG305:AG306)</f>
        <v>0</v>
      </c>
      <c r="AH307" s="14"/>
      <c r="AI307" s="14"/>
      <c r="AJ307" s="14">
        <f t="shared" ref="AJ307:AJ314" si="85">SUM(C307:AH307)</f>
        <v>0</v>
      </c>
      <c r="AK307" s="145"/>
      <c r="AL307" s="74">
        <f t="shared" si="80"/>
        <v>0</v>
      </c>
      <c r="AM307" s="35"/>
      <c r="AN307" s="74">
        <f t="shared" si="81"/>
        <v>0</v>
      </c>
      <c r="AO307" s="35"/>
      <c r="AP307" s="74">
        <f t="shared" si="82"/>
        <v>0</v>
      </c>
      <c r="AQ307" s="35"/>
      <c r="AR307" s="74">
        <f t="shared" si="83"/>
        <v>0</v>
      </c>
      <c r="AS307" s="35"/>
      <c r="AT307" s="74">
        <f t="shared" si="84"/>
        <v>0</v>
      </c>
      <c r="AU307" s="35"/>
      <c r="AV307" s="37">
        <f t="shared" si="79"/>
        <v>0</v>
      </c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x14ac:dyDescent="0.2">
      <c r="A308" s="13"/>
      <c r="B308" s="3" t="s">
        <v>267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>
        <f t="shared" si="85"/>
        <v>0</v>
      </c>
      <c r="AK308" s="145"/>
      <c r="AL308" s="74">
        <f t="shared" si="80"/>
        <v>0</v>
      </c>
      <c r="AM308" s="35"/>
      <c r="AN308" s="74">
        <f t="shared" si="81"/>
        <v>0</v>
      </c>
      <c r="AO308" s="35"/>
      <c r="AP308" s="74">
        <f t="shared" si="82"/>
        <v>0</v>
      </c>
      <c r="AQ308" s="35"/>
      <c r="AR308" s="74">
        <f t="shared" si="83"/>
        <v>0</v>
      </c>
      <c r="AS308" s="35"/>
      <c r="AT308" s="74">
        <f t="shared" si="84"/>
        <v>0</v>
      </c>
      <c r="AU308" s="35"/>
      <c r="AV308" s="37">
        <f t="shared" si="79"/>
        <v>0</v>
      </c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x14ac:dyDescent="0.2">
      <c r="A309" s="13"/>
      <c r="B309" s="3" t="s">
        <v>268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>
        <f t="shared" si="85"/>
        <v>0</v>
      </c>
      <c r="AK309" s="145"/>
      <c r="AL309" s="74">
        <f t="shared" si="80"/>
        <v>0</v>
      </c>
      <c r="AM309" s="35"/>
      <c r="AN309" s="74">
        <f t="shared" si="81"/>
        <v>0</v>
      </c>
      <c r="AO309" s="35"/>
      <c r="AP309" s="74">
        <f t="shared" si="82"/>
        <v>0</v>
      </c>
      <c r="AQ309" s="35"/>
      <c r="AR309" s="74">
        <f t="shared" si="83"/>
        <v>0</v>
      </c>
      <c r="AS309" s="35"/>
      <c r="AT309" s="74">
        <f t="shared" si="84"/>
        <v>0</v>
      </c>
      <c r="AU309" s="35"/>
      <c r="AV309" s="37">
        <f t="shared" si="79"/>
        <v>0</v>
      </c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x14ac:dyDescent="0.2">
      <c r="A310" s="13"/>
      <c r="B310" s="3" t="s">
        <v>269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>
        <f t="shared" si="85"/>
        <v>0</v>
      </c>
      <c r="AK310" s="145"/>
      <c r="AL310" s="74">
        <f t="shared" si="80"/>
        <v>0</v>
      </c>
      <c r="AM310" s="35"/>
      <c r="AN310" s="74">
        <f t="shared" si="81"/>
        <v>0</v>
      </c>
      <c r="AO310" s="35"/>
      <c r="AP310" s="74">
        <f t="shared" si="82"/>
        <v>0</v>
      </c>
      <c r="AQ310" s="35"/>
      <c r="AR310" s="74">
        <f t="shared" si="83"/>
        <v>0</v>
      </c>
      <c r="AS310" s="35"/>
      <c r="AT310" s="74">
        <f t="shared" si="84"/>
        <v>0</v>
      </c>
      <c r="AU310" s="35"/>
      <c r="AV310" s="37">
        <f t="shared" si="79"/>
        <v>0</v>
      </c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x14ac:dyDescent="0.2">
      <c r="A311" s="13"/>
      <c r="B311" s="3" t="s">
        <v>270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>
        <f t="shared" si="85"/>
        <v>0</v>
      </c>
      <c r="AK311" s="145"/>
      <c r="AL311" s="74">
        <f t="shared" si="80"/>
        <v>0</v>
      </c>
      <c r="AM311" s="35"/>
      <c r="AN311" s="74">
        <f t="shared" si="81"/>
        <v>0</v>
      </c>
      <c r="AO311" s="35"/>
      <c r="AP311" s="74">
        <f t="shared" si="82"/>
        <v>0</v>
      </c>
      <c r="AQ311" s="35"/>
      <c r="AR311" s="74">
        <f t="shared" si="83"/>
        <v>0</v>
      </c>
      <c r="AS311" s="35"/>
      <c r="AT311" s="74">
        <f t="shared" si="84"/>
        <v>0</v>
      </c>
      <c r="AU311" s="35"/>
      <c r="AV311" s="37">
        <f t="shared" si="79"/>
        <v>0</v>
      </c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x14ac:dyDescent="0.2">
      <c r="A312" s="13"/>
      <c r="B312" s="3" t="s">
        <v>271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>
        <f t="shared" si="85"/>
        <v>0</v>
      </c>
      <c r="AK312" s="145"/>
      <c r="AL312" s="74">
        <f t="shared" si="80"/>
        <v>0</v>
      </c>
      <c r="AM312" s="35"/>
      <c r="AN312" s="74">
        <f t="shared" si="81"/>
        <v>0</v>
      </c>
      <c r="AO312" s="35"/>
      <c r="AP312" s="74">
        <f t="shared" si="82"/>
        <v>0</v>
      </c>
      <c r="AQ312" s="35"/>
      <c r="AR312" s="74">
        <f t="shared" si="83"/>
        <v>0</v>
      </c>
      <c r="AS312" s="35"/>
      <c r="AT312" s="74">
        <f t="shared" si="84"/>
        <v>0</v>
      </c>
      <c r="AU312" s="35"/>
      <c r="AV312" s="37">
        <f t="shared" si="79"/>
        <v>0</v>
      </c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x14ac:dyDescent="0.2">
      <c r="A313" s="13"/>
      <c r="B313" s="3" t="s">
        <v>272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>
        <f t="shared" si="85"/>
        <v>0</v>
      </c>
      <c r="AK313" s="145"/>
      <c r="AL313" s="74">
        <f t="shared" si="80"/>
        <v>0</v>
      </c>
      <c r="AM313" s="35"/>
      <c r="AN313" s="74">
        <f t="shared" si="81"/>
        <v>0</v>
      </c>
      <c r="AO313" s="35"/>
      <c r="AP313" s="74">
        <f t="shared" si="82"/>
        <v>0</v>
      </c>
      <c r="AQ313" s="35"/>
      <c r="AR313" s="74">
        <f t="shared" si="83"/>
        <v>0</v>
      </c>
      <c r="AS313" s="35"/>
      <c r="AT313" s="74">
        <f t="shared" si="84"/>
        <v>0</v>
      </c>
      <c r="AU313" s="35"/>
      <c r="AV313" s="37">
        <f t="shared" si="79"/>
        <v>0</v>
      </c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x14ac:dyDescent="0.2">
      <c r="A314" s="13"/>
      <c r="B314" s="3" t="s">
        <v>273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>
        <f t="shared" si="85"/>
        <v>0</v>
      </c>
      <c r="AK314" s="145"/>
      <c r="AL314" s="74">
        <f t="shared" si="80"/>
        <v>0</v>
      </c>
      <c r="AM314" s="35"/>
      <c r="AN314" s="74">
        <f t="shared" si="81"/>
        <v>0</v>
      </c>
      <c r="AO314" s="35"/>
      <c r="AP314" s="74">
        <f t="shared" si="82"/>
        <v>0</v>
      </c>
      <c r="AQ314" s="35"/>
      <c r="AR314" s="74">
        <f t="shared" si="83"/>
        <v>0</v>
      </c>
      <c r="AS314" s="35"/>
      <c r="AT314" s="74">
        <f t="shared" si="84"/>
        <v>0</v>
      </c>
      <c r="AU314" s="35"/>
      <c r="AV314" s="37">
        <f t="shared" si="79"/>
        <v>0</v>
      </c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outlineLevel="1" x14ac:dyDescent="0.2">
      <c r="A315" s="13"/>
      <c r="B315" s="3" t="s">
        <v>274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>
        <f>SUM(C315:AI315)</f>
        <v>0</v>
      </c>
      <c r="AK315" s="145"/>
      <c r="AL315" s="74">
        <f t="shared" si="80"/>
        <v>0</v>
      </c>
      <c r="AM315" s="35"/>
      <c r="AN315" s="74">
        <f t="shared" si="81"/>
        <v>0</v>
      </c>
      <c r="AO315" s="35"/>
      <c r="AP315" s="74">
        <f t="shared" si="82"/>
        <v>0</v>
      </c>
      <c r="AQ315" s="35"/>
      <c r="AR315" s="74">
        <f t="shared" si="83"/>
        <v>0</v>
      </c>
      <c r="AS315" s="35"/>
      <c r="AT315" s="74">
        <f t="shared" si="84"/>
        <v>0</v>
      </c>
      <c r="AU315" s="35"/>
      <c r="AV315" s="37">
        <f t="shared" si="79"/>
        <v>0</v>
      </c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outlineLevel="1" x14ac:dyDescent="0.2">
      <c r="A316" s="13"/>
      <c r="B316" s="3" t="s">
        <v>275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>
        <f>SUM(C316:AI316)</f>
        <v>0</v>
      </c>
      <c r="AK316" s="145"/>
      <c r="AL316" s="74">
        <f t="shared" si="80"/>
        <v>0</v>
      </c>
      <c r="AM316" s="35"/>
      <c r="AN316" s="74">
        <f t="shared" si="81"/>
        <v>0</v>
      </c>
      <c r="AO316" s="35"/>
      <c r="AP316" s="74">
        <f t="shared" si="82"/>
        <v>0</v>
      </c>
      <c r="AQ316" s="35"/>
      <c r="AR316" s="74">
        <f t="shared" si="83"/>
        <v>0</v>
      </c>
      <c r="AS316" s="35"/>
      <c r="AT316" s="74">
        <f t="shared" si="84"/>
        <v>0</v>
      </c>
      <c r="AU316" s="35"/>
      <c r="AV316" s="37">
        <f t="shared" si="79"/>
        <v>0</v>
      </c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x14ac:dyDescent="0.2">
      <c r="A317" s="13"/>
      <c r="B317" s="3" t="s">
        <v>276</v>
      </c>
      <c r="C317" s="14">
        <f>SUM(C315:C316)</f>
        <v>0</v>
      </c>
      <c r="D317" s="14"/>
      <c r="E317" s="14">
        <f>SUM(E315:E316)</f>
        <v>0</v>
      </c>
      <c r="F317" s="14"/>
      <c r="G317" s="14">
        <f>SUM(G315:G316)</f>
        <v>0</v>
      </c>
      <c r="H317" s="14"/>
      <c r="I317" s="14">
        <f>SUM(I315:I316)</f>
        <v>0</v>
      </c>
      <c r="J317" s="14"/>
      <c r="K317" s="14">
        <f>SUM(K315:K316)</f>
        <v>0</v>
      </c>
      <c r="L317" s="14"/>
      <c r="M317" s="14">
        <f>SUM(M315:M316)</f>
        <v>0</v>
      </c>
      <c r="N317" s="14"/>
      <c r="O317" s="14">
        <f>SUM(O315:O316)</f>
        <v>0</v>
      </c>
      <c r="P317" s="14"/>
      <c r="Q317" s="14">
        <f>SUM(Q315:Q316)</f>
        <v>0</v>
      </c>
      <c r="R317" s="14"/>
      <c r="S317" s="14">
        <f>SUM(S315:S316)</f>
        <v>0</v>
      </c>
      <c r="T317" s="14"/>
      <c r="U317" s="14">
        <f>SUM(U315:U316)</f>
        <v>0</v>
      </c>
      <c r="V317" s="14"/>
      <c r="W317" s="14">
        <f>SUM(W315:W316)</f>
        <v>0</v>
      </c>
      <c r="X317" s="14"/>
      <c r="Y317" s="14">
        <f>SUM(Y315:Y316)</f>
        <v>0</v>
      </c>
      <c r="Z317" s="14"/>
      <c r="AA317" s="14">
        <f>SUM(AA315:AA316)</f>
        <v>0</v>
      </c>
      <c r="AB317" s="14"/>
      <c r="AC317" s="14">
        <f>SUM(AC315:AC316)</f>
        <v>0</v>
      </c>
      <c r="AD317" s="14"/>
      <c r="AE317" s="14">
        <f>SUM(AE315:AE316)</f>
        <v>0</v>
      </c>
      <c r="AF317" s="14"/>
      <c r="AG317" s="14">
        <f>SUM(AG315:AG316)</f>
        <v>0</v>
      </c>
      <c r="AH317" s="14"/>
      <c r="AI317" s="14"/>
      <c r="AJ317" s="14">
        <f>SUM(AJ315:AJ316)</f>
        <v>0</v>
      </c>
      <c r="AK317" s="145"/>
      <c r="AL317" s="74">
        <f t="shared" si="80"/>
        <v>0</v>
      </c>
      <c r="AM317" s="35"/>
      <c r="AN317" s="74">
        <f t="shared" si="81"/>
        <v>0</v>
      </c>
      <c r="AO317" s="35"/>
      <c r="AP317" s="74">
        <f t="shared" si="82"/>
        <v>0</v>
      </c>
      <c r="AQ317" s="35"/>
      <c r="AR317" s="74">
        <f t="shared" si="83"/>
        <v>0</v>
      </c>
      <c r="AS317" s="35"/>
      <c r="AT317" s="74">
        <f t="shared" si="84"/>
        <v>0</v>
      </c>
      <c r="AU317" s="35"/>
      <c r="AV317" s="37">
        <f t="shared" si="79"/>
        <v>0</v>
      </c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x14ac:dyDescent="0.2">
      <c r="A318" s="13"/>
      <c r="B318" s="3" t="s">
        <v>277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>
        <f>SUM(C318:AH318)</f>
        <v>0</v>
      </c>
      <c r="AK318" s="145"/>
      <c r="AL318" s="74">
        <f t="shared" si="80"/>
        <v>0</v>
      </c>
      <c r="AM318" s="35"/>
      <c r="AN318" s="74">
        <f t="shared" si="81"/>
        <v>0</v>
      </c>
      <c r="AO318" s="35"/>
      <c r="AP318" s="74">
        <f t="shared" si="82"/>
        <v>0</v>
      </c>
      <c r="AQ318" s="35"/>
      <c r="AR318" s="74">
        <f t="shared" si="83"/>
        <v>0</v>
      </c>
      <c r="AS318" s="35"/>
      <c r="AT318" s="74">
        <f t="shared" si="84"/>
        <v>0</v>
      </c>
      <c r="AU318" s="35"/>
      <c r="AV318" s="37">
        <f t="shared" si="79"/>
        <v>0</v>
      </c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outlineLevel="1" x14ac:dyDescent="0.2">
      <c r="A319" s="13"/>
      <c r="B319" s="3" t="s">
        <v>279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>
        <f>SUM(C319:AI319)</f>
        <v>0</v>
      </c>
      <c r="AK319" s="145"/>
      <c r="AL319" s="74">
        <f t="shared" si="80"/>
        <v>0</v>
      </c>
      <c r="AM319" s="35"/>
      <c r="AN319" s="74">
        <f t="shared" si="81"/>
        <v>0</v>
      </c>
      <c r="AO319" s="35"/>
      <c r="AP319" s="74">
        <f t="shared" si="82"/>
        <v>0</v>
      </c>
      <c r="AQ319" s="35"/>
      <c r="AR319" s="74">
        <f t="shared" si="83"/>
        <v>0</v>
      </c>
      <c r="AS319" s="35"/>
      <c r="AT319" s="74">
        <f t="shared" si="84"/>
        <v>0</v>
      </c>
      <c r="AU319" s="35"/>
      <c r="AV319" s="37">
        <f t="shared" si="79"/>
        <v>0</v>
      </c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outlineLevel="1" x14ac:dyDescent="0.2">
      <c r="A320" s="13"/>
      <c r="B320" s="3" t="s">
        <v>280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>
        <f>SUM(C320:AI320)</f>
        <v>0</v>
      </c>
      <c r="AK320" s="145"/>
      <c r="AL320" s="74">
        <f t="shared" si="80"/>
        <v>0</v>
      </c>
      <c r="AM320" s="35"/>
      <c r="AN320" s="74">
        <f t="shared" si="81"/>
        <v>0</v>
      </c>
      <c r="AO320" s="35"/>
      <c r="AP320" s="74">
        <f t="shared" si="82"/>
        <v>0</v>
      </c>
      <c r="AQ320" s="35"/>
      <c r="AR320" s="74">
        <f t="shared" si="83"/>
        <v>0</v>
      </c>
      <c r="AS320" s="35"/>
      <c r="AT320" s="74">
        <f t="shared" si="84"/>
        <v>0</v>
      </c>
      <c r="AU320" s="35"/>
      <c r="AV320" s="37">
        <f t="shared" si="79"/>
        <v>0</v>
      </c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outlineLevel="1" x14ac:dyDescent="0.2">
      <c r="A321" s="13"/>
      <c r="B321" s="3" t="s">
        <v>281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>
        <f>SUM(C321:AI321)</f>
        <v>0</v>
      </c>
      <c r="AK321" s="145"/>
      <c r="AL321" s="74">
        <f t="shared" si="80"/>
        <v>0</v>
      </c>
      <c r="AM321" s="35"/>
      <c r="AN321" s="74">
        <f t="shared" si="81"/>
        <v>0</v>
      </c>
      <c r="AO321" s="35"/>
      <c r="AP321" s="74">
        <f t="shared" si="82"/>
        <v>0</v>
      </c>
      <c r="AQ321" s="35"/>
      <c r="AR321" s="74">
        <f t="shared" si="83"/>
        <v>0</v>
      </c>
      <c r="AS321" s="35"/>
      <c r="AT321" s="74">
        <f t="shared" si="84"/>
        <v>0</v>
      </c>
      <c r="AU321" s="35"/>
      <c r="AV321" s="37">
        <f t="shared" si="79"/>
        <v>0</v>
      </c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x14ac:dyDescent="0.2">
      <c r="A322" s="13"/>
      <c r="B322" s="3" t="s">
        <v>282</v>
      </c>
      <c r="C322" s="14">
        <f>SUM(C319:C321)</f>
        <v>0</v>
      </c>
      <c r="D322" s="14"/>
      <c r="E322" s="105">
        <f>SUM(E319:E321)</f>
        <v>0</v>
      </c>
      <c r="F322" s="14"/>
      <c r="G322" s="105">
        <f>SUM(G319:G321)</f>
        <v>0</v>
      </c>
      <c r="H322" s="14"/>
      <c r="I322" s="105">
        <f>SUM(I319:I321)</f>
        <v>0</v>
      </c>
      <c r="J322" s="14"/>
      <c r="K322" s="105">
        <f>SUM(K319:K321)</f>
        <v>0</v>
      </c>
      <c r="L322" s="14"/>
      <c r="M322" s="105">
        <f>SUM(M319:M321)</f>
        <v>0</v>
      </c>
      <c r="N322" s="14"/>
      <c r="O322" s="105">
        <f>SUM(O319:O321)</f>
        <v>0</v>
      </c>
      <c r="P322" s="14"/>
      <c r="Q322" s="105">
        <f>SUM(Q319:Q321)</f>
        <v>0</v>
      </c>
      <c r="R322" s="14"/>
      <c r="S322" s="105">
        <f>SUM(S319:S321)</f>
        <v>0</v>
      </c>
      <c r="T322" s="105"/>
      <c r="U322" s="105">
        <f>SUM(U319:U321)</f>
        <v>0</v>
      </c>
      <c r="V322" s="105"/>
      <c r="W322" s="105">
        <f>SUM(W319:W321)</f>
        <v>0</v>
      </c>
      <c r="X322" s="14"/>
      <c r="Y322" s="105">
        <f>SUM(Y319:Y321)</f>
        <v>0</v>
      </c>
      <c r="Z322" s="14"/>
      <c r="AA322" s="105">
        <f>SUM(AA319:AA321)</f>
        <v>0</v>
      </c>
      <c r="AB322" s="14"/>
      <c r="AC322" s="105">
        <f>SUM(AC319:AC321)</f>
        <v>0</v>
      </c>
      <c r="AD322" s="14"/>
      <c r="AE322" s="105">
        <f>SUM(AE319:AE321)</f>
        <v>0</v>
      </c>
      <c r="AF322" s="14"/>
      <c r="AG322" s="105">
        <f>SUM(AG319:AG321)</f>
        <v>0</v>
      </c>
      <c r="AH322" s="14"/>
      <c r="AI322" s="105"/>
      <c r="AJ322" s="14">
        <f>SUM(AJ319:AJ321)</f>
        <v>0</v>
      </c>
      <c r="AK322" s="145"/>
      <c r="AL322" s="74">
        <f t="shared" si="80"/>
        <v>0</v>
      </c>
      <c r="AM322" s="35"/>
      <c r="AN322" s="74">
        <f t="shared" si="81"/>
        <v>0</v>
      </c>
      <c r="AO322" s="35"/>
      <c r="AP322" s="74">
        <f t="shared" si="82"/>
        <v>0</v>
      </c>
      <c r="AQ322" s="35"/>
      <c r="AR322" s="74">
        <f t="shared" si="83"/>
        <v>0</v>
      </c>
      <c r="AS322" s="35"/>
      <c r="AT322" s="74">
        <f t="shared" si="84"/>
        <v>0</v>
      </c>
      <c r="AU322" s="35"/>
      <c r="AV322" s="37">
        <f t="shared" si="79"/>
        <v>0</v>
      </c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outlineLevel="1" x14ac:dyDescent="0.2">
      <c r="A323" s="13"/>
      <c r="B323" s="3" t="s">
        <v>283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>
        <f>SUM(C323:AI323)</f>
        <v>0</v>
      </c>
      <c r="AK323" s="145"/>
      <c r="AL323" s="74">
        <f t="shared" si="80"/>
        <v>0</v>
      </c>
      <c r="AM323" s="35"/>
      <c r="AN323" s="74">
        <f t="shared" si="81"/>
        <v>0</v>
      </c>
      <c r="AO323" s="35"/>
      <c r="AP323" s="74">
        <f t="shared" si="82"/>
        <v>0</v>
      </c>
      <c r="AQ323" s="35"/>
      <c r="AR323" s="74">
        <f t="shared" si="83"/>
        <v>0</v>
      </c>
      <c r="AS323" s="35"/>
      <c r="AT323" s="74">
        <f t="shared" si="84"/>
        <v>0</v>
      </c>
      <c r="AU323" s="35"/>
      <c r="AV323" s="37">
        <f t="shared" si="79"/>
        <v>0</v>
      </c>
      <c r="BE323" s="3"/>
      <c r="BF323" s="3"/>
      <c r="BG323" s="3"/>
      <c r="BH323" s="3"/>
      <c r="BI323" s="3"/>
      <c r="BJ323" s="3"/>
      <c r="BK323" s="3"/>
      <c r="BL323" s="3"/>
      <c r="BM323" s="3"/>
      <c r="BN323" s="3"/>
    </row>
    <row r="324" spans="1:66" outlineLevel="1" x14ac:dyDescent="0.2">
      <c r="A324" s="13"/>
      <c r="B324" s="120" t="s">
        <v>284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>
        <f>SUM(C324:AI324)</f>
        <v>0</v>
      </c>
      <c r="AK324" s="145"/>
      <c r="AL324" s="74">
        <f t="shared" si="80"/>
        <v>0</v>
      </c>
      <c r="AM324" s="35"/>
      <c r="AN324" s="74">
        <f t="shared" si="81"/>
        <v>0</v>
      </c>
      <c r="AO324" s="35"/>
      <c r="AP324" s="74">
        <f t="shared" si="82"/>
        <v>0</v>
      </c>
      <c r="AQ324" s="35"/>
      <c r="AR324" s="74">
        <f t="shared" si="83"/>
        <v>0</v>
      </c>
      <c r="AS324" s="35"/>
      <c r="AT324" s="74">
        <f t="shared" si="84"/>
        <v>0</v>
      </c>
      <c r="AU324" s="35"/>
      <c r="AV324" s="37">
        <f t="shared" si="79"/>
        <v>0</v>
      </c>
      <c r="BE324" s="3"/>
      <c r="BF324" s="3"/>
      <c r="BG324" s="3"/>
      <c r="BH324" s="3"/>
      <c r="BI324" s="3"/>
      <c r="BJ324" s="3"/>
      <c r="BK324" s="3"/>
      <c r="BL324" s="3"/>
      <c r="BM324" s="3"/>
      <c r="BN324" s="3"/>
    </row>
    <row r="325" spans="1:66" x14ac:dyDescent="0.2">
      <c r="A325" s="13"/>
      <c r="B325" s="120" t="s">
        <v>285</v>
      </c>
      <c r="C325" s="14">
        <f>SUM(C323:C324)</f>
        <v>0</v>
      </c>
      <c r="D325" s="14"/>
      <c r="E325" s="14">
        <f>SUM(E323:E324)</f>
        <v>0</v>
      </c>
      <c r="F325" s="14"/>
      <c r="G325" s="14">
        <f>SUM(G323:G324)</f>
        <v>0</v>
      </c>
      <c r="H325" s="14"/>
      <c r="I325" s="14">
        <f>SUM(I323:I324)</f>
        <v>0</v>
      </c>
      <c r="J325" s="14"/>
      <c r="K325" s="14">
        <f>SUM(K323:K324)</f>
        <v>0</v>
      </c>
      <c r="L325" s="14"/>
      <c r="M325" s="14">
        <f>SUM(M323:M324)</f>
        <v>0</v>
      </c>
      <c r="N325" s="14"/>
      <c r="O325" s="14">
        <f>SUM(O323:O324)</f>
        <v>0</v>
      </c>
      <c r="P325" s="14"/>
      <c r="Q325" s="14">
        <f>SUM(Q323:Q324)</f>
        <v>0</v>
      </c>
      <c r="R325" s="14"/>
      <c r="S325" s="14">
        <f>SUM(S323:S324)</f>
        <v>0</v>
      </c>
      <c r="T325" s="14"/>
      <c r="U325" s="14">
        <f>SUM(U323:U324)</f>
        <v>0</v>
      </c>
      <c r="V325" s="14"/>
      <c r="W325" s="14">
        <f>SUM(W323:W324)</f>
        <v>0</v>
      </c>
      <c r="X325" s="14"/>
      <c r="Y325" s="14">
        <f>SUM(Y323:Y324)</f>
        <v>0</v>
      </c>
      <c r="Z325" s="14"/>
      <c r="AA325" s="14">
        <f>SUM(AA323:AA324)</f>
        <v>0</v>
      </c>
      <c r="AB325" s="14"/>
      <c r="AC325" s="14">
        <f>SUM(AC323:AC324)</f>
        <v>0</v>
      </c>
      <c r="AD325" s="14"/>
      <c r="AE325" s="14">
        <f>SUM(AE323:AE324)</f>
        <v>0</v>
      </c>
      <c r="AF325" s="14"/>
      <c r="AG325" s="14">
        <f>SUM(AG323:AG324)</f>
        <v>0</v>
      </c>
      <c r="AH325" s="14"/>
      <c r="AI325" s="14"/>
      <c r="AJ325" s="14">
        <f>SUM(AJ323:AJ324)</f>
        <v>0</v>
      </c>
      <c r="AK325" s="145"/>
      <c r="AL325" s="74">
        <f t="shared" si="80"/>
        <v>0</v>
      </c>
      <c r="AM325" s="35"/>
      <c r="AN325" s="74">
        <f t="shared" si="81"/>
        <v>0</v>
      </c>
      <c r="AO325" s="35"/>
      <c r="AP325" s="74">
        <f t="shared" si="82"/>
        <v>0</v>
      </c>
      <c r="AQ325" s="35"/>
      <c r="AR325" s="74">
        <f t="shared" si="83"/>
        <v>0</v>
      </c>
      <c r="AS325" s="35"/>
      <c r="AT325" s="74">
        <f t="shared" si="84"/>
        <v>0</v>
      </c>
      <c r="AU325" s="35"/>
      <c r="AV325" s="37">
        <f t="shared" si="79"/>
        <v>0</v>
      </c>
      <c r="BE325" s="3"/>
      <c r="BF325" s="3"/>
      <c r="BG325" s="3"/>
      <c r="BH325" s="3"/>
      <c r="BI325" s="3"/>
      <c r="BJ325" s="3"/>
      <c r="BK325" s="3"/>
      <c r="BL325" s="3"/>
      <c r="BM325" s="3"/>
      <c r="BN325" s="3"/>
    </row>
    <row r="326" spans="1:66" x14ac:dyDescent="0.2">
      <c r="A326" s="13"/>
      <c r="B326" s="9" t="s">
        <v>286</v>
      </c>
      <c r="C326" s="19">
        <f>C325+C322+C318+C317+SUM(C307:C314)</f>
        <v>0</v>
      </c>
      <c r="D326" s="14"/>
      <c r="E326" s="19">
        <f>E325+E322+E318+E317+SUM(E307:E314)</f>
        <v>0</v>
      </c>
      <c r="F326" s="14"/>
      <c r="G326" s="19">
        <f>G325+G322+G318+G317+SUM(G307:G314)</f>
        <v>0</v>
      </c>
      <c r="H326" s="14"/>
      <c r="I326" s="19">
        <f>I325+I322+I318+I317+SUM(I307:I314)</f>
        <v>0</v>
      </c>
      <c r="J326" s="14"/>
      <c r="K326" s="19">
        <f>K325+K322+K318+K317+SUM(K307:K314)</f>
        <v>0</v>
      </c>
      <c r="L326" s="14"/>
      <c r="M326" s="19">
        <f>M325+M322+M318+M317+SUM(M307:M314)</f>
        <v>0</v>
      </c>
      <c r="N326" s="14"/>
      <c r="O326" s="19">
        <f>O325+O322+O318+O317+SUM(O307:O314)</f>
        <v>0</v>
      </c>
      <c r="P326" s="14"/>
      <c r="Q326" s="19">
        <f>Q325+Q322+Q318+Q317+SUM(Q307:Q314)</f>
        <v>0</v>
      </c>
      <c r="R326" s="14"/>
      <c r="S326" s="19">
        <f>S325+S322+S318+S317+SUM(S307:S314)</f>
        <v>0</v>
      </c>
      <c r="T326" s="19"/>
      <c r="U326" s="19">
        <f>U325+U322+U318+U317+SUM(U307:U314)</f>
        <v>0</v>
      </c>
      <c r="V326" s="19"/>
      <c r="W326" s="19">
        <f>W325+W322+W318+W317+SUM(W307:W314)</f>
        <v>0</v>
      </c>
      <c r="X326" s="14"/>
      <c r="Y326" s="19">
        <f>Y325+Y322+Y318+Y317+SUM(Y307:Y314)</f>
        <v>0</v>
      </c>
      <c r="Z326" s="14"/>
      <c r="AA326" s="19">
        <f>AA325+AA322+AA318+AA317+SUM(AA307:AA314)</f>
        <v>0</v>
      </c>
      <c r="AB326" s="14"/>
      <c r="AC326" s="19">
        <f>AC325+AC322+AC318+AC317+SUM(AC307:AC314)</f>
        <v>0</v>
      </c>
      <c r="AD326" s="14"/>
      <c r="AE326" s="19">
        <f>AE325+AE322+AE318+AE317+SUM(AE307:AE314)</f>
        <v>0</v>
      </c>
      <c r="AF326" s="14"/>
      <c r="AG326" s="19">
        <f>AG325+AG322+AG318+AG317+SUM(AG307:AG314)</f>
        <v>0</v>
      </c>
      <c r="AH326" s="14"/>
      <c r="AI326" s="19"/>
      <c r="AJ326" s="19">
        <f>AJ325+AJ322+AJ318+AJ317+SUM(AJ307:AJ314)</f>
        <v>0</v>
      </c>
      <c r="AK326" s="145"/>
      <c r="AL326" s="110">
        <f>AL325+AL322+AL318+AL317+SUM(AL307:AL314)</f>
        <v>0</v>
      </c>
      <c r="AM326" s="35"/>
      <c r="AN326" s="110">
        <f>AN325+AN322+AN318+AN317+SUM(AN307:AN314)</f>
        <v>0</v>
      </c>
      <c r="AO326" s="35"/>
      <c r="AP326" s="110">
        <f>AP325+AP322+AP318+AP317+SUM(AP307:AP314)</f>
        <v>0</v>
      </c>
      <c r="AQ326" s="35"/>
      <c r="AR326" s="110">
        <f>AR325+AR322+AR318+AR317+SUM(AR307:AR314)</f>
        <v>0</v>
      </c>
      <c r="AS326" s="35"/>
      <c r="AT326" s="110">
        <f>AT325+AT322+AT318+AT317+SUM(AT307:AT314)</f>
        <v>0</v>
      </c>
      <c r="AU326" s="35"/>
      <c r="AV326" s="37">
        <f t="shared" si="79"/>
        <v>0</v>
      </c>
      <c r="BE326" s="3"/>
      <c r="BF326" s="3"/>
      <c r="BG326" s="3"/>
      <c r="BH326" s="3"/>
      <c r="BI326" s="3"/>
      <c r="BJ326" s="3"/>
      <c r="BK326" s="3"/>
      <c r="BL326" s="3"/>
      <c r="BM326" s="3"/>
      <c r="BN326" s="3"/>
    </row>
    <row r="327" spans="1:66" x14ac:dyDescent="0.2">
      <c r="A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5"/>
      <c r="AL327" s="74"/>
      <c r="AM327" s="35"/>
      <c r="AN327" s="74"/>
      <c r="AO327" s="35"/>
      <c r="AP327" s="35"/>
      <c r="AQ327" s="35"/>
      <c r="AR327" s="35"/>
      <c r="AS327" s="35"/>
      <c r="AT327" s="35"/>
      <c r="AU327" s="35"/>
      <c r="AV327" s="37">
        <f t="shared" si="79"/>
        <v>0</v>
      </c>
      <c r="BE327" s="3"/>
      <c r="BF327" s="3"/>
      <c r="BG327" s="3"/>
      <c r="BH327" s="3"/>
      <c r="BI327" s="3"/>
      <c r="BJ327" s="3"/>
      <c r="BK327" s="3"/>
      <c r="BL327" s="3"/>
      <c r="BM327" s="3"/>
      <c r="BN327" s="3"/>
    </row>
    <row r="328" spans="1:66" x14ac:dyDescent="0.2">
      <c r="A328" s="13"/>
      <c r="B328" s="9" t="s">
        <v>287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5"/>
      <c r="AL328" s="74"/>
      <c r="AM328" s="35"/>
      <c r="AN328" s="74"/>
      <c r="AO328" s="35"/>
      <c r="AP328" s="35"/>
      <c r="AQ328" s="35"/>
      <c r="AR328" s="35"/>
      <c r="AS328" s="35"/>
      <c r="AT328" s="35"/>
      <c r="AU328" s="35"/>
      <c r="AV328" s="37">
        <f t="shared" si="79"/>
        <v>0</v>
      </c>
      <c r="BE328" s="3"/>
      <c r="BF328" s="3"/>
      <c r="BG328" s="3"/>
      <c r="BH328" s="3"/>
      <c r="BI328" s="3"/>
      <c r="BJ328" s="3"/>
      <c r="BK328" s="3"/>
      <c r="BL328" s="3"/>
      <c r="BM328" s="3"/>
      <c r="BN328" s="3"/>
    </row>
    <row r="329" spans="1:66" outlineLevel="2" x14ac:dyDescent="0.2">
      <c r="A329" s="13"/>
      <c r="B329" s="3" t="s">
        <v>289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>
        <f>SUM(C329:AI329)</f>
        <v>0</v>
      </c>
      <c r="AK329" s="145"/>
      <c r="AL329" s="74">
        <f t="shared" ref="AL329:AL337" si="86">SUMIF($C$10:$AI$10,"=Addition",$C329:$AI329)</f>
        <v>0</v>
      </c>
      <c r="AM329" s="35"/>
      <c r="AN329" s="74">
        <f t="shared" ref="AN329:AN337" si="87">SUMIF($C$10:$AI$10,"=Adjustment",$C329:$AI329)</f>
        <v>0</v>
      </c>
      <c r="AO329" s="35"/>
      <c r="AP329" s="74">
        <f t="shared" ref="AP329:AP337" si="88">SUMIF($C$10:$AI$10,"=Transfer",$C329:$AI329)</f>
        <v>0</v>
      </c>
      <c r="AQ329" s="35"/>
      <c r="AR329" s="74">
        <f t="shared" ref="AR329:AR337" si="89">SUMIF($C$10:$AI$10,"=N/A",$C329:$AI329)</f>
        <v>0</v>
      </c>
      <c r="AS329" s="35"/>
      <c r="AT329" s="74">
        <f t="shared" ref="AT329:AT337" si="90">SUM(AL329:AR329)</f>
        <v>0</v>
      </c>
      <c r="AU329" s="35"/>
      <c r="AV329" s="37">
        <f t="shared" si="79"/>
        <v>0</v>
      </c>
      <c r="BE329" s="3"/>
      <c r="BF329" s="3"/>
      <c r="BG329" s="3"/>
      <c r="BH329" s="3"/>
      <c r="BI329" s="3"/>
      <c r="BJ329" s="3"/>
      <c r="BK329" s="3"/>
      <c r="BL329" s="3"/>
      <c r="BM329" s="3"/>
      <c r="BN329" s="3"/>
    </row>
    <row r="330" spans="1:66" outlineLevel="2" x14ac:dyDescent="0.2">
      <c r="A330" s="13"/>
      <c r="B330" s="3" t="s">
        <v>290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>
        <f>SUM(C330:AI330)</f>
        <v>0</v>
      </c>
      <c r="AK330" s="145"/>
      <c r="AL330" s="74">
        <f t="shared" si="86"/>
        <v>0</v>
      </c>
      <c r="AM330" s="35"/>
      <c r="AN330" s="74">
        <f t="shared" si="87"/>
        <v>0</v>
      </c>
      <c r="AO330" s="35"/>
      <c r="AP330" s="74">
        <f t="shared" si="88"/>
        <v>0</v>
      </c>
      <c r="AQ330" s="35"/>
      <c r="AR330" s="74">
        <f t="shared" si="89"/>
        <v>0</v>
      </c>
      <c r="AS330" s="35"/>
      <c r="AT330" s="74">
        <f t="shared" si="90"/>
        <v>0</v>
      </c>
      <c r="AU330" s="35"/>
      <c r="AV330" s="37">
        <f t="shared" si="79"/>
        <v>0</v>
      </c>
      <c r="BE330" s="3"/>
      <c r="BF330" s="3"/>
      <c r="BG330" s="3"/>
      <c r="BH330" s="3"/>
      <c r="BI330" s="3"/>
      <c r="BJ330" s="3"/>
      <c r="BK330" s="3"/>
      <c r="BL330" s="3"/>
      <c r="BM330" s="3"/>
      <c r="BN330" s="3"/>
    </row>
    <row r="331" spans="1:66" x14ac:dyDescent="0.2">
      <c r="A331" s="13"/>
      <c r="B331" s="3" t="s">
        <v>291</v>
      </c>
      <c r="C331" s="14">
        <f>SUM(C329:C330)</f>
        <v>0</v>
      </c>
      <c r="D331" s="14"/>
      <c r="E331" s="14">
        <f>SUM(E329:E330)</f>
        <v>0</v>
      </c>
      <c r="F331" s="14"/>
      <c r="G331" s="14">
        <f>SUM(G329:G330)</f>
        <v>0</v>
      </c>
      <c r="H331" s="14"/>
      <c r="I331" s="14">
        <f>SUM(I329:I330)</f>
        <v>0</v>
      </c>
      <c r="J331" s="14"/>
      <c r="K331" s="14">
        <f>SUM(K329:K330)</f>
        <v>0</v>
      </c>
      <c r="L331" s="14"/>
      <c r="M331" s="14">
        <f>SUM(M329:M330)</f>
        <v>0</v>
      </c>
      <c r="N331" s="14"/>
      <c r="O331" s="14">
        <f>SUM(O329:O330)</f>
        <v>0</v>
      </c>
      <c r="P331" s="14"/>
      <c r="Q331" s="14">
        <f>SUM(Q329:Q330)</f>
        <v>0</v>
      </c>
      <c r="R331" s="14"/>
      <c r="S331" s="14">
        <f>SUM(S329:S330)</f>
        <v>0</v>
      </c>
      <c r="T331" s="14"/>
      <c r="U331" s="14">
        <f>SUM(U329:U330)</f>
        <v>0</v>
      </c>
      <c r="V331" s="14"/>
      <c r="W331" s="14">
        <f>SUM(W329:W330)</f>
        <v>0</v>
      </c>
      <c r="X331" s="14"/>
      <c r="Y331" s="14">
        <f>SUM(Y329:Y330)</f>
        <v>0</v>
      </c>
      <c r="Z331" s="14"/>
      <c r="AA331" s="14">
        <f>SUM(AA329:AA330)</f>
        <v>0</v>
      </c>
      <c r="AB331" s="14"/>
      <c r="AC331" s="14">
        <f>SUM(AC329:AC330)</f>
        <v>0</v>
      </c>
      <c r="AD331" s="14"/>
      <c r="AE331" s="14">
        <f>SUM(AE329:AE330)</f>
        <v>0</v>
      </c>
      <c r="AF331" s="14"/>
      <c r="AG331" s="14">
        <f>SUM(AG329:AG330)</f>
        <v>0</v>
      </c>
      <c r="AH331" s="14"/>
      <c r="AI331" s="14"/>
      <c r="AJ331" s="14">
        <f>SUM(AJ329:AJ330)</f>
        <v>0</v>
      </c>
      <c r="AK331" s="145"/>
      <c r="AL331" s="74">
        <f t="shared" si="86"/>
        <v>0</v>
      </c>
      <c r="AM331" s="35"/>
      <c r="AN331" s="74">
        <f t="shared" si="87"/>
        <v>0</v>
      </c>
      <c r="AO331" s="35"/>
      <c r="AP331" s="74">
        <f t="shared" si="88"/>
        <v>0</v>
      </c>
      <c r="AQ331" s="35"/>
      <c r="AR331" s="74">
        <f t="shared" si="89"/>
        <v>0</v>
      </c>
      <c r="AS331" s="35"/>
      <c r="AT331" s="74">
        <f t="shared" si="90"/>
        <v>0</v>
      </c>
      <c r="AU331" s="35"/>
      <c r="AV331" s="37">
        <f t="shared" si="79"/>
        <v>0</v>
      </c>
      <c r="BE331" s="3"/>
      <c r="BF331" s="3"/>
      <c r="BG331" s="3"/>
      <c r="BH331" s="3"/>
      <c r="BI331" s="3"/>
      <c r="BJ331" s="3"/>
      <c r="BK331" s="3"/>
      <c r="BL331" s="3"/>
      <c r="BM331" s="3"/>
      <c r="BN331" s="3"/>
    </row>
    <row r="332" spans="1:66" x14ac:dyDescent="0.2">
      <c r="A332" s="13"/>
      <c r="B332" s="3" t="s">
        <v>292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>
        <f>SUM(C332:AH332)</f>
        <v>0</v>
      </c>
      <c r="AK332" s="145"/>
      <c r="AL332" s="74">
        <f t="shared" si="86"/>
        <v>0</v>
      </c>
      <c r="AM332" s="35"/>
      <c r="AN332" s="74">
        <f t="shared" si="87"/>
        <v>0</v>
      </c>
      <c r="AO332" s="35"/>
      <c r="AP332" s="74">
        <f t="shared" si="88"/>
        <v>0</v>
      </c>
      <c r="AQ332" s="35"/>
      <c r="AR332" s="74">
        <f t="shared" si="89"/>
        <v>0</v>
      </c>
      <c r="AS332" s="35"/>
      <c r="AT332" s="74">
        <f t="shared" si="90"/>
        <v>0</v>
      </c>
      <c r="AU332" s="35"/>
      <c r="AV332" s="37">
        <f t="shared" si="79"/>
        <v>0</v>
      </c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 x14ac:dyDescent="0.2">
      <c r="A333" s="13"/>
      <c r="B333" s="3" t="s">
        <v>293</v>
      </c>
      <c r="C333" s="14"/>
      <c r="D333" s="14"/>
      <c r="E333" s="14">
        <v>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>
        <f>SUM(C333:AH333)</f>
        <v>0</v>
      </c>
      <c r="AK333" s="145"/>
      <c r="AL333" s="74">
        <f t="shared" si="86"/>
        <v>0</v>
      </c>
      <c r="AM333" s="35"/>
      <c r="AN333" s="74">
        <f t="shared" si="87"/>
        <v>0</v>
      </c>
      <c r="AO333" s="35"/>
      <c r="AP333" s="74">
        <f t="shared" si="88"/>
        <v>0</v>
      </c>
      <c r="AQ333" s="35"/>
      <c r="AR333" s="74">
        <f t="shared" si="89"/>
        <v>0</v>
      </c>
      <c r="AS333" s="35"/>
      <c r="AT333" s="74">
        <f t="shared" si="90"/>
        <v>0</v>
      </c>
      <c r="AU333" s="35"/>
      <c r="AV333" s="37">
        <f t="shared" si="79"/>
        <v>0</v>
      </c>
      <c r="BE333" s="3"/>
      <c r="BF333" s="3"/>
      <c r="BG333" s="3"/>
      <c r="BH333" s="3"/>
      <c r="BI333" s="3"/>
      <c r="BJ333" s="3"/>
      <c r="BK333" s="3"/>
      <c r="BL333" s="3"/>
      <c r="BM333" s="3"/>
      <c r="BN333" s="3"/>
    </row>
    <row r="334" spans="1:66" outlineLevel="1" x14ac:dyDescent="0.2">
      <c r="A334" s="13"/>
      <c r="B334" s="3" t="s">
        <v>429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>
        <f>SUM(C334:AI334)</f>
        <v>0</v>
      </c>
      <c r="AK334" s="145"/>
      <c r="AL334" s="74">
        <f t="shared" si="86"/>
        <v>0</v>
      </c>
      <c r="AM334" s="35"/>
      <c r="AN334" s="74">
        <f t="shared" si="87"/>
        <v>0</v>
      </c>
      <c r="AO334" s="35"/>
      <c r="AP334" s="74">
        <f t="shared" si="88"/>
        <v>0</v>
      </c>
      <c r="AQ334" s="35"/>
      <c r="AR334" s="74">
        <f t="shared" si="89"/>
        <v>0</v>
      </c>
      <c r="AS334" s="35"/>
      <c r="AT334" s="74">
        <f t="shared" si="90"/>
        <v>0</v>
      </c>
      <c r="AU334" s="35"/>
      <c r="AV334" s="37">
        <f t="shared" si="79"/>
        <v>0</v>
      </c>
      <c r="BE334" s="3"/>
      <c r="BF334" s="3"/>
      <c r="BG334" s="3"/>
      <c r="BH334" s="3"/>
      <c r="BI334" s="3"/>
      <c r="BJ334" s="3"/>
      <c r="BK334" s="3"/>
      <c r="BL334" s="3"/>
      <c r="BM334" s="3"/>
      <c r="BN334" s="3"/>
    </row>
    <row r="335" spans="1:66" outlineLevel="1" x14ac:dyDescent="0.2">
      <c r="A335" s="13"/>
      <c r="B335" s="29" t="s">
        <v>295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>
        <f>SUM(C335:AI335)</f>
        <v>0</v>
      </c>
      <c r="AK335" s="145"/>
      <c r="AL335" s="74">
        <f t="shared" si="86"/>
        <v>0</v>
      </c>
      <c r="AM335" s="35"/>
      <c r="AN335" s="74">
        <f t="shared" si="87"/>
        <v>0</v>
      </c>
      <c r="AO335" s="35"/>
      <c r="AP335" s="74">
        <f t="shared" si="88"/>
        <v>0</v>
      </c>
      <c r="AQ335" s="35"/>
      <c r="AR335" s="74">
        <f t="shared" si="89"/>
        <v>0</v>
      </c>
      <c r="AS335" s="35"/>
      <c r="AT335" s="74">
        <f t="shared" si="90"/>
        <v>0</v>
      </c>
      <c r="AU335" s="35"/>
      <c r="AV335" s="37">
        <f t="shared" si="79"/>
        <v>0</v>
      </c>
      <c r="BE335" s="3"/>
      <c r="BF335" s="3"/>
      <c r="BG335" s="3"/>
      <c r="BH335" s="3"/>
      <c r="BI335" s="3"/>
      <c r="BJ335" s="3"/>
      <c r="BK335" s="3"/>
      <c r="BL335" s="3"/>
      <c r="BM335" s="3"/>
      <c r="BN335" s="3"/>
    </row>
    <row r="336" spans="1:66" x14ac:dyDescent="0.2">
      <c r="A336" s="13"/>
      <c r="B336" s="29" t="s">
        <v>296</v>
      </c>
      <c r="C336" s="14">
        <f>SUM(C334:C335)</f>
        <v>0</v>
      </c>
      <c r="D336" s="14"/>
      <c r="E336" s="14">
        <f>SUM(E334:E335)</f>
        <v>0</v>
      </c>
      <c r="F336" s="14"/>
      <c r="G336" s="14">
        <f>SUM(G334:G335)</f>
        <v>0</v>
      </c>
      <c r="H336" s="14"/>
      <c r="I336" s="14">
        <f>SUM(I334:I335)</f>
        <v>0</v>
      </c>
      <c r="J336" s="14"/>
      <c r="K336" s="14">
        <f>SUM(K334:K335)</f>
        <v>0</v>
      </c>
      <c r="L336" s="14"/>
      <c r="M336" s="14">
        <f>SUM(M334:M335)</f>
        <v>0</v>
      </c>
      <c r="N336" s="14"/>
      <c r="O336" s="14">
        <f>SUM(O334:O335)</f>
        <v>0</v>
      </c>
      <c r="P336" s="14"/>
      <c r="Q336" s="14">
        <f>SUM(Q334:Q335)</f>
        <v>0</v>
      </c>
      <c r="R336" s="14"/>
      <c r="S336" s="14">
        <f>SUM(S334:S335)</f>
        <v>0</v>
      </c>
      <c r="T336" s="14"/>
      <c r="U336" s="14">
        <f>SUM(U334:U335)</f>
        <v>0</v>
      </c>
      <c r="V336" s="14"/>
      <c r="W336" s="14">
        <f>SUM(W334:W335)</f>
        <v>0</v>
      </c>
      <c r="X336" s="14"/>
      <c r="Y336" s="14">
        <f>SUM(Y334:Y335)</f>
        <v>0</v>
      </c>
      <c r="Z336" s="14"/>
      <c r="AA336" s="14">
        <f>SUM(AA334:AA335)</f>
        <v>0</v>
      </c>
      <c r="AB336" s="14"/>
      <c r="AC336" s="14">
        <f>SUM(AC334:AC335)</f>
        <v>0</v>
      </c>
      <c r="AD336" s="14"/>
      <c r="AE336" s="14">
        <f>SUM(AE334:AE335)</f>
        <v>0</v>
      </c>
      <c r="AF336" s="14"/>
      <c r="AG336" s="14">
        <f>SUM(AG334:AG335)</f>
        <v>0</v>
      </c>
      <c r="AH336" s="14"/>
      <c r="AI336" s="14"/>
      <c r="AJ336" s="14">
        <f>SUM(AJ334:AJ335)</f>
        <v>0</v>
      </c>
      <c r="AK336" s="145"/>
      <c r="AL336" s="74">
        <f t="shared" si="86"/>
        <v>0</v>
      </c>
      <c r="AM336" s="35"/>
      <c r="AN336" s="74">
        <f t="shared" si="87"/>
        <v>0</v>
      </c>
      <c r="AO336" s="35"/>
      <c r="AP336" s="74">
        <f t="shared" si="88"/>
        <v>0</v>
      </c>
      <c r="AQ336" s="35"/>
      <c r="AR336" s="74">
        <f t="shared" si="89"/>
        <v>0</v>
      </c>
      <c r="AS336" s="35"/>
      <c r="AT336" s="74">
        <f t="shared" si="90"/>
        <v>0</v>
      </c>
      <c r="AU336" s="35"/>
      <c r="AV336" s="37">
        <f t="shared" si="79"/>
        <v>0</v>
      </c>
      <c r="BE336" s="3"/>
      <c r="BF336" s="3"/>
      <c r="BG336" s="3"/>
      <c r="BH336" s="3"/>
      <c r="BI336" s="3"/>
      <c r="BJ336" s="3"/>
      <c r="BK336" s="3"/>
      <c r="BL336" s="3"/>
      <c r="BM336" s="3"/>
      <c r="BN336" s="3"/>
    </row>
    <row r="337" spans="1:66" x14ac:dyDescent="0.2">
      <c r="A337" s="13"/>
      <c r="B337" s="21" t="s">
        <v>297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>
        <f>SUM(C337:AH337)</f>
        <v>0</v>
      </c>
      <c r="AK337" s="145"/>
      <c r="AL337" s="74">
        <f t="shared" si="86"/>
        <v>0</v>
      </c>
      <c r="AM337" s="35"/>
      <c r="AN337" s="74">
        <f t="shared" si="87"/>
        <v>0</v>
      </c>
      <c r="AO337" s="35"/>
      <c r="AP337" s="74">
        <f t="shared" si="88"/>
        <v>0</v>
      </c>
      <c r="AQ337" s="35"/>
      <c r="AR337" s="74">
        <f t="shared" si="89"/>
        <v>0</v>
      </c>
      <c r="AS337" s="35"/>
      <c r="AT337" s="74">
        <f t="shared" si="90"/>
        <v>0</v>
      </c>
      <c r="AU337" s="35"/>
      <c r="AV337" s="37">
        <f t="shared" si="79"/>
        <v>0</v>
      </c>
      <c r="BE337" s="3"/>
      <c r="BF337" s="3"/>
      <c r="BG337" s="3"/>
      <c r="BH337" s="3"/>
      <c r="BI337" s="3"/>
      <c r="BJ337" s="3"/>
      <c r="BK337" s="3"/>
      <c r="BL337" s="3"/>
      <c r="BM337" s="3"/>
      <c r="BN337" s="3"/>
    </row>
    <row r="338" spans="1:66" x14ac:dyDescent="0.2">
      <c r="A338" s="13"/>
      <c r="B338" s="9" t="s">
        <v>298</v>
      </c>
      <c r="C338" s="19">
        <f>C337+C336+C333+C332+C331</f>
        <v>0</v>
      </c>
      <c r="D338" s="14"/>
      <c r="E338" s="19">
        <f>E337+E336+E333+E332+E331</f>
        <v>0</v>
      </c>
      <c r="F338" s="14"/>
      <c r="G338" s="19">
        <f>G337+G336+G333+G332+G331</f>
        <v>0</v>
      </c>
      <c r="H338" s="14"/>
      <c r="I338" s="19">
        <f>I337+I336+I333+I332+I331</f>
        <v>0</v>
      </c>
      <c r="J338" s="14"/>
      <c r="K338" s="19">
        <f>K337+K336+K333+K332+K331</f>
        <v>0</v>
      </c>
      <c r="L338" s="14"/>
      <c r="M338" s="19">
        <f>M337+M336+M333+M332+M331</f>
        <v>0</v>
      </c>
      <c r="N338" s="14"/>
      <c r="O338" s="19">
        <f>O337+O336+O333+O332+O331</f>
        <v>0</v>
      </c>
      <c r="P338" s="14"/>
      <c r="Q338" s="19">
        <f>Q337+Q336+Q333+Q332+Q331</f>
        <v>0</v>
      </c>
      <c r="R338" s="14"/>
      <c r="S338" s="19">
        <f>S337+S336+S333+S332+S331</f>
        <v>0</v>
      </c>
      <c r="T338" s="19"/>
      <c r="U338" s="19">
        <f>U337+U336+U333+U332+U331</f>
        <v>0</v>
      </c>
      <c r="V338" s="19"/>
      <c r="W338" s="19">
        <f>W337+W336+W333+W332+W331</f>
        <v>0</v>
      </c>
      <c r="X338" s="14"/>
      <c r="Y338" s="19">
        <f>Y337+Y336+Y333+Y332+Y331</f>
        <v>0</v>
      </c>
      <c r="Z338" s="14"/>
      <c r="AA338" s="19">
        <f>AA337+AA336+AA333+AA332+AA331</f>
        <v>0</v>
      </c>
      <c r="AB338" s="14"/>
      <c r="AC338" s="19">
        <f>AC337+AC336+AC333+AC332+AC331</f>
        <v>0</v>
      </c>
      <c r="AD338" s="14"/>
      <c r="AE338" s="19">
        <f>AE337+AE336+AE333+AE332+AE331</f>
        <v>0</v>
      </c>
      <c r="AF338" s="14"/>
      <c r="AG338" s="19">
        <f>AG337+AG336+AG333+AG332+AG331</f>
        <v>0</v>
      </c>
      <c r="AH338" s="14"/>
      <c r="AI338" s="19"/>
      <c r="AJ338" s="19">
        <f>AJ337+AJ336+AJ333+AJ332+AJ331</f>
        <v>0</v>
      </c>
      <c r="AK338" s="145"/>
      <c r="AL338" s="110">
        <f>AL337+AL336+AL333+AL332+AL331</f>
        <v>0</v>
      </c>
      <c r="AM338" s="35"/>
      <c r="AN338" s="110">
        <f>AN337+AN336+AN333+AN332+AN331</f>
        <v>0</v>
      </c>
      <c r="AO338" s="35"/>
      <c r="AP338" s="110">
        <f>AP337+AP336+AP333+AP332+AP331</f>
        <v>0</v>
      </c>
      <c r="AQ338" s="35"/>
      <c r="AR338" s="110">
        <f>AR337+AR336+AR333+AR332+AR331</f>
        <v>0</v>
      </c>
      <c r="AS338" s="35"/>
      <c r="AT338" s="110">
        <f>AT337+AT336+AT333+AT332+AT331</f>
        <v>0</v>
      </c>
      <c r="AU338" s="35"/>
      <c r="AV338" s="37">
        <f t="shared" si="79"/>
        <v>0</v>
      </c>
      <c r="BE338" s="3"/>
      <c r="BF338" s="3"/>
      <c r="BG338" s="3"/>
      <c r="BH338" s="3"/>
      <c r="BI338" s="3"/>
      <c r="BJ338" s="3"/>
      <c r="BK338" s="3"/>
      <c r="BL338" s="3"/>
      <c r="BM338" s="3"/>
      <c r="BN338" s="3"/>
    </row>
    <row r="339" spans="1:66" x14ac:dyDescent="0.2">
      <c r="A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5"/>
      <c r="AL339" s="74"/>
      <c r="AM339" s="35"/>
      <c r="AN339" s="74"/>
      <c r="AO339" s="35"/>
      <c r="AP339" s="35"/>
      <c r="AQ339" s="35"/>
      <c r="AR339" s="35"/>
      <c r="AS339" s="35"/>
      <c r="AT339" s="35"/>
      <c r="AU339" s="35"/>
      <c r="AV339" s="37">
        <f t="shared" si="79"/>
        <v>0</v>
      </c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x14ac:dyDescent="0.2">
      <c r="A340" s="13"/>
      <c r="B340" s="9" t="s">
        <v>299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5"/>
      <c r="AL340" s="74"/>
      <c r="AM340" s="35"/>
      <c r="AN340" s="74"/>
      <c r="AO340" s="35"/>
      <c r="AP340" s="35"/>
      <c r="AQ340" s="35"/>
      <c r="AR340" s="35"/>
      <c r="AS340" s="35"/>
      <c r="AT340" s="35"/>
      <c r="AU340" s="35"/>
      <c r="AV340" s="37">
        <f t="shared" si="79"/>
        <v>0</v>
      </c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x14ac:dyDescent="0.2">
      <c r="A341" s="13"/>
      <c r="B341" s="3" t="s">
        <v>300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>
        <f t="shared" ref="AJ341:AJ348" si="91">SUM(C341:AH341)</f>
        <v>0</v>
      </c>
      <c r="AK341" s="145"/>
      <c r="AL341" s="74">
        <f t="shared" ref="AL341:AL348" si="92">SUMIF($C$10:$AI$10,"=Addition",$C341:$AI341)</f>
        <v>0</v>
      </c>
      <c r="AM341" s="35"/>
      <c r="AN341" s="74">
        <f t="shared" ref="AN341:AN348" si="93">SUMIF($C$10:$AI$10,"=Adjustment",$C341:$AI341)</f>
        <v>0</v>
      </c>
      <c r="AO341" s="35"/>
      <c r="AP341" s="74">
        <f t="shared" ref="AP341:AP348" si="94">SUMIF($C$10:$AI$10,"=Transfer",$C341:$AI341)</f>
        <v>0</v>
      </c>
      <c r="AQ341" s="35"/>
      <c r="AR341" s="74">
        <f t="shared" ref="AR341:AR348" si="95">SUMIF($C$10:$AI$10,"=N/A",$C341:$AI341)</f>
        <v>0</v>
      </c>
      <c r="AS341" s="35"/>
      <c r="AT341" s="74">
        <f t="shared" ref="AT341:AT348" si="96">SUM(AL341:AR341)</f>
        <v>0</v>
      </c>
      <c r="AU341" s="35"/>
      <c r="AV341" s="37">
        <f t="shared" si="79"/>
        <v>0</v>
      </c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x14ac:dyDescent="0.2">
      <c r="A342" s="13"/>
      <c r="B342" s="3" t="s">
        <v>301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>
        <f t="shared" si="91"/>
        <v>0</v>
      </c>
      <c r="AK342" s="145"/>
      <c r="AL342" s="74">
        <f t="shared" si="92"/>
        <v>0</v>
      </c>
      <c r="AM342" s="35"/>
      <c r="AN342" s="74">
        <f t="shared" si="93"/>
        <v>0</v>
      </c>
      <c r="AO342" s="35"/>
      <c r="AP342" s="74">
        <f t="shared" si="94"/>
        <v>0</v>
      </c>
      <c r="AQ342" s="35"/>
      <c r="AR342" s="74">
        <f t="shared" si="95"/>
        <v>0</v>
      </c>
      <c r="AS342" s="35"/>
      <c r="AT342" s="74">
        <f t="shared" si="96"/>
        <v>0</v>
      </c>
      <c r="AU342" s="35"/>
      <c r="AV342" s="37">
        <f t="shared" si="79"/>
        <v>0</v>
      </c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x14ac:dyDescent="0.2">
      <c r="A343" s="13"/>
      <c r="B343" s="3" t="s">
        <v>302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>
        <f t="shared" si="91"/>
        <v>0</v>
      </c>
      <c r="AK343" s="145"/>
      <c r="AL343" s="74">
        <f t="shared" si="92"/>
        <v>0</v>
      </c>
      <c r="AM343" s="35"/>
      <c r="AN343" s="74">
        <f t="shared" si="93"/>
        <v>0</v>
      </c>
      <c r="AO343" s="35"/>
      <c r="AP343" s="74">
        <f t="shared" si="94"/>
        <v>0</v>
      </c>
      <c r="AQ343" s="35"/>
      <c r="AR343" s="74">
        <f t="shared" si="95"/>
        <v>0</v>
      </c>
      <c r="AS343" s="35"/>
      <c r="AT343" s="74">
        <f t="shared" si="96"/>
        <v>0</v>
      </c>
      <c r="AU343" s="35"/>
      <c r="AV343" s="37">
        <f t="shared" si="79"/>
        <v>0</v>
      </c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x14ac:dyDescent="0.2">
      <c r="A344" s="13"/>
      <c r="B344" s="3" t="s">
        <v>303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>
        <f t="shared" si="91"/>
        <v>0</v>
      </c>
      <c r="AK344" s="145"/>
      <c r="AL344" s="74">
        <f t="shared" si="92"/>
        <v>0</v>
      </c>
      <c r="AM344" s="35"/>
      <c r="AN344" s="74">
        <f t="shared" si="93"/>
        <v>0</v>
      </c>
      <c r="AO344" s="35"/>
      <c r="AP344" s="74">
        <f t="shared" si="94"/>
        <v>0</v>
      </c>
      <c r="AQ344" s="35"/>
      <c r="AR344" s="74">
        <f t="shared" si="95"/>
        <v>0</v>
      </c>
      <c r="AS344" s="35"/>
      <c r="AT344" s="74">
        <f t="shared" si="96"/>
        <v>0</v>
      </c>
      <c r="AU344" s="35"/>
      <c r="AV344" s="37">
        <f t="shared" si="79"/>
        <v>0</v>
      </c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x14ac:dyDescent="0.2">
      <c r="A345" s="13"/>
      <c r="B345" s="3" t="s">
        <v>304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>
        <f t="shared" si="91"/>
        <v>0</v>
      </c>
      <c r="AK345" s="145"/>
      <c r="AL345" s="74">
        <f t="shared" si="92"/>
        <v>0</v>
      </c>
      <c r="AM345" s="35"/>
      <c r="AN345" s="74">
        <f t="shared" si="93"/>
        <v>0</v>
      </c>
      <c r="AO345" s="35"/>
      <c r="AP345" s="74">
        <f t="shared" si="94"/>
        <v>0</v>
      </c>
      <c r="AQ345" s="35"/>
      <c r="AR345" s="74">
        <f t="shared" si="95"/>
        <v>0</v>
      </c>
      <c r="AS345" s="35"/>
      <c r="AT345" s="74">
        <f t="shared" si="96"/>
        <v>0</v>
      </c>
      <c r="AU345" s="35"/>
      <c r="AV345" s="37">
        <f t="shared" si="79"/>
        <v>0</v>
      </c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x14ac:dyDescent="0.2">
      <c r="A346" s="13"/>
      <c r="B346" s="3" t="s">
        <v>305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>
        <f t="shared" si="91"/>
        <v>0</v>
      </c>
      <c r="AK346" s="145"/>
      <c r="AL346" s="74">
        <f t="shared" si="92"/>
        <v>0</v>
      </c>
      <c r="AM346" s="35"/>
      <c r="AN346" s="74">
        <f t="shared" si="93"/>
        <v>0</v>
      </c>
      <c r="AO346" s="35"/>
      <c r="AP346" s="74">
        <f t="shared" si="94"/>
        <v>0</v>
      </c>
      <c r="AQ346" s="35"/>
      <c r="AR346" s="74">
        <f t="shared" si="95"/>
        <v>0</v>
      </c>
      <c r="AS346" s="35"/>
      <c r="AT346" s="74">
        <f t="shared" si="96"/>
        <v>0</v>
      </c>
      <c r="AU346" s="35"/>
      <c r="AV346" s="37">
        <f t="shared" si="79"/>
        <v>0</v>
      </c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x14ac:dyDescent="0.2">
      <c r="A347" s="13"/>
      <c r="B347" s="3" t="s">
        <v>306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>
        <f t="shared" si="91"/>
        <v>0</v>
      </c>
      <c r="AK347" s="145"/>
      <c r="AL347" s="74">
        <f t="shared" si="92"/>
        <v>0</v>
      </c>
      <c r="AM347" s="35"/>
      <c r="AN347" s="74">
        <f t="shared" si="93"/>
        <v>0</v>
      </c>
      <c r="AO347" s="35"/>
      <c r="AP347" s="74">
        <f t="shared" si="94"/>
        <v>0</v>
      </c>
      <c r="AQ347" s="35"/>
      <c r="AR347" s="74">
        <f t="shared" si="95"/>
        <v>0</v>
      </c>
      <c r="AS347" s="35"/>
      <c r="AT347" s="74">
        <f t="shared" si="96"/>
        <v>0</v>
      </c>
      <c r="AU347" s="35"/>
      <c r="AV347" s="37">
        <f t="shared" ref="AV347:AV410" si="97">AJ347-AT347</f>
        <v>0</v>
      </c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x14ac:dyDescent="0.2">
      <c r="A348" s="13"/>
      <c r="B348" s="3" t="s">
        <v>307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>
        <f t="shared" si="91"/>
        <v>0</v>
      </c>
      <c r="AK348" s="145"/>
      <c r="AL348" s="74">
        <f t="shared" si="92"/>
        <v>0</v>
      </c>
      <c r="AM348" s="35"/>
      <c r="AN348" s="74">
        <f t="shared" si="93"/>
        <v>0</v>
      </c>
      <c r="AO348" s="35"/>
      <c r="AP348" s="74">
        <f t="shared" si="94"/>
        <v>0</v>
      </c>
      <c r="AQ348" s="35"/>
      <c r="AR348" s="74">
        <f t="shared" si="95"/>
        <v>0</v>
      </c>
      <c r="AS348" s="35"/>
      <c r="AT348" s="74">
        <f t="shared" si="96"/>
        <v>0</v>
      </c>
      <c r="AU348" s="35"/>
      <c r="AV348" s="37">
        <f t="shared" si="97"/>
        <v>0</v>
      </c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x14ac:dyDescent="0.2">
      <c r="A349" s="13"/>
      <c r="B349" s="9" t="s">
        <v>308</v>
      </c>
      <c r="C349" s="19">
        <f>SUM(C341:C348)</f>
        <v>0</v>
      </c>
      <c r="D349" s="14"/>
      <c r="E349" s="19">
        <f>SUM(E341:E348)</f>
        <v>0</v>
      </c>
      <c r="F349" s="14"/>
      <c r="G349" s="19">
        <f>SUM(G341:G348)</f>
        <v>0</v>
      </c>
      <c r="H349" s="14"/>
      <c r="I349" s="19">
        <f>SUM(I341:I348)</f>
        <v>0</v>
      </c>
      <c r="J349" s="14"/>
      <c r="K349" s="19">
        <f>SUM(K341:K348)</f>
        <v>0</v>
      </c>
      <c r="L349" s="14"/>
      <c r="M349" s="19">
        <f>SUM(M341:M348)</f>
        <v>0</v>
      </c>
      <c r="N349" s="14"/>
      <c r="O349" s="19">
        <f>SUM(O341:O348)</f>
        <v>0</v>
      </c>
      <c r="P349" s="14"/>
      <c r="Q349" s="19">
        <f>SUM(Q341:Q348)</f>
        <v>0</v>
      </c>
      <c r="R349" s="14"/>
      <c r="S349" s="19">
        <f>SUM(S341:S348)</f>
        <v>0</v>
      </c>
      <c r="T349" s="19"/>
      <c r="U349" s="19">
        <f>SUM(U341:U348)</f>
        <v>0</v>
      </c>
      <c r="V349" s="19"/>
      <c r="W349" s="19">
        <f>SUM(W341:W348)</f>
        <v>0</v>
      </c>
      <c r="X349" s="14"/>
      <c r="Y349" s="19">
        <f>SUM(Y341:Y348)</f>
        <v>0</v>
      </c>
      <c r="Z349" s="14"/>
      <c r="AA349" s="19">
        <f>SUM(AA341:AA348)</f>
        <v>0</v>
      </c>
      <c r="AB349" s="14"/>
      <c r="AC349" s="19">
        <f>SUM(AC341:AC348)</f>
        <v>0</v>
      </c>
      <c r="AD349" s="14"/>
      <c r="AE349" s="19">
        <f>SUM(AE341:AE348)</f>
        <v>0</v>
      </c>
      <c r="AF349" s="14"/>
      <c r="AG349" s="19">
        <f>SUM(AG341:AG348)</f>
        <v>0</v>
      </c>
      <c r="AH349" s="14"/>
      <c r="AI349" s="19"/>
      <c r="AJ349" s="19">
        <f>SUM(AJ341:AJ348)</f>
        <v>0</v>
      </c>
      <c r="AK349" s="145"/>
      <c r="AL349" s="110">
        <f>SUM(AL341:AL348)</f>
        <v>0</v>
      </c>
      <c r="AM349" s="35"/>
      <c r="AN349" s="110">
        <f>SUM(AN341:AN348)</f>
        <v>0</v>
      </c>
      <c r="AO349" s="35"/>
      <c r="AP349" s="110">
        <f>SUM(AP341:AP348)</f>
        <v>0</v>
      </c>
      <c r="AQ349" s="35"/>
      <c r="AR349" s="110">
        <f>SUM(AR341:AR348)</f>
        <v>0</v>
      </c>
      <c r="AS349" s="35"/>
      <c r="AT349" s="110">
        <f>SUM(AT341:AT348)</f>
        <v>0</v>
      </c>
      <c r="AU349" s="35"/>
      <c r="AV349" s="37">
        <f t="shared" si="97"/>
        <v>0</v>
      </c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x14ac:dyDescent="0.2">
      <c r="A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5"/>
      <c r="AL350" s="74"/>
      <c r="AM350" s="35"/>
      <c r="AN350" s="74"/>
      <c r="AO350" s="35"/>
      <c r="AP350" s="35"/>
      <c r="AQ350" s="35"/>
      <c r="AR350" s="35"/>
      <c r="AS350" s="35"/>
      <c r="AT350" s="35"/>
      <c r="AU350" s="35"/>
      <c r="AV350" s="37">
        <f t="shared" si="97"/>
        <v>0</v>
      </c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x14ac:dyDescent="0.2">
      <c r="A351" s="13"/>
      <c r="B351" s="9" t="s">
        <v>309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5"/>
      <c r="AL351" s="74"/>
      <c r="AM351" s="35"/>
      <c r="AN351" s="74"/>
      <c r="AO351" s="35"/>
      <c r="AP351" s="35"/>
      <c r="AQ351" s="35"/>
      <c r="AR351" s="35"/>
      <c r="AS351" s="35"/>
      <c r="AT351" s="35"/>
      <c r="AU351" s="35"/>
      <c r="AV351" s="37">
        <f t="shared" si="97"/>
        <v>0</v>
      </c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x14ac:dyDescent="0.2">
      <c r="A352" s="13"/>
      <c r="B352" s="3" t="s">
        <v>310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>
        <f>SUM(C352:AH352)</f>
        <v>0</v>
      </c>
      <c r="AK352" s="145"/>
      <c r="AL352" s="74">
        <f>SUMIF($C$10:$AI$10,"=Addition",$C352:$AI352)</f>
        <v>0</v>
      </c>
      <c r="AM352" s="35"/>
      <c r="AN352" s="74">
        <f>SUMIF($C$10:$AI$10,"=Adjustment",$C352:$AI352)</f>
        <v>0</v>
      </c>
      <c r="AO352" s="35"/>
      <c r="AP352" s="74">
        <f>SUMIF($C$10:$AI$10,"=Transfer",$C352:$AI352)</f>
        <v>0</v>
      </c>
      <c r="AQ352" s="35"/>
      <c r="AR352" s="74">
        <f>SUMIF($C$10:$AI$10,"=N/A",$C352:$AI352)</f>
        <v>0</v>
      </c>
      <c r="AS352" s="35"/>
      <c r="AT352" s="74">
        <f t="shared" ref="AT352:AT353" si="98">SUM(AL352:AR352)</f>
        <v>0</v>
      </c>
      <c r="AU352" s="35"/>
      <c r="AV352" s="37">
        <f t="shared" si="97"/>
        <v>0</v>
      </c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x14ac:dyDescent="0.2">
      <c r="A353" s="13"/>
      <c r="B353" s="3" t="s">
        <v>311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>
        <f>SUM(C353:AH353)</f>
        <v>0</v>
      </c>
      <c r="AK353" s="145"/>
      <c r="AL353" s="74">
        <f>SUMIF($C$10:$AI$10,"=Addition",$C353:$AI353)</f>
        <v>0</v>
      </c>
      <c r="AM353" s="35"/>
      <c r="AN353" s="74">
        <f>SUMIF($C$10:$AI$10,"=Adjustment",$C353:$AI353)</f>
        <v>0</v>
      </c>
      <c r="AO353" s="35"/>
      <c r="AP353" s="74">
        <f>SUMIF($C$10:$AI$10,"=Transfer",$C353:$AI353)</f>
        <v>0</v>
      </c>
      <c r="AQ353" s="35"/>
      <c r="AR353" s="74">
        <f>SUMIF($C$10:$AI$10,"=N/A",$C353:$AI353)</f>
        <v>0</v>
      </c>
      <c r="AS353" s="35"/>
      <c r="AT353" s="74">
        <f t="shared" si="98"/>
        <v>0</v>
      </c>
      <c r="AU353" s="35"/>
      <c r="AV353" s="37">
        <f t="shared" si="97"/>
        <v>0</v>
      </c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x14ac:dyDescent="0.2">
      <c r="A354" s="13"/>
      <c r="B354" s="9" t="s">
        <v>312</v>
      </c>
      <c r="C354" s="19">
        <f>SUM(C352:C353)</f>
        <v>0</v>
      </c>
      <c r="D354" s="14"/>
      <c r="E354" s="19">
        <f>SUM(E352:E353)</f>
        <v>0</v>
      </c>
      <c r="F354" s="14"/>
      <c r="G354" s="19">
        <f>SUM(G352:G353)</f>
        <v>0</v>
      </c>
      <c r="H354" s="14"/>
      <c r="I354" s="19">
        <f>SUM(I352:I353)</f>
        <v>0</v>
      </c>
      <c r="J354" s="14"/>
      <c r="K354" s="19">
        <f>SUM(K352:K353)</f>
        <v>0</v>
      </c>
      <c r="L354" s="14"/>
      <c r="M354" s="19">
        <f>SUM(M352:M353)</f>
        <v>0</v>
      </c>
      <c r="N354" s="14"/>
      <c r="O354" s="19">
        <f>SUM(O352:O353)</f>
        <v>0</v>
      </c>
      <c r="P354" s="14"/>
      <c r="Q354" s="19">
        <f>SUM(Q352:Q353)</f>
        <v>0</v>
      </c>
      <c r="R354" s="14"/>
      <c r="S354" s="19">
        <f>SUM(S352:S353)</f>
        <v>0</v>
      </c>
      <c r="T354" s="19"/>
      <c r="U354" s="19">
        <f>SUM(U352:U353)</f>
        <v>0</v>
      </c>
      <c r="V354" s="19"/>
      <c r="W354" s="19">
        <f>SUM(W352:W353)</f>
        <v>0</v>
      </c>
      <c r="X354" s="14"/>
      <c r="Y354" s="19">
        <f>SUM(Y352:Y353)</f>
        <v>0</v>
      </c>
      <c r="Z354" s="14"/>
      <c r="AA354" s="19">
        <f>SUM(AA352:AA353)</f>
        <v>0</v>
      </c>
      <c r="AB354" s="14"/>
      <c r="AC354" s="19">
        <f>SUM(AC352:AC353)</f>
        <v>0</v>
      </c>
      <c r="AD354" s="14"/>
      <c r="AE354" s="19">
        <f>SUM(AE352:AE353)</f>
        <v>0</v>
      </c>
      <c r="AF354" s="14"/>
      <c r="AG354" s="19">
        <f>SUM(AG352:AG353)</f>
        <v>0</v>
      </c>
      <c r="AH354" s="14"/>
      <c r="AI354" s="19"/>
      <c r="AJ354" s="19">
        <f>SUM(AJ352:AJ353)</f>
        <v>0</v>
      </c>
      <c r="AK354" s="145"/>
      <c r="AL354" s="110">
        <f t="shared" ref="AL354:AT354" si="99">SUM(AL352:AL353)</f>
        <v>0</v>
      </c>
      <c r="AM354" s="110">
        <f t="shared" si="99"/>
        <v>0</v>
      </c>
      <c r="AN354" s="110">
        <f>SUM(AN352:AN353)</f>
        <v>0</v>
      </c>
      <c r="AO354" s="110">
        <f t="shared" si="99"/>
        <v>0</v>
      </c>
      <c r="AP354" s="110">
        <f t="shared" si="99"/>
        <v>0</v>
      </c>
      <c r="AQ354" s="110">
        <f t="shared" si="99"/>
        <v>0</v>
      </c>
      <c r="AR354" s="110">
        <f>SUM(AR352:AR353)</f>
        <v>0</v>
      </c>
      <c r="AS354" s="110"/>
      <c r="AT354" s="110">
        <f t="shared" si="99"/>
        <v>0</v>
      </c>
      <c r="AU354" s="110"/>
      <c r="AV354" s="37">
        <f t="shared" si="97"/>
        <v>0</v>
      </c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x14ac:dyDescent="0.2">
      <c r="A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5"/>
      <c r="AL355" s="74"/>
      <c r="AM355" s="35"/>
      <c r="AN355" s="74"/>
      <c r="AO355" s="35"/>
      <c r="AP355" s="35"/>
      <c r="AQ355" s="35"/>
      <c r="AR355" s="35"/>
      <c r="AS355" s="35"/>
      <c r="AT355" s="35"/>
      <c r="AU355" s="35"/>
      <c r="AV355" s="37">
        <f t="shared" si="97"/>
        <v>0</v>
      </c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x14ac:dyDescent="0.2">
      <c r="A356" s="13"/>
      <c r="B356" s="9" t="s">
        <v>313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5"/>
      <c r="AL356" s="74"/>
      <c r="AM356" s="35"/>
      <c r="AN356" s="74"/>
      <c r="AO356" s="35"/>
      <c r="AP356" s="35"/>
      <c r="AQ356" s="35"/>
      <c r="AR356" s="35"/>
      <c r="AS356" s="35"/>
      <c r="AT356" s="35"/>
      <c r="AU356" s="35"/>
      <c r="AV356" s="37">
        <f t="shared" si="97"/>
        <v>0</v>
      </c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x14ac:dyDescent="0.2">
      <c r="A357" s="13"/>
      <c r="B357" s="3" t="s">
        <v>314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>
        <f t="shared" ref="AJ357:AJ363" si="100">SUM(C357:AH357)</f>
        <v>0</v>
      </c>
      <c r="AK357" s="145"/>
      <c r="AL357" s="74">
        <f t="shared" ref="AL357:AL366" si="101">SUMIF($C$10:$AI$10,"=Addition",$C357:$AI357)</f>
        <v>0</v>
      </c>
      <c r="AM357" s="35"/>
      <c r="AN357" s="74">
        <f t="shared" ref="AN357:AN366" si="102">SUMIF($C$10:$AI$10,"=Adjustment",$C357:$AI357)</f>
        <v>0</v>
      </c>
      <c r="AO357" s="35"/>
      <c r="AP357" s="74">
        <f t="shared" ref="AP357:AP366" si="103">SUMIF($C$10:$AI$10,"=Transfer",$C357:$AI357)</f>
        <v>0</v>
      </c>
      <c r="AQ357" s="35"/>
      <c r="AR357" s="74">
        <f t="shared" ref="AR357:AR366" si="104">SUMIF($C$10:$AI$10,"=N/A",$C357:$AI357)</f>
        <v>0</v>
      </c>
      <c r="AS357" s="35"/>
      <c r="AT357" s="74">
        <f t="shared" ref="AT357:AT366" si="105">SUM(AL357:AR357)</f>
        <v>0</v>
      </c>
      <c r="AU357" s="35"/>
      <c r="AV357" s="37">
        <f t="shared" si="97"/>
        <v>0</v>
      </c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x14ac:dyDescent="0.2">
      <c r="A358" s="13"/>
      <c r="B358" s="3" t="s">
        <v>315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>
        <f t="shared" si="100"/>
        <v>0</v>
      </c>
      <c r="AK358" s="145"/>
      <c r="AL358" s="74">
        <f t="shared" si="101"/>
        <v>0</v>
      </c>
      <c r="AM358" s="35"/>
      <c r="AN358" s="74">
        <f t="shared" si="102"/>
        <v>0</v>
      </c>
      <c r="AO358" s="35"/>
      <c r="AP358" s="74">
        <f t="shared" si="103"/>
        <v>0</v>
      </c>
      <c r="AQ358" s="35"/>
      <c r="AR358" s="74">
        <f t="shared" si="104"/>
        <v>0</v>
      </c>
      <c r="AS358" s="35"/>
      <c r="AT358" s="74">
        <f t="shared" si="105"/>
        <v>0</v>
      </c>
      <c r="AU358" s="35"/>
      <c r="AV358" s="37">
        <f t="shared" si="97"/>
        <v>0</v>
      </c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x14ac:dyDescent="0.2">
      <c r="A359" s="13"/>
      <c r="B359" s="3" t="s">
        <v>316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>
        <f t="shared" si="100"/>
        <v>0</v>
      </c>
      <c r="AK359" s="145"/>
      <c r="AL359" s="74">
        <f t="shared" si="101"/>
        <v>0</v>
      </c>
      <c r="AM359" s="35"/>
      <c r="AN359" s="74">
        <f t="shared" si="102"/>
        <v>0</v>
      </c>
      <c r="AO359" s="35"/>
      <c r="AP359" s="74">
        <f t="shared" si="103"/>
        <v>0</v>
      </c>
      <c r="AQ359" s="35"/>
      <c r="AR359" s="74">
        <f t="shared" si="104"/>
        <v>0</v>
      </c>
      <c r="AS359" s="35"/>
      <c r="AT359" s="74">
        <f t="shared" si="105"/>
        <v>0</v>
      </c>
      <c r="AU359" s="35"/>
      <c r="AV359" s="37">
        <f t="shared" si="97"/>
        <v>0</v>
      </c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x14ac:dyDescent="0.2">
      <c r="A360" s="13"/>
      <c r="B360" s="3" t="s">
        <v>317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>
        <f t="shared" si="100"/>
        <v>0</v>
      </c>
      <c r="AK360" s="145"/>
      <c r="AL360" s="74">
        <f t="shared" si="101"/>
        <v>0</v>
      </c>
      <c r="AM360" s="35"/>
      <c r="AN360" s="74">
        <f t="shared" si="102"/>
        <v>0</v>
      </c>
      <c r="AO360" s="35"/>
      <c r="AP360" s="74">
        <f t="shared" si="103"/>
        <v>0</v>
      </c>
      <c r="AQ360" s="35"/>
      <c r="AR360" s="74">
        <f t="shared" si="104"/>
        <v>0</v>
      </c>
      <c r="AS360" s="35"/>
      <c r="AT360" s="74">
        <f t="shared" si="105"/>
        <v>0</v>
      </c>
      <c r="AU360" s="35"/>
      <c r="AV360" s="37">
        <f t="shared" si="97"/>
        <v>0</v>
      </c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x14ac:dyDescent="0.2">
      <c r="A361" s="13"/>
      <c r="B361" s="3" t="s">
        <v>318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>
        <f t="shared" si="100"/>
        <v>0</v>
      </c>
      <c r="AK361" s="145"/>
      <c r="AL361" s="74">
        <f t="shared" si="101"/>
        <v>0</v>
      </c>
      <c r="AM361" s="35"/>
      <c r="AN361" s="74">
        <f t="shared" si="102"/>
        <v>0</v>
      </c>
      <c r="AO361" s="35"/>
      <c r="AP361" s="74">
        <f t="shared" si="103"/>
        <v>0</v>
      </c>
      <c r="AQ361" s="35"/>
      <c r="AR361" s="74">
        <f t="shared" si="104"/>
        <v>0</v>
      </c>
      <c r="AS361" s="35"/>
      <c r="AT361" s="74">
        <f t="shared" si="105"/>
        <v>0</v>
      </c>
      <c r="AU361" s="35"/>
      <c r="AV361" s="37">
        <f t="shared" si="97"/>
        <v>0</v>
      </c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x14ac:dyDescent="0.2">
      <c r="A362" s="13"/>
      <c r="B362" s="3" t="s">
        <v>319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>
        <f t="shared" si="100"/>
        <v>0</v>
      </c>
      <c r="AK362" s="145"/>
      <c r="AL362" s="74">
        <f t="shared" si="101"/>
        <v>0</v>
      </c>
      <c r="AM362" s="35"/>
      <c r="AN362" s="74">
        <f t="shared" si="102"/>
        <v>0</v>
      </c>
      <c r="AO362" s="35"/>
      <c r="AP362" s="74">
        <f t="shared" si="103"/>
        <v>0</v>
      </c>
      <c r="AQ362" s="35"/>
      <c r="AR362" s="74">
        <f t="shared" si="104"/>
        <v>0</v>
      </c>
      <c r="AS362" s="35"/>
      <c r="AT362" s="74">
        <f t="shared" si="105"/>
        <v>0</v>
      </c>
      <c r="AU362" s="35"/>
      <c r="AV362" s="37">
        <f t="shared" si="97"/>
        <v>0</v>
      </c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x14ac:dyDescent="0.2">
      <c r="A363" s="13"/>
      <c r="B363" s="3" t="s">
        <v>320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>
        <v>0</v>
      </c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>
        <f t="shared" si="100"/>
        <v>0</v>
      </c>
      <c r="AK363" s="145"/>
      <c r="AL363" s="74">
        <f t="shared" si="101"/>
        <v>0</v>
      </c>
      <c r="AM363" s="35"/>
      <c r="AN363" s="74">
        <f t="shared" si="102"/>
        <v>0</v>
      </c>
      <c r="AO363" s="35"/>
      <c r="AP363" s="74">
        <f t="shared" si="103"/>
        <v>0</v>
      </c>
      <c r="AQ363" s="35"/>
      <c r="AR363" s="74">
        <f t="shared" si="104"/>
        <v>0</v>
      </c>
      <c r="AS363" s="35"/>
      <c r="AT363" s="74">
        <f t="shared" si="105"/>
        <v>0</v>
      </c>
      <c r="AU363" s="35"/>
      <c r="AV363" s="37">
        <f t="shared" si="97"/>
        <v>0</v>
      </c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outlineLevel="1" x14ac:dyDescent="0.2">
      <c r="A364" s="13"/>
      <c r="B364" s="3" t="s">
        <v>321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>
        <f>SUM(C364:AI364)</f>
        <v>0</v>
      </c>
      <c r="AK364" s="145"/>
      <c r="AL364" s="74">
        <f t="shared" si="101"/>
        <v>0</v>
      </c>
      <c r="AM364" s="35"/>
      <c r="AN364" s="74">
        <f t="shared" si="102"/>
        <v>0</v>
      </c>
      <c r="AO364" s="35"/>
      <c r="AP364" s="74">
        <f t="shared" si="103"/>
        <v>0</v>
      </c>
      <c r="AQ364" s="35"/>
      <c r="AR364" s="74">
        <f t="shared" si="104"/>
        <v>0</v>
      </c>
      <c r="AS364" s="35"/>
      <c r="AT364" s="74">
        <f t="shared" si="105"/>
        <v>0</v>
      </c>
      <c r="AU364" s="35"/>
      <c r="AV364" s="37">
        <f t="shared" si="97"/>
        <v>0</v>
      </c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outlineLevel="1" x14ac:dyDescent="0.2">
      <c r="A365" s="13"/>
      <c r="B365" s="29" t="s">
        <v>322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>
        <f>SUM(C365:AI365)</f>
        <v>0</v>
      </c>
      <c r="AK365" s="145"/>
      <c r="AL365" s="74">
        <f t="shared" si="101"/>
        <v>0</v>
      </c>
      <c r="AM365" s="35"/>
      <c r="AN365" s="74">
        <f t="shared" si="102"/>
        <v>0</v>
      </c>
      <c r="AO365" s="35"/>
      <c r="AP365" s="74">
        <f t="shared" si="103"/>
        <v>0</v>
      </c>
      <c r="AQ365" s="35"/>
      <c r="AR365" s="74">
        <f t="shared" si="104"/>
        <v>0</v>
      </c>
      <c r="AS365" s="35"/>
      <c r="AT365" s="74">
        <f t="shared" si="105"/>
        <v>0</v>
      </c>
      <c r="AU365" s="35"/>
      <c r="AV365" s="37">
        <f t="shared" si="97"/>
        <v>0</v>
      </c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x14ac:dyDescent="0.2">
      <c r="A366" s="13"/>
      <c r="B366" s="29" t="s">
        <v>323</v>
      </c>
      <c r="C366" s="14">
        <f>SUM(C364:C365)</f>
        <v>0</v>
      </c>
      <c r="D366" s="14"/>
      <c r="E366" s="14">
        <f>SUM(E364:E365)</f>
        <v>0</v>
      </c>
      <c r="F366" s="14"/>
      <c r="G366" s="14">
        <f>SUM(G364:G365)</f>
        <v>0</v>
      </c>
      <c r="H366" s="14"/>
      <c r="I366" s="14">
        <f>SUM(I364:I365)</f>
        <v>0</v>
      </c>
      <c r="J366" s="14"/>
      <c r="K366" s="14">
        <f>SUM(K364:K365)</f>
        <v>0</v>
      </c>
      <c r="L366" s="14"/>
      <c r="M366" s="14">
        <f>SUM(M364:M365)</f>
        <v>0</v>
      </c>
      <c r="N366" s="14"/>
      <c r="O366" s="14">
        <f>SUM(O364:O365)</f>
        <v>0</v>
      </c>
      <c r="P366" s="14"/>
      <c r="Q366" s="14">
        <f>SUM(Q364:Q365)</f>
        <v>0</v>
      </c>
      <c r="R366" s="14"/>
      <c r="S366" s="14">
        <f>SUM(S364:S365)</f>
        <v>0</v>
      </c>
      <c r="T366" s="14"/>
      <c r="U366" s="14">
        <f>SUM(U364:U365)</f>
        <v>0</v>
      </c>
      <c r="V366" s="14"/>
      <c r="W366" s="14">
        <f>SUM(W364:W365)</f>
        <v>0</v>
      </c>
      <c r="X366" s="14"/>
      <c r="Y366" s="14">
        <f>SUM(Y364:Y365)</f>
        <v>0</v>
      </c>
      <c r="Z366" s="14"/>
      <c r="AA366" s="14">
        <f>SUM(AA364:AA365)</f>
        <v>0</v>
      </c>
      <c r="AB366" s="14"/>
      <c r="AC366" s="14">
        <f>SUM(AC364:AC365)</f>
        <v>0</v>
      </c>
      <c r="AD366" s="14"/>
      <c r="AE366" s="14">
        <f>SUM(AE364:AE365)</f>
        <v>0</v>
      </c>
      <c r="AF366" s="14"/>
      <c r="AG366" s="14">
        <f>SUM(AG364:AG365)</f>
        <v>0</v>
      </c>
      <c r="AH366" s="14"/>
      <c r="AI366" s="14"/>
      <c r="AJ366" s="14">
        <f>SUM(C366:AH366)</f>
        <v>0</v>
      </c>
      <c r="AK366" s="145"/>
      <c r="AL366" s="74">
        <f t="shared" si="101"/>
        <v>0</v>
      </c>
      <c r="AM366" s="35"/>
      <c r="AN366" s="74">
        <f t="shared" si="102"/>
        <v>0</v>
      </c>
      <c r="AO366" s="35"/>
      <c r="AP366" s="74">
        <f t="shared" si="103"/>
        <v>0</v>
      </c>
      <c r="AQ366" s="35"/>
      <c r="AR366" s="74">
        <f t="shared" si="104"/>
        <v>0</v>
      </c>
      <c r="AS366" s="35"/>
      <c r="AT366" s="74">
        <f t="shared" si="105"/>
        <v>0</v>
      </c>
      <c r="AU366" s="35"/>
      <c r="AV366" s="37">
        <f t="shared" si="97"/>
        <v>0</v>
      </c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x14ac:dyDescent="0.2">
      <c r="A367" s="13"/>
      <c r="B367" s="111" t="s">
        <v>324</v>
      </c>
      <c r="C367" s="19">
        <f>C366+SUM(C357:C363)</f>
        <v>0</v>
      </c>
      <c r="D367" s="14"/>
      <c r="E367" s="19">
        <f>E366+SUM(E357:E363)</f>
        <v>0</v>
      </c>
      <c r="F367" s="14"/>
      <c r="G367" s="19">
        <f>G366+SUM(G357:G363)</f>
        <v>0</v>
      </c>
      <c r="H367" s="14"/>
      <c r="I367" s="19">
        <f>I366+SUM(I357:I363)</f>
        <v>0</v>
      </c>
      <c r="J367" s="14"/>
      <c r="K367" s="19">
        <f>K366+SUM(K357:K363)</f>
        <v>0</v>
      </c>
      <c r="L367" s="14"/>
      <c r="M367" s="19">
        <f>M366+SUM(M357:M363)</f>
        <v>0</v>
      </c>
      <c r="N367" s="14"/>
      <c r="O367" s="19">
        <f>O366+SUM(O357:O363)</f>
        <v>0</v>
      </c>
      <c r="P367" s="14"/>
      <c r="Q367" s="19">
        <f>Q366+SUM(Q357:Q363)</f>
        <v>0</v>
      </c>
      <c r="R367" s="14"/>
      <c r="S367" s="19">
        <f>S366+SUM(S357:S363)</f>
        <v>0</v>
      </c>
      <c r="T367" s="19"/>
      <c r="U367" s="19">
        <f>U366+SUM(U357:U363)</f>
        <v>0</v>
      </c>
      <c r="V367" s="19"/>
      <c r="W367" s="19">
        <f>W366+SUM(W357:W363)</f>
        <v>0</v>
      </c>
      <c r="X367" s="14"/>
      <c r="Y367" s="19">
        <f>Y366+SUM(Y357:Y363)</f>
        <v>0</v>
      </c>
      <c r="Z367" s="14"/>
      <c r="AA367" s="19">
        <f>AA366+SUM(AA357:AA363)</f>
        <v>0</v>
      </c>
      <c r="AB367" s="14"/>
      <c r="AC367" s="19">
        <f>AC366+SUM(AC357:AC363)</f>
        <v>0</v>
      </c>
      <c r="AD367" s="14"/>
      <c r="AE367" s="19">
        <f>AE366+SUM(AE357:AE363)</f>
        <v>0</v>
      </c>
      <c r="AF367" s="14"/>
      <c r="AG367" s="19">
        <f>AG366+SUM(AG357:AG363)</f>
        <v>0</v>
      </c>
      <c r="AH367" s="14"/>
      <c r="AI367" s="19"/>
      <c r="AJ367" s="19">
        <f>AJ366+SUM(AJ357:AJ363)</f>
        <v>0</v>
      </c>
      <c r="AK367" s="145"/>
      <c r="AL367" s="110">
        <f>AL366+SUM(AL357:AL363)</f>
        <v>0</v>
      </c>
      <c r="AM367" s="35"/>
      <c r="AN367" s="110">
        <f>AN366+SUM(AN357:AN363)</f>
        <v>0</v>
      </c>
      <c r="AO367" s="35"/>
      <c r="AP367" s="110">
        <f>AP366+SUM(AP357:AP363)</f>
        <v>0</v>
      </c>
      <c r="AQ367" s="35"/>
      <c r="AR367" s="110">
        <f>AR366+SUM(AR357:AR363)</f>
        <v>0</v>
      </c>
      <c r="AS367" s="35"/>
      <c r="AT367" s="110">
        <f>AT366+SUM(AT357:AT363)</f>
        <v>0</v>
      </c>
      <c r="AU367" s="35"/>
      <c r="AV367" s="37">
        <f t="shared" si="97"/>
        <v>0</v>
      </c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x14ac:dyDescent="0.2">
      <c r="A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5"/>
      <c r="AL368" s="74"/>
      <c r="AM368" s="35"/>
      <c r="AN368" s="74"/>
      <c r="AO368" s="35"/>
      <c r="AP368" s="35"/>
      <c r="AQ368" s="35"/>
      <c r="AR368" s="35"/>
      <c r="AS368" s="35"/>
      <c r="AT368" s="35"/>
      <c r="AU368" s="35"/>
      <c r="AV368" s="37">
        <f t="shared" si="97"/>
        <v>0</v>
      </c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x14ac:dyDescent="0.2">
      <c r="A369" s="13"/>
      <c r="B369" s="9" t="s">
        <v>325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5"/>
      <c r="AL369" s="74"/>
      <c r="AM369" s="35"/>
      <c r="AN369" s="74"/>
      <c r="AO369" s="35"/>
      <c r="AP369" s="35"/>
      <c r="AQ369" s="35"/>
      <c r="AR369" s="35"/>
      <c r="AS369" s="35"/>
      <c r="AT369" s="35"/>
      <c r="AU369" s="35"/>
      <c r="AV369" s="37">
        <f t="shared" si="97"/>
        <v>0</v>
      </c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outlineLevel="1" x14ac:dyDescent="0.2">
      <c r="A370" s="13"/>
      <c r="B370" s="3" t="s">
        <v>326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B370" s="14"/>
      <c r="AD370" s="14"/>
      <c r="AE370" s="14"/>
      <c r="AF370" s="14"/>
      <c r="AG370" s="14"/>
      <c r="AH370" s="14"/>
      <c r="AI370" s="14"/>
      <c r="AJ370" s="14">
        <f>SUM(C370:AI370)</f>
        <v>0</v>
      </c>
      <c r="AK370" s="145"/>
      <c r="AL370" s="74">
        <f t="shared" ref="AL370:AL384" si="106">SUMIF($C$10:$AI$10,"=Addition",$C370:$AI370)</f>
        <v>0</v>
      </c>
      <c r="AM370" s="35"/>
      <c r="AN370" s="74">
        <f t="shared" ref="AN370:AN384" si="107">SUMIF($C$10:$AI$10,"=Adjustment",$C370:$AI370)</f>
        <v>0</v>
      </c>
      <c r="AO370" s="35"/>
      <c r="AP370" s="74">
        <f t="shared" ref="AP370:AP384" si="108">SUMIF($C$10:$AI$10,"=Transfer",$C370:$AI370)</f>
        <v>0</v>
      </c>
      <c r="AQ370" s="35"/>
      <c r="AR370" s="74">
        <f t="shared" ref="AR370:AR384" si="109">SUMIF($C$10:$AI$10,"=N/A",$C370:$AI370)</f>
        <v>0</v>
      </c>
      <c r="AS370" s="35"/>
      <c r="AT370" s="74">
        <f t="shared" ref="AT370:AT384" si="110">SUM(AL370:AR370)</f>
        <v>0</v>
      </c>
      <c r="AU370" s="35"/>
      <c r="AV370" s="37">
        <f t="shared" si="97"/>
        <v>0</v>
      </c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outlineLevel="1" x14ac:dyDescent="0.2">
      <c r="A371" s="13"/>
      <c r="B371" s="3" t="s">
        <v>430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>
        <f>SUM(C371:AI371)</f>
        <v>0</v>
      </c>
      <c r="AK371" s="145"/>
      <c r="AL371" s="74">
        <f t="shared" si="106"/>
        <v>0</v>
      </c>
      <c r="AM371" s="35"/>
      <c r="AN371" s="74">
        <f t="shared" si="107"/>
        <v>0</v>
      </c>
      <c r="AO371" s="35"/>
      <c r="AP371" s="74">
        <f t="shared" si="108"/>
        <v>0</v>
      </c>
      <c r="AQ371" s="35"/>
      <c r="AR371" s="74">
        <f t="shared" si="109"/>
        <v>0</v>
      </c>
      <c r="AS371" s="35"/>
      <c r="AT371" s="74">
        <f t="shared" si="110"/>
        <v>0</v>
      </c>
      <c r="AU371" s="35"/>
      <c r="AV371" s="37">
        <f t="shared" si="97"/>
        <v>0</v>
      </c>
      <c r="BE371" s="3"/>
      <c r="BF371" s="3"/>
      <c r="BG371" s="3"/>
      <c r="BH371" s="3"/>
      <c r="BI371" s="3"/>
      <c r="BJ371" s="3"/>
      <c r="BK371" s="3"/>
      <c r="BL371" s="3"/>
      <c r="BM371" s="3"/>
      <c r="BN371" s="3"/>
    </row>
    <row r="372" spans="1:66" x14ac:dyDescent="0.2">
      <c r="A372" s="13"/>
      <c r="B372" s="21" t="s">
        <v>329</v>
      </c>
      <c r="C372" s="14">
        <f>SUM(C370:C371)</f>
        <v>0</v>
      </c>
      <c r="D372" s="14"/>
      <c r="E372" s="14">
        <f>SUM(E370:E371)</f>
        <v>0</v>
      </c>
      <c r="F372" s="14"/>
      <c r="G372" s="14">
        <f>SUM(G370:G371)</f>
        <v>0</v>
      </c>
      <c r="H372" s="14"/>
      <c r="I372" s="14">
        <f>SUM(I370:I371)</f>
        <v>0</v>
      </c>
      <c r="J372" s="14"/>
      <c r="K372" s="14">
        <f>SUM(K370:K371)</f>
        <v>0</v>
      </c>
      <c r="L372" s="14"/>
      <c r="M372" s="14">
        <f>SUM(M370:M371)</f>
        <v>0</v>
      </c>
      <c r="N372" s="14"/>
      <c r="O372" s="14">
        <f>SUM(O370:O371)</f>
        <v>0</v>
      </c>
      <c r="P372" s="14"/>
      <c r="Q372" s="14">
        <f>SUM(Q370:Q371)</f>
        <v>0</v>
      </c>
      <c r="R372" s="14"/>
      <c r="S372" s="14">
        <f>SUM(S370:S371)</f>
        <v>0</v>
      </c>
      <c r="T372" s="14"/>
      <c r="U372" s="14">
        <f>SUM(U370:U371)</f>
        <v>0</v>
      </c>
      <c r="V372" s="14"/>
      <c r="W372" s="14">
        <f>SUM(W370:W371)</f>
        <v>0</v>
      </c>
      <c r="X372" s="14"/>
      <c r="Y372" s="14">
        <f>SUM(Y370:Y371)</f>
        <v>0</v>
      </c>
      <c r="Z372" s="14"/>
      <c r="AA372" s="14">
        <f>SUM(AA370:AA371)</f>
        <v>0</v>
      </c>
      <c r="AB372" s="14"/>
      <c r="AC372" s="14">
        <f>SUM(AC370:AC371)</f>
        <v>0</v>
      </c>
      <c r="AD372" s="14"/>
      <c r="AE372" s="14">
        <f>SUM(AE370:AE371)</f>
        <v>0</v>
      </c>
      <c r="AF372" s="14"/>
      <c r="AG372" s="14">
        <f>SUM(AG370:AG371)</f>
        <v>0</v>
      </c>
      <c r="AH372" s="14"/>
      <c r="AI372" s="14"/>
      <c r="AJ372" s="14">
        <f>SUM(AJ370:AJ371)</f>
        <v>0</v>
      </c>
      <c r="AK372" s="145"/>
      <c r="AL372" s="74">
        <f t="shared" si="106"/>
        <v>0</v>
      </c>
      <c r="AM372" s="35"/>
      <c r="AN372" s="74">
        <f t="shared" si="107"/>
        <v>0</v>
      </c>
      <c r="AO372" s="35"/>
      <c r="AP372" s="74">
        <f t="shared" si="108"/>
        <v>0</v>
      </c>
      <c r="AQ372" s="35"/>
      <c r="AR372" s="74">
        <f t="shared" si="109"/>
        <v>0</v>
      </c>
      <c r="AS372" s="35"/>
      <c r="AT372" s="74">
        <f t="shared" si="110"/>
        <v>0</v>
      </c>
      <c r="AU372" s="35"/>
      <c r="AV372" s="37">
        <f t="shared" si="97"/>
        <v>0</v>
      </c>
      <c r="BE372" s="3"/>
      <c r="BF372" s="3"/>
      <c r="BG372" s="3"/>
      <c r="BH372" s="3"/>
      <c r="BI372" s="3"/>
      <c r="BJ372" s="3"/>
      <c r="BK372" s="3"/>
      <c r="BL372" s="3"/>
      <c r="BM372" s="3"/>
      <c r="BN372" s="3"/>
    </row>
    <row r="373" spans="1:66" outlineLevel="1" x14ac:dyDescent="0.2">
      <c r="A373" s="13"/>
      <c r="B373" s="3" t="s">
        <v>330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>
        <f>SUM(C373:AI373)</f>
        <v>0</v>
      </c>
      <c r="AK373" s="145"/>
      <c r="AL373" s="74">
        <f t="shared" si="106"/>
        <v>0</v>
      </c>
      <c r="AM373" s="35"/>
      <c r="AN373" s="74">
        <f t="shared" si="107"/>
        <v>0</v>
      </c>
      <c r="AO373" s="35"/>
      <c r="AP373" s="74">
        <f t="shared" si="108"/>
        <v>0</v>
      </c>
      <c r="AQ373" s="35"/>
      <c r="AR373" s="74">
        <f t="shared" si="109"/>
        <v>0</v>
      </c>
      <c r="AS373" s="35"/>
      <c r="AT373" s="74">
        <f t="shared" si="110"/>
        <v>0</v>
      </c>
      <c r="AU373" s="35"/>
      <c r="AV373" s="37">
        <f t="shared" si="97"/>
        <v>0</v>
      </c>
      <c r="BE373" s="3"/>
      <c r="BF373" s="3"/>
      <c r="BG373" s="3"/>
      <c r="BH373" s="3"/>
      <c r="BI373" s="3"/>
      <c r="BJ373" s="3"/>
      <c r="BK373" s="3"/>
      <c r="BL373" s="3"/>
      <c r="BM373" s="3"/>
      <c r="BN373" s="3"/>
    </row>
    <row r="374" spans="1:66" outlineLevel="1" x14ac:dyDescent="0.2">
      <c r="A374" s="13"/>
      <c r="B374" s="3" t="s">
        <v>331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>
        <f>SUM(C374:AI374)</f>
        <v>0</v>
      </c>
      <c r="AK374" s="145"/>
      <c r="AL374" s="74">
        <f t="shared" si="106"/>
        <v>0</v>
      </c>
      <c r="AM374" s="35"/>
      <c r="AN374" s="74">
        <f t="shared" si="107"/>
        <v>0</v>
      </c>
      <c r="AO374" s="35"/>
      <c r="AP374" s="74">
        <f t="shared" si="108"/>
        <v>0</v>
      </c>
      <c r="AQ374" s="35"/>
      <c r="AR374" s="74">
        <f t="shared" si="109"/>
        <v>0</v>
      </c>
      <c r="AS374" s="35"/>
      <c r="AT374" s="74">
        <f t="shared" si="110"/>
        <v>0</v>
      </c>
      <c r="AU374" s="35"/>
      <c r="AV374" s="37">
        <f t="shared" si="97"/>
        <v>0</v>
      </c>
      <c r="BE374" s="3"/>
      <c r="BF374" s="3"/>
      <c r="BG374" s="3"/>
      <c r="BH374" s="3"/>
      <c r="BI374" s="3"/>
      <c r="BJ374" s="3"/>
      <c r="BK374" s="3"/>
      <c r="BL374" s="3"/>
      <c r="BM374" s="3"/>
      <c r="BN374" s="3"/>
    </row>
    <row r="375" spans="1:66" x14ac:dyDescent="0.2">
      <c r="A375" s="13"/>
      <c r="B375" s="3" t="s">
        <v>332</v>
      </c>
      <c r="C375" s="14">
        <f>SUM(C373:C374)</f>
        <v>0</v>
      </c>
      <c r="D375" s="14"/>
      <c r="E375" s="14">
        <f>SUM(E373:E374)</f>
        <v>0</v>
      </c>
      <c r="F375" s="14"/>
      <c r="G375" s="14">
        <f>SUM(G373:G374)</f>
        <v>0</v>
      </c>
      <c r="H375" s="14"/>
      <c r="I375" s="14">
        <f>SUM(I373:I374)</f>
        <v>0</v>
      </c>
      <c r="J375" s="14"/>
      <c r="K375" s="14">
        <f>SUM(K373:K374)</f>
        <v>0</v>
      </c>
      <c r="L375" s="14"/>
      <c r="M375" s="14">
        <f>SUM(M373:M374)</f>
        <v>0</v>
      </c>
      <c r="N375" s="14"/>
      <c r="O375" s="14">
        <f>SUM(O373:O374)</f>
        <v>0</v>
      </c>
      <c r="P375" s="14"/>
      <c r="Q375" s="14">
        <f>SUM(Q373:Q374)</f>
        <v>0</v>
      </c>
      <c r="R375" s="14"/>
      <c r="S375" s="14">
        <f>SUM(S373:S374)</f>
        <v>0</v>
      </c>
      <c r="T375" s="14"/>
      <c r="U375" s="14">
        <f>SUM(U373:U374)</f>
        <v>0</v>
      </c>
      <c r="V375" s="14"/>
      <c r="W375" s="14">
        <f>SUM(W373:W374)</f>
        <v>0</v>
      </c>
      <c r="X375" s="14"/>
      <c r="Y375" s="14">
        <f>SUM(Y373:Y374)</f>
        <v>0</v>
      </c>
      <c r="Z375" s="14"/>
      <c r="AA375" s="14">
        <f>SUM(AA373:AA374)</f>
        <v>0</v>
      </c>
      <c r="AB375" s="14"/>
      <c r="AC375" s="14">
        <f>SUM(AC373:AC374)</f>
        <v>0</v>
      </c>
      <c r="AD375" s="14"/>
      <c r="AE375" s="14">
        <f>SUM(AE373:AE374)</f>
        <v>0</v>
      </c>
      <c r="AF375" s="14"/>
      <c r="AG375" s="14">
        <f>SUM(AG373:AG374)</f>
        <v>0</v>
      </c>
      <c r="AH375" s="14"/>
      <c r="AI375" s="14"/>
      <c r="AJ375" s="14">
        <f>SUM(AJ373:AJ374)</f>
        <v>0</v>
      </c>
      <c r="AK375" s="145"/>
      <c r="AL375" s="74">
        <f t="shared" si="106"/>
        <v>0</v>
      </c>
      <c r="AM375" s="35"/>
      <c r="AN375" s="74">
        <f t="shared" si="107"/>
        <v>0</v>
      </c>
      <c r="AO375" s="35"/>
      <c r="AP375" s="74">
        <f t="shared" si="108"/>
        <v>0</v>
      </c>
      <c r="AQ375" s="35"/>
      <c r="AR375" s="74">
        <f t="shared" si="109"/>
        <v>0</v>
      </c>
      <c r="AS375" s="35"/>
      <c r="AT375" s="74">
        <f t="shared" si="110"/>
        <v>0</v>
      </c>
      <c r="AU375" s="35"/>
      <c r="AV375" s="37">
        <f t="shared" si="97"/>
        <v>0</v>
      </c>
      <c r="BE375" s="3"/>
      <c r="BF375" s="3"/>
      <c r="BG375" s="3"/>
      <c r="BH375" s="3"/>
      <c r="BI375" s="3"/>
      <c r="BJ375" s="3"/>
      <c r="BK375" s="3"/>
      <c r="BL375" s="3"/>
      <c r="BM375" s="3"/>
      <c r="BN375" s="3"/>
    </row>
    <row r="376" spans="1:66" outlineLevel="1" x14ac:dyDescent="0.2">
      <c r="A376" s="13"/>
      <c r="B376" s="3" t="s">
        <v>333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>
        <f>SUM(C376:AI376)</f>
        <v>0</v>
      </c>
      <c r="AK376" s="145"/>
      <c r="AL376" s="74">
        <f t="shared" si="106"/>
        <v>0</v>
      </c>
      <c r="AM376" s="35"/>
      <c r="AN376" s="74">
        <f t="shared" si="107"/>
        <v>0</v>
      </c>
      <c r="AO376" s="35"/>
      <c r="AP376" s="74">
        <f t="shared" si="108"/>
        <v>0</v>
      </c>
      <c r="AQ376" s="35"/>
      <c r="AR376" s="74">
        <f t="shared" si="109"/>
        <v>0</v>
      </c>
      <c r="AS376" s="35"/>
      <c r="AT376" s="74">
        <f t="shared" si="110"/>
        <v>0</v>
      </c>
      <c r="AU376" s="35"/>
      <c r="AV376" s="37">
        <f t="shared" si="97"/>
        <v>0</v>
      </c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outlineLevel="1" x14ac:dyDescent="0.2">
      <c r="A377" s="13"/>
      <c r="B377" s="3" t="s">
        <v>334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>
        <f>SUM(C377:AI377)</f>
        <v>0</v>
      </c>
      <c r="AK377" s="145"/>
      <c r="AL377" s="74">
        <f t="shared" si="106"/>
        <v>0</v>
      </c>
      <c r="AM377" s="35"/>
      <c r="AN377" s="74">
        <f t="shared" si="107"/>
        <v>0</v>
      </c>
      <c r="AO377" s="35"/>
      <c r="AP377" s="74">
        <f t="shared" si="108"/>
        <v>0</v>
      </c>
      <c r="AQ377" s="35"/>
      <c r="AR377" s="74">
        <f t="shared" si="109"/>
        <v>0</v>
      </c>
      <c r="AS377" s="35"/>
      <c r="AT377" s="74">
        <f t="shared" si="110"/>
        <v>0</v>
      </c>
      <c r="AU377" s="35"/>
      <c r="AV377" s="37">
        <f t="shared" si="97"/>
        <v>0</v>
      </c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x14ac:dyDescent="0.2">
      <c r="A378" s="13"/>
      <c r="B378" s="3" t="s">
        <v>335</v>
      </c>
      <c r="C378" s="14">
        <f>SUM(C376:C377)</f>
        <v>0</v>
      </c>
      <c r="D378" s="14"/>
      <c r="E378" s="14">
        <f>SUM(E376:E377)</f>
        <v>0</v>
      </c>
      <c r="F378" s="14"/>
      <c r="G378" s="14">
        <f>SUM(G376:G377)</f>
        <v>0</v>
      </c>
      <c r="H378" s="14"/>
      <c r="I378" s="14">
        <f>SUM(I376:I377)</f>
        <v>0</v>
      </c>
      <c r="J378" s="14"/>
      <c r="K378" s="14">
        <f>SUM(K376:K377)</f>
        <v>0</v>
      </c>
      <c r="L378" s="14"/>
      <c r="M378" s="14">
        <f>SUM(M376:M377)</f>
        <v>0</v>
      </c>
      <c r="N378" s="14"/>
      <c r="O378" s="14">
        <f>SUM(O376:O377)</f>
        <v>0</v>
      </c>
      <c r="P378" s="14"/>
      <c r="Q378" s="14">
        <f>SUM(Q376:Q377)</f>
        <v>0</v>
      </c>
      <c r="R378" s="14"/>
      <c r="S378" s="14">
        <f>SUM(S376:S377)</f>
        <v>0</v>
      </c>
      <c r="T378" s="14"/>
      <c r="U378" s="14">
        <f>SUM(U376:U377)</f>
        <v>0</v>
      </c>
      <c r="V378" s="14"/>
      <c r="W378" s="14">
        <f>SUM(W376:W377)</f>
        <v>0</v>
      </c>
      <c r="X378" s="14"/>
      <c r="Y378" s="14">
        <f>SUM(Y376:Y377)</f>
        <v>0</v>
      </c>
      <c r="Z378" s="14"/>
      <c r="AA378" s="14">
        <f>SUM(AA376:AA377)</f>
        <v>0</v>
      </c>
      <c r="AB378" s="14"/>
      <c r="AC378" s="14">
        <f>SUM(AC376:AC377)</f>
        <v>0</v>
      </c>
      <c r="AD378" s="14"/>
      <c r="AE378" s="14">
        <f>SUM(AE376:AE377)</f>
        <v>0</v>
      </c>
      <c r="AF378" s="14"/>
      <c r="AG378" s="14">
        <f>SUM(AG376:AG377)</f>
        <v>0</v>
      </c>
      <c r="AH378" s="14"/>
      <c r="AI378" s="14"/>
      <c r="AJ378" s="14">
        <f>SUM(AJ376:AJ377)</f>
        <v>0</v>
      </c>
      <c r="AK378" s="145"/>
      <c r="AL378" s="74">
        <f t="shared" si="106"/>
        <v>0</v>
      </c>
      <c r="AM378" s="35"/>
      <c r="AN378" s="74">
        <f t="shared" si="107"/>
        <v>0</v>
      </c>
      <c r="AO378" s="35"/>
      <c r="AP378" s="74">
        <f t="shared" si="108"/>
        <v>0</v>
      </c>
      <c r="AQ378" s="35"/>
      <c r="AR378" s="74">
        <f t="shared" si="109"/>
        <v>0</v>
      </c>
      <c r="AS378" s="35"/>
      <c r="AT378" s="74">
        <f t="shared" si="110"/>
        <v>0</v>
      </c>
      <c r="AU378" s="35"/>
      <c r="AV378" s="37">
        <f t="shared" si="97"/>
        <v>0</v>
      </c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x14ac:dyDescent="0.2">
      <c r="A379" s="13"/>
      <c r="B379" s="3" t="s">
        <v>336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>
        <f>SUM(C379:AH379)</f>
        <v>0</v>
      </c>
      <c r="AK379" s="145"/>
      <c r="AL379" s="74">
        <f t="shared" si="106"/>
        <v>0</v>
      </c>
      <c r="AM379" s="35"/>
      <c r="AN379" s="74">
        <f t="shared" si="107"/>
        <v>0</v>
      </c>
      <c r="AO379" s="35"/>
      <c r="AP379" s="74">
        <f t="shared" si="108"/>
        <v>0</v>
      </c>
      <c r="AQ379" s="35"/>
      <c r="AR379" s="74">
        <f t="shared" si="109"/>
        <v>0</v>
      </c>
      <c r="AS379" s="35"/>
      <c r="AT379" s="74">
        <f t="shared" si="110"/>
        <v>0</v>
      </c>
      <c r="AU379" s="35"/>
      <c r="AV379" s="37">
        <f t="shared" si="97"/>
        <v>0</v>
      </c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outlineLevel="1" x14ac:dyDescent="0.2">
      <c r="A380" s="13"/>
      <c r="B380" s="3" t="s">
        <v>337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>
        <f>SUM(C380:AI380)</f>
        <v>0</v>
      </c>
      <c r="AK380" s="145"/>
      <c r="AL380" s="74">
        <f t="shared" si="106"/>
        <v>0</v>
      </c>
      <c r="AM380" s="35"/>
      <c r="AN380" s="74">
        <f t="shared" si="107"/>
        <v>0</v>
      </c>
      <c r="AO380" s="35"/>
      <c r="AP380" s="74">
        <f t="shared" si="108"/>
        <v>0</v>
      </c>
      <c r="AQ380" s="35"/>
      <c r="AR380" s="74">
        <f t="shared" si="109"/>
        <v>0</v>
      </c>
      <c r="AS380" s="35"/>
      <c r="AT380" s="74">
        <f t="shared" si="110"/>
        <v>0</v>
      </c>
      <c r="AU380" s="35"/>
      <c r="AV380" s="37">
        <f t="shared" si="97"/>
        <v>0</v>
      </c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outlineLevel="1" x14ac:dyDescent="0.2">
      <c r="A381" s="13"/>
      <c r="B381" s="3" t="s">
        <v>338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>
        <f>SUM(C381:AI381)</f>
        <v>0</v>
      </c>
      <c r="AK381" s="145"/>
      <c r="AL381" s="74">
        <f t="shared" si="106"/>
        <v>0</v>
      </c>
      <c r="AM381" s="35"/>
      <c r="AN381" s="74">
        <f t="shared" si="107"/>
        <v>0</v>
      </c>
      <c r="AO381" s="35"/>
      <c r="AP381" s="74">
        <f t="shared" si="108"/>
        <v>0</v>
      </c>
      <c r="AQ381" s="35"/>
      <c r="AR381" s="74">
        <f t="shared" si="109"/>
        <v>0</v>
      </c>
      <c r="AS381" s="35"/>
      <c r="AT381" s="74">
        <f t="shared" si="110"/>
        <v>0</v>
      </c>
      <c r="AU381" s="35"/>
      <c r="AV381" s="37">
        <f t="shared" si="97"/>
        <v>0</v>
      </c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x14ac:dyDescent="0.2">
      <c r="A382" s="13"/>
      <c r="B382" s="3" t="s">
        <v>339</v>
      </c>
      <c r="C382" s="14">
        <f>SUM(C380:C381)</f>
        <v>0</v>
      </c>
      <c r="D382" s="14"/>
      <c r="E382" s="14">
        <f>SUM(E380:E381)</f>
        <v>0</v>
      </c>
      <c r="F382" s="14"/>
      <c r="G382" s="14">
        <f>SUM(G380:G381)</f>
        <v>0</v>
      </c>
      <c r="H382" s="14"/>
      <c r="I382" s="14">
        <f>SUM(I380:I381)</f>
        <v>0</v>
      </c>
      <c r="J382" s="14"/>
      <c r="K382" s="14">
        <f>SUM(K380:K381)</f>
        <v>0</v>
      </c>
      <c r="L382" s="14"/>
      <c r="M382" s="14">
        <f>SUM(M380:M381)</f>
        <v>0</v>
      </c>
      <c r="N382" s="14"/>
      <c r="O382" s="14">
        <f>SUM(O380:O381)</f>
        <v>0</v>
      </c>
      <c r="P382" s="14"/>
      <c r="Q382" s="14">
        <f>SUM(Q380:Q381)</f>
        <v>0</v>
      </c>
      <c r="R382" s="14"/>
      <c r="S382" s="14">
        <f>SUM(S380:S381)</f>
        <v>0</v>
      </c>
      <c r="T382" s="14"/>
      <c r="U382" s="14">
        <f>SUM(U380:U381)</f>
        <v>0</v>
      </c>
      <c r="V382" s="14"/>
      <c r="W382" s="14">
        <f>SUM(W380:W381)</f>
        <v>0</v>
      </c>
      <c r="X382" s="14"/>
      <c r="Y382" s="14">
        <f>SUM(Y380:Y381)</f>
        <v>0</v>
      </c>
      <c r="Z382" s="14"/>
      <c r="AA382" s="14">
        <f>SUM(AA380:AA381)</f>
        <v>0</v>
      </c>
      <c r="AB382" s="14"/>
      <c r="AC382" s="14">
        <f>SUM(AC380:AC381)</f>
        <v>0</v>
      </c>
      <c r="AD382" s="14"/>
      <c r="AE382" s="14">
        <f>SUM(AE380:AE381)</f>
        <v>0</v>
      </c>
      <c r="AF382" s="14"/>
      <c r="AG382" s="14">
        <f>SUM(AG380:AG381)</f>
        <v>0</v>
      </c>
      <c r="AH382" s="14"/>
      <c r="AI382" s="14"/>
      <c r="AJ382" s="14">
        <f>SUM(AJ380:AJ381)</f>
        <v>0</v>
      </c>
      <c r="AK382" s="145"/>
      <c r="AL382" s="74">
        <f t="shared" si="106"/>
        <v>0</v>
      </c>
      <c r="AM382" s="35"/>
      <c r="AN382" s="74">
        <f t="shared" si="107"/>
        <v>0</v>
      </c>
      <c r="AO382" s="35"/>
      <c r="AP382" s="74">
        <f t="shared" si="108"/>
        <v>0</v>
      </c>
      <c r="AQ382" s="35"/>
      <c r="AR382" s="74">
        <f t="shared" si="109"/>
        <v>0</v>
      </c>
      <c r="AS382" s="35"/>
      <c r="AT382" s="74">
        <f t="shared" si="110"/>
        <v>0</v>
      </c>
      <c r="AU382" s="35"/>
      <c r="AV382" s="37">
        <f t="shared" si="97"/>
        <v>0</v>
      </c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x14ac:dyDescent="0.2">
      <c r="A383" s="13"/>
      <c r="B383" s="3" t="s">
        <v>340</v>
      </c>
      <c r="C383" s="14"/>
      <c r="D383" s="14"/>
      <c r="E383" s="14">
        <v>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>
        <f>SUM(C383:AH383)</f>
        <v>0</v>
      </c>
      <c r="AK383" s="145"/>
      <c r="AL383" s="74">
        <f t="shared" si="106"/>
        <v>0</v>
      </c>
      <c r="AM383" s="35"/>
      <c r="AN383" s="74">
        <f t="shared" si="107"/>
        <v>0</v>
      </c>
      <c r="AO383" s="35"/>
      <c r="AP383" s="74">
        <f t="shared" si="108"/>
        <v>0</v>
      </c>
      <c r="AQ383" s="35"/>
      <c r="AR383" s="74">
        <f t="shared" si="109"/>
        <v>0</v>
      </c>
      <c r="AS383" s="35"/>
      <c r="AT383" s="74">
        <f t="shared" si="110"/>
        <v>0</v>
      </c>
      <c r="AU383" s="35"/>
      <c r="AV383" s="37">
        <f t="shared" si="97"/>
        <v>0</v>
      </c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x14ac:dyDescent="0.2">
      <c r="A384" s="13"/>
      <c r="B384" s="3" t="s">
        <v>341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>
        <f>SUM(C384:AH384)</f>
        <v>0</v>
      </c>
      <c r="AK384" s="145"/>
      <c r="AL384" s="74">
        <f t="shared" si="106"/>
        <v>0</v>
      </c>
      <c r="AM384" s="35"/>
      <c r="AN384" s="74">
        <f t="shared" si="107"/>
        <v>0</v>
      </c>
      <c r="AO384" s="35"/>
      <c r="AP384" s="74">
        <f t="shared" si="108"/>
        <v>0</v>
      </c>
      <c r="AQ384" s="35"/>
      <c r="AR384" s="74">
        <f t="shared" si="109"/>
        <v>0</v>
      </c>
      <c r="AS384" s="35"/>
      <c r="AT384" s="74">
        <f t="shared" si="110"/>
        <v>0</v>
      </c>
      <c r="AU384" s="35"/>
      <c r="AV384" s="37">
        <f t="shared" si="97"/>
        <v>0</v>
      </c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x14ac:dyDescent="0.2">
      <c r="A385" s="13"/>
      <c r="B385" s="9" t="s">
        <v>343</v>
      </c>
      <c r="C385" s="19">
        <f>SUM(C382:C384)+C379+C378+C375+C372</f>
        <v>0</v>
      </c>
      <c r="D385" s="14"/>
      <c r="E385" s="19">
        <f>SUM(E382:E384)+E379+E378+E375+E372</f>
        <v>0</v>
      </c>
      <c r="F385" s="14"/>
      <c r="G385" s="19">
        <f>SUM(G382:G384)+G379+G378+G375+G372</f>
        <v>0</v>
      </c>
      <c r="H385" s="14"/>
      <c r="I385" s="19">
        <f>SUM(I382:I384)+I379+I378+I375+I372</f>
        <v>0</v>
      </c>
      <c r="J385" s="14"/>
      <c r="K385" s="19">
        <f>SUM(K382:K384)+K379+K378+K375+K372</f>
        <v>0</v>
      </c>
      <c r="L385" s="14"/>
      <c r="M385" s="19">
        <f>SUM(M382:M384)+M379+M378+M375+M372</f>
        <v>0</v>
      </c>
      <c r="N385" s="14"/>
      <c r="O385" s="19">
        <f>SUM(O382:O384)+O379+O378+O375+O372</f>
        <v>0</v>
      </c>
      <c r="P385" s="14"/>
      <c r="Q385" s="19">
        <f>SUM(Q382:Q384)+Q379+Q378+Q375+Q372</f>
        <v>0</v>
      </c>
      <c r="R385" s="14"/>
      <c r="S385" s="19">
        <f>SUM(S382:S384)+S379+S378+S375+S372</f>
        <v>0</v>
      </c>
      <c r="T385" s="19"/>
      <c r="U385" s="19">
        <f>SUM(U382:U384)+U379+U378+U375+U372</f>
        <v>0</v>
      </c>
      <c r="V385" s="19"/>
      <c r="W385" s="19">
        <f>SUM(W382:W384)+W379+W378+W375+W372</f>
        <v>0</v>
      </c>
      <c r="X385" s="14"/>
      <c r="Y385" s="19">
        <f>SUM(Y382:Y384)+Y379+Y378+Y375+Y372</f>
        <v>0</v>
      </c>
      <c r="Z385" s="14"/>
      <c r="AA385" s="19">
        <f>SUM(AA382:AA384)+AA379+AA378+AA375+AA372</f>
        <v>0</v>
      </c>
      <c r="AB385" s="14"/>
      <c r="AC385" s="19">
        <f>SUM(AC382:AC384)+AC379+AC378+AC375+AC372</f>
        <v>0</v>
      </c>
      <c r="AD385" s="14"/>
      <c r="AE385" s="19">
        <f>SUM(AE382:AE384)+AE379+AE378+AE375+AE372</f>
        <v>0</v>
      </c>
      <c r="AF385" s="14"/>
      <c r="AG385" s="19">
        <f>SUM(AG382:AG384)+AG379+AG378+AG375+AG372</f>
        <v>0</v>
      </c>
      <c r="AH385" s="14"/>
      <c r="AI385" s="19"/>
      <c r="AJ385" s="19">
        <f>SUM(AJ382:AJ384)+AJ379+AJ378+AJ375+AJ372</f>
        <v>0</v>
      </c>
      <c r="AK385" s="145"/>
      <c r="AL385" s="110">
        <f>SUM(AL382:AL384)+AL379+AL378+AL375+AL372</f>
        <v>0</v>
      </c>
      <c r="AM385" s="35"/>
      <c r="AN385" s="110">
        <f>SUM(AN382:AN384)+AN379+AN378+AN375+AN372</f>
        <v>0</v>
      </c>
      <c r="AO385" s="35"/>
      <c r="AP385" s="110">
        <f>SUM(AP382:AP384)+AP379+AP378+AP375+AP372</f>
        <v>0</v>
      </c>
      <c r="AQ385" s="35"/>
      <c r="AR385" s="110">
        <f>SUM(AR382:AR384)+AR379+AR378+AR375+AR372</f>
        <v>0</v>
      </c>
      <c r="AS385" s="35"/>
      <c r="AT385" s="110">
        <f>SUM(AT382:AT384)+AT379+AT378+AT375+AT372</f>
        <v>0</v>
      </c>
      <c r="AU385" s="35"/>
      <c r="AV385" s="37">
        <f t="shared" si="97"/>
        <v>0</v>
      </c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x14ac:dyDescent="0.2">
      <c r="A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5"/>
      <c r="AL386" s="74"/>
      <c r="AM386" s="35"/>
      <c r="AN386" s="74"/>
      <c r="AO386" s="35"/>
      <c r="AP386" s="35"/>
      <c r="AQ386" s="35"/>
      <c r="AR386" s="35"/>
      <c r="AS386" s="35"/>
      <c r="AT386" s="35"/>
      <c r="AU386" s="35"/>
      <c r="AV386" s="37">
        <f t="shared" si="97"/>
        <v>0</v>
      </c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x14ac:dyDescent="0.2">
      <c r="A387" s="13"/>
      <c r="B387" s="9" t="s">
        <v>24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5"/>
      <c r="AL387" s="74"/>
      <c r="AM387" s="35"/>
      <c r="AN387" s="74"/>
      <c r="AO387" s="35"/>
      <c r="AP387" s="35"/>
      <c r="AQ387" s="35"/>
      <c r="AR387" s="35"/>
      <c r="AS387" s="35"/>
      <c r="AT387" s="35"/>
      <c r="AU387" s="35"/>
      <c r="AV387" s="37">
        <f t="shared" si="97"/>
        <v>0</v>
      </c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outlineLevel="1" x14ac:dyDescent="0.2">
      <c r="A388" s="13"/>
      <c r="B388" s="3" t="s">
        <v>344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>
        <f>SUM(C388:AI388)</f>
        <v>0</v>
      </c>
      <c r="AK388" s="145"/>
      <c r="AL388" s="74">
        <f t="shared" ref="AL388:AL402" si="111">SUMIF($C$10:$AI$10,"=Addition",$C388:$AI388)</f>
        <v>0</v>
      </c>
      <c r="AM388" s="35"/>
      <c r="AN388" s="74">
        <f t="shared" ref="AN388:AN402" si="112">SUMIF($C$10:$AI$10,"=Adjustment",$C388:$AI388)</f>
        <v>0</v>
      </c>
      <c r="AO388" s="35"/>
      <c r="AP388" s="74">
        <f t="shared" ref="AP388:AP402" si="113">SUMIF($C$10:$AI$10,"=Transfer",$C388:$AI388)</f>
        <v>0</v>
      </c>
      <c r="AQ388" s="35"/>
      <c r="AR388" s="74">
        <f t="shared" ref="AR388:AR402" si="114">SUMIF($C$10:$AI$10,"=N/A",$C388:$AI388)</f>
        <v>0</v>
      </c>
      <c r="AS388" s="35"/>
      <c r="AT388" s="74">
        <f t="shared" ref="AT388:AT402" si="115">SUM(AL388:AR388)</f>
        <v>0</v>
      </c>
      <c r="AU388" s="35"/>
      <c r="AV388" s="37">
        <f t="shared" si="97"/>
        <v>0</v>
      </c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outlineLevel="1" x14ac:dyDescent="0.2">
      <c r="A389" s="13"/>
      <c r="B389" s="3" t="s">
        <v>345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>
        <f>SUM(C389:AI389)</f>
        <v>0</v>
      </c>
      <c r="AK389" s="145"/>
      <c r="AL389" s="74">
        <f t="shared" si="111"/>
        <v>0</v>
      </c>
      <c r="AM389" s="35"/>
      <c r="AN389" s="74">
        <f t="shared" si="112"/>
        <v>0</v>
      </c>
      <c r="AO389" s="35"/>
      <c r="AP389" s="74">
        <f t="shared" si="113"/>
        <v>0</v>
      </c>
      <c r="AQ389" s="35"/>
      <c r="AR389" s="74">
        <f t="shared" si="114"/>
        <v>0</v>
      </c>
      <c r="AS389" s="35"/>
      <c r="AT389" s="74">
        <f t="shared" si="115"/>
        <v>0</v>
      </c>
      <c r="AU389" s="35"/>
      <c r="AV389" s="37">
        <f t="shared" si="97"/>
        <v>0</v>
      </c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x14ac:dyDescent="0.2">
      <c r="A390" s="13"/>
      <c r="B390" s="3" t="s">
        <v>346</v>
      </c>
      <c r="C390" s="14">
        <f>SUM(C388:C389)</f>
        <v>0</v>
      </c>
      <c r="D390" s="14"/>
      <c r="E390" s="14">
        <f>SUM(E388:E389)</f>
        <v>0</v>
      </c>
      <c r="F390" s="14"/>
      <c r="G390" s="14">
        <f>SUM(G388:G389)</f>
        <v>0</v>
      </c>
      <c r="H390" s="14"/>
      <c r="I390" s="14">
        <f>SUM(I388:I389)</f>
        <v>0</v>
      </c>
      <c r="J390" s="14"/>
      <c r="K390" s="14">
        <f>SUM(K388:K389)</f>
        <v>0</v>
      </c>
      <c r="L390" s="14"/>
      <c r="M390" s="14">
        <f>SUM(M388:M389)</f>
        <v>0</v>
      </c>
      <c r="N390" s="14"/>
      <c r="O390" s="14">
        <f>SUM(O388:O389)</f>
        <v>0</v>
      </c>
      <c r="P390" s="14"/>
      <c r="Q390" s="14">
        <f>SUM(Q388:Q389)</f>
        <v>0</v>
      </c>
      <c r="R390" s="14"/>
      <c r="S390" s="14">
        <f>SUM(S388:S389)</f>
        <v>0</v>
      </c>
      <c r="T390" s="14"/>
      <c r="U390" s="14">
        <f>SUM(U388:U389)</f>
        <v>0</v>
      </c>
      <c r="V390" s="14"/>
      <c r="W390" s="14">
        <f>SUM(W388:W389)</f>
        <v>0</v>
      </c>
      <c r="X390" s="14"/>
      <c r="Y390" s="14">
        <f>SUM(Y388:Y389)</f>
        <v>0</v>
      </c>
      <c r="Z390" s="14"/>
      <c r="AA390" s="14">
        <f>SUM(AA388:AA389)</f>
        <v>0</v>
      </c>
      <c r="AB390" s="14"/>
      <c r="AC390" s="14">
        <f>SUM(AC388:AC389)</f>
        <v>0</v>
      </c>
      <c r="AD390" s="14"/>
      <c r="AE390" s="14">
        <f>SUM(AE388:AE389)</f>
        <v>0</v>
      </c>
      <c r="AF390" s="14"/>
      <c r="AG390" s="14">
        <f>SUM(AG388:AG389)</f>
        <v>0</v>
      </c>
      <c r="AH390" s="14"/>
      <c r="AI390" s="14"/>
      <c r="AJ390" s="14">
        <f>SUM(AJ388:AJ389)</f>
        <v>0</v>
      </c>
      <c r="AK390" s="145"/>
      <c r="AL390" s="74">
        <f t="shared" si="111"/>
        <v>0</v>
      </c>
      <c r="AM390" s="35"/>
      <c r="AN390" s="74">
        <f t="shared" si="112"/>
        <v>0</v>
      </c>
      <c r="AO390" s="35"/>
      <c r="AP390" s="74">
        <f t="shared" si="113"/>
        <v>0</v>
      </c>
      <c r="AQ390" s="35"/>
      <c r="AR390" s="74">
        <f t="shared" si="114"/>
        <v>0</v>
      </c>
      <c r="AS390" s="35"/>
      <c r="AT390" s="74">
        <f t="shared" si="115"/>
        <v>0</v>
      </c>
      <c r="AU390" s="35"/>
      <c r="AV390" s="37">
        <f t="shared" si="97"/>
        <v>0</v>
      </c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x14ac:dyDescent="0.2">
      <c r="A391" s="13"/>
      <c r="B391" s="3" t="s">
        <v>347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>
        <f>SUM(C391:AI391)</f>
        <v>0</v>
      </c>
      <c r="AK391" s="145"/>
      <c r="AL391" s="74">
        <f t="shared" si="111"/>
        <v>0</v>
      </c>
      <c r="AM391" s="35"/>
      <c r="AN391" s="74">
        <f t="shared" si="112"/>
        <v>0</v>
      </c>
      <c r="AO391" s="35"/>
      <c r="AP391" s="74">
        <f t="shared" si="113"/>
        <v>0</v>
      </c>
      <c r="AQ391" s="35"/>
      <c r="AR391" s="74">
        <f t="shared" si="114"/>
        <v>0</v>
      </c>
      <c r="AS391" s="35"/>
      <c r="AT391" s="74">
        <f t="shared" si="115"/>
        <v>0</v>
      </c>
      <c r="AU391" s="35"/>
      <c r="AV391" s="37">
        <f t="shared" si="97"/>
        <v>0</v>
      </c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outlineLevel="1" x14ac:dyDescent="0.2">
      <c r="A392" s="13"/>
      <c r="B392" s="3" t="s">
        <v>349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>
        <f>SUM(C392:AI392)</f>
        <v>0</v>
      </c>
      <c r="AK392" s="145"/>
      <c r="AL392" s="74">
        <f t="shared" si="111"/>
        <v>0</v>
      </c>
      <c r="AM392" s="35"/>
      <c r="AN392" s="74">
        <f t="shared" si="112"/>
        <v>0</v>
      </c>
      <c r="AO392" s="35"/>
      <c r="AP392" s="74">
        <f t="shared" si="113"/>
        <v>0</v>
      </c>
      <c r="AQ392" s="35"/>
      <c r="AR392" s="74">
        <f t="shared" si="114"/>
        <v>0</v>
      </c>
      <c r="AS392" s="35"/>
      <c r="AT392" s="74">
        <f t="shared" si="115"/>
        <v>0</v>
      </c>
      <c r="AU392" s="35"/>
      <c r="AV392" s="37">
        <f t="shared" si="97"/>
        <v>0</v>
      </c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outlineLevel="1" x14ac:dyDescent="0.2">
      <c r="A393" s="13"/>
      <c r="B393" s="3" t="s">
        <v>350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>
        <f>SUM(C393:AI393)</f>
        <v>0</v>
      </c>
      <c r="AK393" s="145"/>
      <c r="AL393" s="74">
        <f t="shared" si="111"/>
        <v>0</v>
      </c>
      <c r="AM393" s="35"/>
      <c r="AN393" s="74">
        <f t="shared" si="112"/>
        <v>0</v>
      </c>
      <c r="AO393" s="35"/>
      <c r="AP393" s="74">
        <f t="shared" si="113"/>
        <v>0</v>
      </c>
      <c r="AQ393" s="35"/>
      <c r="AR393" s="74">
        <f t="shared" si="114"/>
        <v>0</v>
      </c>
      <c r="AS393" s="35"/>
      <c r="AT393" s="74">
        <f t="shared" si="115"/>
        <v>0</v>
      </c>
      <c r="AU393" s="35"/>
      <c r="AV393" s="37">
        <f t="shared" si="97"/>
        <v>0</v>
      </c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x14ac:dyDescent="0.2">
      <c r="A394" s="13"/>
      <c r="B394" s="3" t="s">
        <v>352</v>
      </c>
      <c r="C394" s="14">
        <f>SUM(C392:C393)</f>
        <v>0</v>
      </c>
      <c r="D394" s="14"/>
      <c r="E394" s="14">
        <f>SUM(E392:E393)</f>
        <v>0</v>
      </c>
      <c r="F394" s="14"/>
      <c r="G394" s="14">
        <f>SUM(G392:G393)</f>
        <v>0</v>
      </c>
      <c r="H394" s="14"/>
      <c r="I394" s="14">
        <f>SUM(I392:I393)</f>
        <v>0</v>
      </c>
      <c r="J394" s="14"/>
      <c r="K394" s="14">
        <f>SUM(K392:K393)</f>
        <v>0</v>
      </c>
      <c r="L394" s="14"/>
      <c r="M394" s="14">
        <f>SUM(M392:M393)</f>
        <v>0</v>
      </c>
      <c r="N394" s="14"/>
      <c r="O394" s="14">
        <f>SUM(O392:O393)</f>
        <v>0</v>
      </c>
      <c r="P394" s="14"/>
      <c r="Q394" s="14">
        <f>SUM(Q392:Q393)</f>
        <v>0</v>
      </c>
      <c r="R394" s="14"/>
      <c r="S394" s="14">
        <f>SUM(S392:S393)</f>
        <v>0</v>
      </c>
      <c r="T394" s="14"/>
      <c r="U394" s="14">
        <f>SUM(U392:U393)</f>
        <v>0</v>
      </c>
      <c r="V394" s="14"/>
      <c r="W394" s="14">
        <f>SUM(W392:W393)</f>
        <v>0</v>
      </c>
      <c r="X394" s="14"/>
      <c r="Y394" s="14">
        <f>SUM(Y392:Y393)</f>
        <v>0</v>
      </c>
      <c r="Z394" s="14"/>
      <c r="AA394" s="14">
        <f>SUM(AA392:AA393)</f>
        <v>0</v>
      </c>
      <c r="AB394" s="14"/>
      <c r="AC394" s="14">
        <f>SUM(AC392:AC393)</f>
        <v>0</v>
      </c>
      <c r="AD394" s="14"/>
      <c r="AE394" s="14">
        <f>SUM(AE392:AE393)</f>
        <v>0</v>
      </c>
      <c r="AF394" s="14"/>
      <c r="AG394" s="14">
        <f>SUM(AG392:AG393)</f>
        <v>0</v>
      </c>
      <c r="AH394" s="14"/>
      <c r="AI394" s="14"/>
      <c r="AJ394" s="14">
        <f>SUM(AJ392:AJ393)</f>
        <v>0</v>
      </c>
      <c r="AK394" s="145"/>
      <c r="AL394" s="74">
        <f t="shared" si="111"/>
        <v>0</v>
      </c>
      <c r="AM394" s="35"/>
      <c r="AN394" s="74">
        <f t="shared" si="112"/>
        <v>0</v>
      </c>
      <c r="AO394" s="35"/>
      <c r="AP394" s="74">
        <f t="shared" si="113"/>
        <v>0</v>
      </c>
      <c r="AQ394" s="35"/>
      <c r="AR394" s="74">
        <f t="shared" si="114"/>
        <v>0</v>
      </c>
      <c r="AS394" s="35"/>
      <c r="AT394" s="74">
        <f t="shared" si="115"/>
        <v>0</v>
      </c>
      <c r="AU394" s="35"/>
      <c r="AV394" s="37">
        <f t="shared" si="97"/>
        <v>0</v>
      </c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x14ac:dyDescent="0.2">
      <c r="A395" s="13"/>
      <c r="B395" s="3" t="s">
        <v>353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>
        <f t="shared" ref="AJ395:AJ401" si="116">SUM(C395:AI395)</f>
        <v>0</v>
      </c>
      <c r="AK395" s="145"/>
      <c r="AL395" s="74">
        <f t="shared" si="111"/>
        <v>0</v>
      </c>
      <c r="AM395" s="35"/>
      <c r="AN395" s="74">
        <f t="shared" si="112"/>
        <v>0</v>
      </c>
      <c r="AO395" s="35"/>
      <c r="AP395" s="74">
        <f t="shared" si="113"/>
        <v>0</v>
      </c>
      <c r="AQ395" s="35"/>
      <c r="AR395" s="74">
        <f t="shared" si="114"/>
        <v>0</v>
      </c>
      <c r="AS395" s="35"/>
      <c r="AT395" s="74">
        <f t="shared" si="115"/>
        <v>0</v>
      </c>
      <c r="AU395" s="35"/>
      <c r="AV395" s="37">
        <f t="shared" si="97"/>
        <v>0</v>
      </c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x14ac:dyDescent="0.2">
      <c r="A396" s="13"/>
      <c r="B396" s="3" t="s">
        <v>354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>
        <f t="shared" si="116"/>
        <v>0</v>
      </c>
      <c r="AK396" s="145"/>
      <c r="AL396" s="74">
        <f t="shared" si="111"/>
        <v>0</v>
      </c>
      <c r="AM396" s="35"/>
      <c r="AN396" s="74">
        <f t="shared" si="112"/>
        <v>0</v>
      </c>
      <c r="AO396" s="35"/>
      <c r="AP396" s="74">
        <f t="shared" si="113"/>
        <v>0</v>
      </c>
      <c r="AQ396" s="35"/>
      <c r="AR396" s="74">
        <f t="shared" si="114"/>
        <v>0</v>
      </c>
      <c r="AS396" s="35"/>
      <c r="AT396" s="74">
        <f t="shared" si="115"/>
        <v>0</v>
      </c>
      <c r="AU396" s="35"/>
      <c r="AV396" s="37">
        <f t="shared" si="97"/>
        <v>0</v>
      </c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x14ac:dyDescent="0.2">
      <c r="A397" s="13"/>
      <c r="B397" s="3" t="s">
        <v>355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>
        <f t="shared" si="116"/>
        <v>0</v>
      </c>
      <c r="AK397" s="145"/>
      <c r="AL397" s="74">
        <f t="shared" si="111"/>
        <v>0</v>
      </c>
      <c r="AM397" s="35"/>
      <c r="AN397" s="74">
        <f t="shared" si="112"/>
        <v>0</v>
      </c>
      <c r="AO397" s="35"/>
      <c r="AP397" s="74">
        <f t="shared" si="113"/>
        <v>0</v>
      </c>
      <c r="AQ397" s="35"/>
      <c r="AR397" s="74">
        <f t="shared" si="114"/>
        <v>0</v>
      </c>
      <c r="AS397" s="35"/>
      <c r="AT397" s="74">
        <f t="shared" si="115"/>
        <v>0</v>
      </c>
      <c r="AU397" s="35"/>
      <c r="AV397" s="37">
        <f t="shared" si="97"/>
        <v>0</v>
      </c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x14ac:dyDescent="0.2">
      <c r="A398" s="13"/>
      <c r="B398" s="3" t="s">
        <v>356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>
        <f t="shared" si="116"/>
        <v>0</v>
      </c>
      <c r="AK398" s="145"/>
      <c r="AL398" s="74">
        <f t="shared" si="111"/>
        <v>0</v>
      </c>
      <c r="AM398" s="35"/>
      <c r="AN398" s="74">
        <f t="shared" si="112"/>
        <v>0</v>
      </c>
      <c r="AO398" s="35"/>
      <c r="AP398" s="74">
        <f t="shared" si="113"/>
        <v>0</v>
      </c>
      <c r="AQ398" s="35"/>
      <c r="AR398" s="74">
        <f t="shared" si="114"/>
        <v>0</v>
      </c>
      <c r="AS398" s="35"/>
      <c r="AT398" s="74">
        <f t="shared" si="115"/>
        <v>0</v>
      </c>
      <c r="AU398" s="35"/>
      <c r="AV398" s="37">
        <f t="shared" si="97"/>
        <v>0</v>
      </c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x14ac:dyDescent="0.2">
      <c r="A399" s="13"/>
      <c r="B399" s="3" t="s">
        <v>357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>
        <f t="shared" si="116"/>
        <v>0</v>
      </c>
      <c r="AK399" s="145"/>
      <c r="AL399" s="74">
        <f t="shared" si="111"/>
        <v>0</v>
      </c>
      <c r="AM399" s="35"/>
      <c r="AN399" s="74">
        <f t="shared" si="112"/>
        <v>0</v>
      </c>
      <c r="AO399" s="35"/>
      <c r="AP399" s="74">
        <f t="shared" si="113"/>
        <v>0</v>
      </c>
      <c r="AQ399" s="35"/>
      <c r="AR399" s="74">
        <f t="shared" si="114"/>
        <v>0</v>
      </c>
      <c r="AS399" s="35"/>
      <c r="AT399" s="74">
        <f t="shared" si="115"/>
        <v>0</v>
      </c>
      <c r="AU399" s="35"/>
      <c r="AV399" s="37">
        <f t="shared" si="97"/>
        <v>0</v>
      </c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outlineLevel="1" x14ac:dyDescent="0.2">
      <c r="A400" s="13"/>
      <c r="B400" s="3" t="s">
        <v>358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>
        <f t="shared" si="116"/>
        <v>0</v>
      </c>
      <c r="AK400" s="145"/>
      <c r="AL400" s="74">
        <f t="shared" si="111"/>
        <v>0</v>
      </c>
      <c r="AM400" s="35"/>
      <c r="AN400" s="74">
        <f t="shared" si="112"/>
        <v>0</v>
      </c>
      <c r="AO400" s="35"/>
      <c r="AP400" s="74">
        <f t="shared" si="113"/>
        <v>0</v>
      </c>
      <c r="AQ400" s="35"/>
      <c r="AR400" s="74">
        <f t="shared" si="114"/>
        <v>0</v>
      </c>
      <c r="AS400" s="35"/>
      <c r="AT400" s="74">
        <f t="shared" si="115"/>
        <v>0</v>
      </c>
      <c r="AU400" s="35"/>
      <c r="AV400" s="37">
        <f t="shared" si="97"/>
        <v>0</v>
      </c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outlineLevel="1" x14ac:dyDescent="0.2">
      <c r="A401" s="13"/>
      <c r="B401" s="29" t="s">
        <v>359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>
        <f t="shared" si="116"/>
        <v>0</v>
      </c>
      <c r="AK401" s="145"/>
      <c r="AL401" s="74">
        <f t="shared" si="111"/>
        <v>0</v>
      </c>
      <c r="AM401" s="35"/>
      <c r="AN401" s="74">
        <f t="shared" si="112"/>
        <v>0</v>
      </c>
      <c r="AO401" s="35"/>
      <c r="AP401" s="74">
        <f t="shared" si="113"/>
        <v>0</v>
      </c>
      <c r="AQ401" s="35"/>
      <c r="AR401" s="74">
        <f t="shared" si="114"/>
        <v>0</v>
      </c>
      <c r="AS401" s="35"/>
      <c r="AT401" s="74">
        <f t="shared" si="115"/>
        <v>0</v>
      </c>
      <c r="AU401" s="35"/>
      <c r="AV401" s="37">
        <f t="shared" si="97"/>
        <v>0</v>
      </c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x14ac:dyDescent="0.2">
      <c r="A402" s="13"/>
      <c r="B402" s="29" t="s">
        <v>360</v>
      </c>
      <c r="C402" s="14">
        <f>SUM(C400:C401)</f>
        <v>0</v>
      </c>
      <c r="D402" s="14"/>
      <c r="E402" s="14">
        <f>SUM(E400:E401)</f>
        <v>0</v>
      </c>
      <c r="F402" s="14"/>
      <c r="G402" s="14">
        <f>SUM(G400:G401)</f>
        <v>0</v>
      </c>
      <c r="H402" s="14"/>
      <c r="I402" s="14">
        <f>SUM(I400:I401)</f>
        <v>0</v>
      </c>
      <c r="J402" s="14"/>
      <c r="K402" s="14">
        <f>SUM(K400:K401)</f>
        <v>0</v>
      </c>
      <c r="L402" s="14"/>
      <c r="M402" s="14">
        <f>SUM(M400:M401)</f>
        <v>0</v>
      </c>
      <c r="N402" s="14"/>
      <c r="O402" s="14">
        <f>SUM(O400:O401)</f>
        <v>0</v>
      </c>
      <c r="P402" s="14"/>
      <c r="Q402" s="14">
        <f>SUM(Q400:Q401)</f>
        <v>0</v>
      </c>
      <c r="R402" s="14"/>
      <c r="S402" s="14">
        <f>SUM(S400:S401)</f>
        <v>0</v>
      </c>
      <c r="T402" s="14"/>
      <c r="U402" s="14">
        <f>SUM(U400:U401)</f>
        <v>0</v>
      </c>
      <c r="V402" s="14"/>
      <c r="W402" s="14">
        <f>SUM(W400:W401)</f>
        <v>0</v>
      </c>
      <c r="X402" s="14"/>
      <c r="Y402" s="14">
        <f>SUM(Y400:Y401)</f>
        <v>0</v>
      </c>
      <c r="Z402" s="14"/>
      <c r="AA402" s="14">
        <f>SUM(AA400:AA401)</f>
        <v>0</v>
      </c>
      <c r="AB402" s="14"/>
      <c r="AC402" s="14">
        <f>SUM(AC400:AC401)</f>
        <v>0</v>
      </c>
      <c r="AD402" s="14"/>
      <c r="AE402" s="14">
        <f>SUM(AE400:AE401)</f>
        <v>0</v>
      </c>
      <c r="AF402" s="14"/>
      <c r="AG402" s="14">
        <f>SUM(AG400:AG401)</f>
        <v>0</v>
      </c>
      <c r="AH402" s="14"/>
      <c r="AI402" s="14"/>
      <c r="AJ402" s="14">
        <f>SUM(C402:AH402)</f>
        <v>0</v>
      </c>
      <c r="AK402" s="145"/>
      <c r="AL402" s="74">
        <f t="shared" si="111"/>
        <v>0</v>
      </c>
      <c r="AM402" s="35"/>
      <c r="AN402" s="74">
        <f t="shared" si="112"/>
        <v>0</v>
      </c>
      <c r="AO402" s="35"/>
      <c r="AP402" s="74">
        <f t="shared" si="113"/>
        <v>0</v>
      </c>
      <c r="AQ402" s="35"/>
      <c r="AR402" s="74">
        <f t="shared" si="114"/>
        <v>0</v>
      </c>
      <c r="AS402" s="35"/>
      <c r="AT402" s="74">
        <f t="shared" si="115"/>
        <v>0</v>
      </c>
      <c r="AU402" s="35"/>
      <c r="AV402" s="37">
        <f t="shared" si="97"/>
        <v>0</v>
      </c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x14ac:dyDescent="0.2">
      <c r="A403" s="13"/>
      <c r="B403" s="111" t="s">
        <v>361</v>
      </c>
      <c r="C403" s="19">
        <f>C402+SUM(C394:C399)+C391+C390</f>
        <v>0</v>
      </c>
      <c r="D403" s="14"/>
      <c r="E403" s="19">
        <f>E402+SUM(E394:E399)+E391+E390</f>
        <v>0</v>
      </c>
      <c r="F403" s="14"/>
      <c r="G403" s="19">
        <f>G402+SUM(G394:G399)+G391+G390</f>
        <v>0</v>
      </c>
      <c r="H403" s="14"/>
      <c r="I403" s="19">
        <f>I402+SUM(I394:I399)+I391+I390</f>
        <v>0</v>
      </c>
      <c r="J403" s="14"/>
      <c r="K403" s="19">
        <f>K402+SUM(K394:K399)+K391+K390</f>
        <v>0</v>
      </c>
      <c r="L403" s="14"/>
      <c r="M403" s="19">
        <f>M402+SUM(M394:M399)+M391+M390</f>
        <v>0</v>
      </c>
      <c r="N403" s="14"/>
      <c r="O403" s="19">
        <f>O402+SUM(O394:O399)+O391+O390</f>
        <v>0</v>
      </c>
      <c r="P403" s="14"/>
      <c r="Q403" s="19">
        <f>Q402+SUM(Q394:Q399)+Q391+Q390</f>
        <v>0</v>
      </c>
      <c r="R403" s="14"/>
      <c r="S403" s="19">
        <f>S402+SUM(S394:S399)+S391+S390</f>
        <v>0</v>
      </c>
      <c r="T403" s="19"/>
      <c r="U403" s="19">
        <f>U402+SUM(U394:U399)+U391+U390</f>
        <v>0</v>
      </c>
      <c r="V403" s="19"/>
      <c r="W403" s="19">
        <f>W402+SUM(W394:W399)+W391+W390</f>
        <v>0</v>
      </c>
      <c r="X403" s="14"/>
      <c r="Y403" s="19">
        <f>Y402+SUM(Y394:Y399)+Y391+Y390</f>
        <v>0</v>
      </c>
      <c r="Z403" s="14"/>
      <c r="AA403" s="19">
        <f>AA402+SUM(AA394:AA399)+AA391+AA390</f>
        <v>0</v>
      </c>
      <c r="AB403" s="14"/>
      <c r="AC403" s="19">
        <f>AC402+SUM(AC394:AC399)+AC391+AC390</f>
        <v>0</v>
      </c>
      <c r="AD403" s="14"/>
      <c r="AE403" s="19">
        <f>AE402+SUM(AE394:AE399)+AE391+AE390</f>
        <v>0</v>
      </c>
      <c r="AF403" s="14"/>
      <c r="AG403" s="19">
        <f>AG402+SUM(AG394:AG399)+AG391+AG390</f>
        <v>0</v>
      </c>
      <c r="AH403" s="14"/>
      <c r="AI403" s="19"/>
      <c r="AJ403" s="19">
        <f>AJ402+SUM(AJ394:AJ399)+AJ391+AJ390</f>
        <v>0</v>
      </c>
      <c r="AK403" s="145"/>
      <c r="AL403" s="110">
        <f>AL402+SUM(AL394:AL399)+AL391+AL390</f>
        <v>0</v>
      </c>
      <c r="AM403" s="35"/>
      <c r="AN403" s="110">
        <f>AN402+SUM(AN394:AN399)+AN391+AN390</f>
        <v>0</v>
      </c>
      <c r="AO403" s="35"/>
      <c r="AP403" s="110">
        <f>AP402+SUM(AP394:AP399)+AP391+AP390</f>
        <v>0</v>
      </c>
      <c r="AQ403" s="35"/>
      <c r="AR403" s="110">
        <f>AR402+SUM(AR394:AR399)+AR391+AR390</f>
        <v>0</v>
      </c>
      <c r="AS403" s="35"/>
      <c r="AT403" s="110">
        <f>AT402+SUM(AT394:AT399)+AT391+AT390</f>
        <v>0</v>
      </c>
      <c r="AU403" s="35"/>
      <c r="AV403" s="37">
        <f t="shared" si="97"/>
        <v>0</v>
      </c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x14ac:dyDescent="0.2">
      <c r="A404" s="13"/>
      <c r="B404" s="111"/>
      <c r="C404" s="16"/>
      <c r="D404" s="14"/>
      <c r="E404" s="16"/>
      <c r="F404" s="14"/>
      <c r="G404" s="16"/>
      <c r="H404" s="14"/>
      <c r="I404" s="16"/>
      <c r="J404" s="14"/>
      <c r="K404" s="16"/>
      <c r="L404" s="14"/>
      <c r="M404" s="16"/>
      <c r="N404" s="14"/>
      <c r="O404" s="16"/>
      <c r="P404" s="14"/>
      <c r="Q404" s="16"/>
      <c r="R404" s="14"/>
      <c r="S404" s="16"/>
      <c r="T404" s="16"/>
      <c r="U404" s="16"/>
      <c r="V404" s="16"/>
      <c r="W404" s="16"/>
      <c r="X404" s="14"/>
      <c r="Y404" s="16"/>
      <c r="Z404" s="14"/>
      <c r="AA404" s="16"/>
      <c r="AB404" s="14"/>
      <c r="AC404" s="16"/>
      <c r="AD404" s="14"/>
      <c r="AE404" s="16"/>
      <c r="AF404" s="14"/>
      <c r="AG404" s="16"/>
      <c r="AH404" s="14"/>
      <c r="AI404" s="16"/>
      <c r="AJ404" s="16"/>
      <c r="AK404" s="145"/>
      <c r="AL404" s="74"/>
      <c r="AM404" s="35"/>
      <c r="AN404" s="74"/>
      <c r="AO404" s="35"/>
      <c r="AP404" s="35"/>
      <c r="AQ404" s="35"/>
      <c r="AR404" s="35"/>
      <c r="AS404" s="35"/>
      <c r="AT404" s="35"/>
      <c r="AU404" s="35"/>
      <c r="AV404" s="37">
        <f t="shared" si="97"/>
        <v>0</v>
      </c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x14ac:dyDescent="0.2">
      <c r="A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5"/>
      <c r="AL405" s="74"/>
      <c r="AM405" s="35"/>
      <c r="AN405" s="74"/>
      <c r="AO405" s="35"/>
      <c r="AP405" s="35"/>
      <c r="AQ405" s="35"/>
      <c r="AR405" s="35"/>
      <c r="AS405" s="35"/>
      <c r="AT405" s="35"/>
      <c r="AU405" s="35"/>
      <c r="AV405" s="37">
        <f t="shared" si="97"/>
        <v>0</v>
      </c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x14ac:dyDescent="0.2">
      <c r="A406" s="13"/>
      <c r="B406" s="9" t="s">
        <v>431</v>
      </c>
      <c r="C406" s="19">
        <f>C403+C385+C367+C354+C349+C338+C326</f>
        <v>0</v>
      </c>
      <c r="D406" s="14"/>
      <c r="E406" s="19">
        <f>E403+E385+E367+E354+E349+E338+E326</f>
        <v>0</v>
      </c>
      <c r="F406" s="14"/>
      <c r="G406" s="19">
        <f>G403+G385+G367+G354+G349+G338+G326</f>
        <v>0</v>
      </c>
      <c r="H406" s="14"/>
      <c r="I406" s="19">
        <f>I403+I385+I367+I354+I349+I338+I326</f>
        <v>0</v>
      </c>
      <c r="J406" s="14"/>
      <c r="K406" s="19">
        <f>K403+K385+K367+K354+K349+K338+K326</f>
        <v>0</v>
      </c>
      <c r="L406" s="14"/>
      <c r="M406" s="19">
        <f>M403+M385+M367+M354+M349+M338+M326</f>
        <v>0</v>
      </c>
      <c r="N406" s="14"/>
      <c r="O406" s="19">
        <f>O403+O385+O367+O354+O349+O338+O326</f>
        <v>0</v>
      </c>
      <c r="P406" s="14"/>
      <c r="Q406" s="19">
        <f>Q403+Q385+Q367+Q354+Q349+Q338+Q326</f>
        <v>0</v>
      </c>
      <c r="R406" s="14"/>
      <c r="S406" s="19">
        <f>S403+S385+S367+S354+S349+S338+S326</f>
        <v>0</v>
      </c>
      <c r="T406" s="19"/>
      <c r="U406" s="19">
        <f>U403+U385+U367+U354+U349+U338+U326</f>
        <v>0</v>
      </c>
      <c r="V406" s="19"/>
      <c r="W406" s="19">
        <f>W403+W385+W367+W354+W349+W338+W326</f>
        <v>0</v>
      </c>
      <c r="X406" s="14"/>
      <c r="Y406" s="19">
        <f>Y403+Y385+Y367+Y354+Y349+Y338+Y326</f>
        <v>0</v>
      </c>
      <c r="Z406" s="14"/>
      <c r="AA406" s="19">
        <f>AA403+AA385+AA367+AA354+AA349+AA338+AA326</f>
        <v>0</v>
      </c>
      <c r="AB406" s="14"/>
      <c r="AC406" s="19">
        <f>AC403+AC385+AC367+AC354+AC349+AC338+AC326</f>
        <v>0</v>
      </c>
      <c r="AD406" s="14"/>
      <c r="AE406" s="19">
        <f>AE403+AE385+AE367+AE354+AE349+AE338+AE326</f>
        <v>0</v>
      </c>
      <c r="AF406" s="14"/>
      <c r="AG406" s="19">
        <f>AG403+AG385+AG367+AG354+AG349+AG338+AG326</f>
        <v>0</v>
      </c>
      <c r="AH406" s="14"/>
      <c r="AI406" s="19"/>
      <c r="AJ406" s="19">
        <f>AJ403+AJ385+AJ367+AJ354+AJ349+AJ338+AJ326</f>
        <v>0</v>
      </c>
      <c r="AK406" s="145"/>
      <c r="AL406" s="110">
        <f>AL403+AL385+AL367+AL354+AL349+AL338+AL326</f>
        <v>0</v>
      </c>
      <c r="AM406" s="35"/>
      <c r="AN406" s="110">
        <f>AN403+AN385+AN367+AN354+AN349+AN338+AN326</f>
        <v>0</v>
      </c>
      <c r="AO406" s="35"/>
      <c r="AP406" s="110">
        <f>AP403+AP385+AP367+AP354+AP349+AP338+AP326</f>
        <v>0</v>
      </c>
      <c r="AQ406" s="35"/>
      <c r="AR406" s="110">
        <f>AR403+AR385+AR367+AR354+AR349+AR338+AR326</f>
        <v>0</v>
      </c>
      <c r="AS406" s="35"/>
      <c r="AT406" s="110">
        <f>AT403+AT385+AT367+AT354+AT349+AT338+AT326</f>
        <v>0</v>
      </c>
      <c r="AU406" s="35"/>
      <c r="AV406" s="37">
        <f t="shared" si="97"/>
        <v>0</v>
      </c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x14ac:dyDescent="0.2">
      <c r="A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5"/>
      <c r="AL407" s="74"/>
      <c r="AM407" s="35"/>
      <c r="AN407" s="74"/>
      <c r="AO407" s="35"/>
      <c r="AP407" s="35"/>
      <c r="AQ407" s="35"/>
      <c r="AR407" s="35"/>
      <c r="AS407" s="35"/>
      <c r="AT407" s="35"/>
      <c r="AU407" s="35"/>
      <c r="AV407" s="37">
        <f t="shared" si="97"/>
        <v>0</v>
      </c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x14ac:dyDescent="0.2">
      <c r="A408" s="1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5"/>
      <c r="AL408" s="74"/>
      <c r="AM408" s="35"/>
      <c r="AN408" s="74"/>
      <c r="AO408" s="35"/>
      <c r="AP408" s="35"/>
      <c r="AQ408" s="35"/>
      <c r="AR408" s="35"/>
      <c r="AS408" s="35"/>
      <c r="AT408" s="35"/>
      <c r="AU408" s="35"/>
      <c r="AV408" s="37">
        <f t="shared" si="97"/>
        <v>0</v>
      </c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x14ac:dyDescent="0.2">
      <c r="A409" s="8" t="s">
        <v>26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5"/>
      <c r="AL409" s="74"/>
      <c r="AM409" s="35"/>
      <c r="AN409" s="74"/>
      <c r="AO409" s="35"/>
      <c r="AP409" s="35"/>
      <c r="AQ409" s="35"/>
      <c r="AR409" s="35"/>
      <c r="AS409" s="35"/>
      <c r="AT409" s="35"/>
      <c r="AU409" s="35"/>
      <c r="AV409" s="37">
        <f t="shared" si="97"/>
        <v>0</v>
      </c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x14ac:dyDescent="0.2">
      <c r="A410" s="13"/>
      <c r="B410" s="9" t="s">
        <v>27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5"/>
      <c r="AL410" s="74"/>
      <c r="AM410" s="35"/>
      <c r="AN410" s="74"/>
      <c r="AO410" s="35"/>
      <c r="AP410" s="35"/>
      <c r="AQ410" s="35"/>
      <c r="AR410" s="35"/>
      <c r="AS410" s="35"/>
      <c r="AT410" s="35"/>
      <c r="AU410" s="35"/>
      <c r="AV410" s="37">
        <f t="shared" si="97"/>
        <v>0</v>
      </c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outlineLevel="1" x14ac:dyDescent="0.2">
      <c r="A411" s="13"/>
      <c r="B411" s="3" t="s">
        <v>363</v>
      </c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>
        <f>SUM(C411:AI411)</f>
        <v>0</v>
      </c>
      <c r="AK411" s="145"/>
      <c r="AL411" s="74">
        <f t="shared" ref="AL411:AL431" si="117">SUMIF($C$10:$AI$10,"=Addition",$C411:$AI411)</f>
        <v>0</v>
      </c>
      <c r="AM411" s="35"/>
      <c r="AN411" s="74">
        <f t="shared" ref="AN411:AN431" si="118">SUMIF($C$10:$AI$10,"=Adjustment",$C411:$AI411)</f>
        <v>0</v>
      </c>
      <c r="AO411" s="35"/>
      <c r="AP411" s="74">
        <f t="shared" ref="AP411:AP431" si="119">SUMIF($C$10:$AI$10,"=Transfer",$C411:$AI411)</f>
        <v>0</v>
      </c>
      <c r="AQ411" s="35"/>
      <c r="AR411" s="74">
        <f t="shared" ref="AR411:AR431" si="120">SUMIF($C$10:$AI$10,"=N/A",$C411:$AI411)</f>
        <v>0</v>
      </c>
      <c r="AS411" s="35"/>
      <c r="AT411" s="74">
        <f t="shared" ref="AT411:AT431" si="121">SUM(AL411:AR411)</f>
        <v>0</v>
      </c>
      <c r="AU411" s="35"/>
      <c r="AV411" s="37">
        <f t="shared" ref="AV411:AV476" si="122">AJ411-AT411</f>
        <v>0</v>
      </c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outlineLevel="1" x14ac:dyDescent="0.2">
      <c r="A412" s="13"/>
      <c r="B412" s="3" t="s">
        <v>364</v>
      </c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>
        <f>SUM(C412:AI412)</f>
        <v>0</v>
      </c>
      <c r="AK412" s="145"/>
      <c r="AL412" s="74">
        <f t="shared" si="117"/>
        <v>0</v>
      </c>
      <c r="AM412" s="35"/>
      <c r="AN412" s="74">
        <f t="shared" si="118"/>
        <v>0</v>
      </c>
      <c r="AO412" s="35"/>
      <c r="AP412" s="74">
        <f t="shared" si="119"/>
        <v>0</v>
      </c>
      <c r="AQ412" s="35"/>
      <c r="AR412" s="74">
        <f t="shared" si="120"/>
        <v>0</v>
      </c>
      <c r="AS412" s="35"/>
      <c r="AT412" s="74">
        <f t="shared" si="121"/>
        <v>0</v>
      </c>
      <c r="AU412" s="35"/>
      <c r="AV412" s="37">
        <f t="shared" si="122"/>
        <v>0</v>
      </c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x14ac:dyDescent="0.2">
      <c r="A413" s="13"/>
      <c r="B413" s="21" t="s">
        <v>365</v>
      </c>
      <c r="C413" s="14">
        <f>SUM(C411:C412)</f>
        <v>0</v>
      </c>
      <c r="D413" s="14"/>
      <c r="E413" s="14">
        <f>SUM(E411:E412)</f>
        <v>0</v>
      </c>
      <c r="F413" s="14"/>
      <c r="G413" s="14">
        <f>SUM(G411:G412)</f>
        <v>0</v>
      </c>
      <c r="H413" s="14"/>
      <c r="I413" s="14">
        <f>SUM(I411:I412)</f>
        <v>0</v>
      </c>
      <c r="J413" s="14"/>
      <c r="K413" s="14">
        <f>SUM(K411:K412)</f>
        <v>0</v>
      </c>
      <c r="L413" s="14"/>
      <c r="M413" s="14">
        <f>SUM(M411:M412)</f>
        <v>0</v>
      </c>
      <c r="N413" s="14"/>
      <c r="O413" s="14">
        <f>SUM(O411:O412)</f>
        <v>0</v>
      </c>
      <c r="P413" s="14"/>
      <c r="Q413" s="14">
        <f>SUM(Q411:Q412)</f>
        <v>0</v>
      </c>
      <c r="R413" s="14"/>
      <c r="S413" s="14">
        <f>SUM(S411:S412)</f>
        <v>0</v>
      </c>
      <c r="T413" s="14"/>
      <c r="U413" s="14">
        <f>SUM(U411:U412)</f>
        <v>0</v>
      </c>
      <c r="V413" s="14"/>
      <c r="W413" s="14">
        <f>SUM(W411:W412)</f>
        <v>0</v>
      </c>
      <c r="X413" s="14"/>
      <c r="Y413" s="14">
        <f>SUM(Y411:Y412)</f>
        <v>0</v>
      </c>
      <c r="Z413" s="14"/>
      <c r="AA413" s="14">
        <f>SUM(AA411:AA412)</f>
        <v>0</v>
      </c>
      <c r="AB413" s="14"/>
      <c r="AC413" s="14">
        <f>SUM(AC411:AC412)</f>
        <v>0</v>
      </c>
      <c r="AD413" s="14"/>
      <c r="AE413" s="14">
        <f>SUM(AE411:AE412)</f>
        <v>0</v>
      </c>
      <c r="AF413" s="14"/>
      <c r="AG413" s="14">
        <f>SUM(AG411:AG412)</f>
        <v>0</v>
      </c>
      <c r="AH413" s="14"/>
      <c r="AI413" s="14"/>
      <c r="AJ413" s="14">
        <f>SUM(AJ411:AJ412)</f>
        <v>0</v>
      </c>
      <c r="AK413" s="145"/>
      <c r="AL413" s="74">
        <f t="shared" si="117"/>
        <v>0</v>
      </c>
      <c r="AM413" s="35"/>
      <c r="AN413" s="74">
        <f t="shared" si="118"/>
        <v>0</v>
      </c>
      <c r="AO413" s="35"/>
      <c r="AP413" s="74">
        <f t="shared" si="119"/>
        <v>0</v>
      </c>
      <c r="AQ413" s="35"/>
      <c r="AR413" s="74">
        <f t="shared" si="120"/>
        <v>0</v>
      </c>
      <c r="AS413" s="35"/>
      <c r="AT413" s="74">
        <f t="shared" si="121"/>
        <v>0</v>
      </c>
      <c r="AU413" s="35"/>
      <c r="AV413" s="37">
        <f t="shared" si="122"/>
        <v>0</v>
      </c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outlineLevel="1" x14ac:dyDescent="0.2">
      <c r="A414" s="13"/>
      <c r="B414" s="3" t="s">
        <v>366</v>
      </c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>
        <f>SUM(C414:AI414)</f>
        <v>0</v>
      </c>
      <c r="AK414" s="145"/>
      <c r="AL414" s="74">
        <f t="shared" si="117"/>
        <v>0</v>
      </c>
      <c r="AM414" s="35"/>
      <c r="AN414" s="74">
        <f t="shared" si="118"/>
        <v>0</v>
      </c>
      <c r="AO414" s="35"/>
      <c r="AP414" s="74">
        <f t="shared" si="119"/>
        <v>0</v>
      </c>
      <c r="AQ414" s="35"/>
      <c r="AR414" s="74">
        <f t="shared" si="120"/>
        <v>0</v>
      </c>
      <c r="AS414" s="35"/>
      <c r="AT414" s="74">
        <f t="shared" si="121"/>
        <v>0</v>
      </c>
      <c r="AU414" s="35"/>
      <c r="AV414" s="37">
        <f t="shared" si="122"/>
        <v>0</v>
      </c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outlineLevel="1" x14ac:dyDescent="0.2">
      <c r="A415" s="13"/>
      <c r="B415" s="3" t="s">
        <v>367</v>
      </c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>
        <f>SUM(C415:AI415)</f>
        <v>0</v>
      </c>
      <c r="AK415" s="145"/>
      <c r="AL415" s="74">
        <f t="shared" si="117"/>
        <v>0</v>
      </c>
      <c r="AM415" s="35"/>
      <c r="AN415" s="74">
        <f t="shared" si="118"/>
        <v>0</v>
      </c>
      <c r="AO415" s="35"/>
      <c r="AP415" s="74">
        <f t="shared" si="119"/>
        <v>0</v>
      </c>
      <c r="AQ415" s="35"/>
      <c r="AR415" s="74">
        <f t="shared" si="120"/>
        <v>0</v>
      </c>
      <c r="AS415" s="35"/>
      <c r="AT415" s="74">
        <f t="shared" si="121"/>
        <v>0</v>
      </c>
      <c r="AU415" s="35"/>
      <c r="AV415" s="37">
        <f t="shared" si="122"/>
        <v>0</v>
      </c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x14ac:dyDescent="0.2">
      <c r="A416" s="13"/>
      <c r="B416" s="3" t="s">
        <v>368</v>
      </c>
      <c r="C416" s="14">
        <f>SUM(C414:C415)</f>
        <v>0</v>
      </c>
      <c r="D416" s="14"/>
      <c r="E416" s="14">
        <f>SUM(E414:E415)</f>
        <v>0</v>
      </c>
      <c r="F416" s="14"/>
      <c r="G416" s="14">
        <f>SUM(G414:G415)</f>
        <v>0</v>
      </c>
      <c r="H416" s="14"/>
      <c r="I416" s="14">
        <f>SUM(I414:I415)</f>
        <v>0</v>
      </c>
      <c r="J416" s="14"/>
      <c r="K416" s="14">
        <f>SUM(K414:K415)</f>
        <v>0</v>
      </c>
      <c r="L416" s="14"/>
      <c r="M416" s="14">
        <f>SUM(M414:M415)</f>
        <v>0</v>
      </c>
      <c r="N416" s="14"/>
      <c r="O416" s="14">
        <f>SUM(O414:O415)</f>
        <v>0</v>
      </c>
      <c r="P416" s="14"/>
      <c r="Q416" s="14">
        <f>SUM(Q414:Q415)</f>
        <v>0</v>
      </c>
      <c r="R416" s="14"/>
      <c r="S416" s="14">
        <f>SUM(S414:S415)</f>
        <v>0</v>
      </c>
      <c r="T416" s="14"/>
      <c r="U416" s="14">
        <f>SUM(U414:U415)</f>
        <v>0</v>
      </c>
      <c r="V416" s="14"/>
      <c r="W416" s="14">
        <f>SUM(W414:W415)</f>
        <v>0</v>
      </c>
      <c r="X416" s="14"/>
      <c r="Y416" s="14">
        <f>SUM(Y414:Y415)</f>
        <v>0</v>
      </c>
      <c r="Z416" s="14"/>
      <c r="AA416" s="14">
        <f>SUM(AA414:AA415)</f>
        <v>0</v>
      </c>
      <c r="AB416" s="14"/>
      <c r="AC416" s="14">
        <f>SUM(AC414:AC415)</f>
        <v>0</v>
      </c>
      <c r="AD416" s="14"/>
      <c r="AE416" s="14">
        <f>SUM(AE414:AE415)</f>
        <v>0</v>
      </c>
      <c r="AF416" s="14"/>
      <c r="AG416" s="14">
        <f>SUM(AG414:AG415)</f>
        <v>0</v>
      </c>
      <c r="AH416" s="14"/>
      <c r="AI416" s="14"/>
      <c r="AJ416" s="14">
        <f>SUM(AJ414:AJ415)</f>
        <v>0</v>
      </c>
      <c r="AK416" s="145"/>
      <c r="AL416" s="74">
        <f t="shared" si="117"/>
        <v>0</v>
      </c>
      <c r="AM416" s="35"/>
      <c r="AN416" s="74">
        <f t="shared" si="118"/>
        <v>0</v>
      </c>
      <c r="AO416" s="35"/>
      <c r="AP416" s="74">
        <f t="shared" si="119"/>
        <v>0</v>
      </c>
      <c r="AQ416" s="35"/>
      <c r="AR416" s="74">
        <f t="shared" si="120"/>
        <v>0</v>
      </c>
      <c r="AS416" s="35"/>
      <c r="AT416" s="74">
        <f t="shared" si="121"/>
        <v>0</v>
      </c>
      <c r="AU416" s="35"/>
      <c r="AV416" s="37">
        <f t="shared" si="122"/>
        <v>0</v>
      </c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x14ac:dyDescent="0.2">
      <c r="A417" s="13"/>
      <c r="B417" s="3" t="s">
        <v>369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>
        <v>-14225.03</v>
      </c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>
        <f t="shared" ref="AJ417:AJ430" si="123">SUM(C417:AI417)</f>
        <v>-14225.03</v>
      </c>
      <c r="AK417" s="145"/>
      <c r="AL417" s="74">
        <f t="shared" si="117"/>
        <v>0</v>
      </c>
      <c r="AM417" s="35"/>
      <c r="AN417" s="74">
        <f t="shared" si="118"/>
        <v>0</v>
      </c>
      <c r="AO417" s="35"/>
      <c r="AP417" s="74">
        <f t="shared" si="119"/>
        <v>-14225.03</v>
      </c>
      <c r="AQ417" s="35"/>
      <c r="AR417" s="74">
        <f t="shared" si="120"/>
        <v>0</v>
      </c>
      <c r="AS417" s="35"/>
      <c r="AT417" s="74">
        <f t="shared" si="121"/>
        <v>-14225.03</v>
      </c>
      <c r="AU417" s="35"/>
      <c r="AV417" s="37">
        <f t="shared" si="122"/>
        <v>0</v>
      </c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x14ac:dyDescent="0.2">
      <c r="A418" s="13"/>
      <c r="B418" s="21" t="s">
        <v>370</v>
      </c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>
        <v>-430720.5</v>
      </c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>
        <f t="shared" si="123"/>
        <v>-430720.5</v>
      </c>
      <c r="AK418" s="145"/>
      <c r="AL418" s="74">
        <f t="shared" si="117"/>
        <v>0</v>
      </c>
      <c r="AM418" s="74">
        <f>SUMIF($C$10:$AI$10,"=Addition",$C418:$AI418)</f>
        <v>0</v>
      </c>
      <c r="AN418" s="74">
        <f t="shared" si="118"/>
        <v>0</v>
      </c>
      <c r="AO418" s="35"/>
      <c r="AP418" s="74">
        <f t="shared" si="119"/>
        <v>-430720.5</v>
      </c>
      <c r="AQ418" s="35"/>
      <c r="AR418" s="74">
        <f t="shared" si="120"/>
        <v>0</v>
      </c>
      <c r="AS418" s="35"/>
      <c r="AT418" s="74">
        <f t="shared" si="121"/>
        <v>-430720.5</v>
      </c>
      <c r="AU418" s="35"/>
      <c r="AV418" s="37">
        <f t="shared" si="122"/>
        <v>0</v>
      </c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x14ac:dyDescent="0.2">
      <c r="A419" s="13"/>
      <c r="B419" s="21" t="s">
        <v>432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>
        <v>444945.53</v>
      </c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>
        <f t="shared" si="123"/>
        <v>444945.53</v>
      </c>
      <c r="AK419" s="145"/>
      <c r="AL419" s="74">
        <f t="shared" si="117"/>
        <v>0</v>
      </c>
      <c r="AM419" s="35"/>
      <c r="AN419" s="74">
        <f t="shared" si="118"/>
        <v>0</v>
      </c>
      <c r="AO419" s="35"/>
      <c r="AP419" s="74">
        <f t="shared" si="119"/>
        <v>444945.53</v>
      </c>
      <c r="AQ419" s="35"/>
      <c r="AR419" s="74">
        <f t="shared" si="120"/>
        <v>0</v>
      </c>
      <c r="AS419" s="35"/>
      <c r="AT419" s="74">
        <f t="shared" si="121"/>
        <v>444945.53</v>
      </c>
      <c r="AU419" s="35"/>
      <c r="AV419" s="37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x14ac:dyDescent="0.2">
      <c r="A420" s="13"/>
      <c r="B420" s="3" t="s">
        <v>371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>
        <f t="shared" si="123"/>
        <v>0</v>
      </c>
      <c r="AK420" s="145"/>
      <c r="AL420" s="74">
        <f t="shared" si="117"/>
        <v>0</v>
      </c>
      <c r="AM420" s="35"/>
      <c r="AN420" s="74">
        <f t="shared" si="118"/>
        <v>0</v>
      </c>
      <c r="AO420" s="35"/>
      <c r="AP420" s="74">
        <f t="shared" si="119"/>
        <v>0</v>
      </c>
      <c r="AQ420" s="35"/>
      <c r="AR420" s="74">
        <f t="shared" si="120"/>
        <v>0</v>
      </c>
      <c r="AS420" s="35"/>
      <c r="AT420" s="74">
        <f t="shared" si="121"/>
        <v>0</v>
      </c>
      <c r="AU420" s="35"/>
      <c r="AV420" s="37">
        <f t="shared" si="122"/>
        <v>0</v>
      </c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x14ac:dyDescent="0.2">
      <c r="A421" s="13"/>
      <c r="B421" s="3" t="s">
        <v>372</v>
      </c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>
        <f t="shared" si="123"/>
        <v>0</v>
      </c>
      <c r="AK421" s="145"/>
      <c r="AL421" s="74">
        <f t="shared" si="117"/>
        <v>0</v>
      </c>
      <c r="AM421" s="35"/>
      <c r="AN421" s="74">
        <f t="shared" si="118"/>
        <v>0</v>
      </c>
      <c r="AO421" s="35"/>
      <c r="AP421" s="74">
        <f t="shared" si="119"/>
        <v>0</v>
      </c>
      <c r="AQ421" s="35"/>
      <c r="AR421" s="74">
        <f t="shared" si="120"/>
        <v>0</v>
      </c>
      <c r="AS421" s="35"/>
      <c r="AT421" s="74">
        <f t="shared" si="121"/>
        <v>0</v>
      </c>
      <c r="AU421" s="35"/>
      <c r="AV421" s="37">
        <f t="shared" si="122"/>
        <v>0</v>
      </c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x14ac:dyDescent="0.2">
      <c r="A422" s="13"/>
      <c r="B422" s="3" t="s">
        <v>373</v>
      </c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>
        <v>-56900.08</v>
      </c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>
        <f t="shared" si="123"/>
        <v>-56900.08</v>
      </c>
      <c r="AK422" s="145"/>
      <c r="AL422" s="74">
        <f t="shared" si="117"/>
        <v>0</v>
      </c>
      <c r="AM422" s="35"/>
      <c r="AN422" s="74">
        <f t="shared" si="118"/>
        <v>0</v>
      </c>
      <c r="AO422" s="35"/>
      <c r="AP422" s="74">
        <f t="shared" si="119"/>
        <v>-56900.08</v>
      </c>
      <c r="AQ422" s="35"/>
      <c r="AR422" s="74">
        <f t="shared" si="120"/>
        <v>0</v>
      </c>
      <c r="AS422" s="35"/>
      <c r="AT422" s="74">
        <f t="shared" si="121"/>
        <v>-56900.08</v>
      </c>
      <c r="AU422" s="35"/>
      <c r="AV422" s="37">
        <f t="shared" si="122"/>
        <v>0</v>
      </c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x14ac:dyDescent="0.2">
      <c r="A423" s="13"/>
      <c r="B423" s="21" t="s">
        <v>374</v>
      </c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>
        <v>-1559609.04</v>
      </c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>
        <f t="shared" si="123"/>
        <v>-1559609.04</v>
      </c>
      <c r="AK423" s="145"/>
      <c r="AL423" s="74">
        <f t="shared" si="117"/>
        <v>0</v>
      </c>
      <c r="AM423" s="35"/>
      <c r="AN423" s="74">
        <f t="shared" si="118"/>
        <v>0</v>
      </c>
      <c r="AO423" s="35"/>
      <c r="AP423" s="74">
        <f t="shared" si="119"/>
        <v>-1559609.04</v>
      </c>
      <c r="AQ423" s="35"/>
      <c r="AR423" s="74">
        <f t="shared" si="120"/>
        <v>0</v>
      </c>
      <c r="AS423" s="35"/>
      <c r="AT423" s="74">
        <f t="shared" si="121"/>
        <v>-1559609.04</v>
      </c>
      <c r="AU423" s="35"/>
      <c r="AV423" s="37">
        <f t="shared" si="122"/>
        <v>0</v>
      </c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x14ac:dyDescent="0.2">
      <c r="A424" s="13"/>
      <c r="B424" s="21" t="s">
        <v>433</v>
      </c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>
        <v>1616509.12</v>
      </c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>
        <f t="shared" si="123"/>
        <v>1616509.12</v>
      </c>
      <c r="AK424" s="145"/>
      <c r="AL424" s="74">
        <f t="shared" si="117"/>
        <v>0</v>
      </c>
      <c r="AM424" s="35"/>
      <c r="AN424" s="74">
        <f t="shared" si="118"/>
        <v>0</v>
      </c>
      <c r="AO424" s="35"/>
      <c r="AP424" s="74">
        <f t="shared" si="119"/>
        <v>1616509.12</v>
      </c>
      <c r="AQ424" s="35"/>
      <c r="AR424" s="74">
        <f t="shared" si="120"/>
        <v>0</v>
      </c>
      <c r="AS424" s="35"/>
      <c r="AT424" s="74">
        <f t="shared" si="121"/>
        <v>1616509.12</v>
      </c>
      <c r="AU424" s="35"/>
      <c r="AV424" s="37">
        <f t="shared" si="122"/>
        <v>0</v>
      </c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x14ac:dyDescent="0.2">
      <c r="A425" s="13"/>
      <c r="B425" s="3" t="s">
        <v>375</v>
      </c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>
        <f t="shared" si="123"/>
        <v>0</v>
      </c>
      <c r="AK425" s="145"/>
      <c r="AL425" s="74">
        <f t="shared" si="117"/>
        <v>0</v>
      </c>
      <c r="AM425" s="35"/>
      <c r="AN425" s="74">
        <f t="shared" si="118"/>
        <v>0</v>
      </c>
      <c r="AO425" s="35"/>
      <c r="AP425" s="74">
        <f t="shared" si="119"/>
        <v>0</v>
      </c>
      <c r="AQ425" s="35"/>
      <c r="AR425" s="74">
        <f t="shared" si="120"/>
        <v>0</v>
      </c>
      <c r="AS425" s="35"/>
      <c r="AT425" s="74">
        <f t="shared" si="121"/>
        <v>0</v>
      </c>
      <c r="AU425" s="35"/>
      <c r="AV425" s="37">
        <f t="shared" si="122"/>
        <v>0</v>
      </c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x14ac:dyDescent="0.2">
      <c r="A426" s="13"/>
      <c r="B426" s="3" t="s">
        <v>376</v>
      </c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>
        <f t="shared" si="123"/>
        <v>0</v>
      </c>
      <c r="AK426" s="145"/>
      <c r="AL426" s="74">
        <f t="shared" si="117"/>
        <v>0</v>
      </c>
      <c r="AM426" s="35"/>
      <c r="AN426" s="74">
        <f t="shared" si="118"/>
        <v>0</v>
      </c>
      <c r="AO426" s="35"/>
      <c r="AP426" s="74">
        <f t="shared" si="119"/>
        <v>0</v>
      </c>
      <c r="AQ426" s="35"/>
      <c r="AR426" s="74">
        <f t="shared" si="120"/>
        <v>0</v>
      </c>
      <c r="AS426" s="35"/>
      <c r="AT426" s="74">
        <f t="shared" si="121"/>
        <v>0</v>
      </c>
      <c r="AU426" s="35"/>
      <c r="AV426" s="37">
        <f t="shared" si="122"/>
        <v>0</v>
      </c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x14ac:dyDescent="0.2">
      <c r="A427" s="13"/>
      <c r="B427" s="3" t="s">
        <v>377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>
        <f t="shared" si="123"/>
        <v>0</v>
      </c>
      <c r="AK427" s="145"/>
      <c r="AL427" s="74">
        <f t="shared" si="117"/>
        <v>0</v>
      </c>
      <c r="AM427" s="35"/>
      <c r="AN427" s="74">
        <f t="shared" si="118"/>
        <v>0</v>
      </c>
      <c r="AO427" s="35"/>
      <c r="AP427" s="74">
        <f t="shared" si="119"/>
        <v>0</v>
      </c>
      <c r="AQ427" s="35"/>
      <c r="AR427" s="74">
        <f t="shared" si="120"/>
        <v>0</v>
      </c>
      <c r="AS427" s="35"/>
      <c r="AT427" s="74">
        <f t="shared" si="121"/>
        <v>0</v>
      </c>
      <c r="AU427" s="35"/>
      <c r="AV427" s="37">
        <f t="shared" si="122"/>
        <v>0</v>
      </c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x14ac:dyDescent="0.2">
      <c r="A428" s="13"/>
      <c r="B428" s="3" t="s">
        <v>378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>
        <f t="shared" si="123"/>
        <v>0</v>
      </c>
      <c r="AK428" s="145"/>
      <c r="AL428" s="74">
        <f t="shared" si="117"/>
        <v>0</v>
      </c>
      <c r="AM428" s="35"/>
      <c r="AN428" s="74">
        <f t="shared" si="118"/>
        <v>0</v>
      </c>
      <c r="AO428" s="35"/>
      <c r="AP428" s="74">
        <f t="shared" si="119"/>
        <v>0</v>
      </c>
      <c r="AQ428" s="35"/>
      <c r="AR428" s="74">
        <f t="shared" si="120"/>
        <v>0</v>
      </c>
      <c r="AS428" s="35"/>
      <c r="AT428" s="74">
        <f t="shared" si="121"/>
        <v>0</v>
      </c>
      <c r="AU428" s="35"/>
      <c r="AV428" s="37">
        <f t="shared" si="122"/>
        <v>0</v>
      </c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outlineLevel="1" x14ac:dyDescent="0.2">
      <c r="A429" s="13"/>
      <c r="B429" s="3" t="s">
        <v>379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>
        <f t="shared" si="123"/>
        <v>0</v>
      </c>
      <c r="AK429" s="145"/>
      <c r="AL429" s="74">
        <f t="shared" si="117"/>
        <v>0</v>
      </c>
      <c r="AM429" s="35"/>
      <c r="AN429" s="74">
        <f t="shared" si="118"/>
        <v>0</v>
      </c>
      <c r="AO429" s="35"/>
      <c r="AP429" s="74">
        <f t="shared" si="119"/>
        <v>0</v>
      </c>
      <c r="AQ429" s="35"/>
      <c r="AR429" s="74">
        <f t="shared" si="120"/>
        <v>0</v>
      </c>
      <c r="AS429" s="35"/>
      <c r="AT429" s="74">
        <f t="shared" si="121"/>
        <v>0</v>
      </c>
      <c r="AU429" s="35"/>
      <c r="AV429" s="37">
        <f t="shared" si="122"/>
        <v>0</v>
      </c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outlineLevel="1" x14ac:dyDescent="0.2">
      <c r="A430" s="13"/>
      <c r="B430" s="29" t="s">
        <v>380</v>
      </c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>
        <f t="shared" si="123"/>
        <v>0</v>
      </c>
      <c r="AK430" s="145"/>
      <c r="AL430" s="74">
        <f t="shared" si="117"/>
        <v>0</v>
      </c>
      <c r="AM430" s="35"/>
      <c r="AN430" s="74">
        <f t="shared" si="118"/>
        <v>0</v>
      </c>
      <c r="AO430" s="35"/>
      <c r="AP430" s="74">
        <f t="shared" si="119"/>
        <v>0</v>
      </c>
      <c r="AQ430" s="35"/>
      <c r="AR430" s="74">
        <f t="shared" si="120"/>
        <v>0</v>
      </c>
      <c r="AS430" s="35"/>
      <c r="AT430" s="74">
        <f t="shared" si="121"/>
        <v>0</v>
      </c>
      <c r="AU430" s="35"/>
      <c r="AV430" s="37">
        <f t="shared" si="122"/>
        <v>0</v>
      </c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x14ac:dyDescent="0.2">
      <c r="A431" s="13"/>
      <c r="B431" s="29" t="s">
        <v>381</v>
      </c>
      <c r="C431" s="14">
        <f>SUM(C429:C430)</f>
        <v>0</v>
      </c>
      <c r="D431" s="14"/>
      <c r="E431" s="14">
        <f>SUM(E429:E430)</f>
        <v>0</v>
      </c>
      <c r="F431" s="14"/>
      <c r="G431" s="14">
        <f>SUM(G429:G430)</f>
        <v>0</v>
      </c>
      <c r="H431" s="14"/>
      <c r="I431" s="14">
        <f>SUM(I429:I430)</f>
        <v>0</v>
      </c>
      <c r="J431" s="14"/>
      <c r="K431" s="14">
        <f>SUM(K429:K430)</f>
        <v>0</v>
      </c>
      <c r="L431" s="14"/>
      <c r="M431" s="14">
        <f>SUM(M429:M430)</f>
        <v>0</v>
      </c>
      <c r="N431" s="14"/>
      <c r="O431" s="14">
        <f>SUM(O429:O430)</f>
        <v>0</v>
      </c>
      <c r="P431" s="14"/>
      <c r="Q431" s="14">
        <f>SUM(Q429:Q430)</f>
        <v>0</v>
      </c>
      <c r="R431" s="14"/>
      <c r="S431" s="14">
        <f>SUM(S429:S430)</f>
        <v>0</v>
      </c>
      <c r="T431" s="14"/>
      <c r="U431" s="14">
        <f>SUM(U429:U430)</f>
        <v>0</v>
      </c>
      <c r="V431" s="14"/>
      <c r="W431" s="14">
        <f>SUM(W429:W430)</f>
        <v>0</v>
      </c>
      <c r="X431" s="14"/>
      <c r="Y431" s="14">
        <f>SUM(Y429:Y430)</f>
        <v>0</v>
      </c>
      <c r="Z431" s="14"/>
      <c r="AA431" s="14">
        <f>SUM(AA429:AA430)</f>
        <v>0</v>
      </c>
      <c r="AB431" s="14"/>
      <c r="AC431" s="14">
        <f>SUM(AC429:AC430)</f>
        <v>0</v>
      </c>
      <c r="AD431" s="14"/>
      <c r="AE431" s="14">
        <f>SUM(AE429:AE430)</f>
        <v>0</v>
      </c>
      <c r="AF431" s="14"/>
      <c r="AG431" s="14">
        <f>SUM(AG429:AG430)</f>
        <v>0</v>
      </c>
      <c r="AH431" s="14"/>
      <c r="AI431" s="14"/>
      <c r="AJ431" s="14">
        <f>SUM(AJ429:AJ430)</f>
        <v>0</v>
      </c>
      <c r="AK431" s="145"/>
      <c r="AL431" s="74">
        <f t="shared" si="117"/>
        <v>0</v>
      </c>
      <c r="AM431" s="35"/>
      <c r="AN431" s="74">
        <f t="shared" si="118"/>
        <v>0</v>
      </c>
      <c r="AO431" s="35"/>
      <c r="AP431" s="74">
        <f t="shared" si="119"/>
        <v>0</v>
      </c>
      <c r="AQ431" s="35"/>
      <c r="AR431" s="74">
        <f t="shared" si="120"/>
        <v>0</v>
      </c>
      <c r="AS431" s="35"/>
      <c r="AT431" s="74">
        <f t="shared" si="121"/>
        <v>0</v>
      </c>
      <c r="AU431" s="35"/>
      <c r="AV431" s="37">
        <f t="shared" si="122"/>
        <v>0</v>
      </c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x14ac:dyDescent="0.2">
      <c r="A432" s="13"/>
      <c r="B432" s="111" t="s">
        <v>382</v>
      </c>
      <c r="C432" s="19">
        <f>C431+SUM(C416:C428)+C413</f>
        <v>0</v>
      </c>
      <c r="D432" s="14"/>
      <c r="E432" s="19">
        <f>E431+SUM(E416:E428)+E413</f>
        <v>0</v>
      </c>
      <c r="F432" s="14"/>
      <c r="G432" s="19">
        <f>G431+SUM(G416:G428)+G413</f>
        <v>0</v>
      </c>
      <c r="H432" s="14"/>
      <c r="I432" s="19">
        <f>I431+SUM(I416:I428)+I413</f>
        <v>0</v>
      </c>
      <c r="J432" s="14"/>
      <c r="K432" s="19">
        <f>K431+SUM(K416:K428)+K413</f>
        <v>0</v>
      </c>
      <c r="L432" s="14"/>
      <c r="M432" s="19">
        <f>M431+SUM(M416:M428)+M413</f>
        <v>0</v>
      </c>
      <c r="N432" s="14"/>
      <c r="O432" s="19">
        <f>O431+SUM(O416:O428)+O413</f>
        <v>0</v>
      </c>
      <c r="P432" s="14"/>
      <c r="Q432" s="19">
        <f>Q431+SUM(Q416:Q428)+Q413</f>
        <v>0</v>
      </c>
      <c r="R432" s="14"/>
      <c r="S432" s="19">
        <f>S431+SUM(S416:S428)+S413</f>
        <v>0</v>
      </c>
      <c r="T432" s="19"/>
      <c r="U432" s="19">
        <f>U431+SUM(U416:U428)+U413</f>
        <v>0</v>
      </c>
      <c r="V432" s="19"/>
      <c r="W432" s="19">
        <f>W431+SUM(W416:W428)+W413</f>
        <v>0</v>
      </c>
      <c r="X432" s="14"/>
      <c r="Y432" s="19">
        <f>Y431+SUM(Y416:Y428)+Y413</f>
        <v>0</v>
      </c>
      <c r="Z432" s="14"/>
      <c r="AA432" s="19">
        <f>AA431+SUM(AA416:AA428)+AA413</f>
        <v>0</v>
      </c>
      <c r="AB432" s="14"/>
      <c r="AC432" s="19">
        <f>AC431+SUM(AC416:AC428)+AC413</f>
        <v>0</v>
      </c>
      <c r="AD432" s="14"/>
      <c r="AE432" s="19">
        <f>AE431+SUM(AE416:AE428)+AE413</f>
        <v>0</v>
      </c>
      <c r="AF432" s="14"/>
      <c r="AG432" s="19">
        <f>AG431+SUM(AG416:AG428)+AG413</f>
        <v>0</v>
      </c>
      <c r="AH432" s="14"/>
      <c r="AI432" s="19"/>
      <c r="AJ432" s="19">
        <f>AJ431+SUM(AJ416:AJ428)+AJ413</f>
        <v>0</v>
      </c>
      <c r="AK432" s="145"/>
      <c r="AL432" s="110">
        <f>AL431+SUM(AL416:AL428)+AL413</f>
        <v>0</v>
      </c>
      <c r="AM432" s="35"/>
      <c r="AN432" s="110">
        <f>AN431+SUM(AN416:AN428)+AN413</f>
        <v>0</v>
      </c>
      <c r="AO432" s="35"/>
      <c r="AP432" s="110">
        <f>AP431+SUM(AP416:AP428)+AP413</f>
        <v>0</v>
      </c>
      <c r="AQ432" s="35"/>
      <c r="AR432" s="110">
        <f>AR431+SUM(AR416:AR428)+AR413</f>
        <v>0</v>
      </c>
      <c r="AS432" s="35"/>
      <c r="AT432" s="110">
        <f>AT431+SUM(AT416:AT428)+AT413</f>
        <v>0</v>
      </c>
      <c r="AU432" s="35"/>
      <c r="AV432" s="37">
        <f t="shared" si="122"/>
        <v>0</v>
      </c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x14ac:dyDescent="0.2">
      <c r="A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5"/>
      <c r="AL433" s="74"/>
      <c r="AM433" s="35"/>
      <c r="AN433" s="74"/>
      <c r="AO433" s="35"/>
      <c r="AP433" s="35"/>
      <c r="AQ433" s="35"/>
      <c r="AR433" s="35"/>
      <c r="AS433" s="35"/>
      <c r="AT433" s="35"/>
      <c r="AU433" s="35"/>
      <c r="AV433" s="37">
        <f t="shared" si="122"/>
        <v>0</v>
      </c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x14ac:dyDescent="0.2">
      <c r="A434" s="13"/>
      <c r="B434" s="9" t="s">
        <v>28</v>
      </c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5"/>
      <c r="AL434" s="74"/>
      <c r="AM434" s="35"/>
      <c r="AN434" s="74"/>
      <c r="AO434" s="35"/>
      <c r="AP434" s="35"/>
      <c r="AQ434" s="35"/>
      <c r="AR434" s="35"/>
      <c r="AS434" s="35"/>
      <c r="AT434" s="35"/>
      <c r="AU434" s="35"/>
      <c r="AV434" s="37">
        <f t="shared" si="122"/>
        <v>0</v>
      </c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outlineLevel="1" x14ac:dyDescent="0.2">
      <c r="A435" s="13"/>
      <c r="B435" s="3" t="s">
        <v>384</v>
      </c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>
        <f>SUM(C435:AI435)</f>
        <v>0</v>
      </c>
      <c r="AK435" s="145"/>
      <c r="AL435" s="74">
        <f t="shared" ref="AL435:AL443" si="124">SUMIF($C$10:$AI$10,"=Addition",$C435:$AI435)</f>
        <v>0</v>
      </c>
      <c r="AM435" s="35"/>
      <c r="AN435" s="74">
        <f t="shared" ref="AN435:AN443" si="125">SUMIF($C$10:$AI$10,"=Adjustment",$C435:$AI435)</f>
        <v>0</v>
      </c>
      <c r="AO435" s="35"/>
      <c r="AP435" s="74">
        <f t="shared" ref="AP435:AP443" si="126">SUMIF($C$10:$AI$10,"=Transfer",$C435:$AI435)</f>
        <v>0</v>
      </c>
      <c r="AQ435" s="35"/>
      <c r="AR435" s="74">
        <f t="shared" ref="AR435:AR443" si="127">SUMIF($C$10:$AI$10,"=N/A",$C435:$AI435)</f>
        <v>0</v>
      </c>
      <c r="AS435" s="35"/>
      <c r="AT435" s="74">
        <f t="shared" ref="AT435:AT443" si="128">SUM(AL435:AR435)</f>
        <v>0</v>
      </c>
      <c r="AU435" s="35"/>
      <c r="AV435" s="37">
        <f t="shared" si="122"/>
        <v>0</v>
      </c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outlineLevel="1" x14ac:dyDescent="0.2">
      <c r="A436" s="13"/>
      <c r="B436" s="3" t="s">
        <v>385</v>
      </c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>
        <f>SUM(C436:AI436)</f>
        <v>0</v>
      </c>
      <c r="AK436" s="145"/>
      <c r="AL436" s="74">
        <f t="shared" si="124"/>
        <v>0</v>
      </c>
      <c r="AM436" s="35"/>
      <c r="AN436" s="74">
        <f t="shared" si="125"/>
        <v>0</v>
      </c>
      <c r="AO436" s="35"/>
      <c r="AP436" s="74">
        <f t="shared" si="126"/>
        <v>0</v>
      </c>
      <c r="AQ436" s="35"/>
      <c r="AR436" s="74">
        <f t="shared" si="127"/>
        <v>0</v>
      </c>
      <c r="AS436" s="35"/>
      <c r="AT436" s="74">
        <f t="shared" si="128"/>
        <v>0</v>
      </c>
      <c r="AU436" s="35"/>
      <c r="AV436" s="37">
        <f t="shared" si="122"/>
        <v>0</v>
      </c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x14ac:dyDescent="0.2">
      <c r="A437" s="13"/>
      <c r="B437" s="3" t="s">
        <v>386</v>
      </c>
      <c r="C437" s="14">
        <f>SUM(C435:C436)</f>
        <v>0</v>
      </c>
      <c r="D437" s="14"/>
      <c r="E437" s="14">
        <f>SUM(E435:E436)</f>
        <v>0</v>
      </c>
      <c r="F437" s="14"/>
      <c r="G437" s="14">
        <f>SUM(G435:G436)</f>
        <v>0</v>
      </c>
      <c r="H437" s="14"/>
      <c r="I437" s="14">
        <f>SUM(I435:I436)</f>
        <v>0</v>
      </c>
      <c r="J437" s="14"/>
      <c r="K437" s="14">
        <f>SUM(K435:K436)</f>
        <v>0</v>
      </c>
      <c r="L437" s="14"/>
      <c r="M437" s="14">
        <f>SUM(M435:M436)</f>
        <v>0</v>
      </c>
      <c r="N437" s="14"/>
      <c r="O437" s="14">
        <f>SUM(O435:O436)</f>
        <v>0</v>
      </c>
      <c r="P437" s="14"/>
      <c r="Q437" s="14">
        <f>SUM(Q435:Q436)</f>
        <v>0</v>
      </c>
      <c r="R437" s="14"/>
      <c r="S437" s="14">
        <f>SUM(S435:S436)</f>
        <v>0</v>
      </c>
      <c r="T437" s="14"/>
      <c r="U437" s="14">
        <f>SUM(U435:U436)</f>
        <v>0</v>
      </c>
      <c r="V437" s="14"/>
      <c r="W437" s="14">
        <f>SUM(W435:W436)</f>
        <v>0</v>
      </c>
      <c r="X437" s="14"/>
      <c r="Y437" s="14">
        <f>SUM(Y435:Y436)</f>
        <v>0</v>
      </c>
      <c r="Z437" s="14"/>
      <c r="AA437" s="14">
        <f>SUM(AA435:AA436)</f>
        <v>0</v>
      </c>
      <c r="AB437" s="14"/>
      <c r="AC437" s="14">
        <f>SUM(AC435:AC436)</f>
        <v>0</v>
      </c>
      <c r="AD437" s="14"/>
      <c r="AE437" s="14">
        <f>SUM(AE435:AE436)</f>
        <v>0</v>
      </c>
      <c r="AF437" s="14"/>
      <c r="AG437" s="14">
        <f>SUM(AG435:AG436)</f>
        <v>0</v>
      </c>
      <c r="AH437" s="14"/>
      <c r="AI437" s="14"/>
      <c r="AJ437" s="14">
        <f>SUM(AJ435:AJ436)</f>
        <v>0</v>
      </c>
      <c r="AK437" s="145"/>
      <c r="AL437" s="74">
        <f t="shared" si="124"/>
        <v>0</v>
      </c>
      <c r="AM437" s="35"/>
      <c r="AN437" s="74">
        <f t="shared" si="125"/>
        <v>0</v>
      </c>
      <c r="AO437" s="35"/>
      <c r="AP437" s="74">
        <f t="shared" si="126"/>
        <v>0</v>
      </c>
      <c r="AQ437" s="35"/>
      <c r="AR437" s="74">
        <f t="shared" si="127"/>
        <v>0</v>
      </c>
      <c r="AS437" s="35"/>
      <c r="AT437" s="74">
        <f t="shared" si="128"/>
        <v>0</v>
      </c>
      <c r="AU437" s="35"/>
      <c r="AV437" s="37">
        <f t="shared" si="122"/>
        <v>0</v>
      </c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x14ac:dyDescent="0.2">
      <c r="A438" s="13"/>
      <c r="B438" s="3" t="s">
        <v>387</v>
      </c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>
        <f>SUM(C438:AI438)</f>
        <v>0</v>
      </c>
      <c r="AK438" s="145"/>
      <c r="AL438" s="74">
        <f t="shared" si="124"/>
        <v>0</v>
      </c>
      <c r="AM438" s="35"/>
      <c r="AN438" s="74">
        <f t="shared" si="125"/>
        <v>0</v>
      </c>
      <c r="AO438" s="35"/>
      <c r="AP438" s="74">
        <f t="shared" si="126"/>
        <v>0</v>
      </c>
      <c r="AQ438" s="35"/>
      <c r="AR438" s="74">
        <f t="shared" si="127"/>
        <v>0</v>
      </c>
      <c r="AS438" s="35"/>
      <c r="AT438" s="74">
        <f t="shared" si="128"/>
        <v>0</v>
      </c>
      <c r="AU438" s="35"/>
      <c r="AV438" s="37">
        <f t="shared" si="122"/>
        <v>0</v>
      </c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x14ac:dyDescent="0.2">
      <c r="A439" s="13"/>
      <c r="B439" s="3" t="s">
        <v>388</v>
      </c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>
        <f>SUM(C439:AI439)</f>
        <v>0</v>
      </c>
      <c r="AK439" s="145"/>
      <c r="AL439" s="74">
        <f t="shared" si="124"/>
        <v>0</v>
      </c>
      <c r="AM439" s="35"/>
      <c r="AN439" s="74">
        <f t="shared" si="125"/>
        <v>0</v>
      </c>
      <c r="AO439" s="35"/>
      <c r="AP439" s="74">
        <f t="shared" si="126"/>
        <v>0</v>
      </c>
      <c r="AQ439" s="35"/>
      <c r="AR439" s="74">
        <f t="shared" si="127"/>
        <v>0</v>
      </c>
      <c r="AS439" s="35"/>
      <c r="AT439" s="74">
        <f t="shared" si="128"/>
        <v>0</v>
      </c>
      <c r="AU439" s="35"/>
      <c r="AV439" s="37">
        <f t="shared" si="122"/>
        <v>0</v>
      </c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outlineLevel="1" x14ac:dyDescent="0.2">
      <c r="A440" s="13"/>
      <c r="B440" s="3" t="s">
        <v>389</v>
      </c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>
        <f>SUM(C440:AI440)</f>
        <v>0</v>
      </c>
      <c r="AK440" s="145"/>
      <c r="AL440" s="74">
        <f t="shared" si="124"/>
        <v>0</v>
      </c>
      <c r="AM440" s="35"/>
      <c r="AN440" s="74">
        <f t="shared" si="125"/>
        <v>0</v>
      </c>
      <c r="AO440" s="35"/>
      <c r="AP440" s="74">
        <f t="shared" si="126"/>
        <v>0</v>
      </c>
      <c r="AQ440" s="35"/>
      <c r="AR440" s="74">
        <f t="shared" si="127"/>
        <v>0</v>
      </c>
      <c r="AS440" s="35"/>
      <c r="AT440" s="74">
        <f t="shared" si="128"/>
        <v>0</v>
      </c>
      <c r="AU440" s="35"/>
      <c r="AV440" s="37">
        <f t="shared" si="122"/>
        <v>0</v>
      </c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outlineLevel="1" x14ac:dyDescent="0.2">
      <c r="A441" s="13"/>
      <c r="B441" s="29" t="s">
        <v>390</v>
      </c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>
        <f>SUM(C441:AI441)</f>
        <v>0</v>
      </c>
      <c r="AK441" s="145"/>
      <c r="AL441" s="74">
        <f t="shared" si="124"/>
        <v>0</v>
      </c>
      <c r="AM441" s="35"/>
      <c r="AN441" s="74">
        <f t="shared" si="125"/>
        <v>0</v>
      </c>
      <c r="AO441" s="35"/>
      <c r="AP441" s="74">
        <f t="shared" si="126"/>
        <v>0</v>
      </c>
      <c r="AQ441" s="35"/>
      <c r="AR441" s="74">
        <f t="shared" si="127"/>
        <v>0</v>
      </c>
      <c r="AS441" s="35"/>
      <c r="AT441" s="74">
        <f t="shared" si="128"/>
        <v>0</v>
      </c>
      <c r="AU441" s="35"/>
      <c r="AV441" s="37">
        <f t="shared" si="122"/>
        <v>0</v>
      </c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x14ac:dyDescent="0.2">
      <c r="A442" s="13"/>
      <c r="B442" s="29" t="s">
        <v>391</v>
      </c>
      <c r="C442" s="14">
        <f>SUM(C440:C441)</f>
        <v>0</v>
      </c>
      <c r="D442" s="14"/>
      <c r="E442" s="14">
        <f>SUM(E440:E441)</f>
        <v>0</v>
      </c>
      <c r="F442" s="14"/>
      <c r="G442" s="14">
        <f>SUM(G440:G441)</f>
        <v>0</v>
      </c>
      <c r="H442" s="14"/>
      <c r="I442" s="14">
        <f>SUM(I440:I441)</f>
        <v>0</v>
      </c>
      <c r="J442" s="14"/>
      <c r="K442" s="14">
        <f>SUM(K440:K441)</f>
        <v>0</v>
      </c>
      <c r="L442" s="14"/>
      <c r="M442" s="14">
        <f>SUM(M440:M441)</f>
        <v>0</v>
      </c>
      <c r="N442" s="14"/>
      <c r="O442" s="14">
        <f>SUM(O440:O441)</f>
        <v>0</v>
      </c>
      <c r="P442" s="14"/>
      <c r="Q442" s="14">
        <f>SUM(Q440:Q441)</f>
        <v>0</v>
      </c>
      <c r="R442" s="14"/>
      <c r="S442" s="14">
        <f>SUM(S440:S441)</f>
        <v>0</v>
      </c>
      <c r="T442" s="14"/>
      <c r="U442" s="14">
        <f>SUM(U440:U441)</f>
        <v>0</v>
      </c>
      <c r="V442" s="14"/>
      <c r="W442" s="14">
        <f>SUM(W440:W441)</f>
        <v>0</v>
      </c>
      <c r="X442" s="14"/>
      <c r="Y442" s="14">
        <f>SUM(Y440:Y441)</f>
        <v>0</v>
      </c>
      <c r="Z442" s="14"/>
      <c r="AA442" s="14">
        <f>SUM(AA440:AA441)</f>
        <v>0</v>
      </c>
      <c r="AB442" s="14"/>
      <c r="AC442" s="14">
        <f>SUM(AC440:AC441)</f>
        <v>0</v>
      </c>
      <c r="AD442" s="14"/>
      <c r="AE442" s="14">
        <f>SUM(AE440:AE441)</f>
        <v>0</v>
      </c>
      <c r="AF442" s="14"/>
      <c r="AG442" s="14">
        <f>SUM(AG440:AG441)</f>
        <v>0</v>
      </c>
      <c r="AH442" s="14"/>
      <c r="AI442" s="14"/>
      <c r="AJ442" s="14">
        <f>SUM(AJ440:AJ441)</f>
        <v>0</v>
      </c>
      <c r="AK442" s="145"/>
      <c r="AL442" s="74">
        <f t="shared" si="124"/>
        <v>0</v>
      </c>
      <c r="AM442" s="35"/>
      <c r="AN442" s="74">
        <f t="shared" si="125"/>
        <v>0</v>
      </c>
      <c r="AO442" s="35"/>
      <c r="AP442" s="74">
        <f t="shared" si="126"/>
        <v>0</v>
      </c>
      <c r="AQ442" s="35"/>
      <c r="AR442" s="74">
        <f t="shared" si="127"/>
        <v>0</v>
      </c>
      <c r="AS442" s="35"/>
      <c r="AT442" s="74">
        <f t="shared" si="128"/>
        <v>0</v>
      </c>
      <c r="AU442" s="35"/>
      <c r="AV442" s="37">
        <f t="shared" si="122"/>
        <v>0</v>
      </c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x14ac:dyDescent="0.2">
      <c r="A443" s="13"/>
      <c r="B443" s="21" t="s">
        <v>392</v>
      </c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>
        <f>SUM(C443:AI443)</f>
        <v>0</v>
      </c>
      <c r="AK443" s="145"/>
      <c r="AL443" s="74">
        <f t="shared" si="124"/>
        <v>0</v>
      </c>
      <c r="AM443" s="35"/>
      <c r="AN443" s="74">
        <f t="shared" si="125"/>
        <v>0</v>
      </c>
      <c r="AO443" s="35"/>
      <c r="AP443" s="74">
        <f t="shared" si="126"/>
        <v>0</v>
      </c>
      <c r="AQ443" s="35"/>
      <c r="AR443" s="74">
        <f t="shared" si="127"/>
        <v>0</v>
      </c>
      <c r="AS443" s="35"/>
      <c r="AT443" s="74">
        <f t="shared" si="128"/>
        <v>0</v>
      </c>
      <c r="AU443" s="35"/>
      <c r="AV443" s="37">
        <f t="shared" si="122"/>
        <v>0</v>
      </c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x14ac:dyDescent="0.2">
      <c r="A444" s="13"/>
      <c r="B444" s="9" t="s">
        <v>393</v>
      </c>
      <c r="C444" s="19">
        <f>C443+C442+C439+C438+C437</f>
        <v>0</v>
      </c>
      <c r="D444" s="14"/>
      <c r="E444" s="19">
        <f>E443+E442+E439+E438+E437</f>
        <v>0</v>
      </c>
      <c r="F444" s="14"/>
      <c r="G444" s="19">
        <f>G443+G442+G439+G438+G437</f>
        <v>0</v>
      </c>
      <c r="H444" s="14"/>
      <c r="I444" s="19">
        <f>I443+I442+I439+I438+I437</f>
        <v>0</v>
      </c>
      <c r="J444" s="14"/>
      <c r="K444" s="19">
        <f>K443+K442+K439+K438+K437</f>
        <v>0</v>
      </c>
      <c r="L444" s="14"/>
      <c r="M444" s="19">
        <f>M443+M442+M439+M438+M437</f>
        <v>0</v>
      </c>
      <c r="N444" s="14"/>
      <c r="O444" s="19">
        <f>O443+O442+O439+O438+O437</f>
        <v>0</v>
      </c>
      <c r="P444" s="14"/>
      <c r="Q444" s="19">
        <f>Q443+Q442+Q439+Q438+Q437</f>
        <v>0</v>
      </c>
      <c r="R444" s="14"/>
      <c r="S444" s="19">
        <f>S443+S442+S439+S438+S437</f>
        <v>0</v>
      </c>
      <c r="T444" s="19"/>
      <c r="U444" s="19">
        <f>U443+U442+U439+U438+U437</f>
        <v>0</v>
      </c>
      <c r="V444" s="19"/>
      <c r="W444" s="19">
        <f>W443+W442+W439+W438+W437</f>
        <v>0</v>
      </c>
      <c r="X444" s="14"/>
      <c r="Y444" s="19">
        <f>Y443+Y442+Y439+Y438+Y437</f>
        <v>0</v>
      </c>
      <c r="Z444" s="14"/>
      <c r="AA444" s="19">
        <f>AA443+AA442+AA439+AA438+AA437</f>
        <v>0</v>
      </c>
      <c r="AB444" s="14"/>
      <c r="AC444" s="19">
        <f>AC443+AC442+AC439+AC438+AC437</f>
        <v>0</v>
      </c>
      <c r="AD444" s="14"/>
      <c r="AE444" s="19">
        <f>AE443+AE442+AE439+AE438+AE437</f>
        <v>0</v>
      </c>
      <c r="AF444" s="14"/>
      <c r="AG444" s="19">
        <f>AG443+AG442+AG439+AG438+AG437</f>
        <v>0</v>
      </c>
      <c r="AH444" s="14"/>
      <c r="AI444" s="19"/>
      <c r="AJ444" s="19">
        <f>AJ443+AJ442+AJ439+AJ438+AJ437</f>
        <v>0</v>
      </c>
      <c r="AK444" s="145"/>
      <c r="AL444" s="110">
        <f>AL443+AL442+AL439+AL438+AL437</f>
        <v>0</v>
      </c>
      <c r="AM444" s="35"/>
      <c r="AN444" s="110">
        <f>AN443+AN442+AN439+AN438+AN437</f>
        <v>0</v>
      </c>
      <c r="AO444" s="35"/>
      <c r="AP444" s="110">
        <f>AP443+AP442+AP439+AP438+AP437</f>
        <v>0</v>
      </c>
      <c r="AQ444" s="35"/>
      <c r="AR444" s="110">
        <f>AR443+AR442+AR439+AR438+AR437</f>
        <v>0</v>
      </c>
      <c r="AS444" s="35"/>
      <c r="AT444" s="110">
        <f>AT443+AT442+AT439+AT438+AT437</f>
        <v>0</v>
      </c>
      <c r="AU444" s="35"/>
      <c r="AV444" s="37">
        <f t="shared" si="122"/>
        <v>0</v>
      </c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x14ac:dyDescent="0.2">
      <c r="A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5"/>
      <c r="AL445" s="74"/>
      <c r="AM445" s="35"/>
      <c r="AN445" s="74"/>
      <c r="AO445" s="35"/>
      <c r="AP445" s="35"/>
      <c r="AQ445" s="35"/>
      <c r="AR445" s="35"/>
      <c r="AS445" s="35"/>
      <c r="AT445" s="35"/>
      <c r="AU445" s="35"/>
      <c r="AV445" s="37">
        <f t="shared" si="122"/>
        <v>0</v>
      </c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x14ac:dyDescent="0.2">
      <c r="A446" s="13"/>
      <c r="B446" s="9" t="s">
        <v>29</v>
      </c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5"/>
      <c r="AL446" s="74"/>
      <c r="AM446" s="35"/>
      <c r="AN446" s="74"/>
      <c r="AO446" s="35"/>
      <c r="AP446" s="35"/>
      <c r="AQ446" s="35"/>
      <c r="AR446" s="35"/>
      <c r="AS446" s="35"/>
      <c r="AT446" s="35"/>
      <c r="AU446" s="35"/>
      <c r="AV446" s="37">
        <f t="shared" si="122"/>
        <v>0</v>
      </c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x14ac:dyDescent="0.2">
      <c r="A447" s="13"/>
      <c r="B447" s="3" t="s">
        <v>394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>
        <f>SUM(C447:AI447)</f>
        <v>0</v>
      </c>
      <c r="AK447" s="145"/>
      <c r="AL447" s="74">
        <f>SUMIF($C$10:$AI$10,"=Addition",$C447:$AI447)</f>
        <v>0</v>
      </c>
      <c r="AM447" s="35"/>
      <c r="AN447" s="74">
        <f>SUMIF($C$10:$AI$10,"=Adjustment",$C447:$AI447)</f>
        <v>0</v>
      </c>
      <c r="AO447" s="35"/>
      <c r="AP447" s="74">
        <f>SUMIF($C$10:$AI$10,"=Transfer",$C447:$AI447)</f>
        <v>0</v>
      </c>
      <c r="AQ447" s="35"/>
      <c r="AR447" s="74">
        <f>SUMIF($C$10:$AI$10,"=N/A",$C447:$AI447)</f>
        <v>0</v>
      </c>
      <c r="AS447" s="35"/>
      <c r="AT447" s="74">
        <f t="shared" ref="AT447" si="129">SUM(AL447:AR447)</f>
        <v>0</v>
      </c>
      <c r="AU447" s="35"/>
      <c r="AV447" s="37">
        <f t="shared" si="122"/>
        <v>0</v>
      </c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x14ac:dyDescent="0.2">
      <c r="A448" s="13"/>
      <c r="B448" s="9" t="s">
        <v>395</v>
      </c>
      <c r="C448" s="19">
        <f>SUM(C447)</f>
        <v>0</v>
      </c>
      <c r="D448" s="14"/>
      <c r="E448" s="19">
        <f>SUM(E447)</f>
        <v>0</v>
      </c>
      <c r="F448" s="14"/>
      <c r="G448" s="19">
        <f>SUM(G447)</f>
        <v>0</v>
      </c>
      <c r="H448" s="14"/>
      <c r="I448" s="19">
        <f>SUM(I447)</f>
        <v>0</v>
      </c>
      <c r="J448" s="14"/>
      <c r="K448" s="19">
        <f>SUM(K447)</f>
        <v>0</v>
      </c>
      <c r="L448" s="14"/>
      <c r="M448" s="19">
        <f>SUM(M447)</f>
        <v>0</v>
      </c>
      <c r="N448" s="14"/>
      <c r="O448" s="19">
        <f>SUM(O447)</f>
        <v>0</v>
      </c>
      <c r="P448" s="14"/>
      <c r="Q448" s="19">
        <f>SUM(Q447)</f>
        <v>0</v>
      </c>
      <c r="R448" s="14"/>
      <c r="S448" s="19">
        <f>SUM(S447)</f>
        <v>0</v>
      </c>
      <c r="T448" s="19"/>
      <c r="U448" s="19">
        <f>SUM(U447)</f>
        <v>0</v>
      </c>
      <c r="V448" s="19"/>
      <c r="W448" s="19">
        <f>SUM(W447)</f>
        <v>0</v>
      </c>
      <c r="X448" s="14"/>
      <c r="Y448" s="19">
        <f>SUM(Y447)</f>
        <v>0</v>
      </c>
      <c r="Z448" s="14"/>
      <c r="AA448" s="19">
        <f>SUM(AA447)</f>
        <v>0</v>
      </c>
      <c r="AB448" s="14"/>
      <c r="AC448" s="19">
        <f>SUM(AC447)</f>
        <v>0</v>
      </c>
      <c r="AD448" s="14"/>
      <c r="AE448" s="19">
        <f>SUM(AE447)</f>
        <v>0</v>
      </c>
      <c r="AF448" s="14"/>
      <c r="AG448" s="19">
        <f>SUM(AG447)</f>
        <v>0</v>
      </c>
      <c r="AH448" s="14"/>
      <c r="AI448" s="19"/>
      <c r="AJ448" s="19">
        <f>SUM(AJ447)</f>
        <v>0</v>
      </c>
      <c r="AK448" s="145"/>
      <c r="AL448" s="110">
        <f>SUM(AL447)</f>
        <v>0</v>
      </c>
      <c r="AM448" s="35"/>
      <c r="AN448" s="110">
        <f>SUM(AN447)</f>
        <v>0</v>
      </c>
      <c r="AO448" s="35"/>
      <c r="AP448" s="110">
        <f>SUM(AP447)</f>
        <v>0</v>
      </c>
      <c r="AQ448" s="35"/>
      <c r="AR448" s="110">
        <f>SUM(AR447)</f>
        <v>0</v>
      </c>
      <c r="AS448" s="35"/>
      <c r="AT448" s="110">
        <f>SUM(AT447)</f>
        <v>0</v>
      </c>
      <c r="AU448" s="35"/>
      <c r="AV448" s="37">
        <f t="shared" si="122"/>
        <v>0</v>
      </c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x14ac:dyDescent="0.2">
      <c r="A449" s="1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5"/>
      <c r="AL449" s="74"/>
      <c r="AM449" s="35"/>
      <c r="AN449" s="74"/>
      <c r="AO449" s="35"/>
      <c r="AP449" s="35"/>
      <c r="AQ449" s="35"/>
      <c r="AR449" s="35"/>
      <c r="AS449" s="35"/>
      <c r="AT449" s="35"/>
      <c r="AU449" s="35"/>
      <c r="AV449" s="37">
        <f t="shared" si="122"/>
        <v>0</v>
      </c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x14ac:dyDescent="0.2">
      <c r="A450" s="13"/>
      <c r="B450" s="9" t="s">
        <v>30</v>
      </c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5"/>
      <c r="AL450" s="74"/>
      <c r="AM450" s="35"/>
      <c r="AN450" s="74"/>
      <c r="AO450" s="35"/>
      <c r="AP450" s="35"/>
      <c r="AQ450" s="35"/>
      <c r="AR450" s="35"/>
      <c r="AS450" s="35"/>
      <c r="AT450" s="35"/>
      <c r="AU450" s="35"/>
      <c r="AV450" s="37">
        <f t="shared" si="122"/>
        <v>0</v>
      </c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outlineLevel="1" x14ac:dyDescent="0.2">
      <c r="A451" s="13"/>
      <c r="B451" s="3" t="s">
        <v>396</v>
      </c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>
        <f>SUM(C451:AI451)</f>
        <v>0</v>
      </c>
      <c r="AK451" s="145"/>
      <c r="AL451" s="74">
        <f t="shared" ref="AL451:AL472" si="130">SUMIF($C$10:$AI$10,"=Addition",$C451:$AI451)</f>
        <v>0</v>
      </c>
      <c r="AM451" s="35"/>
      <c r="AN451" s="74">
        <f t="shared" ref="AN451:AN472" si="131">SUMIF($C$10:$AI$10,"=Adjustment",$C451:$AI451)</f>
        <v>0</v>
      </c>
      <c r="AO451" s="35"/>
      <c r="AP451" s="74">
        <f t="shared" ref="AP451:AP472" si="132">SUMIF($C$10:$AI$10,"=Transfer",$C451:$AI451)</f>
        <v>0</v>
      </c>
      <c r="AQ451" s="35"/>
      <c r="AR451" s="74">
        <f t="shared" ref="AR451:AR472" si="133">SUMIF($C$10:$AI$10,"=N/A",$C451:$AI451)</f>
        <v>0</v>
      </c>
      <c r="AS451" s="35"/>
      <c r="AT451" s="74">
        <f t="shared" ref="AT451:AT472" si="134">SUM(AL451:AR451)</f>
        <v>0</v>
      </c>
      <c r="AU451" s="35"/>
      <c r="AV451" s="37">
        <f t="shared" si="122"/>
        <v>0</v>
      </c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outlineLevel="1" x14ac:dyDescent="0.2">
      <c r="A452" s="13"/>
      <c r="B452" s="3" t="s">
        <v>397</v>
      </c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>
        <f>SUM(C452:AI452)</f>
        <v>0</v>
      </c>
      <c r="AK452" s="145"/>
      <c r="AL452" s="74">
        <f t="shared" si="130"/>
        <v>0</v>
      </c>
      <c r="AM452" s="35"/>
      <c r="AN452" s="74">
        <f t="shared" si="131"/>
        <v>0</v>
      </c>
      <c r="AO452" s="35"/>
      <c r="AP452" s="74">
        <f t="shared" si="132"/>
        <v>0</v>
      </c>
      <c r="AQ452" s="35"/>
      <c r="AR452" s="74">
        <f t="shared" si="133"/>
        <v>0</v>
      </c>
      <c r="AS452" s="35"/>
      <c r="AT452" s="74">
        <f t="shared" si="134"/>
        <v>0</v>
      </c>
      <c r="AU452" s="35"/>
      <c r="AV452" s="37">
        <f t="shared" si="122"/>
        <v>0</v>
      </c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x14ac:dyDescent="0.2">
      <c r="A453" s="13"/>
      <c r="B453" s="21" t="s">
        <v>398</v>
      </c>
      <c r="C453" s="14">
        <f>SUM(C451:C452)</f>
        <v>0</v>
      </c>
      <c r="D453" s="14"/>
      <c r="E453" s="14">
        <f>SUM(E451:E452)</f>
        <v>0</v>
      </c>
      <c r="F453" s="14"/>
      <c r="G453" s="14">
        <f>SUM(G451:G452)</f>
        <v>0</v>
      </c>
      <c r="H453" s="14"/>
      <c r="I453" s="14">
        <f>SUM(I451:I452)</f>
        <v>0</v>
      </c>
      <c r="J453" s="14"/>
      <c r="K453" s="14">
        <f>SUM(K451:K452)</f>
        <v>0</v>
      </c>
      <c r="L453" s="14"/>
      <c r="M453" s="14">
        <f>SUM(M451:M452)</f>
        <v>0</v>
      </c>
      <c r="N453" s="14"/>
      <c r="O453" s="14">
        <f>SUM(O451:O452)</f>
        <v>0</v>
      </c>
      <c r="P453" s="14"/>
      <c r="Q453" s="14">
        <f>SUM(Q451:Q452)</f>
        <v>0</v>
      </c>
      <c r="R453" s="14"/>
      <c r="S453" s="14">
        <f>SUM(S451:S452)</f>
        <v>0</v>
      </c>
      <c r="T453" s="14"/>
      <c r="U453" s="14">
        <f>SUM(U451:U452)</f>
        <v>0</v>
      </c>
      <c r="V453" s="14"/>
      <c r="W453" s="14">
        <f>SUM(W451:W452)</f>
        <v>0</v>
      </c>
      <c r="X453" s="14"/>
      <c r="Y453" s="14">
        <f>SUM(Y451:Y452)</f>
        <v>0</v>
      </c>
      <c r="Z453" s="14"/>
      <c r="AA453" s="14">
        <f>SUM(AA451:AA452)</f>
        <v>0</v>
      </c>
      <c r="AB453" s="14"/>
      <c r="AC453" s="14">
        <f>SUM(AC451:AC452)</f>
        <v>0</v>
      </c>
      <c r="AD453" s="14"/>
      <c r="AE453" s="14">
        <f>SUM(AE451:AE452)</f>
        <v>0</v>
      </c>
      <c r="AF453" s="14"/>
      <c r="AG453" s="14">
        <f>SUM(AG451:AG452)</f>
        <v>0</v>
      </c>
      <c r="AH453" s="14"/>
      <c r="AI453" s="14"/>
      <c r="AJ453" s="14">
        <f>SUM(AJ451:AJ452)</f>
        <v>0</v>
      </c>
      <c r="AK453" s="145"/>
      <c r="AL453" s="74">
        <f t="shared" si="130"/>
        <v>0</v>
      </c>
      <c r="AM453" s="35"/>
      <c r="AN453" s="74">
        <f t="shared" si="131"/>
        <v>0</v>
      </c>
      <c r="AO453" s="35"/>
      <c r="AP453" s="74">
        <f t="shared" si="132"/>
        <v>0</v>
      </c>
      <c r="AQ453" s="35"/>
      <c r="AR453" s="74">
        <f t="shared" si="133"/>
        <v>0</v>
      </c>
      <c r="AS453" s="35"/>
      <c r="AT453" s="74">
        <f t="shared" si="134"/>
        <v>0</v>
      </c>
      <c r="AU453" s="35"/>
      <c r="AV453" s="37">
        <f t="shared" si="122"/>
        <v>0</v>
      </c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outlineLevel="1" x14ac:dyDescent="0.2">
      <c r="A454" s="13"/>
      <c r="B454" s="3" t="s">
        <v>399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>
        <f>SUM(C454:AI454)</f>
        <v>0</v>
      </c>
      <c r="AK454" s="145"/>
      <c r="AL454" s="74">
        <f t="shared" si="130"/>
        <v>0</v>
      </c>
      <c r="AM454" s="35"/>
      <c r="AN454" s="74">
        <f t="shared" si="131"/>
        <v>0</v>
      </c>
      <c r="AO454" s="35"/>
      <c r="AP454" s="74">
        <f t="shared" si="132"/>
        <v>0</v>
      </c>
      <c r="AQ454" s="35"/>
      <c r="AR454" s="74">
        <f t="shared" si="133"/>
        <v>0</v>
      </c>
      <c r="AS454" s="35"/>
      <c r="AT454" s="74">
        <f t="shared" si="134"/>
        <v>0</v>
      </c>
      <c r="AU454" s="35"/>
      <c r="AV454" s="37">
        <f t="shared" si="122"/>
        <v>0</v>
      </c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outlineLevel="1" x14ac:dyDescent="0.2">
      <c r="A455" s="13"/>
      <c r="B455" s="3" t="s">
        <v>400</v>
      </c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>
        <f>SUM(C455:AI455)</f>
        <v>0</v>
      </c>
      <c r="AK455" s="145"/>
      <c r="AL455" s="74">
        <f t="shared" si="130"/>
        <v>0</v>
      </c>
      <c r="AM455" s="35"/>
      <c r="AN455" s="74">
        <f t="shared" si="131"/>
        <v>0</v>
      </c>
      <c r="AO455" s="35"/>
      <c r="AP455" s="74">
        <f t="shared" si="132"/>
        <v>0</v>
      </c>
      <c r="AQ455" s="35"/>
      <c r="AR455" s="74">
        <f t="shared" si="133"/>
        <v>0</v>
      </c>
      <c r="AS455" s="35"/>
      <c r="AT455" s="74">
        <f t="shared" si="134"/>
        <v>0</v>
      </c>
      <c r="AU455" s="35"/>
      <c r="AV455" s="37">
        <f t="shared" si="122"/>
        <v>0</v>
      </c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outlineLevel="1" x14ac:dyDescent="0.2">
      <c r="A456" s="13"/>
      <c r="B456" s="3" t="s">
        <v>401</v>
      </c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>
        <f>SUM(C456:AI456)</f>
        <v>0</v>
      </c>
      <c r="AK456" s="145"/>
      <c r="AL456" s="74">
        <f t="shared" si="130"/>
        <v>0</v>
      </c>
      <c r="AM456" s="35"/>
      <c r="AN456" s="74">
        <f t="shared" si="131"/>
        <v>0</v>
      </c>
      <c r="AO456" s="35"/>
      <c r="AP456" s="74">
        <f t="shared" si="132"/>
        <v>0</v>
      </c>
      <c r="AQ456" s="35"/>
      <c r="AR456" s="74">
        <f t="shared" si="133"/>
        <v>0</v>
      </c>
      <c r="AS456" s="35"/>
      <c r="AT456" s="74">
        <f t="shared" si="134"/>
        <v>0</v>
      </c>
      <c r="AU456" s="35"/>
      <c r="AV456" s="37">
        <f t="shared" si="122"/>
        <v>0</v>
      </c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x14ac:dyDescent="0.2">
      <c r="A457" s="13"/>
      <c r="B457" s="3" t="s">
        <v>402</v>
      </c>
      <c r="C457" s="14">
        <f>SUM(C454:C456)</f>
        <v>0</v>
      </c>
      <c r="D457" s="14"/>
      <c r="E457" s="14">
        <f>SUM(E454:E456)</f>
        <v>0</v>
      </c>
      <c r="F457" s="14"/>
      <c r="G457" s="14">
        <f>SUM(G454:G456)</f>
        <v>0</v>
      </c>
      <c r="H457" s="14"/>
      <c r="I457" s="14">
        <f>SUM(I454:I456)</f>
        <v>0</v>
      </c>
      <c r="J457" s="14"/>
      <c r="K457" s="14">
        <f>SUM(K454:K456)</f>
        <v>0</v>
      </c>
      <c r="L457" s="14"/>
      <c r="M457" s="14">
        <f>SUM(M454:M456)</f>
        <v>0</v>
      </c>
      <c r="N457" s="14"/>
      <c r="O457" s="14">
        <f>SUM(O454:O456)</f>
        <v>0</v>
      </c>
      <c r="P457" s="14"/>
      <c r="Q457" s="14">
        <f>SUM(Q454:Q456)</f>
        <v>0</v>
      </c>
      <c r="R457" s="14"/>
      <c r="S457" s="14">
        <f>SUM(S454:S456)</f>
        <v>0</v>
      </c>
      <c r="T457" s="14"/>
      <c r="U457" s="14">
        <f>SUM(U454:U456)</f>
        <v>0</v>
      </c>
      <c r="V457" s="14"/>
      <c r="W457" s="14">
        <f>SUM(W454:W456)</f>
        <v>0</v>
      </c>
      <c r="X457" s="14"/>
      <c r="Y457" s="14">
        <f>SUM(Y454:Y456)</f>
        <v>0</v>
      </c>
      <c r="Z457" s="14"/>
      <c r="AA457" s="14">
        <f>SUM(AA454:AA456)</f>
        <v>0</v>
      </c>
      <c r="AB457" s="14"/>
      <c r="AC457" s="14">
        <f>SUM(AC454:AC456)</f>
        <v>0</v>
      </c>
      <c r="AD457" s="14"/>
      <c r="AE457" s="14">
        <f>SUM(AE454:AE456)</f>
        <v>0</v>
      </c>
      <c r="AF457" s="14"/>
      <c r="AG457" s="14">
        <f>SUM(AG454:AG456)</f>
        <v>0</v>
      </c>
      <c r="AH457" s="14"/>
      <c r="AI457" s="14"/>
      <c r="AJ457" s="14">
        <f>SUM(AJ454:AJ456)</f>
        <v>0</v>
      </c>
      <c r="AK457" s="145"/>
      <c r="AL457" s="74">
        <f t="shared" si="130"/>
        <v>0</v>
      </c>
      <c r="AM457" s="35"/>
      <c r="AN457" s="74">
        <f t="shared" si="131"/>
        <v>0</v>
      </c>
      <c r="AO457" s="35"/>
      <c r="AP457" s="74">
        <f t="shared" si="132"/>
        <v>0</v>
      </c>
      <c r="AQ457" s="35"/>
      <c r="AR457" s="74">
        <f t="shared" si="133"/>
        <v>0</v>
      </c>
      <c r="AS457" s="35"/>
      <c r="AT457" s="74">
        <f t="shared" si="134"/>
        <v>0</v>
      </c>
      <c r="AU457" s="35"/>
      <c r="AV457" s="37">
        <f t="shared" si="122"/>
        <v>0</v>
      </c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outlineLevel="1" x14ac:dyDescent="0.2">
      <c r="A458" s="13"/>
      <c r="B458" s="3" t="s">
        <v>403</v>
      </c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>
        <f>SUM(C458:AI458)</f>
        <v>0</v>
      </c>
      <c r="AK458" s="145"/>
      <c r="AL458" s="74">
        <f t="shared" si="130"/>
        <v>0</v>
      </c>
      <c r="AM458" s="35"/>
      <c r="AN458" s="74">
        <f t="shared" si="131"/>
        <v>0</v>
      </c>
      <c r="AO458" s="35"/>
      <c r="AP458" s="74">
        <f t="shared" si="132"/>
        <v>0</v>
      </c>
      <c r="AQ458" s="35"/>
      <c r="AR458" s="74">
        <f t="shared" si="133"/>
        <v>0</v>
      </c>
      <c r="AS458" s="35"/>
      <c r="AT458" s="74">
        <f t="shared" si="134"/>
        <v>0</v>
      </c>
      <c r="AU458" s="35"/>
      <c r="AV458" s="37">
        <f t="shared" si="122"/>
        <v>0</v>
      </c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outlineLevel="1" x14ac:dyDescent="0.2">
      <c r="A459" s="13"/>
      <c r="B459" s="3" t="s">
        <v>404</v>
      </c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>
        <f>SUM(C459:AI459)</f>
        <v>0</v>
      </c>
      <c r="AK459" s="145"/>
      <c r="AL459" s="74">
        <f t="shared" si="130"/>
        <v>0</v>
      </c>
      <c r="AM459" s="35"/>
      <c r="AN459" s="74">
        <f t="shared" si="131"/>
        <v>0</v>
      </c>
      <c r="AO459" s="35"/>
      <c r="AP459" s="74">
        <f t="shared" si="132"/>
        <v>0</v>
      </c>
      <c r="AQ459" s="35"/>
      <c r="AR459" s="74">
        <f t="shared" si="133"/>
        <v>0</v>
      </c>
      <c r="AS459" s="35"/>
      <c r="AT459" s="74">
        <f t="shared" si="134"/>
        <v>0</v>
      </c>
      <c r="AU459" s="35"/>
      <c r="AV459" s="37">
        <f t="shared" si="122"/>
        <v>0</v>
      </c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s="29" customFormat="1" outlineLevel="1" x14ac:dyDescent="0.2">
      <c r="A460" s="108"/>
      <c r="B460" s="3" t="s">
        <v>405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4">
        <f>SUM(C460:AI460)</f>
        <v>0</v>
      </c>
      <c r="AK460" s="112"/>
      <c r="AL460" s="74">
        <f t="shared" si="130"/>
        <v>0</v>
      </c>
      <c r="AM460" s="35"/>
      <c r="AN460" s="74">
        <f t="shared" si="131"/>
        <v>0</v>
      </c>
      <c r="AO460" s="35"/>
      <c r="AP460" s="74">
        <f t="shared" si="132"/>
        <v>0</v>
      </c>
      <c r="AQ460" s="35"/>
      <c r="AR460" s="74">
        <f t="shared" si="133"/>
        <v>0</v>
      </c>
      <c r="AS460" s="35"/>
      <c r="AT460" s="74">
        <f t="shared" si="134"/>
        <v>0</v>
      </c>
      <c r="AU460" s="35"/>
      <c r="AV460" s="37">
        <f t="shared" si="122"/>
        <v>0</v>
      </c>
    </row>
    <row r="461" spans="1:66" s="29" customFormat="1" x14ac:dyDescent="0.2">
      <c r="A461" s="108"/>
      <c r="B461" s="3" t="s">
        <v>406</v>
      </c>
      <c r="C461" s="16">
        <f>SUM(C458:C460)</f>
        <v>0</v>
      </c>
      <c r="D461" s="16"/>
      <c r="E461" s="16">
        <f>SUM(E458:E460)</f>
        <v>0</v>
      </c>
      <c r="F461" s="16"/>
      <c r="G461" s="16">
        <f>SUM(G458:G460)</f>
        <v>0</v>
      </c>
      <c r="H461" s="16"/>
      <c r="I461" s="16">
        <f>SUM(I458:I460)</f>
        <v>0</v>
      </c>
      <c r="J461" s="16"/>
      <c r="K461" s="16">
        <f>SUM(K458:K460)</f>
        <v>0</v>
      </c>
      <c r="L461" s="16"/>
      <c r="M461" s="16">
        <f>SUM(M458:M460)</f>
        <v>0</v>
      </c>
      <c r="N461" s="16"/>
      <c r="O461" s="16">
        <f>SUM(O458:O460)</f>
        <v>0</v>
      </c>
      <c r="P461" s="16"/>
      <c r="Q461" s="16">
        <f>SUM(Q458:Q460)</f>
        <v>0</v>
      </c>
      <c r="R461" s="16"/>
      <c r="S461" s="16">
        <f>SUM(S458:S460)</f>
        <v>0</v>
      </c>
      <c r="T461" s="16"/>
      <c r="U461" s="16">
        <f>SUM(U458:U460)</f>
        <v>0</v>
      </c>
      <c r="V461" s="16"/>
      <c r="W461" s="16">
        <f>SUM(W458:W460)</f>
        <v>0</v>
      </c>
      <c r="X461" s="16"/>
      <c r="Y461" s="16">
        <f>SUM(Y458:Y460)</f>
        <v>0</v>
      </c>
      <c r="Z461" s="16"/>
      <c r="AA461" s="16">
        <f>SUM(AA458:AA460)</f>
        <v>0</v>
      </c>
      <c r="AB461" s="16"/>
      <c r="AC461" s="16">
        <f>SUM(AC458:AC460)</f>
        <v>0</v>
      </c>
      <c r="AD461" s="16"/>
      <c r="AE461" s="16">
        <f>SUM(AE458:AE460)</f>
        <v>0</v>
      </c>
      <c r="AF461" s="16"/>
      <c r="AG461" s="16">
        <f>SUM(AG458:AG460)</f>
        <v>0</v>
      </c>
      <c r="AH461" s="16"/>
      <c r="AI461" s="16"/>
      <c r="AJ461" s="14">
        <f>SUM(AJ458:AJ460)</f>
        <v>0</v>
      </c>
      <c r="AK461" s="112"/>
      <c r="AL461" s="74">
        <f t="shared" si="130"/>
        <v>0</v>
      </c>
      <c r="AM461" s="35"/>
      <c r="AN461" s="74">
        <f t="shared" si="131"/>
        <v>0</v>
      </c>
      <c r="AO461" s="35"/>
      <c r="AP461" s="74">
        <f t="shared" si="132"/>
        <v>0</v>
      </c>
      <c r="AQ461" s="35"/>
      <c r="AR461" s="74">
        <f t="shared" si="133"/>
        <v>0</v>
      </c>
      <c r="AS461" s="35"/>
      <c r="AT461" s="74">
        <f t="shared" si="134"/>
        <v>0</v>
      </c>
      <c r="AU461" s="35"/>
      <c r="AV461" s="37">
        <f t="shared" si="122"/>
        <v>0</v>
      </c>
    </row>
    <row r="462" spans="1:66" s="29" customFormat="1" x14ac:dyDescent="0.2">
      <c r="A462" s="108"/>
      <c r="B462" s="3" t="s">
        <v>407</v>
      </c>
      <c r="F462" s="16"/>
      <c r="H462" s="16"/>
      <c r="J462" s="16"/>
      <c r="L462" s="16"/>
      <c r="N462" s="16"/>
      <c r="P462" s="16"/>
      <c r="R462" s="16"/>
      <c r="X462" s="16"/>
      <c r="Z462" s="16"/>
      <c r="AB462" s="16"/>
      <c r="AD462" s="16"/>
      <c r="AF462" s="16"/>
      <c r="AH462" s="16"/>
      <c r="AJ462" s="14">
        <f t="shared" ref="AJ462:AJ471" si="135">SUM(C462:AI462)</f>
        <v>0</v>
      </c>
      <c r="AK462" s="16"/>
      <c r="AL462" s="74">
        <f t="shared" si="130"/>
        <v>0</v>
      </c>
      <c r="AM462" s="35"/>
      <c r="AN462" s="74">
        <f t="shared" si="131"/>
        <v>0</v>
      </c>
      <c r="AO462" s="35"/>
      <c r="AP462" s="74">
        <f t="shared" si="132"/>
        <v>0</v>
      </c>
      <c r="AQ462" s="35"/>
      <c r="AR462" s="74">
        <f t="shared" si="133"/>
        <v>0</v>
      </c>
      <c r="AS462" s="35"/>
      <c r="AT462" s="74">
        <f t="shared" si="134"/>
        <v>0</v>
      </c>
      <c r="AU462" s="35"/>
      <c r="AV462" s="37">
        <f t="shared" si="122"/>
        <v>0</v>
      </c>
    </row>
    <row r="463" spans="1:66" s="29" customFormat="1" x14ac:dyDescent="0.2">
      <c r="A463" s="108"/>
      <c r="B463" s="3" t="s">
        <v>408</v>
      </c>
      <c r="F463" s="16"/>
      <c r="H463" s="16"/>
      <c r="J463" s="16"/>
      <c r="L463" s="16"/>
      <c r="N463" s="16"/>
      <c r="P463" s="16"/>
      <c r="R463" s="16"/>
      <c r="X463" s="16"/>
      <c r="Z463" s="16"/>
      <c r="AB463" s="16"/>
      <c r="AD463" s="16"/>
      <c r="AF463" s="16"/>
      <c r="AH463" s="16"/>
      <c r="AJ463" s="14">
        <f t="shared" si="135"/>
        <v>0</v>
      </c>
      <c r="AK463" s="16"/>
      <c r="AL463" s="74">
        <f t="shared" si="130"/>
        <v>0</v>
      </c>
      <c r="AM463" s="35"/>
      <c r="AN463" s="74">
        <f t="shared" si="131"/>
        <v>0</v>
      </c>
      <c r="AO463" s="35"/>
      <c r="AP463" s="74">
        <f t="shared" si="132"/>
        <v>0</v>
      </c>
      <c r="AQ463" s="35"/>
      <c r="AR463" s="74">
        <f t="shared" si="133"/>
        <v>0</v>
      </c>
      <c r="AS463" s="35"/>
      <c r="AT463" s="74">
        <f t="shared" si="134"/>
        <v>0</v>
      </c>
      <c r="AU463" s="35"/>
      <c r="AV463" s="37">
        <f t="shared" si="122"/>
        <v>0</v>
      </c>
    </row>
    <row r="464" spans="1:66" s="29" customFormat="1" x14ac:dyDescent="0.2">
      <c r="A464" s="108"/>
      <c r="B464" s="3" t="s">
        <v>409</v>
      </c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4">
        <f t="shared" si="135"/>
        <v>0</v>
      </c>
      <c r="AK464" s="112"/>
      <c r="AL464" s="74">
        <f t="shared" si="130"/>
        <v>0</v>
      </c>
      <c r="AM464" s="35"/>
      <c r="AN464" s="74">
        <f t="shared" si="131"/>
        <v>0</v>
      </c>
      <c r="AO464" s="35"/>
      <c r="AP464" s="74">
        <f t="shared" si="132"/>
        <v>0</v>
      </c>
      <c r="AQ464" s="35"/>
      <c r="AR464" s="74">
        <f t="shared" si="133"/>
        <v>0</v>
      </c>
      <c r="AS464" s="35"/>
      <c r="AT464" s="74">
        <f t="shared" si="134"/>
        <v>0</v>
      </c>
      <c r="AU464" s="35"/>
      <c r="AV464" s="37">
        <f t="shared" si="122"/>
        <v>0</v>
      </c>
    </row>
    <row r="465" spans="1:48" s="29" customFormat="1" x14ac:dyDescent="0.2">
      <c r="A465" s="108"/>
      <c r="B465" s="3" t="s">
        <v>410</v>
      </c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4">
        <f t="shared" si="135"/>
        <v>0</v>
      </c>
      <c r="AK465" s="112"/>
      <c r="AL465" s="74">
        <f t="shared" si="130"/>
        <v>0</v>
      </c>
      <c r="AM465" s="35"/>
      <c r="AN465" s="74">
        <f t="shared" si="131"/>
        <v>0</v>
      </c>
      <c r="AO465" s="35"/>
      <c r="AP465" s="74">
        <f t="shared" si="132"/>
        <v>0</v>
      </c>
      <c r="AQ465" s="35"/>
      <c r="AR465" s="74">
        <f t="shared" si="133"/>
        <v>0</v>
      </c>
      <c r="AS465" s="35"/>
      <c r="AT465" s="74">
        <f t="shared" si="134"/>
        <v>0</v>
      </c>
      <c r="AU465" s="35"/>
      <c r="AV465" s="37">
        <f t="shared" si="122"/>
        <v>0</v>
      </c>
    </row>
    <row r="466" spans="1:48" s="29" customFormat="1" x14ac:dyDescent="0.2">
      <c r="A466" s="108"/>
      <c r="B466" s="3" t="s">
        <v>411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4">
        <f t="shared" si="135"/>
        <v>0</v>
      </c>
      <c r="AK466" s="112"/>
      <c r="AL466" s="74">
        <f t="shared" si="130"/>
        <v>0</v>
      </c>
      <c r="AM466" s="35"/>
      <c r="AN466" s="74">
        <f t="shared" si="131"/>
        <v>0</v>
      </c>
      <c r="AO466" s="35"/>
      <c r="AP466" s="74">
        <f t="shared" si="132"/>
        <v>0</v>
      </c>
      <c r="AQ466" s="35"/>
      <c r="AR466" s="74">
        <f t="shared" si="133"/>
        <v>0</v>
      </c>
      <c r="AS466" s="35"/>
      <c r="AT466" s="74">
        <f t="shared" si="134"/>
        <v>0</v>
      </c>
      <c r="AU466" s="35"/>
      <c r="AV466" s="37">
        <f t="shared" si="122"/>
        <v>0</v>
      </c>
    </row>
    <row r="467" spans="1:48" s="29" customFormat="1" x14ac:dyDescent="0.2">
      <c r="A467" s="108"/>
      <c r="B467" s="3" t="s">
        <v>412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4">
        <f t="shared" si="135"/>
        <v>0</v>
      </c>
      <c r="AK467" s="112"/>
      <c r="AL467" s="74">
        <f t="shared" si="130"/>
        <v>0</v>
      </c>
      <c r="AM467" s="35"/>
      <c r="AN467" s="74">
        <f t="shared" si="131"/>
        <v>0</v>
      </c>
      <c r="AO467" s="35"/>
      <c r="AP467" s="74">
        <f t="shared" si="132"/>
        <v>0</v>
      </c>
      <c r="AQ467" s="35"/>
      <c r="AR467" s="74">
        <f t="shared" si="133"/>
        <v>0</v>
      </c>
      <c r="AS467" s="35"/>
      <c r="AT467" s="74">
        <f t="shared" si="134"/>
        <v>0</v>
      </c>
      <c r="AU467" s="35"/>
      <c r="AV467" s="37">
        <f t="shared" si="122"/>
        <v>0</v>
      </c>
    </row>
    <row r="468" spans="1:48" s="29" customFormat="1" x14ac:dyDescent="0.2">
      <c r="A468" s="108"/>
      <c r="B468" s="3" t="s">
        <v>413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4">
        <f t="shared" si="135"/>
        <v>0</v>
      </c>
      <c r="AK468" s="112"/>
      <c r="AL468" s="74">
        <f t="shared" si="130"/>
        <v>0</v>
      </c>
      <c r="AM468" s="35"/>
      <c r="AN468" s="74">
        <f t="shared" si="131"/>
        <v>0</v>
      </c>
      <c r="AO468" s="35"/>
      <c r="AP468" s="74">
        <f t="shared" si="132"/>
        <v>0</v>
      </c>
      <c r="AQ468" s="35"/>
      <c r="AR468" s="74">
        <f t="shared" si="133"/>
        <v>0</v>
      </c>
      <c r="AS468" s="35"/>
      <c r="AT468" s="74">
        <f t="shared" si="134"/>
        <v>0</v>
      </c>
      <c r="AU468" s="35"/>
      <c r="AV468" s="37">
        <f t="shared" si="122"/>
        <v>0</v>
      </c>
    </row>
    <row r="469" spans="1:48" s="29" customFormat="1" x14ac:dyDescent="0.2">
      <c r="A469" s="108"/>
      <c r="B469" s="3" t="s">
        <v>414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4">
        <f t="shared" si="135"/>
        <v>0</v>
      </c>
      <c r="AK469" s="112"/>
      <c r="AL469" s="74">
        <f t="shared" si="130"/>
        <v>0</v>
      </c>
      <c r="AM469" s="35"/>
      <c r="AN469" s="74">
        <f t="shared" si="131"/>
        <v>0</v>
      </c>
      <c r="AO469" s="35"/>
      <c r="AP469" s="74">
        <f t="shared" si="132"/>
        <v>0</v>
      </c>
      <c r="AQ469" s="35"/>
      <c r="AR469" s="74">
        <f t="shared" si="133"/>
        <v>0</v>
      </c>
      <c r="AS469" s="35"/>
      <c r="AT469" s="74">
        <f t="shared" si="134"/>
        <v>0</v>
      </c>
      <c r="AU469" s="35"/>
      <c r="AV469" s="37">
        <f t="shared" si="122"/>
        <v>0</v>
      </c>
    </row>
    <row r="470" spans="1:48" s="29" customFormat="1" outlineLevel="1" x14ac:dyDescent="0.2">
      <c r="A470" s="108"/>
      <c r="B470" s="3" t="s">
        <v>415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4">
        <f t="shared" si="135"/>
        <v>0</v>
      </c>
      <c r="AK470" s="112"/>
      <c r="AL470" s="74">
        <f t="shared" si="130"/>
        <v>0</v>
      </c>
      <c r="AM470" s="35"/>
      <c r="AN470" s="74">
        <f t="shared" si="131"/>
        <v>0</v>
      </c>
      <c r="AO470" s="35"/>
      <c r="AP470" s="74">
        <f t="shared" si="132"/>
        <v>0</v>
      </c>
      <c r="AQ470" s="35"/>
      <c r="AR470" s="74">
        <f t="shared" si="133"/>
        <v>0</v>
      </c>
      <c r="AS470" s="35"/>
      <c r="AT470" s="74">
        <f t="shared" si="134"/>
        <v>0</v>
      </c>
      <c r="AU470" s="35"/>
      <c r="AV470" s="37">
        <f t="shared" si="122"/>
        <v>0</v>
      </c>
    </row>
    <row r="471" spans="1:48" s="29" customFormat="1" outlineLevel="1" x14ac:dyDescent="0.2">
      <c r="A471" s="108"/>
      <c r="B471" s="29" t="s">
        <v>416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4">
        <f t="shared" si="135"/>
        <v>0</v>
      </c>
      <c r="AK471" s="112"/>
      <c r="AL471" s="74">
        <f t="shared" si="130"/>
        <v>0</v>
      </c>
      <c r="AM471" s="35"/>
      <c r="AN471" s="74">
        <f t="shared" si="131"/>
        <v>0</v>
      </c>
      <c r="AO471" s="35"/>
      <c r="AP471" s="74">
        <f t="shared" si="132"/>
        <v>0</v>
      </c>
      <c r="AQ471" s="35"/>
      <c r="AR471" s="74">
        <f t="shared" si="133"/>
        <v>0</v>
      </c>
      <c r="AS471" s="35"/>
      <c r="AT471" s="74">
        <f t="shared" si="134"/>
        <v>0</v>
      </c>
      <c r="AU471" s="35"/>
      <c r="AV471" s="37">
        <f t="shared" si="122"/>
        <v>0</v>
      </c>
    </row>
    <row r="472" spans="1:48" s="29" customFormat="1" x14ac:dyDescent="0.2">
      <c r="A472" s="108"/>
      <c r="B472" s="29" t="s">
        <v>417</v>
      </c>
      <c r="C472" s="36">
        <f>SUM(C470:C471)</f>
        <v>0</v>
      </c>
      <c r="E472" s="36">
        <f>SUM(E470:E471)</f>
        <v>0</v>
      </c>
      <c r="F472" s="16"/>
      <c r="G472" s="36">
        <f>SUM(G470:G471)</f>
        <v>0</v>
      </c>
      <c r="H472" s="16"/>
      <c r="I472" s="36">
        <f>SUM(I470:I471)</f>
        <v>0</v>
      </c>
      <c r="J472" s="16"/>
      <c r="K472" s="36">
        <f>SUM(K470:K471)</f>
        <v>0</v>
      </c>
      <c r="L472" s="16"/>
      <c r="M472" s="36">
        <f>SUM(M470:M471)</f>
        <v>0</v>
      </c>
      <c r="N472" s="16"/>
      <c r="O472" s="36">
        <f>SUM(O470:O471)</f>
        <v>0</v>
      </c>
      <c r="P472" s="16"/>
      <c r="Q472" s="36">
        <f>SUM(Q470:Q471)</f>
        <v>0</v>
      </c>
      <c r="R472" s="16"/>
      <c r="S472" s="36">
        <f>SUM(S470:S471)</f>
        <v>0</v>
      </c>
      <c r="T472" s="36"/>
      <c r="U472" s="36">
        <f>SUM(U470:U471)</f>
        <v>0</v>
      </c>
      <c r="V472" s="36"/>
      <c r="W472" s="36">
        <f>SUM(W470:W471)</f>
        <v>0</v>
      </c>
      <c r="X472" s="16"/>
      <c r="Y472" s="36">
        <f>SUM(Y470:Y471)</f>
        <v>0</v>
      </c>
      <c r="Z472" s="16"/>
      <c r="AA472" s="36">
        <f>SUM(AA470:AA471)</f>
        <v>0</v>
      </c>
      <c r="AB472" s="16"/>
      <c r="AC472" s="36">
        <f>SUM(AC470:AC471)</f>
        <v>0</v>
      </c>
      <c r="AD472" s="16"/>
      <c r="AE472" s="36">
        <f>SUM(AE470:AE471)</f>
        <v>0</v>
      </c>
      <c r="AF472" s="16"/>
      <c r="AG472" s="36">
        <f>SUM(AG470:AG471)</f>
        <v>0</v>
      </c>
      <c r="AH472" s="16"/>
      <c r="AI472" s="36"/>
      <c r="AJ472" s="14">
        <f>SUM(AJ470:AJ471)</f>
        <v>0</v>
      </c>
      <c r="AK472" s="16"/>
      <c r="AL472" s="74">
        <f t="shared" si="130"/>
        <v>0</v>
      </c>
      <c r="AM472" s="35"/>
      <c r="AN472" s="74">
        <f t="shared" si="131"/>
        <v>0</v>
      </c>
      <c r="AO472" s="35"/>
      <c r="AP472" s="74">
        <f t="shared" si="132"/>
        <v>0</v>
      </c>
      <c r="AQ472" s="35"/>
      <c r="AR472" s="74">
        <f t="shared" si="133"/>
        <v>0</v>
      </c>
      <c r="AS472" s="35"/>
      <c r="AT472" s="74">
        <f t="shared" si="134"/>
        <v>0</v>
      </c>
      <c r="AU472" s="35"/>
      <c r="AV472" s="37">
        <f t="shared" si="122"/>
        <v>0</v>
      </c>
    </row>
    <row r="473" spans="1:48" s="29" customFormat="1" x14ac:dyDescent="0.2">
      <c r="A473" s="108"/>
      <c r="B473" s="111" t="s">
        <v>418</v>
      </c>
      <c r="C473" s="113">
        <f>C472+SUM(C461:C469)+C457+C453:C453</f>
        <v>0</v>
      </c>
      <c r="E473" s="113">
        <f>E472+SUM(E461:E469)+E457+E453:E453</f>
        <v>0</v>
      </c>
      <c r="F473" s="16"/>
      <c r="G473" s="113">
        <f>G472+SUM(G461:G469)+G457+G453:G453</f>
        <v>0</v>
      </c>
      <c r="H473" s="16"/>
      <c r="I473" s="113">
        <f>I472+SUM(I461:I469)+I457+I453:I453</f>
        <v>0</v>
      </c>
      <c r="J473" s="16"/>
      <c r="K473" s="113">
        <f>K472+SUM(K461:K469)+K457+K453:K453</f>
        <v>0</v>
      </c>
      <c r="L473" s="16"/>
      <c r="M473" s="113">
        <f>M472+SUM(M461:M469)+M457+M453:M453</f>
        <v>0</v>
      </c>
      <c r="N473" s="16"/>
      <c r="O473" s="113">
        <f>O472+SUM(O461:O469)+O457+O453:O453</f>
        <v>0</v>
      </c>
      <c r="P473" s="16"/>
      <c r="Q473" s="113">
        <f>Q472+SUM(Q461:Q469)+Q457+Q453:Q453</f>
        <v>0</v>
      </c>
      <c r="R473" s="16"/>
      <c r="S473" s="113">
        <f>S472+SUM(S461:S469)+S457+S453:S453</f>
        <v>0</v>
      </c>
      <c r="T473" s="113"/>
      <c r="U473" s="113">
        <f>U472+SUM(U461:U469)+U457+U453:U453</f>
        <v>0</v>
      </c>
      <c r="V473" s="113"/>
      <c r="W473" s="113">
        <f>W472+SUM(W461:W469)+W457+W453:W453</f>
        <v>0</v>
      </c>
      <c r="X473" s="16"/>
      <c r="Y473" s="113">
        <f>Y472+SUM(Y461:Y469)+Y457+Y453:Y453</f>
        <v>0</v>
      </c>
      <c r="Z473" s="16"/>
      <c r="AA473" s="113">
        <f>AA472+SUM(AA461:AA469)+AA457+AA453:AA453</f>
        <v>0</v>
      </c>
      <c r="AB473" s="16"/>
      <c r="AC473" s="113">
        <f>AC472+SUM(AC461:AC469)+AC457+AC453:AC453</f>
        <v>0</v>
      </c>
      <c r="AD473" s="16"/>
      <c r="AE473" s="113">
        <f>AE472+SUM(AE461:AE469)+AE457+AE453:AE453</f>
        <v>0</v>
      </c>
      <c r="AF473" s="16"/>
      <c r="AG473" s="113">
        <f>AG472+SUM(AG461:AG469)+AG457+AG453:AG453</f>
        <v>0</v>
      </c>
      <c r="AH473" s="16"/>
      <c r="AI473" s="113"/>
      <c r="AJ473" s="113">
        <f>AJ472+SUM(AJ461:AJ469)+AJ457+AJ453:AJ453</f>
        <v>0</v>
      </c>
      <c r="AK473" s="16"/>
      <c r="AL473" s="114">
        <f>AL472+SUM(AL461:AL469)+AL457+AL453:AL453</f>
        <v>0</v>
      </c>
      <c r="AM473" s="83"/>
      <c r="AN473" s="114">
        <f>AN472+SUM(AN461:AN469)+AN457+AN453:AN453</f>
        <v>0</v>
      </c>
      <c r="AO473" s="83"/>
      <c r="AP473" s="114">
        <f>AP472+SUM(AP461:AP469)+AP457+AP453:AP453</f>
        <v>0</v>
      </c>
      <c r="AQ473" s="83"/>
      <c r="AR473" s="114">
        <f>AR472+SUM(AR461:AR469)+AR457+AR453:AR453</f>
        <v>0</v>
      </c>
      <c r="AS473" s="83"/>
      <c r="AT473" s="114">
        <f>AT472+SUM(AT461:AT469)+AT457+AT453:AT453</f>
        <v>0</v>
      </c>
      <c r="AU473" s="83"/>
      <c r="AV473" s="37">
        <f t="shared" si="122"/>
        <v>0</v>
      </c>
    </row>
    <row r="474" spans="1:48" s="29" customFormat="1" x14ac:dyDescent="0.2">
      <c r="A474" s="108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12"/>
      <c r="AL474" s="30"/>
      <c r="AM474" s="83"/>
      <c r="AN474" s="30"/>
      <c r="AO474" s="83"/>
      <c r="AP474" s="83"/>
      <c r="AQ474" s="83"/>
      <c r="AR474" s="83"/>
      <c r="AS474" s="83"/>
      <c r="AT474" s="83"/>
      <c r="AU474" s="83"/>
      <c r="AV474" s="37">
        <f t="shared" si="122"/>
        <v>0</v>
      </c>
    </row>
    <row r="475" spans="1:48" s="29" customFormat="1" x14ac:dyDescent="0.2">
      <c r="A475" s="108"/>
      <c r="B475" s="9" t="s">
        <v>31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12"/>
      <c r="AL475" s="30"/>
      <c r="AM475" s="83"/>
      <c r="AN475" s="30"/>
      <c r="AO475" s="83"/>
      <c r="AP475" s="83"/>
      <c r="AQ475" s="83"/>
      <c r="AR475" s="83"/>
      <c r="AS475" s="83"/>
      <c r="AT475" s="83"/>
      <c r="AU475" s="83"/>
      <c r="AV475" s="37">
        <f t="shared" si="122"/>
        <v>0</v>
      </c>
    </row>
    <row r="476" spans="1:48" s="29" customFormat="1" x14ac:dyDescent="0.2">
      <c r="A476" s="108"/>
      <c r="B476" s="3" t="s">
        <v>419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4">
        <f>SUM(C476:AI476)</f>
        <v>0</v>
      </c>
      <c r="AK476" s="112"/>
      <c r="AL476" s="74">
        <f>SUMIF($C$10:$AI$10,"=Addition",$C476:$AI476)</f>
        <v>0</v>
      </c>
      <c r="AM476" s="35"/>
      <c r="AN476" s="74">
        <f>SUMIF($C$10:$AI$10,"=Adjustment",$C476:$AI476)</f>
        <v>0</v>
      </c>
      <c r="AO476" s="35"/>
      <c r="AP476" s="74">
        <f>SUMIF($C$10:$AI$10,"=Transfer",$C476:$AI476)</f>
        <v>0</v>
      </c>
      <c r="AQ476" s="35"/>
      <c r="AR476" s="74">
        <f>SUMIF($C$10:$AI$10,"=N/A",$C476:$AI476)</f>
        <v>0</v>
      </c>
      <c r="AS476" s="35"/>
      <c r="AT476" s="74">
        <f t="shared" ref="AT476:AT478" si="136">SUM(AL476:AR476)</f>
        <v>0</v>
      </c>
      <c r="AU476" s="35"/>
      <c r="AV476" s="37">
        <f t="shared" si="122"/>
        <v>0</v>
      </c>
    </row>
    <row r="477" spans="1:48" s="29" customFormat="1" x14ac:dyDescent="0.2">
      <c r="A477" s="108"/>
      <c r="B477" s="3" t="s">
        <v>420</v>
      </c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4">
        <f>SUM(C477:AI477)</f>
        <v>0</v>
      </c>
      <c r="AK477" s="112"/>
      <c r="AL477" s="74">
        <f>SUMIF($C$10:$AI$10,"=Addition",$C477:$AI477)</f>
        <v>0</v>
      </c>
      <c r="AM477" s="35"/>
      <c r="AN477" s="74">
        <f>SUMIF($C$10:$AI$10,"=Adjustment",$C477:$AI477)</f>
        <v>0</v>
      </c>
      <c r="AO477" s="35"/>
      <c r="AP477" s="74">
        <f>SUMIF($C$10:$AI$10,"=Transfer",$C477:$AI477)</f>
        <v>0</v>
      </c>
      <c r="AQ477" s="35"/>
      <c r="AR477" s="74">
        <f>SUMIF($C$10:$AI$10,"=N/A",$C477:$AI477)</f>
        <v>0</v>
      </c>
      <c r="AS477" s="35"/>
      <c r="AT477" s="74">
        <f t="shared" si="136"/>
        <v>0</v>
      </c>
      <c r="AU477" s="35"/>
      <c r="AV477" s="37">
        <f t="shared" ref="AV477:AV514" si="137">AJ477-AT477</f>
        <v>0</v>
      </c>
    </row>
    <row r="478" spans="1:48" s="29" customFormat="1" x14ac:dyDescent="0.2">
      <c r="A478" s="108"/>
      <c r="B478" s="21" t="s">
        <v>421</v>
      </c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4">
        <f>SUM(C478:AI478)</f>
        <v>0</v>
      </c>
      <c r="AK478" s="112"/>
      <c r="AL478" s="74">
        <f>SUMIF($C$10:$AI$10,"=Addition",$C478:$AI478)</f>
        <v>0</v>
      </c>
      <c r="AM478" s="35"/>
      <c r="AN478" s="74">
        <f>SUMIF($C$10:$AI$10,"=Adjustment",$C478:$AI478)</f>
        <v>0</v>
      </c>
      <c r="AO478" s="35"/>
      <c r="AP478" s="74">
        <f>SUMIF($C$10:$AI$10,"=Transfer",$C478:$AI478)</f>
        <v>0</v>
      </c>
      <c r="AQ478" s="35"/>
      <c r="AR478" s="74">
        <f>SUMIF($C$10:$AI$10,"=N/A",$C478:$AI478)</f>
        <v>0</v>
      </c>
      <c r="AS478" s="35"/>
      <c r="AT478" s="74">
        <f t="shared" si="136"/>
        <v>0</v>
      </c>
      <c r="AU478" s="35"/>
      <c r="AV478" s="37">
        <f t="shared" si="137"/>
        <v>0</v>
      </c>
    </row>
    <row r="479" spans="1:48" s="29" customFormat="1" x14ac:dyDescent="0.2">
      <c r="A479" s="108"/>
      <c r="B479" s="115" t="s">
        <v>422</v>
      </c>
      <c r="C479" s="19">
        <f>SUM(C476:C478)</f>
        <v>0</v>
      </c>
      <c r="D479" s="16"/>
      <c r="E479" s="19">
        <f>SUM(E476:E478)</f>
        <v>0</v>
      </c>
      <c r="F479" s="16"/>
      <c r="G479" s="19">
        <f>SUM(G476:G478)</f>
        <v>0</v>
      </c>
      <c r="H479" s="16"/>
      <c r="I479" s="19">
        <f>SUM(I476:I478)</f>
        <v>0</v>
      </c>
      <c r="J479" s="16"/>
      <c r="K479" s="19">
        <f>SUM(K476:K478)</f>
        <v>0</v>
      </c>
      <c r="L479" s="16"/>
      <c r="M479" s="19">
        <f>SUM(M476:M478)</f>
        <v>0</v>
      </c>
      <c r="N479" s="16"/>
      <c r="O479" s="19">
        <f>SUM(O476:O478)</f>
        <v>0</v>
      </c>
      <c r="P479" s="16"/>
      <c r="Q479" s="19">
        <f>SUM(Q476:Q478)</f>
        <v>0</v>
      </c>
      <c r="R479" s="16"/>
      <c r="S479" s="19">
        <f>SUM(S476:S478)</f>
        <v>0</v>
      </c>
      <c r="T479" s="19"/>
      <c r="U479" s="19">
        <f>SUM(U476:U478)</f>
        <v>0</v>
      </c>
      <c r="V479" s="19"/>
      <c r="W479" s="19">
        <f>SUM(W476:W478)</f>
        <v>0</v>
      </c>
      <c r="X479" s="16"/>
      <c r="Y479" s="19">
        <f>SUM(Y476:Y478)</f>
        <v>0</v>
      </c>
      <c r="Z479" s="16"/>
      <c r="AA479" s="19">
        <f>SUM(AA476:AA478)</f>
        <v>0</v>
      </c>
      <c r="AB479" s="16"/>
      <c r="AC479" s="19">
        <f>SUM(AC476:AC478)</f>
        <v>0</v>
      </c>
      <c r="AD479" s="16"/>
      <c r="AE479" s="19">
        <f>SUM(AE476:AE478)</f>
        <v>0</v>
      </c>
      <c r="AF479" s="16"/>
      <c r="AG479" s="19">
        <f>SUM(AG476:AG478)</f>
        <v>0</v>
      </c>
      <c r="AH479" s="16"/>
      <c r="AI479" s="19"/>
      <c r="AJ479" s="19">
        <f>SUM(AJ476:AJ478)</f>
        <v>0</v>
      </c>
      <c r="AK479" s="112"/>
      <c r="AL479" s="110">
        <f>SUM(AL476:AL478)</f>
        <v>0</v>
      </c>
      <c r="AM479" s="83"/>
      <c r="AN479" s="110">
        <f>SUM(AN476:AN478)</f>
        <v>0</v>
      </c>
      <c r="AO479" s="83"/>
      <c r="AP479" s="110">
        <f>SUM(AP476:AP478)</f>
        <v>0</v>
      </c>
      <c r="AQ479" s="83"/>
      <c r="AR479" s="110">
        <f>SUM(AR476:AR478)</f>
        <v>0</v>
      </c>
      <c r="AS479" s="83"/>
      <c r="AT479" s="110">
        <f>SUM(AT476:AT478)</f>
        <v>0</v>
      </c>
      <c r="AU479" s="83"/>
      <c r="AV479" s="37">
        <f t="shared" si="137"/>
        <v>0</v>
      </c>
    </row>
    <row r="480" spans="1:48" s="29" customFormat="1" x14ac:dyDescent="0.2">
      <c r="A480" s="108"/>
      <c r="B480" s="1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12"/>
      <c r="AL480" s="30"/>
      <c r="AM480" s="83"/>
      <c r="AN480" s="30"/>
      <c r="AO480" s="83"/>
      <c r="AP480" s="83"/>
      <c r="AQ480" s="83"/>
      <c r="AR480" s="83"/>
      <c r="AS480" s="83"/>
      <c r="AT480" s="83"/>
      <c r="AU480" s="83"/>
      <c r="AV480" s="37">
        <f t="shared" si="137"/>
        <v>0</v>
      </c>
    </row>
    <row r="481" spans="1:66" s="29" customFormat="1" x14ac:dyDescent="0.2">
      <c r="A481" s="108"/>
      <c r="B481" s="1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12"/>
      <c r="AL481" s="30"/>
      <c r="AM481" s="83"/>
      <c r="AN481" s="30"/>
      <c r="AO481" s="83"/>
      <c r="AP481" s="83"/>
      <c r="AQ481" s="83"/>
      <c r="AR481" s="83"/>
      <c r="AS481" s="83"/>
      <c r="AT481" s="83"/>
      <c r="AU481" s="83"/>
      <c r="AV481" s="37">
        <f t="shared" si="137"/>
        <v>0</v>
      </c>
    </row>
    <row r="482" spans="1:66" s="29" customFormat="1" x14ac:dyDescent="0.2">
      <c r="A482" s="108"/>
      <c r="B482" s="115" t="s">
        <v>434</v>
      </c>
      <c r="C482" s="19">
        <f>C479+C473+C448+C444+C432</f>
        <v>0</v>
      </c>
      <c r="D482" s="16"/>
      <c r="E482" s="19">
        <f>E479+E473+E448+E444+E432</f>
        <v>0</v>
      </c>
      <c r="F482" s="16"/>
      <c r="G482" s="19">
        <f>G479+G473+G448+G444+G432</f>
        <v>0</v>
      </c>
      <c r="H482" s="16"/>
      <c r="I482" s="19">
        <f>I479+I473+I448+I444+I432</f>
        <v>0</v>
      </c>
      <c r="J482" s="16"/>
      <c r="K482" s="19">
        <f>K479+K473+K448+K444+K432</f>
        <v>0</v>
      </c>
      <c r="L482" s="16"/>
      <c r="M482" s="19">
        <f>M479+M473+M448+M444+M432</f>
        <v>0</v>
      </c>
      <c r="N482" s="16"/>
      <c r="O482" s="19">
        <f>O479+O473+O448+O444+O432</f>
        <v>0</v>
      </c>
      <c r="P482" s="16"/>
      <c r="Q482" s="19">
        <f>Q479+Q473+Q448+Q444+Q432</f>
        <v>0</v>
      </c>
      <c r="R482" s="16"/>
      <c r="S482" s="19">
        <f>S479+S473+S448+S444+S432</f>
        <v>0</v>
      </c>
      <c r="T482" s="19"/>
      <c r="U482" s="19">
        <f>U479+U473+U448+U444+U432</f>
        <v>0</v>
      </c>
      <c r="V482" s="19"/>
      <c r="W482" s="19">
        <f>W479+W473+W448+W444+W432</f>
        <v>0</v>
      </c>
      <c r="X482" s="16"/>
      <c r="Y482" s="19">
        <f>Y479+Y473+Y448+Y444+Y432</f>
        <v>0</v>
      </c>
      <c r="Z482" s="16"/>
      <c r="AA482" s="19">
        <f>AA479+AA473+AA448+AA444+AA432</f>
        <v>0</v>
      </c>
      <c r="AB482" s="16"/>
      <c r="AC482" s="19">
        <f>AC479+AC473+AC448+AC444+AC432</f>
        <v>0</v>
      </c>
      <c r="AD482" s="16"/>
      <c r="AE482" s="19">
        <f>AE479+AE473+AE448+AE444+AE432</f>
        <v>0</v>
      </c>
      <c r="AF482" s="16"/>
      <c r="AG482" s="19">
        <f>AG479+AG473+AG448+AG444+AG432</f>
        <v>0</v>
      </c>
      <c r="AH482" s="16"/>
      <c r="AI482" s="19"/>
      <c r="AJ482" s="19">
        <f>AJ479+AJ473+AJ448+AJ444+AJ432</f>
        <v>0</v>
      </c>
      <c r="AK482" s="112"/>
      <c r="AL482" s="110">
        <f>AL479+AL473+AL448+AL444+AL432</f>
        <v>0</v>
      </c>
      <c r="AM482" s="83"/>
      <c r="AN482" s="110">
        <f>AN479+AN473+AN448+AN444+AN432</f>
        <v>0</v>
      </c>
      <c r="AO482" s="83"/>
      <c r="AP482" s="110">
        <f>AP479+AP473+AP448+AP444+AP432</f>
        <v>0</v>
      </c>
      <c r="AQ482" s="83"/>
      <c r="AR482" s="110">
        <f>AR479+AR473+AR448+AR444+AR432</f>
        <v>0</v>
      </c>
      <c r="AS482" s="83"/>
      <c r="AT482" s="110">
        <f>AT479+AT473+AT448+AT444+AT432</f>
        <v>0</v>
      </c>
      <c r="AU482" s="83"/>
      <c r="AV482" s="37">
        <f t="shared" si="137"/>
        <v>0</v>
      </c>
    </row>
    <row r="483" spans="1:66" s="29" customFormat="1" x14ac:dyDescent="0.2">
      <c r="A483" s="108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12"/>
      <c r="AL483" s="30"/>
      <c r="AM483" s="83"/>
      <c r="AN483" s="30"/>
      <c r="AO483" s="83"/>
      <c r="AP483" s="83"/>
      <c r="AQ483" s="83"/>
      <c r="AR483" s="83"/>
      <c r="AS483" s="83"/>
      <c r="AT483" s="83"/>
      <c r="AU483" s="83"/>
      <c r="AV483" s="37">
        <f t="shared" si="137"/>
        <v>0</v>
      </c>
    </row>
    <row r="484" spans="1:66" s="29" customFormat="1" x14ac:dyDescent="0.2">
      <c r="A484" s="108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12"/>
      <c r="AL484" s="30"/>
      <c r="AM484" s="83"/>
      <c r="AN484" s="30"/>
      <c r="AO484" s="83"/>
      <c r="AP484" s="83"/>
      <c r="AQ484" s="83"/>
      <c r="AR484" s="83"/>
      <c r="AS484" s="83"/>
      <c r="AT484" s="83"/>
      <c r="AU484" s="83"/>
      <c r="AV484" s="37">
        <f t="shared" si="137"/>
        <v>0</v>
      </c>
    </row>
    <row r="485" spans="1:66" x14ac:dyDescent="0.2">
      <c r="A485" s="13"/>
      <c r="B485" s="18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5"/>
      <c r="AL485" s="74"/>
      <c r="AM485" s="35"/>
      <c r="AN485" s="74"/>
      <c r="AO485" s="35"/>
      <c r="AP485" s="35"/>
      <c r="AQ485" s="35"/>
      <c r="AR485" s="35"/>
      <c r="AS485" s="35"/>
      <c r="AT485" s="35"/>
      <c r="AU485" s="35"/>
      <c r="AV485" s="37">
        <f t="shared" si="137"/>
        <v>0</v>
      </c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x14ac:dyDescent="0.2">
      <c r="A486" s="13"/>
      <c r="B486" s="9" t="s">
        <v>49</v>
      </c>
      <c r="C486" s="20">
        <f>C482+C406+C300</f>
        <v>0</v>
      </c>
      <c r="D486" s="16"/>
      <c r="E486" s="20">
        <f>E482+E406+E300</f>
        <v>0</v>
      </c>
      <c r="F486" s="14"/>
      <c r="G486" s="20">
        <f>G482+G406+G300</f>
        <v>0</v>
      </c>
      <c r="H486" s="16"/>
      <c r="I486" s="20">
        <f>I482+I406+I300</f>
        <v>0</v>
      </c>
      <c r="J486" s="16"/>
      <c r="K486" s="20">
        <f>K482+K406+K300</f>
        <v>0</v>
      </c>
      <c r="L486" s="16"/>
      <c r="M486" s="20">
        <f>M482+M406+M300</f>
        <v>0</v>
      </c>
      <c r="N486" s="14"/>
      <c r="O486" s="20">
        <f>O482+O406+O300</f>
        <v>0</v>
      </c>
      <c r="P486" s="14"/>
      <c r="Q486" s="20">
        <f>Q482+Q406+Q300</f>
        <v>0</v>
      </c>
      <c r="R486" s="14"/>
      <c r="S486" s="20">
        <f>S482+S406+S300</f>
        <v>0</v>
      </c>
      <c r="T486" s="20"/>
      <c r="U486" s="20">
        <f>U482+U406+U300</f>
        <v>0</v>
      </c>
      <c r="V486" s="20"/>
      <c r="W486" s="20">
        <f>W482+W406+W300</f>
        <v>0</v>
      </c>
      <c r="X486" s="14"/>
      <c r="Y486" s="20">
        <f>Y482+Y406+Y300</f>
        <v>0</v>
      </c>
      <c r="Z486" s="14"/>
      <c r="AA486" s="20">
        <f>AA482+AA406+AA300</f>
        <v>0</v>
      </c>
      <c r="AB486" s="14"/>
      <c r="AC486" s="20">
        <f>AC482+AC406+AC300</f>
        <v>0</v>
      </c>
      <c r="AD486" s="14"/>
      <c r="AE486" s="20">
        <f>AE482+AE406+AE300</f>
        <v>0</v>
      </c>
      <c r="AF486" s="14"/>
      <c r="AG486" s="20">
        <f>AG482+AG406+AG300</f>
        <v>0</v>
      </c>
      <c r="AH486" s="14"/>
      <c r="AI486" s="20"/>
      <c r="AJ486" s="20">
        <f>AJ482+AJ406+AJ300</f>
        <v>0</v>
      </c>
      <c r="AK486" s="145"/>
      <c r="AL486" s="88">
        <f>AL482+AL406+AL300</f>
        <v>0</v>
      </c>
      <c r="AM486" s="35"/>
      <c r="AN486" s="88">
        <f>AN482+AN406+AN300</f>
        <v>0</v>
      </c>
      <c r="AO486" s="35"/>
      <c r="AP486" s="88">
        <f>AP482+AP406+AP300</f>
        <v>0</v>
      </c>
      <c r="AQ486" s="35"/>
      <c r="AR486" s="88">
        <f>AR482+AR406+AR300</f>
        <v>0</v>
      </c>
      <c r="AS486" s="35"/>
      <c r="AT486" s="88">
        <f>AT482+AT406+AT300</f>
        <v>0</v>
      </c>
      <c r="AU486" s="35"/>
      <c r="AV486" s="37">
        <f t="shared" si="137"/>
        <v>0</v>
      </c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x14ac:dyDescent="0.2">
      <c r="A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5"/>
      <c r="AL487" s="74"/>
      <c r="AM487" s="35"/>
      <c r="AN487" s="74"/>
      <c r="AO487" s="35"/>
      <c r="AP487" s="35"/>
      <c r="AQ487" s="35"/>
      <c r="AR487" s="35"/>
      <c r="AS487" s="35"/>
      <c r="AT487" s="35"/>
      <c r="AU487" s="35"/>
      <c r="AV487" s="37">
        <f t="shared" si="137"/>
        <v>0</v>
      </c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x14ac:dyDescent="0.2">
      <c r="A488" s="13"/>
      <c r="F488" s="14"/>
      <c r="H488" s="14"/>
      <c r="J488" s="14"/>
      <c r="L488" s="14"/>
      <c r="N488" s="14"/>
      <c r="P488" s="14"/>
      <c r="R488" s="14"/>
      <c r="X488" s="14"/>
      <c r="Z488" s="14"/>
      <c r="AB488" s="14"/>
      <c r="AD488" s="14"/>
      <c r="AF488" s="14"/>
      <c r="AH488" s="14"/>
      <c r="AJ488" s="14"/>
      <c r="AK488" s="14"/>
      <c r="AL488" s="74"/>
      <c r="AM488" s="35"/>
      <c r="AN488" s="74"/>
      <c r="AO488" s="35"/>
      <c r="AP488" s="35"/>
      <c r="AQ488" s="35"/>
      <c r="AR488" s="35"/>
      <c r="AS488" s="35"/>
      <c r="AT488" s="35"/>
      <c r="AU488" s="35"/>
      <c r="AV488" s="37">
        <f t="shared" si="137"/>
        <v>0</v>
      </c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x14ac:dyDescent="0.2">
      <c r="A489" s="13">
        <v>117</v>
      </c>
      <c r="B489" s="9" t="s">
        <v>50</v>
      </c>
      <c r="F489" s="14"/>
      <c r="H489" s="14"/>
      <c r="J489" s="14"/>
      <c r="L489" s="14"/>
      <c r="N489" s="14"/>
      <c r="P489" s="14"/>
      <c r="R489" s="14"/>
      <c r="X489" s="14"/>
      <c r="Z489" s="14"/>
      <c r="AB489" s="14"/>
      <c r="AD489" s="14"/>
      <c r="AF489" s="14"/>
      <c r="AH489" s="14"/>
      <c r="AJ489" s="14"/>
      <c r="AK489" s="14"/>
      <c r="AL489" s="74"/>
      <c r="AM489" s="35"/>
      <c r="AN489" s="74"/>
      <c r="AO489" s="35"/>
      <c r="AP489" s="35"/>
      <c r="AQ489" s="35"/>
      <c r="AR489" s="35"/>
      <c r="AS489" s="35"/>
      <c r="AT489" s="35"/>
      <c r="AU489" s="35"/>
      <c r="AV489" s="37">
        <f t="shared" si="137"/>
        <v>0</v>
      </c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x14ac:dyDescent="0.2">
      <c r="A490" s="13"/>
      <c r="B490" s="9" t="s">
        <v>26</v>
      </c>
      <c r="F490" s="14"/>
      <c r="H490" s="14"/>
      <c r="J490" s="14"/>
      <c r="L490" s="14"/>
      <c r="N490" s="14"/>
      <c r="P490" s="14"/>
      <c r="R490" s="14"/>
      <c r="X490" s="14"/>
      <c r="Z490" s="14"/>
      <c r="AB490" s="14"/>
      <c r="AD490" s="14"/>
      <c r="AF490" s="14"/>
      <c r="AH490" s="14"/>
      <c r="AJ490" s="14"/>
      <c r="AK490" s="14"/>
      <c r="AL490" s="74"/>
      <c r="AM490" s="35"/>
      <c r="AN490" s="74"/>
      <c r="AO490" s="35"/>
      <c r="AP490" s="35"/>
      <c r="AQ490" s="35"/>
      <c r="AR490" s="35"/>
      <c r="AS490" s="35"/>
      <c r="AT490" s="35"/>
      <c r="AU490" s="35"/>
      <c r="AV490" s="37">
        <f t="shared" si="137"/>
        <v>0</v>
      </c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x14ac:dyDescent="0.2">
      <c r="A491" s="13"/>
      <c r="B491" s="3" t="s">
        <v>51</v>
      </c>
      <c r="C491" s="15">
        <v>0</v>
      </c>
      <c r="D491" s="16"/>
      <c r="E491" s="15">
        <v>0</v>
      </c>
      <c r="F491" s="16"/>
      <c r="G491" s="15">
        <v>0</v>
      </c>
      <c r="H491" s="16"/>
      <c r="I491" s="15">
        <v>0</v>
      </c>
      <c r="J491" s="16"/>
      <c r="K491" s="15">
        <v>0</v>
      </c>
      <c r="L491" s="16"/>
      <c r="M491" s="15">
        <v>0</v>
      </c>
      <c r="N491" s="16"/>
      <c r="O491" s="15">
        <v>0</v>
      </c>
      <c r="P491" s="16"/>
      <c r="Q491" s="15">
        <v>0</v>
      </c>
      <c r="R491" s="16"/>
      <c r="S491" s="15">
        <v>0</v>
      </c>
      <c r="T491" s="15"/>
      <c r="U491" s="15">
        <v>0</v>
      </c>
      <c r="V491" s="15"/>
      <c r="W491" s="15">
        <v>0</v>
      </c>
      <c r="X491" s="16"/>
      <c r="Y491" s="15">
        <v>0</v>
      </c>
      <c r="Z491" s="16"/>
      <c r="AA491" s="15">
        <v>0</v>
      </c>
      <c r="AB491" s="16"/>
      <c r="AC491" s="15">
        <v>0</v>
      </c>
      <c r="AD491" s="16"/>
      <c r="AE491" s="15">
        <v>0</v>
      </c>
      <c r="AF491" s="16"/>
      <c r="AG491" s="15">
        <v>0</v>
      </c>
      <c r="AH491" s="16"/>
      <c r="AI491" s="15"/>
      <c r="AJ491" s="14">
        <f>SUM(C491:AI491)</f>
        <v>0</v>
      </c>
      <c r="AK491" s="145"/>
      <c r="AL491" s="74">
        <f>SUMIF($C$10:$AI$10,"=Addition",$C491:$AI491)</f>
        <v>0</v>
      </c>
      <c r="AM491" s="35"/>
      <c r="AN491" s="74">
        <f>SUMIF($C$10:$AI$10,"=Adjustment",$C491:$AI491)</f>
        <v>0</v>
      </c>
      <c r="AO491" s="35"/>
      <c r="AP491" s="74">
        <f>SUMIF($C$10:$AI$10,"=Transfer",$C491:$AI491)</f>
        <v>0</v>
      </c>
      <c r="AQ491" s="35"/>
      <c r="AR491" s="74">
        <f>SUMIF($C$10:$AI$10,"=N/A",$C491:$AI491)</f>
        <v>0</v>
      </c>
      <c r="AS491" s="35"/>
      <c r="AT491" s="74">
        <f t="shared" ref="AT491" si="138">SUM(AL491:AR491)</f>
        <v>0</v>
      </c>
      <c r="AU491" s="35"/>
      <c r="AV491" s="37">
        <f t="shared" si="137"/>
        <v>0</v>
      </c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x14ac:dyDescent="0.2">
      <c r="A492" s="13"/>
      <c r="C492" s="16">
        <f>SUM(C491)</f>
        <v>0</v>
      </c>
      <c r="D492" s="16"/>
      <c r="E492" s="16">
        <f>SUM(E491)</f>
        <v>0</v>
      </c>
      <c r="F492" s="16"/>
      <c r="G492" s="16">
        <f>SUM(G491)</f>
        <v>0</v>
      </c>
      <c r="H492" s="16"/>
      <c r="I492" s="16">
        <f>SUM(I491)</f>
        <v>0</v>
      </c>
      <c r="J492" s="16"/>
      <c r="K492" s="16">
        <f>SUM(K491)</f>
        <v>0</v>
      </c>
      <c r="L492" s="16"/>
      <c r="M492" s="16">
        <f>SUM(M491)</f>
        <v>0</v>
      </c>
      <c r="N492" s="16"/>
      <c r="O492" s="16">
        <f>SUM(O491)</f>
        <v>0</v>
      </c>
      <c r="P492" s="16"/>
      <c r="Q492" s="16">
        <f>SUM(Q491)</f>
        <v>0</v>
      </c>
      <c r="R492" s="16"/>
      <c r="S492" s="16">
        <f>SUM(S491)</f>
        <v>0</v>
      </c>
      <c r="T492" s="16"/>
      <c r="U492" s="16">
        <f>SUM(U491)</f>
        <v>0</v>
      </c>
      <c r="V492" s="16"/>
      <c r="W492" s="16">
        <f>SUM(W491)</f>
        <v>0</v>
      </c>
      <c r="X492" s="16"/>
      <c r="Y492" s="16">
        <f>SUM(Y491)</f>
        <v>0</v>
      </c>
      <c r="Z492" s="16"/>
      <c r="AA492" s="16">
        <f>SUM(AA491)</f>
        <v>0</v>
      </c>
      <c r="AB492" s="16"/>
      <c r="AC492" s="16">
        <f>SUM(AC491)</f>
        <v>0</v>
      </c>
      <c r="AD492" s="16"/>
      <c r="AE492" s="16">
        <f>SUM(AE491)</f>
        <v>0</v>
      </c>
      <c r="AF492" s="16"/>
      <c r="AG492" s="16">
        <f>SUM(AG491)</f>
        <v>0</v>
      </c>
      <c r="AH492" s="16"/>
      <c r="AI492" s="16"/>
      <c r="AJ492" s="19">
        <f>SUM(AJ491)</f>
        <v>0</v>
      </c>
      <c r="AK492" s="145"/>
      <c r="AL492" s="110">
        <f>SUM(AL491)</f>
        <v>0</v>
      </c>
      <c r="AM492" s="35"/>
      <c r="AN492" s="110">
        <f>SUM(AN491)</f>
        <v>0</v>
      </c>
      <c r="AO492" s="35"/>
      <c r="AP492" s="110">
        <f>SUM(AP491)</f>
        <v>0</v>
      </c>
      <c r="AQ492" s="35"/>
      <c r="AR492" s="110">
        <f>SUM(AR491)</f>
        <v>0</v>
      </c>
      <c r="AS492" s="35"/>
      <c r="AT492" s="110">
        <f>SUM(AT491)</f>
        <v>0</v>
      </c>
      <c r="AU492" s="35"/>
      <c r="AV492" s="37">
        <f t="shared" si="137"/>
        <v>0</v>
      </c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x14ac:dyDescent="0.2">
      <c r="A493" s="13"/>
      <c r="B493" s="18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5"/>
      <c r="AL493" s="74"/>
      <c r="AM493" s="35"/>
      <c r="AN493" s="74"/>
      <c r="AO493" s="35"/>
      <c r="AP493" s="35"/>
      <c r="AQ493" s="35"/>
      <c r="AR493" s="35"/>
      <c r="AS493" s="35"/>
      <c r="AT493" s="35"/>
      <c r="AU493" s="35"/>
      <c r="AV493" s="37">
        <f t="shared" si="137"/>
        <v>0</v>
      </c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x14ac:dyDescent="0.2">
      <c r="A494" s="13"/>
      <c r="B494" s="9" t="s">
        <v>52</v>
      </c>
      <c r="C494" s="20">
        <f>C492</f>
        <v>0</v>
      </c>
      <c r="D494" s="16"/>
      <c r="E494" s="20">
        <f>E492</f>
        <v>0</v>
      </c>
      <c r="F494" s="14"/>
      <c r="G494" s="20">
        <f>G492</f>
        <v>0</v>
      </c>
      <c r="H494" s="16"/>
      <c r="I494" s="20">
        <f>I492</f>
        <v>0</v>
      </c>
      <c r="J494" s="16"/>
      <c r="K494" s="20">
        <f>K492</f>
        <v>0</v>
      </c>
      <c r="L494" s="16"/>
      <c r="M494" s="20">
        <f>M492</f>
        <v>0</v>
      </c>
      <c r="N494" s="14"/>
      <c r="O494" s="20">
        <f>O492</f>
        <v>0</v>
      </c>
      <c r="P494" s="14"/>
      <c r="Q494" s="20">
        <f>Q492</f>
        <v>0</v>
      </c>
      <c r="R494" s="14"/>
      <c r="S494" s="20">
        <f>S492</f>
        <v>0</v>
      </c>
      <c r="T494" s="20"/>
      <c r="U494" s="20">
        <f>U492</f>
        <v>0</v>
      </c>
      <c r="V494" s="20"/>
      <c r="W494" s="20">
        <f>W492</f>
        <v>0</v>
      </c>
      <c r="X494" s="14"/>
      <c r="Y494" s="20">
        <f>Y492</f>
        <v>0</v>
      </c>
      <c r="Z494" s="14"/>
      <c r="AA494" s="20">
        <f>AA492</f>
        <v>0</v>
      </c>
      <c r="AB494" s="14"/>
      <c r="AC494" s="20">
        <f>AC492</f>
        <v>0</v>
      </c>
      <c r="AD494" s="14"/>
      <c r="AE494" s="20">
        <f>AE492</f>
        <v>0</v>
      </c>
      <c r="AF494" s="14"/>
      <c r="AG494" s="20">
        <f>AG492</f>
        <v>0</v>
      </c>
      <c r="AH494" s="14"/>
      <c r="AI494" s="20"/>
      <c r="AJ494" s="20">
        <f>AJ492</f>
        <v>0</v>
      </c>
      <c r="AK494" s="145"/>
      <c r="AL494" s="88">
        <f>AL492</f>
        <v>0</v>
      </c>
      <c r="AM494" s="35"/>
      <c r="AN494" s="88">
        <f>AN492</f>
        <v>0</v>
      </c>
      <c r="AO494" s="35"/>
      <c r="AP494" s="88">
        <f>AP492</f>
        <v>0</v>
      </c>
      <c r="AQ494" s="35"/>
      <c r="AR494" s="88">
        <f>AR492</f>
        <v>0</v>
      </c>
      <c r="AS494" s="35"/>
      <c r="AT494" s="88">
        <f>AT492</f>
        <v>0</v>
      </c>
      <c r="AU494" s="35"/>
      <c r="AV494" s="37">
        <f t="shared" si="137"/>
        <v>0</v>
      </c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x14ac:dyDescent="0.2">
      <c r="A495" s="13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5"/>
      <c r="AL495" s="74"/>
      <c r="AM495" s="35"/>
      <c r="AN495" s="74"/>
      <c r="AO495" s="35"/>
      <c r="AP495" s="35"/>
      <c r="AQ495" s="35"/>
      <c r="AR495" s="35"/>
      <c r="AS495" s="35"/>
      <c r="AT495" s="35"/>
      <c r="AU495" s="35"/>
      <c r="AV495" s="37">
        <f t="shared" si="137"/>
        <v>0</v>
      </c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x14ac:dyDescent="0.2">
      <c r="A496" s="13"/>
      <c r="F496" s="14"/>
      <c r="H496" s="14"/>
      <c r="J496" s="14"/>
      <c r="L496" s="14"/>
      <c r="N496" s="14"/>
      <c r="P496" s="14"/>
      <c r="R496" s="14"/>
      <c r="X496" s="14"/>
      <c r="Z496" s="14"/>
      <c r="AB496" s="14"/>
      <c r="AD496" s="14"/>
      <c r="AF496" s="14"/>
      <c r="AH496" s="14"/>
      <c r="AJ496" s="14"/>
      <c r="AK496" s="14"/>
      <c r="AL496" s="74"/>
      <c r="AM496" s="35"/>
      <c r="AN496" s="74"/>
      <c r="AO496" s="35"/>
      <c r="AP496" s="35"/>
      <c r="AQ496" s="35"/>
      <c r="AR496" s="35"/>
      <c r="AS496" s="35"/>
      <c r="AT496" s="35"/>
      <c r="AU496" s="35"/>
      <c r="AV496" s="37">
        <f t="shared" si="137"/>
        <v>0</v>
      </c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x14ac:dyDescent="0.2">
      <c r="A497" s="13">
        <v>121</v>
      </c>
      <c r="B497" s="9" t="s">
        <v>53</v>
      </c>
      <c r="F497" s="14"/>
      <c r="H497" s="14"/>
      <c r="J497" s="14"/>
      <c r="L497" s="14"/>
      <c r="N497" s="14"/>
      <c r="P497" s="14"/>
      <c r="R497" s="14"/>
      <c r="X497" s="14"/>
      <c r="Z497" s="14"/>
      <c r="AB497" s="14"/>
      <c r="AD497" s="14"/>
      <c r="AF497" s="14"/>
      <c r="AH497" s="14"/>
      <c r="AJ497" s="14"/>
      <c r="AK497" s="14"/>
      <c r="AL497" s="74"/>
      <c r="AM497" s="35"/>
      <c r="AN497" s="74"/>
      <c r="AO497" s="35"/>
      <c r="AP497" s="35"/>
      <c r="AQ497" s="35"/>
      <c r="AR497" s="35"/>
      <c r="AS497" s="35"/>
      <c r="AT497" s="35"/>
      <c r="AU497" s="35"/>
      <c r="AV497" s="37">
        <f t="shared" si="137"/>
        <v>0</v>
      </c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x14ac:dyDescent="0.2">
      <c r="A498" s="13"/>
      <c r="B498" s="9" t="s">
        <v>13</v>
      </c>
      <c r="F498" s="14"/>
      <c r="H498" s="14"/>
      <c r="J498" s="14"/>
      <c r="L498" s="14"/>
      <c r="N498" s="14"/>
      <c r="P498" s="14"/>
      <c r="R498" s="14"/>
      <c r="X498" s="14"/>
      <c r="Z498" s="14"/>
      <c r="AB498" s="14"/>
      <c r="AD498" s="14"/>
      <c r="AF498" s="14"/>
      <c r="AH498" s="14"/>
      <c r="AJ498" s="14"/>
      <c r="AK498" s="14"/>
      <c r="AL498" s="74"/>
      <c r="AM498" s="35"/>
      <c r="AN498" s="74"/>
      <c r="AO498" s="35"/>
      <c r="AP498" s="35"/>
      <c r="AQ498" s="35"/>
      <c r="AR498" s="35"/>
      <c r="AS498" s="35"/>
      <c r="AT498" s="35"/>
      <c r="AU498" s="35"/>
      <c r="AV498" s="37">
        <f t="shared" si="137"/>
        <v>0</v>
      </c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x14ac:dyDescent="0.2">
      <c r="A499" s="13"/>
      <c r="B499" s="3" t="s">
        <v>54</v>
      </c>
      <c r="C499" s="15">
        <v>0</v>
      </c>
      <c r="D499" s="16"/>
      <c r="E499" s="15">
        <v>0</v>
      </c>
      <c r="F499" s="14"/>
      <c r="G499" s="15">
        <v>0</v>
      </c>
      <c r="H499" s="16"/>
      <c r="I499" s="15">
        <v>0</v>
      </c>
      <c r="J499" s="16"/>
      <c r="K499" s="15">
        <v>0</v>
      </c>
      <c r="L499" s="16"/>
      <c r="M499" s="15">
        <v>0</v>
      </c>
      <c r="N499" s="14"/>
      <c r="O499" s="15">
        <v>0</v>
      </c>
      <c r="P499" s="14"/>
      <c r="Q499" s="15">
        <v>0</v>
      </c>
      <c r="R499" s="14"/>
      <c r="S499" s="15">
        <v>0</v>
      </c>
      <c r="T499" s="15"/>
      <c r="U499" s="15">
        <v>0</v>
      </c>
      <c r="V499" s="15"/>
      <c r="W499" s="15">
        <v>0</v>
      </c>
      <c r="X499" s="14"/>
      <c r="Y499" s="15">
        <v>0</v>
      </c>
      <c r="Z499" s="14"/>
      <c r="AA499" s="15">
        <v>0</v>
      </c>
      <c r="AB499" s="14"/>
      <c r="AC499" s="15">
        <v>0</v>
      </c>
      <c r="AD499" s="14"/>
      <c r="AE499" s="15">
        <v>0</v>
      </c>
      <c r="AF499" s="14"/>
      <c r="AG499" s="15">
        <v>0</v>
      </c>
      <c r="AH499" s="14"/>
      <c r="AI499" s="15"/>
      <c r="AJ499" s="14">
        <f>SUM(C499:AI499)</f>
        <v>0</v>
      </c>
      <c r="AK499" s="145"/>
      <c r="AL499" s="74">
        <f>SUMIF($C$10:$AI$10,"=Addition",$C499:$AI499)</f>
        <v>0</v>
      </c>
      <c r="AM499" s="35"/>
      <c r="AN499" s="74">
        <f>SUMIF($C$10:$AI$10,"=Adjustment",$C499:$AI499)</f>
        <v>0</v>
      </c>
      <c r="AO499" s="35"/>
      <c r="AP499" s="74">
        <f>SUMIF($C$10:$AI$10,"=Transfer",$C499:$AI499)</f>
        <v>0</v>
      </c>
      <c r="AQ499" s="35"/>
      <c r="AR499" s="74">
        <f>SUMIF($C$10:$AI$10,"=N/A",$C499:$AI499)</f>
        <v>0</v>
      </c>
      <c r="AS499" s="35"/>
      <c r="AT499" s="74">
        <f t="shared" ref="AT499" si="139">SUM(AL499:AR499)</f>
        <v>0</v>
      </c>
      <c r="AU499" s="35"/>
      <c r="AV499" s="37">
        <f t="shared" si="137"/>
        <v>0</v>
      </c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x14ac:dyDescent="0.2">
      <c r="A500" s="13"/>
      <c r="C500" s="16">
        <f>SUM(C499)</f>
        <v>0</v>
      </c>
      <c r="D500" s="16"/>
      <c r="E500" s="16">
        <f>SUM(E499)</f>
        <v>0</v>
      </c>
      <c r="F500" s="16"/>
      <c r="G500" s="16">
        <f>SUM(G499)</f>
        <v>0</v>
      </c>
      <c r="H500" s="16"/>
      <c r="I500" s="16">
        <f>SUM(I499)</f>
        <v>0</v>
      </c>
      <c r="J500" s="16"/>
      <c r="K500" s="16">
        <f>SUM(K499)</f>
        <v>0</v>
      </c>
      <c r="L500" s="16"/>
      <c r="M500" s="16">
        <f>SUM(M499)</f>
        <v>0</v>
      </c>
      <c r="N500" s="16"/>
      <c r="O500" s="16">
        <f>SUM(O499)</f>
        <v>0</v>
      </c>
      <c r="P500" s="16"/>
      <c r="Q500" s="16">
        <f>SUM(Q499)</f>
        <v>0</v>
      </c>
      <c r="R500" s="16"/>
      <c r="S500" s="16">
        <f>SUM(S499)</f>
        <v>0</v>
      </c>
      <c r="T500" s="16"/>
      <c r="U500" s="16">
        <f>SUM(U499)</f>
        <v>0</v>
      </c>
      <c r="V500" s="16"/>
      <c r="W500" s="16">
        <f>SUM(W499)</f>
        <v>0</v>
      </c>
      <c r="X500" s="16"/>
      <c r="Y500" s="16">
        <f>SUM(Y499)</f>
        <v>0</v>
      </c>
      <c r="Z500" s="16"/>
      <c r="AA500" s="16">
        <f>SUM(AA499)</f>
        <v>0</v>
      </c>
      <c r="AB500" s="16"/>
      <c r="AC500" s="16">
        <f>SUM(AC499)</f>
        <v>0</v>
      </c>
      <c r="AD500" s="16"/>
      <c r="AE500" s="16">
        <f>SUM(AE499)</f>
        <v>0</v>
      </c>
      <c r="AF500" s="16"/>
      <c r="AG500" s="16">
        <f>SUM(AG499)</f>
        <v>0</v>
      </c>
      <c r="AH500" s="16"/>
      <c r="AI500" s="16"/>
      <c r="AJ500" s="19">
        <f>SUM(AJ499)</f>
        <v>0</v>
      </c>
      <c r="AK500" s="145"/>
      <c r="AL500" s="110">
        <f>SUM(AL499)</f>
        <v>0</v>
      </c>
      <c r="AM500" s="35"/>
      <c r="AN500" s="110">
        <f>SUM(AN499)</f>
        <v>0</v>
      </c>
      <c r="AO500" s="35"/>
      <c r="AP500" s="110">
        <f>SUM(AP499)</f>
        <v>0</v>
      </c>
      <c r="AQ500" s="35"/>
      <c r="AR500" s="110">
        <f>SUM(AR499)</f>
        <v>0</v>
      </c>
      <c r="AS500" s="35"/>
      <c r="AT500" s="110">
        <f>SUM(AT499)</f>
        <v>0</v>
      </c>
      <c r="AU500" s="35"/>
      <c r="AV500" s="37">
        <f t="shared" si="137"/>
        <v>0</v>
      </c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x14ac:dyDescent="0.2">
      <c r="A501" s="13"/>
      <c r="B501" s="18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5"/>
      <c r="AL501" s="74"/>
      <c r="AM501" s="35"/>
      <c r="AN501" s="74"/>
      <c r="AO501" s="35"/>
      <c r="AP501" s="35"/>
      <c r="AQ501" s="35"/>
      <c r="AR501" s="35"/>
      <c r="AS501" s="35"/>
      <c r="AT501" s="35"/>
      <c r="AU501" s="35"/>
      <c r="AV501" s="37">
        <f t="shared" si="137"/>
        <v>0</v>
      </c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x14ac:dyDescent="0.2">
      <c r="A502" s="13"/>
      <c r="B502" s="9" t="s">
        <v>55</v>
      </c>
      <c r="C502" s="20">
        <f>C500</f>
        <v>0</v>
      </c>
      <c r="D502" s="16"/>
      <c r="E502" s="20">
        <f>E500</f>
        <v>0</v>
      </c>
      <c r="F502" s="14"/>
      <c r="G502" s="20">
        <f>G500</f>
        <v>0</v>
      </c>
      <c r="H502" s="16"/>
      <c r="I502" s="20">
        <f>I500</f>
        <v>0</v>
      </c>
      <c r="J502" s="16"/>
      <c r="K502" s="20">
        <f>K500</f>
        <v>0</v>
      </c>
      <c r="L502" s="16"/>
      <c r="M502" s="20">
        <f>M500</f>
        <v>0</v>
      </c>
      <c r="N502" s="14"/>
      <c r="O502" s="20">
        <f>O500</f>
        <v>0</v>
      </c>
      <c r="P502" s="14"/>
      <c r="Q502" s="20">
        <f>Q500</f>
        <v>0</v>
      </c>
      <c r="R502" s="14"/>
      <c r="S502" s="20">
        <f>S500</f>
        <v>0</v>
      </c>
      <c r="T502" s="20"/>
      <c r="U502" s="20">
        <f>U500</f>
        <v>0</v>
      </c>
      <c r="V502" s="20"/>
      <c r="W502" s="20">
        <f>W500</f>
        <v>0</v>
      </c>
      <c r="X502" s="14"/>
      <c r="Y502" s="20">
        <f>Y500</f>
        <v>0</v>
      </c>
      <c r="Z502" s="14"/>
      <c r="AA502" s="20">
        <f>AA500</f>
        <v>0</v>
      </c>
      <c r="AB502" s="14"/>
      <c r="AC502" s="20">
        <f>AC500</f>
        <v>0</v>
      </c>
      <c r="AD502" s="14"/>
      <c r="AE502" s="20">
        <f>AE500</f>
        <v>0</v>
      </c>
      <c r="AF502" s="14"/>
      <c r="AG502" s="20">
        <f>AG500</f>
        <v>0</v>
      </c>
      <c r="AH502" s="14"/>
      <c r="AI502" s="20"/>
      <c r="AJ502" s="20">
        <f>AJ500</f>
        <v>0</v>
      </c>
      <c r="AK502" s="145"/>
      <c r="AL502" s="88">
        <f>AL500</f>
        <v>0</v>
      </c>
      <c r="AM502" s="35"/>
      <c r="AN502" s="88">
        <f>AN500</f>
        <v>0</v>
      </c>
      <c r="AO502" s="35"/>
      <c r="AP502" s="88">
        <f>AP500</f>
        <v>0</v>
      </c>
      <c r="AQ502" s="35"/>
      <c r="AR502" s="88">
        <f>AR500</f>
        <v>0</v>
      </c>
      <c r="AS502" s="35"/>
      <c r="AT502" s="88">
        <f>AT500</f>
        <v>0</v>
      </c>
      <c r="AU502" s="35"/>
      <c r="AV502" s="37">
        <f t="shared" si="137"/>
        <v>0</v>
      </c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x14ac:dyDescent="0.2">
      <c r="A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5"/>
      <c r="AL503" s="74"/>
      <c r="AM503" s="35"/>
      <c r="AN503" s="74"/>
      <c r="AO503" s="35"/>
      <c r="AP503" s="35"/>
      <c r="AQ503" s="35"/>
      <c r="AR503" s="35"/>
      <c r="AS503" s="35"/>
      <c r="AT503" s="35"/>
      <c r="AU503" s="35"/>
      <c r="AV503" s="37">
        <f t="shared" si="137"/>
        <v>0</v>
      </c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x14ac:dyDescent="0.2">
      <c r="A504" s="13"/>
      <c r="F504" s="14"/>
      <c r="H504" s="14"/>
      <c r="J504" s="14"/>
      <c r="L504" s="14"/>
      <c r="N504" s="14"/>
      <c r="P504" s="14"/>
      <c r="R504" s="14"/>
      <c r="X504" s="14"/>
      <c r="Z504" s="14"/>
      <c r="AB504" s="14"/>
      <c r="AD504" s="14"/>
      <c r="AF504" s="14"/>
      <c r="AH504" s="14"/>
      <c r="AJ504" s="14"/>
      <c r="AK504" s="14"/>
      <c r="AL504" s="74"/>
      <c r="AM504" s="35"/>
      <c r="AN504" s="74"/>
      <c r="AO504" s="35"/>
      <c r="AP504" s="35"/>
      <c r="AQ504" s="35"/>
      <c r="AR504" s="35"/>
      <c r="AS504" s="35"/>
      <c r="AT504" s="35"/>
      <c r="AU504" s="35"/>
      <c r="AV504" s="37">
        <f t="shared" si="137"/>
        <v>0</v>
      </c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x14ac:dyDescent="0.2">
      <c r="A505" s="13">
        <v>107</v>
      </c>
      <c r="B505" s="9" t="s">
        <v>56</v>
      </c>
      <c r="F505" s="14"/>
      <c r="H505" s="14"/>
      <c r="J505" s="14"/>
      <c r="L505" s="14"/>
      <c r="N505" s="14"/>
      <c r="P505" s="14"/>
      <c r="R505" s="14"/>
      <c r="X505" s="14"/>
      <c r="Z505" s="14"/>
      <c r="AB505" s="14"/>
      <c r="AD505" s="14"/>
      <c r="AF505" s="14"/>
      <c r="AH505" s="14"/>
      <c r="AJ505" s="14"/>
      <c r="AK505" s="14"/>
      <c r="AL505" s="74"/>
      <c r="AM505" s="35"/>
      <c r="AN505" s="74"/>
      <c r="AO505" s="35"/>
      <c r="AP505" s="35"/>
      <c r="AQ505" s="35"/>
      <c r="AR505" s="35"/>
      <c r="AS505" s="35"/>
      <c r="AT505" s="35"/>
      <c r="AU505" s="35"/>
      <c r="AV505" s="37">
        <f t="shared" si="137"/>
        <v>0</v>
      </c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x14ac:dyDescent="0.2">
      <c r="A506" s="13"/>
      <c r="B506" s="9" t="s">
        <v>57</v>
      </c>
      <c r="F506" s="14"/>
      <c r="H506" s="14"/>
      <c r="J506" s="14"/>
      <c r="L506" s="14"/>
      <c r="N506" s="14"/>
      <c r="P506" s="14"/>
      <c r="R506" s="14"/>
      <c r="X506" s="14"/>
      <c r="Z506" s="14"/>
      <c r="AB506" s="14"/>
      <c r="AD506" s="14"/>
      <c r="AF506" s="14"/>
      <c r="AH506" s="14"/>
      <c r="AJ506" s="14"/>
      <c r="AK506" s="14"/>
      <c r="AL506" s="74"/>
      <c r="AM506" s="35"/>
      <c r="AN506" s="74"/>
      <c r="AO506" s="35"/>
      <c r="AP506" s="35"/>
      <c r="AQ506" s="35"/>
      <c r="AR506" s="35"/>
      <c r="AS506" s="35"/>
      <c r="AT506" s="35"/>
      <c r="AU506" s="35"/>
      <c r="AV506" s="37">
        <f t="shared" si="137"/>
        <v>0</v>
      </c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x14ac:dyDescent="0.2">
      <c r="A507" s="13"/>
      <c r="B507" s="9"/>
      <c r="F507" s="14"/>
      <c r="H507" s="14"/>
      <c r="J507" s="14"/>
      <c r="L507" s="14"/>
      <c r="N507" s="14"/>
      <c r="P507" s="14"/>
      <c r="R507" s="14"/>
      <c r="X507" s="14"/>
      <c r="Z507" s="14"/>
      <c r="AB507" s="14"/>
      <c r="AD507" s="14"/>
      <c r="AF507" s="14"/>
      <c r="AH507" s="14"/>
      <c r="AJ507" s="14"/>
      <c r="AK507" s="14"/>
      <c r="AL507" s="74"/>
      <c r="AM507" s="35"/>
      <c r="AN507" s="74"/>
      <c r="AO507" s="35"/>
      <c r="AP507" s="35"/>
      <c r="AQ507" s="35"/>
      <c r="AR507" s="35"/>
      <c r="AS507" s="35"/>
      <c r="AT507" s="35"/>
      <c r="AU507" s="35"/>
      <c r="AV507" s="37">
        <f t="shared" si="137"/>
        <v>0</v>
      </c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x14ac:dyDescent="0.2">
      <c r="A508" s="13"/>
      <c r="B508" s="3" t="s">
        <v>13</v>
      </c>
      <c r="C508" s="14">
        <v>0</v>
      </c>
      <c r="D508" s="14"/>
      <c r="E508" s="14">
        <v>0</v>
      </c>
      <c r="F508" s="14"/>
      <c r="G508" s="14">
        <v>0</v>
      </c>
      <c r="H508" s="14"/>
      <c r="I508" s="14">
        <v>0</v>
      </c>
      <c r="J508" s="14"/>
      <c r="K508" s="14">
        <v>0</v>
      </c>
      <c r="L508" s="14"/>
      <c r="M508" s="14">
        <v>0</v>
      </c>
      <c r="N508" s="14"/>
      <c r="O508" s="14">
        <v>0</v>
      </c>
      <c r="P508" s="14"/>
      <c r="Q508" s="14">
        <v>0</v>
      </c>
      <c r="R508" s="14"/>
      <c r="S508" s="14">
        <v>0</v>
      </c>
      <c r="T508" s="14"/>
      <c r="U508" s="14">
        <v>0</v>
      </c>
      <c r="V508" s="14"/>
      <c r="W508" s="14">
        <v>0</v>
      </c>
      <c r="X508" s="14"/>
      <c r="Y508" s="14">
        <v>0</v>
      </c>
      <c r="Z508" s="14"/>
      <c r="AA508" s="14">
        <v>0</v>
      </c>
      <c r="AB508" s="14"/>
      <c r="AC508" s="14">
        <v>0</v>
      </c>
      <c r="AD508" s="14"/>
      <c r="AE508" s="14">
        <v>0</v>
      </c>
      <c r="AF508" s="14"/>
      <c r="AG508" s="14">
        <v>0</v>
      </c>
      <c r="AH508" s="14"/>
      <c r="AI508" s="14"/>
      <c r="AJ508" s="16">
        <f>SUM(C508:AI508)</f>
        <v>0</v>
      </c>
      <c r="AK508" s="145"/>
      <c r="AL508" s="74">
        <f>SUMIF($C$10:$AI$10,"=Addition",$C508:$AI508)</f>
        <v>0</v>
      </c>
      <c r="AM508" s="35"/>
      <c r="AN508" s="74">
        <f>SUMIF($C$10:$AI$10,"=Adjustment",$C508:$AI508)</f>
        <v>0</v>
      </c>
      <c r="AO508" s="35"/>
      <c r="AP508" s="74">
        <f>SUMIF($C$10:$AI$10,"=Transfer",$C508:$AI508)</f>
        <v>0</v>
      </c>
      <c r="AQ508" s="35"/>
      <c r="AR508" s="74">
        <f>SUMIF($C$10:$AI$10,"=N/A",$C508:$AI508)</f>
        <v>0</v>
      </c>
      <c r="AS508" s="35"/>
      <c r="AT508" s="74">
        <f t="shared" ref="AT508:AT510" si="140">SUM(AL508:AR508)</f>
        <v>0</v>
      </c>
      <c r="AU508" s="35"/>
      <c r="AV508" s="37">
        <f t="shared" si="137"/>
        <v>0</v>
      </c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x14ac:dyDescent="0.2">
      <c r="A509" s="13"/>
      <c r="B509" s="3" t="s">
        <v>17</v>
      </c>
      <c r="C509" s="14">
        <v>0</v>
      </c>
      <c r="D509" s="14"/>
      <c r="E509" s="14">
        <v>0</v>
      </c>
      <c r="F509" s="14"/>
      <c r="G509" s="14">
        <v>0</v>
      </c>
      <c r="H509" s="14"/>
      <c r="I509" s="14">
        <v>0</v>
      </c>
      <c r="J509" s="14"/>
      <c r="K509" s="14">
        <v>0</v>
      </c>
      <c r="L509" s="14"/>
      <c r="M509" s="14">
        <v>0</v>
      </c>
      <c r="N509" s="14"/>
      <c r="O509" s="14">
        <v>0</v>
      </c>
      <c r="P509" s="14"/>
      <c r="Q509" s="14">
        <v>0</v>
      </c>
      <c r="R509" s="14"/>
      <c r="S509" s="14">
        <v>0</v>
      </c>
      <c r="T509" s="14"/>
      <c r="U509" s="14">
        <v>0</v>
      </c>
      <c r="V509" s="14"/>
      <c r="W509" s="14">
        <v>0</v>
      </c>
      <c r="X509" s="14"/>
      <c r="Y509" s="14">
        <v>0</v>
      </c>
      <c r="Z509" s="14"/>
      <c r="AA509" s="14">
        <v>0</v>
      </c>
      <c r="AB509" s="14"/>
      <c r="AC509" s="14">
        <v>0</v>
      </c>
      <c r="AD509" s="14"/>
      <c r="AE509" s="14">
        <v>0</v>
      </c>
      <c r="AF509" s="14"/>
      <c r="AG509" s="14">
        <v>0</v>
      </c>
      <c r="AH509" s="14"/>
      <c r="AI509" s="14"/>
      <c r="AJ509" s="16">
        <f>SUM(C509:AI509)</f>
        <v>0</v>
      </c>
      <c r="AK509" s="145"/>
      <c r="AL509" s="74">
        <f>SUMIF($C$10:$AI$10,"=Addition",$C509:$AI509)</f>
        <v>0</v>
      </c>
      <c r="AM509" s="35"/>
      <c r="AN509" s="74">
        <f>SUMIF($C$10:$AI$10,"=Adjustment",$C509:$AI509)</f>
        <v>0</v>
      </c>
      <c r="AO509" s="35"/>
      <c r="AP509" s="74">
        <f>SUMIF($C$10:$AI$10,"=Transfer",$C509:$AI509)</f>
        <v>0</v>
      </c>
      <c r="AQ509" s="35"/>
      <c r="AR509" s="74">
        <f>SUMIF($C$10:$AI$10,"=N/A",$C509:$AI509)</f>
        <v>0</v>
      </c>
      <c r="AS509" s="35"/>
      <c r="AT509" s="74">
        <f t="shared" si="140"/>
        <v>0</v>
      </c>
      <c r="AU509" s="35"/>
      <c r="AV509" s="37">
        <f t="shared" si="137"/>
        <v>0</v>
      </c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x14ac:dyDescent="0.2">
      <c r="A510" s="13"/>
      <c r="B510" s="3" t="s">
        <v>26</v>
      </c>
      <c r="C510" s="15">
        <v>0</v>
      </c>
      <c r="D510" s="16"/>
      <c r="E510" s="15">
        <v>0</v>
      </c>
      <c r="F510" s="14"/>
      <c r="G510" s="15">
        <v>0</v>
      </c>
      <c r="H510" s="16"/>
      <c r="I510" s="15">
        <v>0</v>
      </c>
      <c r="J510" s="16"/>
      <c r="K510" s="15">
        <v>0</v>
      </c>
      <c r="L510" s="16"/>
      <c r="M510" s="15">
        <v>0</v>
      </c>
      <c r="N510" s="14"/>
      <c r="O510" s="15">
        <v>0</v>
      </c>
      <c r="P510" s="14"/>
      <c r="Q510" s="15">
        <v>0</v>
      </c>
      <c r="R510" s="14"/>
      <c r="S510" s="15">
        <v>0</v>
      </c>
      <c r="T510" s="15"/>
      <c r="U510" s="15">
        <v>0</v>
      </c>
      <c r="V510" s="15"/>
      <c r="W510" s="15">
        <v>0</v>
      </c>
      <c r="X510" s="14"/>
      <c r="Y510" s="15">
        <v>0</v>
      </c>
      <c r="Z510" s="14"/>
      <c r="AA510" s="15">
        <v>0</v>
      </c>
      <c r="AB510" s="14"/>
      <c r="AC510" s="15">
        <v>0</v>
      </c>
      <c r="AD510" s="14"/>
      <c r="AE510" s="15">
        <v>0</v>
      </c>
      <c r="AF510" s="14"/>
      <c r="AG510" s="15">
        <v>0</v>
      </c>
      <c r="AH510" s="14"/>
      <c r="AI510" s="16"/>
      <c r="AJ510" s="16">
        <f>SUM(C510:AI510)</f>
        <v>0</v>
      </c>
      <c r="AK510" s="145"/>
      <c r="AL510" s="74">
        <f>SUMIF($C$10:$AI$10,"=Addition",$C510:$AI510)</f>
        <v>0</v>
      </c>
      <c r="AM510" s="35"/>
      <c r="AN510" s="74">
        <f>SUMIF($C$10:$AI$10,"=Adjustment",$C510:$AI510)</f>
        <v>0</v>
      </c>
      <c r="AO510" s="35"/>
      <c r="AP510" s="74">
        <f>SUMIF($C$10:$AI$10,"=Transfer",$C510:$AI510)</f>
        <v>0</v>
      </c>
      <c r="AQ510" s="35"/>
      <c r="AR510" s="74">
        <f>SUMIF($C$10:$AI$10,"=N/A",$C510:$AI510)</f>
        <v>0</v>
      </c>
      <c r="AS510" s="35"/>
      <c r="AT510" s="74">
        <f t="shared" si="140"/>
        <v>0</v>
      </c>
      <c r="AU510" s="35"/>
      <c r="AV510" s="37">
        <f t="shared" si="137"/>
        <v>0</v>
      </c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x14ac:dyDescent="0.2">
      <c r="A511" s="13"/>
      <c r="B511" s="9" t="s">
        <v>435</v>
      </c>
      <c r="C511" s="16">
        <f>SUM(C508:C510)</f>
        <v>0</v>
      </c>
      <c r="D511" s="16"/>
      <c r="E511" s="16">
        <f>SUM(E508:E510)</f>
        <v>0</v>
      </c>
      <c r="F511" s="16"/>
      <c r="G511" s="16">
        <f>SUM(G508:G510)</f>
        <v>0</v>
      </c>
      <c r="H511" s="16"/>
      <c r="I511" s="16">
        <f>SUM(I508:I510)</f>
        <v>0</v>
      </c>
      <c r="J511" s="16"/>
      <c r="K511" s="16">
        <f>SUM(K508:K510)</f>
        <v>0</v>
      </c>
      <c r="L511" s="16"/>
      <c r="M511" s="16">
        <f>SUM(M508:M510)</f>
        <v>0</v>
      </c>
      <c r="N511" s="16"/>
      <c r="O511" s="16">
        <f>SUM(O508:O510)</f>
        <v>0</v>
      </c>
      <c r="P511" s="16"/>
      <c r="Q511" s="16">
        <f>SUM(Q508:Q510)</f>
        <v>0</v>
      </c>
      <c r="R511" s="16"/>
      <c r="S511" s="16">
        <f>SUM(S508:S510)</f>
        <v>0</v>
      </c>
      <c r="T511" s="16"/>
      <c r="U511" s="16">
        <f>SUM(U508:U510)</f>
        <v>0</v>
      </c>
      <c r="V511" s="16"/>
      <c r="W511" s="16">
        <f>SUM(W508:W510)</f>
        <v>0</v>
      </c>
      <c r="X511" s="16"/>
      <c r="Y511" s="16">
        <f>SUM(Y508:Y510)</f>
        <v>0</v>
      </c>
      <c r="Z511" s="16"/>
      <c r="AA511" s="16">
        <f>SUM(AA508:AA510)</f>
        <v>0</v>
      </c>
      <c r="AB511" s="16"/>
      <c r="AC511" s="16">
        <f>SUM(AC508:AC510)</f>
        <v>0</v>
      </c>
      <c r="AD511" s="16"/>
      <c r="AE511" s="16">
        <f>SUM(AE508:AE510)</f>
        <v>0</v>
      </c>
      <c r="AF511" s="16"/>
      <c r="AG511" s="16">
        <f>SUM(AG508:AG510)</f>
        <v>0</v>
      </c>
      <c r="AH511" s="16"/>
      <c r="AI511" s="16"/>
      <c r="AJ511" s="19">
        <f>SUM(AJ508:AJ510)</f>
        <v>0</v>
      </c>
      <c r="AK511" s="145"/>
      <c r="AL511" s="109">
        <f>SUM(AL508:AL510)</f>
        <v>0</v>
      </c>
      <c r="AM511" s="35"/>
      <c r="AN511" s="109">
        <f>SUM(AN508:AN510)</f>
        <v>0</v>
      </c>
      <c r="AO511" s="35"/>
      <c r="AP511" s="109">
        <f>SUM(AP508:AP510)</f>
        <v>0</v>
      </c>
      <c r="AQ511" s="35"/>
      <c r="AR511" s="109">
        <f>SUM(AR508:AR510)</f>
        <v>0</v>
      </c>
      <c r="AS511" s="35"/>
      <c r="AT511" s="109">
        <f>SUM(AT508:AT510)</f>
        <v>0</v>
      </c>
      <c r="AU511" s="35"/>
      <c r="AV511" s="37">
        <f t="shared" si="137"/>
        <v>0</v>
      </c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x14ac:dyDescent="0.2">
      <c r="A512" s="13"/>
      <c r="B512" s="18"/>
      <c r="C512" s="16"/>
      <c r="D512" s="16"/>
      <c r="E512" s="16"/>
      <c r="F512" s="14"/>
      <c r="G512" s="16"/>
      <c r="H512" s="16"/>
      <c r="I512" s="16"/>
      <c r="J512" s="16"/>
      <c r="K512" s="16"/>
      <c r="L512" s="16"/>
      <c r="M512" s="16"/>
      <c r="N512" s="14"/>
      <c r="O512" s="16"/>
      <c r="P512" s="14"/>
      <c r="Q512" s="16"/>
      <c r="R512" s="14"/>
      <c r="S512" s="16"/>
      <c r="T512" s="16"/>
      <c r="U512" s="16"/>
      <c r="V512" s="16"/>
      <c r="W512" s="16"/>
      <c r="X512" s="14"/>
      <c r="Y512" s="16"/>
      <c r="Z512" s="14"/>
      <c r="AA512" s="16"/>
      <c r="AB512" s="14"/>
      <c r="AC512" s="16"/>
      <c r="AD512" s="14"/>
      <c r="AE512" s="16"/>
      <c r="AF512" s="14"/>
      <c r="AG512" s="16"/>
      <c r="AH512" s="14"/>
      <c r="AI512" s="16"/>
      <c r="AJ512" s="16"/>
      <c r="AK512" s="145"/>
      <c r="AL512" s="74"/>
      <c r="AM512" s="35"/>
      <c r="AN512" s="74"/>
      <c r="AO512" s="35"/>
      <c r="AP512" s="35"/>
      <c r="AQ512" s="35"/>
      <c r="AR512" s="35"/>
      <c r="AS512" s="35"/>
      <c r="AT512" s="35"/>
      <c r="AU512" s="35"/>
      <c r="AV512" s="37">
        <f t="shared" si="137"/>
        <v>0</v>
      </c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x14ac:dyDescent="0.2">
      <c r="A513" s="145"/>
      <c r="B513" s="18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74"/>
      <c r="AM513" s="35"/>
      <c r="AN513" s="74"/>
      <c r="AO513" s="35"/>
      <c r="AP513" s="35"/>
      <c r="AQ513" s="35"/>
      <c r="AR513" s="35"/>
      <c r="AS513" s="35"/>
      <c r="AT513" s="35"/>
      <c r="AU513" s="35"/>
      <c r="AV513" s="37">
        <f t="shared" si="137"/>
        <v>0</v>
      </c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x14ac:dyDescent="0.2">
      <c r="A514" s="117" t="s">
        <v>436</v>
      </c>
      <c r="B514" s="18"/>
      <c r="C514" s="118">
        <f>C486+C247+C235</f>
        <v>0</v>
      </c>
      <c r="D514" s="145"/>
      <c r="E514" s="118">
        <f>E486+E247+E235</f>
        <v>0</v>
      </c>
      <c r="F514" s="145"/>
      <c r="G514" s="118">
        <f>G486+G247+G235</f>
        <v>-185185.13</v>
      </c>
      <c r="H514" s="145"/>
      <c r="I514" s="118">
        <f>I486+I247+I235</f>
        <v>0</v>
      </c>
      <c r="J514" s="145"/>
      <c r="K514" s="118">
        <f>K486+K247+K235</f>
        <v>0</v>
      </c>
      <c r="L514" s="145"/>
      <c r="M514" s="118">
        <f>M486+M247+M235</f>
        <v>-11353036.350000001</v>
      </c>
      <c r="N514" s="145"/>
      <c r="O514" s="118">
        <f>O486+O247+O235</f>
        <v>2060401.67</v>
      </c>
      <c r="P514" s="145"/>
      <c r="Q514" s="118">
        <f>Q486+Q247+Q235</f>
        <v>-5776821.0199999996</v>
      </c>
      <c r="R514" s="145"/>
      <c r="S514" s="118">
        <f>S486+S247+S235</f>
        <v>0</v>
      </c>
      <c r="T514" s="118"/>
      <c r="U514" s="118">
        <f>U486+U247+U235</f>
        <v>76448.429999999993</v>
      </c>
      <c r="V514" s="118"/>
      <c r="W514" s="118">
        <f>W486+W247+W235</f>
        <v>1.4551915228366852E-11</v>
      </c>
      <c r="X514" s="145"/>
      <c r="Y514" s="118">
        <f>Y486+Y247+Y235</f>
        <v>282056.8</v>
      </c>
      <c r="Z514" s="145"/>
      <c r="AA514" s="118">
        <f>AA486+AA247+AA235</f>
        <v>-3337448.13</v>
      </c>
      <c r="AB514" s="145"/>
      <c r="AC514" s="118">
        <f>AC486+AC247+AC235</f>
        <v>0</v>
      </c>
      <c r="AD514" s="145"/>
      <c r="AE514" s="118">
        <f>AE486+AE247+AE235</f>
        <v>1312832.73</v>
      </c>
      <c r="AF514" s="145"/>
      <c r="AG514" s="118">
        <f>AG486+AG247+AG235</f>
        <v>2601840.79</v>
      </c>
      <c r="AH514" s="145"/>
      <c r="AI514" s="118"/>
      <c r="AJ514" s="118">
        <f>AJ486+AJ247+AJ235</f>
        <v>-8542089.1899999995</v>
      </c>
      <c r="AK514" s="145"/>
      <c r="AL514" s="119">
        <f>AL486+AL247+AL235</f>
        <v>6257131.9900000002</v>
      </c>
      <c r="AM514" s="35"/>
      <c r="AN514" s="119">
        <f>AN486+AN247+AN235</f>
        <v>-4680342.68</v>
      </c>
      <c r="AO514" s="35"/>
      <c r="AP514" s="119">
        <f>AP486+AP247+AP235</f>
        <v>76448.429999999993</v>
      </c>
      <c r="AQ514" s="35"/>
      <c r="AR514" s="119">
        <f>AR486+AR247+AR235</f>
        <v>0</v>
      </c>
      <c r="AS514" s="35"/>
      <c r="AT514" s="119">
        <f>AT486+AT247+AT235</f>
        <v>-8542089.1899999995</v>
      </c>
      <c r="AU514" s="35"/>
      <c r="AV514" s="37">
        <f t="shared" si="137"/>
        <v>0</v>
      </c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x14ac:dyDescent="0.2">
      <c r="A515" s="145"/>
      <c r="B515" s="18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74"/>
      <c r="AM515" s="35"/>
      <c r="AN515" s="74"/>
      <c r="AO515" s="35"/>
      <c r="AP515" s="35"/>
      <c r="AQ515" s="35"/>
      <c r="AR515" s="35"/>
      <c r="AS515" s="35"/>
      <c r="AT515" s="35"/>
      <c r="AU515" s="35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x14ac:dyDescent="0.2">
      <c r="A516" s="145"/>
      <c r="B516" s="18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74"/>
      <c r="AM516" s="35"/>
      <c r="AN516" s="74"/>
      <c r="AO516" s="35"/>
      <c r="AP516" s="35"/>
      <c r="AQ516" s="35"/>
      <c r="AR516" s="35"/>
      <c r="AS516" s="35"/>
      <c r="AT516" s="35"/>
      <c r="AU516" s="35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x14ac:dyDescent="0.2">
      <c r="B517" s="145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29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x14ac:dyDescent="0.2">
      <c r="C518" s="7" t="s">
        <v>4</v>
      </c>
      <c r="D518" s="7"/>
      <c r="E518" s="7" t="s">
        <v>4</v>
      </c>
      <c r="G518" s="7" t="s">
        <v>4</v>
      </c>
      <c r="H518" s="7"/>
      <c r="I518" s="7" t="s">
        <v>4</v>
      </c>
      <c r="K518" s="7" t="s">
        <v>4</v>
      </c>
      <c r="M518" s="7" t="s">
        <v>4</v>
      </c>
      <c r="O518" s="7" t="s">
        <v>4</v>
      </c>
      <c r="Q518" s="7" t="s">
        <v>4</v>
      </c>
      <c r="S518" s="7" t="s">
        <v>4</v>
      </c>
      <c r="T518" s="7"/>
      <c r="U518" s="7" t="s">
        <v>4</v>
      </c>
      <c r="V518" s="7"/>
      <c r="W518" s="7" t="s">
        <v>4</v>
      </c>
      <c r="Y518" s="7" t="s">
        <v>4</v>
      </c>
      <c r="AA518" s="7" t="s">
        <v>4</v>
      </c>
      <c r="AC518" s="7" t="s">
        <v>4</v>
      </c>
      <c r="AE518" s="7" t="s">
        <v>4</v>
      </c>
      <c r="AG518" s="7" t="s">
        <v>4</v>
      </c>
      <c r="AI518" s="7"/>
      <c r="AJ518" s="7" t="s">
        <v>5</v>
      </c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29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x14ac:dyDescent="0.2">
      <c r="C519" s="11" t="s">
        <v>10</v>
      </c>
      <c r="D519" s="17"/>
      <c r="E519" s="11" t="s">
        <v>10</v>
      </c>
      <c r="G519" s="11" t="s">
        <v>10</v>
      </c>
      <c r="H519" s="17"/>
      <c r="I519" s="11" t="s">
        <v>10</v>
      </c>
      <c r="K519" s="11" t="s">
        <v>10</v>
      </c>
      <c r="M519" s="11" t="s">
        <v>10</v>
      </c>
      <c r="O519" s="11" t="s">
        <v>10</v>
      </c>
      <c r="Q519" s="11" t="s">
        <v>10</v>
      </c>
      <c r="S519" s="11" t="s">
        <v>10</v>
      </c>
      <c r="T519" s="11"/>
      <c r="U519" s="11" t="s">
        <v>10</v>
      </c>
      <c r="V519" s="11"/>
      <c r="W519" s="11" t="s">
        <v>10</v>
      </c>
      <c r="Y519" s="11" t="s">
        <v>10</v>
      </c>
      <c r="AA519" s="11" t="s">
        <v>10</v>
      </c>
      <c r="AC519" s="11" t="s">
        <v>10</v>
      </c>
      <c r="AE519" s="11" t="s">
        <v>10</v>
      </c>
      <c r="AG519" s="11" t="s">
        <v>10</v>
      </c>
      <c r="AI519" s="11"/>
      <c r="AJ519" s="11" t="s">
        <v>7</v>
      </c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29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x14ac:dyDescent="0.2">
      <c r="C520" s="17"/>
      <c r="D520" s="17"/>
      <c r="E520" s="17"/>
      <c r="G520" s="17"/>
      <c r="H520" s="17"/>
      <c r="I520" s="17"/>
      <c r="K520" s="17"/>
      <c r="M520" s="17"/>
      <c r="O520" s="17"/>
      <c r="Q520" s="17"/>
      <c r="S520" s="17"/>
      <c r="T520" s="17"/>
      <c r="U520" s="17"/>
      <c r="V520" s="17"/>
      <c r="W520" s="17"/>
      <c r="Y520" s="17"/>
      <c r="AA520" s="17"/>
      <c r="AC520" s="17"/>
      <c r="AE520" s="17"/>
      <c r="AG520" s="17"/>
      <c r="AI520" s="17"/>
      <c r="AJ520" s="17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29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x14ac:dyDescent="0.2">
      <c r="A521" s="9" t="s">
        <v>76</v>
      </c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29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x14ac:dyDescent="0.2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29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x14ac:dyDescent="0.2">
      <c r="B523" s="3" t="s">
        <v>14</v>
      </c>
      <c r="C523" s="14">
        <v>0</v>
      </c>
      <c r="D523" s="14"/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/>
      <c r="AJ523" s="16">
        <f t="shared" ref="AJ523:AJ545" si="141">SUM(C523:AI523)</f>
        <v>0</v>
      </c>
      <c r="AL523" s="30"/>
      <c r="AM523" s="83"/>
      <c r="AN523" s="30"/>
      <c r="AO523" s="83"/>
      <c r="AP523" s="30"/>
      <c r="AQ523" s="83"/>
      <c r="AR523" s="30"/>
      <c r="AS523" s="83"/>
      <c r="AT523" s="30"/>
      <c r="AU523" s="83"/>
      <c r="AV523" s="29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x14ac:dyDescent="0.2">
      <c r="B524" s="3" t="s">
        <v>77</v>
      </c>
      <c r="C524" s="14">
        <v>0</v>
      </c>
      <c r="D524" s="14"/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/>
      <c r="AJ524" s="16">
        <f t="shared" si="141"/>
        <v>0</v>
      </c>
      <c r="AL524" s="30"/>
      <c r="AM524" s="83"/>
      <c r="AN524" s="30"/>
      <c r="AO524" s="83"/>
      <c r="AP524" s="30"/>
      <c r="AQ524" s="83"/>
      <c r="AR524" s="30"/>
      <c r="AS524" s="83"/>
      <c r="AT524" s="30"/>
      <c r="AU524" s="83"/>
      <c r="AV524" s="29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x14ac:dyDescent="0.2">
      <c r="B525" s="3" t="s">
        <v>18</v>
      </c>
      <c r="C525" s="14">
        <v>0</v>
      </c>
      <c r="D525" s="14"/>
      <c r="E525" s="14">
        <v>272785.98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-626.88999999995576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/>
      <c r="AJ525" s="16">
        <f t="shared" si="141"/>
        <v>272159.09000000003</v>
      </c>
      <c r="AL525" s="30"/>
      <c r="AM525" s="83"/>
      <c r="AN525" s="30"/>
      <c r="AO525" s="83"/>
      <c r="AP525" s="30"/>
      <c r="AQ525" s="83"/>
      <c r="AR525" s="30"/>
      <c r="AS525" s="83"/>
      <c r="AT525" s="30"/>
      <c r="AU525" s="83"/>
      <c r="AV525" s="29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x14ac:dyDescent="0.2">
      <c r="B526" s="3" t="s">
        <v>78</v>
      </c>
      <c r="C526" s="14">
        <v>0</v>
      </c>
      <c r="D526" s="14"/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/>
      <c r="AJ526" s="16">
        <f t="shared" si="141"/>
        <v>0</v>
      </c>
      <c r="AL526" s="30"/>
      <c r="AM526" s="83"/>
      <c r="AN526" s="30"/>
      <c r="AO526" s="83"/>
      <c r="AP526" s="30"/>
      <c r="AQ526" s="83"/>
      <c r="AR526" s="30"/>
      <c r="AS526" s="83"/>
      <c r="AT526" s="30"/>
      <c r="AU526" s="83"/>
      <c r="AV526" s="29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x14ac:dyDescent="0.2">
      <c r="B527" s="3" t="s">
        <v>19</v>
      </c>
      <c r="C527" s="14">
        <v>0</v>
      </c>
      <c r="D527" s="14"/>
      <c r="E527" s="14">
        <v>0</v>
      </c>
      <c r="F527" s="14">
        <v>0</v>
      </c>
      <c r="G527" s="14">
        <v>0</v>
      </c>
      <c r="H527" s="14">
        <v>0</v>
      </c>
      <c r="I527" s="14">
        <v>-9718.2900000000009</v>
      </c>
      <c r="J527" s="14">
        <v>0</v>
      </c>
      <c r="K527" s="14">
        <v>-6845.56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/>
      <c r="AJ527" s="16">
        <f t="shared" si="141"/>
        <v>-16563.850000000002</v>
      </c>
      <c r="AL527" s="30"/>
      <c r="AM527" s="83"/>
      <c r="AN527" s="30"/>
      <c r="AO527" s="83"/>
      <c r="AP527" s="30"/>
      <c r="AQ527" s="83"/>
      <c r="AR527" s="30"/>
      <c r="AS527" s="83"/>
      <c r="AT527" s="30"/>
      <c r="AU527" s="83"/>
      <c r="AV527" s="29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x14ac:dyDescent="0.2">
      <c r="B528" s="3" t="s">
        <v>20</v>
      </c>
      <c r="C528" s="14">
        <v>0</v>
      </c>
      <c r="D528" s="14"/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/>
      <c r="AJ528" s="16">
        <f t="shared" si="141"/>
        <v>0</v>
      </c>
      <c r="AL528" s="30"/>
      <c r="AM528" s="83"/>
      <c r="AN528" s="30"/>
      <c r="AO528" s="83"/>
      <c r="AP528" s="30"/>
      <c r="AQ528" s="83"/>
      <c r="AR528" s="30"/>
      <c r="AS528" s="83"/>
      <c r="AT528" s="30"/>
      <c r="AU528" s="83"/>
      <c r="AV528" s="29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2:66" x14ac:dyDescent="0.2">
      <c r="B529" s="3" t="s">
        <v>79</v>
      </c>
      <c r="C529" s="14">
        <v>0</v>
      </c>
      <c r="D529" s="14"/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/>
      <c r="AJ529" s="16">
        <f t="shared" si="141"/>
        <v>0</v>
      </c>
      <c r="AL529" s="30"/>
      <c r="AM529" s="83"/>
      <c r="AN529" s="30"/>
      <c r="AO529" s="83"/>
      <c r="AP529" s="30"/>
      <c r="AQ529" s="83"/>
      <c r="AR529" s="30"/>
      <c r="AS529" s="83"/>
      <c r="AT529" s="30"/>
      <c r="AU529" s="83"/>
      <c r="AV529" s="29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2:66" x14ac:dyDescent="0.2">
      <c r="B530" s="3" t="s">
        <v>22</v>
      </c>
      <c r="C530" s="14">
        <v>0</v>
      </c>
      <c r="D530" s="14"/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/>
      <c r="AJ530" s="16">
        <f t="shared" si="141"/>
        <v>0</v>
      </c>
      <c r="AL530" s="30"/>
      <c r="AM530" s="83"/>
      <c r="AN530" s="30"/>
      <c r="AO530" s="83"/>
      <c r="AP530" s="30"/>
      <c r="AQ530" s="83"/>
      <c r="AR530" s="30"/>
      <c r="AS530" s="83"/>
      <c r="AT530" s="30"/>
      <c r="AU530" s="83"/>
      <c r="AV530" s="29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2:66" x14ac:dyDescent="0.2">
      <c r="B531" s="3" t="s">
        <v>80</v>
      </c>
      <c r="C531" s="14">
        <v>0</v>
      </c>
      <c r="D531" s="14"/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/>
      <c r="AJ531" s="16">
        <f t="shared" si="141"/>
        <v>0</v>
      </c>
      <c r="AL531" s="30"/>
      <c r="AM531" s="83"/>
      <c r="AN531" s="30"/>
      <c r="AO531" s="83"/>
      <c r="AP531" s="30"/>
      <c r="AQ531" s="83"/>
      <c r="AR531" s="30"/>
      <c r="AS531" s="83"/>
      <c r="AT531" s="30"/>
      <c r="AU531" s="83"/>
      <c r="AV531" s="29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2:66" x14ac:dyDescent="0.2">
      <c r="B532" s="3" t="s">
        <v>23</v>
      </c>
      <c r="C532" s="14">
        <v>0</v>
      </c>
      <c r="D532" s="14"/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/>
      <c r="AJ532" s="16">
        <f t="shared" si="141"/>
        <v>0</v>
      </c>
      <c r="AL532" s="30"/>
      <c r="AM532" s="83"/>
      <c r="AN532" s="30"/>
      <c r="AO532" s="83"/>
      <c r="AP532" s="30"/>
      <c r="AQ532" s="83"/>
      <c r="AR532" s="30"/>
      <c r="AS532" s="83"/>
      <c r="AT532" s="30"/>
      <c r="AU532" s="83"/>
      <c r="AV532" s="29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2:66" x14ac:dyDescent="0.2">
      <c r="B533" s="3" t="s">
        <v>81</v>
      </c>
      <c r="C533" s="14">
        <v>0</v>
      </c>
      <c r="D533" s="14"/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6"/>
      <c r="AJ533" s="16">
        <f t="shared" si="141"/>
        <v>0</v>
      </c>
      <c r="AL533" s="30"/>
      <c r="AM533" s="83"/>
      <c r="AN533" s="30"/>
      <c r="AO533" s="83"/>
      <c r="AP533" s="30"/>
      <c r="AQ533" s="83"/>
      <c r="AR533" s="30"/>
      <c r="AS533" s="83"/>
      <c r="AT533" s="30"/>
      <c r="AU533" s="83"/>
      <c r="AV533" s="29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2:66" x14ac:dyDescent="0.2">
      <c r="B534" s="3" t="s">
        <v>24</v>
      </c>
      <c r="C534" s="14">
        <v>0</v>
      </c>
      <c r="D534" s="14"/>
      <c r="E534" s="14">
        <v>-272785.98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626.88999999995576</v>
      </c>
      <c r="X534" s="14">
        <v>0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/>
      <c r="AJ534" s="16">
        <f t="shared" si="141"/>
        <v>-272159.09000000003</v>
      </c>
      <c r="AL534" s="30"/>
      <c r="AM534" s="83"/>
      <c r="AN534" s="30"/>
      <c r="AO534" s="83"/>
      <c r="AP534" s="30"/>
      <c r="AQ534" s="83"/>
      <c r="AR534" s="30"/>
      <c r="AS534" s="83"/>
      <c r="AT534" s="30"/>
      <c r="AU534" s="83"/>
      <c r="AV534" s="29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2:66" x14ac:dyDescent="0.2">
      <c r="B535" s="3" t="s">
        <v>82</v>
      </c>
      <c r="C535" s="14">
        <v>0</v>
      </c>
      <c r="D535" s="14"/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/>
      <c r="AJ535" s="16">
        <f t="shared" si="141"/>
        <v>0</v>
      </c>
      <c r="AL535" s="30"/>
      <c r="AM535" s="83"/>
      <c r="AN535" s="30"/>
      <c r="AO535" s="83"/>
      <c r="AP535" s="30"/>
      <c r="AQ535" s="83"/>
      <c r="AR535" s="30"/>
      <c r="AS535" s="83"/>
      <c r="AT535" s="30"/>
      <c r="AU535" s="83"/>
      <c r="AV535" s="29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2:66" x14ac:dyDescent="0.2">
      <c r="B536" s="3" t="s">
        <v>27</v>
      </c>
      <c r="C536" s="14">
        <v>0</v>
      </c>
      <c r="D536" s="14"/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/>
      <c r="AJ536" s="16">
        <f t="shared" si="141"/>
        <v>0</v>
      </c>
      <c r="AL536" s="30"/>
      <c r="AM536" s="83"/>
      <c r="AN536" s="30"/>
      <c r="AO536" s="83"/>
      <c r="AP536" s="30"/>
      <c r="AQ536" s="83"/>
      <c r="AR536" s="30"/>
      <c r="AS536" s="83"/>
      <c r="AT536" s="30"/>
      <c r="AU536" s="83"/>
      <c r="AV536" s="29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2:66" x14ac:dyDescent="0.2">
      <c r="B537" s="3" t="s">
        <v>83</v>
      </c>
      <c r="C537" s="14">
        <v>0</v>
      </c>
      <c r="D537" s="14"/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/>
      <c r="AJ537" s="16">
        <f t="shared" si="141"/>
        <v>0</v>
      </c>
      <c r="AL537" s="30"/>
      <c r="AM537" s="83"/>
      <c r="AN537" s="30"/>
      <c r="AO537" s="83"/>
      <c r="AP537" s="30"/>
      <c r="AQ537" s="83"/>
      <c r="AR537" s="30"/>
      <c r="AS537" s="83"/>
      <c r="AT537" s="30"/>
      <c r="AU537" s="83"/>
      <c r="AV537" s="29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2:66" x14ac:dyDescent="0.2">
      <c r="B538" s="3" t="s">
        <v>28</v>
      </c>
      <c r="C538" s="14">
        <v>0</v>
      </c>
      <c r="D538" s="14"/>
      <c r="E538" s="14">
        <v>0</v>
      </c>
      <c r="F538" s="14">
        <v>0</v>
      </c>
      <c r="G538" s="14">
        <v>0</v>
      </c>
      <c r="H538" s="14">
        <v>0</v>
      </c>
      <c r="I538" s="14">
        <v>-7687.51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-5110.33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/>
      <c r="AJ538" s="16">
        <f t="shared" si="141"/>
        <v>-12797.84</v>
      </c>
      <c r="AL538" s="30"/>
      <c r="AM538" s="83"/>
      <c r="AN538" s="30"/>
      <c r="AO538" s="83"/>
      <c r="AP538" s="30"/>
      <c r="AQ538" s="83"/>
      <c r="AR538" s="30"/>
      <c r="AS538" s="83"/>
      <c r="AT538" s="30"/>
      <c r="AU538" s="83"/>
      <c r="AV538" s="29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2:66" x14ac:dyDescent="0.2">
      <c r="B539" s="3" t="s">
        <v>30</v>
      </c>
      <c r="C539" s="14">
        <v>0</v>
      </c>
      <c r="D539" s="14"/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/>
      <c r="AJ539" s="16">
        <f t="shared" si="141"/>
        <v>0</v>
      </c>
      <c r="AL539" s="30"/>
      <c r="AM539" s="83"/>
      <c r="AN539" s="30"/>
      <c r="AO539" s="83"/>
      <c r="AP539" s="30"/>
      <c r="AQ539" s="83"/>
      <c r="AR539" s="30"/>
      <c r="AS539" s="83"/>
      <c r="AT539" s="30"/>
      <c r="AU539" s="83"/>
      <c r="AV539" s="29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2:66" x14ac:dyDescent="0.2">
      <c r="B540" s="3" t="s">
        <v>84</v>
      </c>
      <c r="C540" s="14">
        <v>0</v>
      </c>
      <c r="D540" s="14"/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/>
      <c r="AJ540" s="16">
        <f t="shared" si="141"/>
        <v>0</v>
      </c>
      <c r="AL540" s="30"/>
      <c r="AM540" s="83"/>
      <c r="AN540" s="30"/>
      <c r="AO540" s="83"/>
      <c r="AP540" s="30"/>
      <c r="AQ540" s="83"/>
      <c r="AR540" s="30"/>
      <c r="AS540" s="83"/>
      <c r="AT540" s="30"/>
      <c r="AU540" s="83"/>
      <c r="AV540" s="29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2:66" x14ac:dyDescent="0.2">
      <c r="B541" s="3" t="s">
        <v>51</v>
      </c>
      <c r="C541" s="16">
        <v>0</v>
      </c>
      <c r="D541" s="16"/>
      <c r="E541" s="16">
        <v>0</v>
      </c>
      <c r="F541" s="16"/>
      <c r="G541" s="16">
        <v>0</v>
      </c>
      <c r="H541" s="16"/>
      <c r="I541" s="16">
        <v>0</v>
      </c>
      <c r="J541" s="16"/>
      <c r="K541" s="16">
        <v>0</v>
      </c>
      <c r="L541" s="16"/>
      <c r="M541" s="16">
        <v>0</v>
      </c>
      <c r="N541" s="16"/>
      <c r="O541" s="16">
        <v>0</v>
      </c>
      <c r="P541" s="16"/>
      <c r="Q541" s="16">
        <v>0</v>
      </c>
      <c r="R541" s="16"/>
      <c r="S541" s="16">
        <v>0</v>
      </c>
      <c r="T541" s="16"/>
      <c r="U541" s="16">
        <v>0</v>
      </c>
      <c r="V541" s="16"/>
      <c r="W541" s="16">
        <v>0</v>
      </c>
      <c r="X541" s="16"/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6"/>
      <c r="AJ541" s="16">
        <f t="shared" si="141"/>
        <v>0</v>
      </c>
      <c r="AL541" s="30"/>
      <c r="AM541" s="83"/>
      <c r="AN541" s="30"/>
      <c r="AO541" s="83"/>
      <c r="AP541" s="30"/>
      <c r="AQ541" s="83"/>
      <c r="AR541" s="30"/>
      <c r="AS541" s="83"/>
      <c r="AT541" s="30"/>
      <c r="AU541" s="83"/>
      <c r="AV541" s="29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2:66" x14ac:dyDescent="0.2">
      <c r="B542" s="3" t="s">
        <v>31</v>
      </c>
      <c r="C542" s="16">
        <v>0</v>
      </c>
      <c r="D542" s="16"/>
      <c r="E542" s="16">
        <v>0</v>
      </c>
      <c r="F542" s="16"/>
      <c r="G542" s="16">
        <v>0</v>
      </c>
      <c r="H542" s="16"/>
      <c r="I542" s="16">
        <v>0</v>
      </c>
      <c r="J542" s="16"/>
      <c r="K542" s="16">
        <v>0</v>
      </c>
      <c r="L542" s="16"/>
      <c r="M542" s="16">
        <v>0</v>
      </c>
      <c r="N542" s="16"/>
      <c r="O542" s="16">
        <v>0</v>
      </c>
      <c r="P542" s="16"/>
      <c r="Q542" s="16">
        <v>0</v>
      </c>
      <c r="R542" s="16"/>
      <c r="S542" s="16">
        <v>0</v>
      </c>
      <c r="T542" s="16"/>
      <c r="U542" s="16">
        <v>0</v>
      </c>
      <c r="V542" s="16"/>
      <c r="W542" s="16">
        <v>0</v>
      </c>
      <c r="X542" s="16"/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6"/>
      <c r="AJ542" s="16">
        <f t="shared" si="141"/>
        <v>0</v>
      </c>
      <c r="AL542" s="30"/>
      <c r="AM542" s="83"/>
      <c r="AN542" s="30"/>
      <c r="AO542" s="83"/>
      <c r="AP542" s="30"/>
      <c r="AQ542" s="83"/>
      <c r="AR542" s="30"/>
      <c r="AS542" s="83"/>
      <c r="AT542" s="30"/>
      <c r="AU542" s="83"/>
      <c r="AV542" s="29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2:66" x14ac:dyDescent="0.2">
      <c r="B543" s="21" t="s">
        <v>85</v>
      </c>
      <c r="C543" s="16">
        <v>0</v>
      </c>
      <c r="D543" s="16"/>
      <c r="E543" s="16">
        <v>0</v>
      </c>
      <c r="F543" s="16"/>
      <c r="G543" s="16">
        <v>0</v>
      </c>
      <c r="H543" s="16"/>
      <c r="I543" s="16">
        <v>0</v>
      </c>
      <c r="J543" s="16"/>
      <c r="K543" s="16">
        <v>0</v>
      </c>
      <c r="L543" s="16"/>
      <c r="M543" s="16">
        <v>0</v>
      </c>
      <c r="N543" s="16"/>
      <c r="O543" s="16">
        <v>0</v>
      </c>
      <c r="P543" s="16"/>
      <c r="Q543" s="16">
        <v>0</v>
      </c>
      <c r="R543" s="16"/>
      <c r="S543" s="16">
        <v>0</v>
      </c>
      <c r="T543" s="16"/>
      <c r="U543" s="16">
        <v>0</v>
      </c>
      <c r="V543" s="16"/>
      <c r="W543" s="16">
        <v>0</v>
      </c>
      <c r="X543" s="16"/>
      <c r="Y543" s="16">
        <v>0</v>
      </c>
      <c r="Z543" s="16"/>
      <c r="AA543" s="16">
        <v>0</v>
      </c>
      <c r="AB543" s="16"/>
      <c r="AC543" s="16">
        <v>0</v>
      </c>
      <c r="AD543" s="16"/>
      <c r="AE543" s="16">
        <v>0</v>
      </c>
      <c r="AF543" s="16"/>
      <c r="AG543" s="16">
        <v>0</v>
      </c>
      <c r="AH543" s="16"/>
      <c r="AI543" s="16"/>
      <c r="AJ543" s="16">
        <f t="shared" si="141"/>
        <v>0</v>
      </c>
      <c r="AL543" s="30"/>
      <c r="AM543" s="83"/>
      <c r="AN543" s="30"/>
      <c r="AO543" s="83"/>
      <c r="AP543" s="30"/>
      <c r="AQ543" s="83"/>
      <c r="AR543" s="30"/>
      <c r="AS543" s="83"/>
      <c r="AT543" s="30"/>
      <c r="AU543" s="83"/>
      <c r="AV543" s="29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2:66" x14ac:dyDescent="0.2">
      <c r="B544" s="21" t="s">
        <v>86</v>
      </c>
      <c r="C544" s="16">
        <v>0</v>
      </c>
      <c r="D544" s="16"/>
      <c r="E544" s="16">
        <v>0</v>
      </c>
      <c r="F544" s="16"/>
      <c r="G544" s="16">
        <v>0</v>
      </c>
      <c r="H544" s="16"/>
      <c r="I544" s="16">
        <v>0</v>
      </c>
      <c r="J544" s="16"/>
      <c r="K544" s="16">
        <v>0</v>
      </c>
      <c r="L544" s="16"/>
      <c r="M544" s="16">
        <v>0</v>
      </c>
      <c r="N544" s="16"/>
      <c r="O544" s="16">
        <v>0</v>
      </c>
      <c r="P544" s="16"/>
      <c r="Q544" s="16">
        <v>0</v>
      </c>
      <c r="R544" s="16"/>
      <c r="S544" s="16">
        <v>0</v>
      </c>
      <c r="T544" s="16"/>
      <c r="U544" s="16">
        <v>0</v>
      </c>
      <c r="V544" s="16"/>
      <c r="W544" s="16">
        <v>0</v>
      </c>
      <c r="X544" s="16"/>
      <c r="Y544" s="16">
        <v>0</v>
      </c>
      <c r="Z544" s="16"/>
      <c r="AA544" s="16">
        <v>0</v>
      </c>
      <c r="AB544" s="16"/>
      <c r="AC544" s="16">
        <v>0</v>
      </c>
      <c r="AD544" s="16"/>
      <c r="AE544" s="16">
        <v>0</v>
      </c>
      <c r="AF544" s="16"/>
      <c r="AG544" s="16">
        <v>0</v>
      </c>
      <c r="AH544" s="16"/>
      <c r="AI544" s="16"/>
      <c r="AJ544" s="16">
        <f t="shared" si="141"/>
        <v>0</v>
      </c>
      <c r="AL544" s="30"/>
      <c r="AM544" s="83"/>
      <c r="AN544" s="30"/>
      <c r="AO544" s="83"/>
      <c r="AP544" s="30"/>
      <c r="AQ544" s="83"/>
      <c r="AR544" s="30"/>
      <c r="AS544" s="83"/>
      <c r="AT544" s="30"/>
      <c r="AU544" s="83"/>
      <c r="AV544" s="29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x14ac:dyDescent="0.2">
      <c r="B545" s="21" t="s">
        <v>88</v>
      </c>
      <c r="C545" s="16">
        <v>0</v>
      </c>
      <c r="D545" s="16"/>
      <c r="E545" s="16">
        <v>0</v>
      </c>
      <c r="F545" s="16"/>
      <c r="G545" s="16">
        <v>0</v>
      </c>
      <c r="H545" s="16"/>
      <c r="I545" s="16">
        <v>0</v>
      </c>
      <c r="J545" s="16"/>
      <c r="K545" s="16">
        <v>0</v>
      </c>
      <c r="L545" s="16"/>
      <c r="M545" s="16">
        <v>0</v>
      </c>
      <c r="N545" s="16"/>
      <c r="O545" s="16">
        <v>0</v>
      </c>
      <c r="P545" s="16"/>
      <c r="Q545" s="16">
        <v>0</v>
      </c>
      <c r="R545" s="16"/>
      <c r="S545" s="16">
        <v>0</v>
      </c>
      <c r="T545" s="16"/>
      <c r="U545" s="16">
        <v>0</v>
      </c>
      <c r="V545" s="16"/>
      <c r="W545" s="16">
        <v>0</v>
      </c>
      <c r="X545" s="16"/>
      <c r="Y545" s="16">
        <v>0</v>
      </c>
      <c r="Z545" s="16"/>
      <c r="AA545" s="16">
        <v>0</v>
      </c>
      <c r="AB545" s="16"/>
      <c r="AC545" s="16">
        <v>0</v>
      </c>
      <c r="AD545" s="16"/>
      <c r="AE545" s="16">
        <v>0</v>
      </c>
      <c r="AF545" s="16"/>
      <c r="AG545" s="16">
        <v>0</v>
      </c>
      <c r="AH545" s="16"/>
      <c r="AI545" s="16"/>
      <c r="AJ545" s="16">
        <f t="shared" si="141"/>
        <v>0</v>
      </c>
      <c r="AL545" s="30"/>
      <c r="AM545" s="83"/>
      <c r="AN545" s="30"/>
      <c r="AO545" s="83"/>
      <c r="AP545" s="30"/>
      <c r="AQ545" s="83"/>
      <c r="AR545" s="30"/>
      <c r="AS545" s="83"/>
      <c r="AT545" s="30"/>
      <c r="AU545" s="83"/>
      <c r="AV545" s="29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x14ac:dyDescent="0.2">
      <c r="B546" s="3" t="s">
        <v>229</v>
      </c>
      <c r="C546" s="19">
        <f>SUM(C522:C545)</f>
        <v>0</v>
      </c>
      <c r="D546" s="16"/>
      <c r="E546" s="19">
        <f>SUM(E522:E545)</f>
        <v>0</v>
      </c>
      <c r="F546" s="16"/>
      <c r="G546" s="19">
        <f>SUM(G522:G545)</f>
        <v>0</v>
      </c>
      <c r="H546" s="16"/>
      <c r="I546" s="19">
        <f>SUM(I522:I545)</f>
        <v>-17405.800000000003</v>
      </c>
      <c r="J546" s="16"/>
      <c r="K546" s="19">
        <f>SUM(K522:K545)</f>
        <v>-6845.56</v>
      </c>
      <c r="L546" s="16"/>
      <c r="M546" s="19">
        <f>SUM(M522:M545)</f>
        <v>0</v>
      </c>
      <c r="N546" s="16"/>
      <c r="O546" s="19">
        <f>SUM(O522:O545)</f>
        <v>0</v>
      </c>
      <c r="P546" s="16"/>
      <c r="Q546" s="19">
        <f>SUM(Q522:Q545)</f>
        <v>0</v>
      </c>
      <c r="R546" s="16"/>
      <c r="S546" s="19">
        <f>SUM(S522:S545)</f>
        <v>0</v>
      </c>
      <c r="T546" s="19"/>
      <c r="U546" s="19">
        <f>SUM(U522:U545)</f>
        <v>0</v>
      </c>
      <c r="V546" s="19"/>
      <c r="W546" s="19">
        <f>SUM(W522:W545)</f>
        <v>0</v>
      </c>
      <c r="X546" s="16"/>
      <c r="Y546" s="19">
        <f>SUM(Y522:Y545)</f>
        <v>0</v>
      </c>
      <c r="Z546" s="16"/>
      <c r="AA546" s="19">
        <f>SUM(AA522:AA545)</f>
        <v>0</v>
      </c>
      <c r="AB546" s="16"/>
      <c r="AC546" s="19">
        <f>SUM(AC522:AC545)</f>
        <v>-5110.33</v>
      </c>
      <c r="AD546" s="16"/>
      <c r="AE546" s="19">
        <f>SUM(AE522:AE545)</f>
        <v>0</v>
      </c>
      <c r="AF546" s="16"/>
      <c r="AG546" s="19">
        <f>SUM(AG522:AG545)</f>
        <v>0</v>
      </c>
      <c r="AH546" s="16"/>
      <c r="AI546" s="19"/>
      <c r="AJ546" s="19">
        <f>SUM(AJ522:AJ545)</f>
        <v>-29361.690000000006</v>
      </c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29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x14ac:dyDescent="0.2">
      <c r="B547" s="1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29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ht="15" x14ac:dyDescent="0.35">
      <c r="A548" s="9" t="s">
        <v>89</v>
      </c>
      <c r="C548" s="32"/>
      <c r="D548" s="32"/>
      <c r="E548" s="32"/>
      <c r="F548" s="33"/>
      <c r="G548" s="32"/>
      <c r="H548" s="32"/>
      <c r="I548" s="32"/>
      <c r="J548" s="33"/>
      <c r="K548" s="32"/>
      <c r="L548" s="33"/>
      <c r="M548" s="32"/>
      <c r="N548" s="33"/>
      <c r="O548" s="32"/>
      <c r="P548" s="33"/>
      <c r="Q548" s="32"/>
      <c r="R548" s="33"/>
      <c r="S548" s="32"/>
      <c r="T548" s="32"/>
      <c r="U548" s="32"/>
      <c r="V548" s="32"/>
      <c r="W548" s="32"/>
      <c r="X548" s="33"/>
      <c r="Y548" s="32"/>
      <c r="Z548" s="33"/>
      <c r="AA548" s="32"/>
      <c r="AB548" s="33"/>
      <c r="AC548" s="32"/>
      <c r="AD548" s="33"/>
      <c r="AE548" s="32"/>
      <c r="AF548" s="33"/>
      <c r="AG548" s="32"/>
      <c r="AH548" s="33"/>
      <c r="AI548" s="32"/>
      <c r="AJ548" s="32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29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x14ac:dyDescent="0.2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29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x14ac:dyDescent="0.2">
      <c r="B550" s="3" t="s">
        <v>14</v>
      </c>
      <c r="C550" s="16">
        <v>0</v>
      </c>
      <c r="D550" s="16"/>
      <c r="E550" s="16">
        <v>0</v>
      </c>
      <c r="F550" s="16"/>
      <c r="G550" s="16">
        <v>0</v>
      </c>
      <c r="H550" s="16"/>
      <c r="I550" s="16">
        <v>0</v>
      </c>
      <c r="J550" s="16"/>
      <c r="K550" s="16">
        <v>0</v>
      </c>
      <c r="L550" s="16"/>
      <c r="M550" s="16">
        <v>0</v>
      </c>
      <c r="N550" s="16"/>
      <c r="O550" s="16">
        <v>0</v>
      </c>
      <c r="P550" s="16"/>
      <c r="Q550" s="16">
        <v>0</v>
      </c>
      <c r="R550" s="16"/>
      <c r="S550" s="16">
        <v>0</v>
      </c>
      <c r="T550" s="16"/>
      <c r="U550" s="16">
        <v>0</v>
      </c>
      <c r="V550" s="16"/>
      <c r="W550" s="16">
        <v>0</v>
      </c>
      <c r="X550" s="16"/>
      <c r="Y550" s="16">
        <v>0</v>
      </c>
      <c r="Z550" s="16"/>
      <c r="AA550" s="16">
        <v>0</v>
      </c>
      <c r="AB550" s="16"/>
      <c r="AC550" s="16">
        <v>0</v>
      </c>
      <c r="AD550" s="16"/>
      <c r="AE550" s="16">
        <v>0</v>
      </c>
      <c r="AF550" s="16"/>
      <c r="AG550" s="16">
        <v>0</v>
      </c>
      <c r="AH550" s="16"/>
      <c r="AI550" s="16"/>
      <c r="AJ550" s="16">
        <f t="shared" ref="AJ550:AJ562" si="142">SUM(C550:AI550)</f>
        <v>0</v>
      </c>
      <c r="AL550" s="30"/>
      <c r="AM550" s="83"/>
      <c r="AN550" s="30"/>
      <c r="AO550" s="83"/>
      <c r="AP550" s="30"/>
      <c r="AQ550" s="83"/>
      <c r="AR550" s="30"/>
      <c r="AS550" s="83"/>
      <c r="AT550" s="30"/>
      <c r="AU550" s="83"/>
      <c r="AV550" s="29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x14ac:dyDescent="0.2">
      <c r="B551" s="3" t="s">
        <v>18</v>
      </c>
      <c r="C551" s="16">
        <v>0</v>
      </c>
      <c r="D551" s="16"/>
      <c r="E551" s="16">
        <v>47544.69</v>
      </c>
      <c r="F551" s="16"/>
      <c r="G551" s="16">
        <v>0</v>
      </c>
      <c r="H551" s="16"/>
      <c r="I551" s="16">
        <v>0</v>
      </c>
      <c r="J551" s="16"/>
      <c r="K551" s="16">
        <v>0</v>
      </c>
      <c r="L551" s="16"/>
      <c r="M551" s="16">
        <v>0</v>
      </c>
      <c r="N551" s="16"/>
      <c r="O551" s="16">
        <v>0</v>
      </c>
      <c r="P551" s="16"/>
      <c r="Q551" s="16">
        <v>0</v>
      </c>
      <c r="R551" s="16"/>
      <c r="S551" s="16">
        <v>0</v>
      </c>
      <c r="T551" s="16"/>
      <c r="U551" s="16">
        <v>0</v>
      </c>
      <c r="V551" s="16"/>
      <c r="W551" s="16">
        <v>15.430000000000291</v>
      </c>
      <c r="X551" s="16"/>
      <c r="Y551" s="16">
        <v>0</v>
      </c>
      <c r="Z551" s="16"/>
      <c r="AA551" s="16">
        <v>0</v>
      </c>
      <c r="AB551" s="16"/>
      <c r="AC551" s="16">
        <v>0</v>
      </c>
      <c r="AD551" s="16"/>
      <c r="AE551" s="16">
        <v>0</v>
      </c>
      <c r="AF551" s="16"/>
      <c r="AG551" s="16">
        <v>0</v>
      </c>
      <c r="AH551" s="16"/>
      <c r="AI551" s="16"/>
      <c r="AJ551" s="16">
        <f t="shared" si="142"/>
        <v>47560.12</v>
      </c>
      <c r="AL551" s="30"/>
      <c r="AM551" s="83"/>
      <c r="AN551" s="30"/>
      <c r="AO551" s="83"/>
      <c r="AP551" s="30"/>
      <c r="AQ551" s="83"/>
      <c r="AR551" s="30"/>
      <c r="AS551" s="83"/>
      <c r="AT551" s="30"/>
      <c r="AU551" s="83"/>
      <c r="AV551" s="29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x14ac:dyDescent="0.2">
      <c r="B552" s="3" t="s">
        <v>19</v>
      </c>
      <c r="C552" s="16">
        <v>0</v>
      </c>
      <c r="D552" s="16"/>
      <c r="E552" s="16">
        <v>0</v>
      </c>
      <c r="F552" s="16"/>
      <c r="G552" s="16">
        <v>0</v>
      </c>
      <c r="H552" s="16"/>
      <c r="I552" s="16">
        <v>0</v>
      </c>
      <c r="J552" s="16"/>
      <c r="K552" s="16">
        <v>0</v>
      </c>
      <c r="L552" s="16"/>
      <c r="M552" s="16">
        <v>0</v>
      </c>
      <c r="N552" s="16"/>
      <c r="O552" s="16">
        <v>0</v>
      </c>
      <c r="P552" s="16"/>
      <c r="Q552" s="16">
        <v>0</v>
      </c>
      <c r="R552" s="16"/>
      <c r="S552" s="16">
        <v>0</v>
      </c>
      <c r="T552" s="16"/>
      <c r="U552" s="16">
        <v>0</v>
      </c>
      <c r="V552" s="16"/>
      <c r="W552" s="16">
        <v>0</v>
      </c>
      <c r="X552" s="16"/>
      <c r="Y552" s="16">
        <v>0</v>
      </c>
      <c r="Z552" s="16"/>
      <c r="AA552" s="16">
        <v>0</v>
      </c>
      <c r="AB552" s="16"/>
      <c r="AC552" s="16">
        <v>0</v>
      </c>
      <c r="AD552" s="16"/>
      <c r="AE552" s="16">
        <v>0</v>
      </c>
      <c r="AF552" s="16"/>
      <c r="AG552" s="16">
        <v>0</v>
      </c>
      <c r="AH552" s="16"/>
      <c r="AI552" s="16"/>
      <c r="AJ552" s="16">
        <f t="shared" si="142"/>
        <v>0</v>
      </c>
      <c r="AL552" s="30"/>
      <c r="AM552" s="83"/>
      <c r="AN552" s="30"/>
      <c r="AO552" s="83"/>
      <c r="AP552" s="30"/>
      <c r="AQ552" s="83"/>
      <c r="AR552" s="30"/>
      <c r="AS552" s="83"/>
      <c r="AT552" s="30"/>
      <c r="AU552" s="83"/>
      <c r="AV552" s="29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x14ac:dyDescent="0.2">
      <c r="B553" s="3" t="s">
        <v>20</v>
      </c>
      <c r="C553" s="16">
        <v>0</v>
      </c>
      <c r="D553" s="16"/>
      <c r="E553" s="16">
        <v>0</v>
      </c>
      <c r="F553" s="16"/>
      <c r="G553" s="16">
        <v>0</v>
      </c>
      <c r="H553" s="16"/>
      <c r="I553" s="16">
        <v>0</v>
      </c>
      <c r="J553" s="16"/>
      <c r="K553" s="16">
        <v>0</v>
      </c>
      <c r="L553" s="16"/>
      <c r="M553" s="16">
        <v>0</v>
      </c>
      <c r="N553" s="16"/>
      <c r="O553" s="16">
        <v>0</v>
      </c>
      <c r="P553" s="16"/>
      <c r="Q553" s="16">
        <v>0</v>
      </c>
      <c r="R553" s="16"/>
      <c r="S553" s="16">
        <v>0</v>
      </c>
      <c r="T553" s="16"/>
      <c r="U553" s="16">
        <v>0</v>
      </c>
      <c r="V553" s="16"/>
      <c r="W553" s="16">
        <v>0</v>
      </c>
      <c r="X553" s="16"/>
      <c r="Y553" s="16">
        <v>0</v>
      </c>
      <c r="Z553" s="16"/>
      <c r="AA553" s="16">
        <v>0</v>
      </c>
      <c r="AB553" s="16"/>
      <c r="AC553" s="16">
        <v>0</v>
      </c>
      <c r="AD553" s="16"/>
      <c r="AE553" s="16">
        <v>0</v>
      </c>
      <c r="AF553" s="16"/>
      <c r="AG553" s="16">
        <v>0</v>
      </c>
      <c r="AH553" s="16"/>
      <c r="AI553" s="16"/>
      <c r="AJ553" s="16">
        <f t="shared" si="142"/>
        <v>0</v>
      </c>
      <c r="AL553" s="30"/>
      <c r="AM553" s="83"/>
      <c r="AN553" s="30"/>
      <c r="AO553" s="83"/>
      <c r="AP553" s="30"/>
      <c r="AQ553" s="83"/>
      <c r="AR553" s="30"/>
      <c r="AS553" s="83"/>
      <c r="AT553" s="30"/>
      <c r="AU553" s="83"/>
      <c r="AV553" s="29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x14ac:dyDescent="0.2">
      <c r="B554" s="3" t="s">
        <v>22</v>
      </c>
      <c r="C554" s="16">
        <v>0</v>
      </c>
      <c r="D554" s="16"/>
      <c r="E554" s="16">
        <v>0</v>
      </c>
      <c r="F554" s="16"/>
      <c r="G554" s="16">
        <v>0</v>
      </c>
      <c r="H554" s="16"/>
      <c r="I554" s="16">
        <v>0</v>
      </c>
      <c r="J554" s="16"/>
      <c r="K554" s="16">
        <v>0</v>
      </c>
      <c r="L554" s="16"/>
      <c r="M554" s="16">
        <v>0</v>
      </c>
      <c r="N554" s="16"/>
      <c r="O554" s="16">
        <v>0</v>
      </c>
      <c r="P554" s="16"/>
      <c r="Q554" s="16">
        <v>0</v>
      </c>
      <c r="R554" s="16"/>
      <c r="S554" s="16">
        <v>0</v>
      </c>
      <c r="T554" s="16"/>
      <c r="U554" s="16">
        <v>0</v>
      </c>
      <c r="V554" s="16"/>
      <c r="W554" s="16">
        <v>0</v>
      </c>
      <c r="X554" s="16"/>
      <c r="Y554" s="16">
        <v>0</v>
      </c>
      <c r="Z554" s="16"/>
      <c r="AA554" s="16">
        <v>0</v>
      </c>
      <c r="AB554" s="16"/>
      <c r="AC554" s="16">
        <v>0</v>
      </c>
      <c r="AD554" s="16"/>
      <c r="AE554" s="16">
        <v>0</v>
      </c>
      <c r="AF554" s="16"/>
      <c r="AG554" s="16">
        <v>0</v>
      </c>
      <c r="AH554" s="16"/>
      <c r="AI554" s="16"/>
      <c r="AJ554" s="16">
        <f t="shared" si="142"/>
        <v>0</v>
      </c>
      <c r="AL554" s="30"/>
      <c r="AM554" s="83"/>
      <c r="AN554" s="30"/>
      <c r="AO554" s="83"/>
      <c r="AP554" s="30"/>
      <c r="AQ554" s="83"/>
      <c r="AR554" s="30"/>
      <c r="AS554" s="83"/>
      <c r="AT554" s="30"/>
      <c r="AU554" s="83"/>
      <c r="AV554" s="29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x14ac:dyDescent="0.2">
      <c r="B555" s="3" t="s">
        <v>23</v>
      </c>
      <c r="C555" s="16">
        <v>0</v>
      </c>
      <c r="D555" s="16"/>
      <c r="E555" s="16">
        <v>0</v>
      </c>
      <c r="F555" s="16"/>
      <c r="G555" s="16">
        <v>0</v>
      </c>
      <c r="H555" s="16"/>
      <c r="I555" s="16">
        <v>0</v>
      </c>
      <c r="J555" s="16"/>
      <c r="K555" s="16">
        <v>0</v>
      </c>
      <c r="L555" s="16"/>
      <c r="M555" s="16">
        <v>0</v>
      </c>
      <c r="N555" s="16"/>
      <c r="O555" s="16">
        <v>0</v>
      </c>
      <c r="P555" s="16"/>
      <c r="Q555" s="16">
        <v>0</v>
      </c>
      <c r="R555" s="16"/>
      <c r="S555" s="16">
        <v>0</v>
      </c>
      <c r="T555" s="16"/>
      <c r="U555" s="16">
        <v>0</v>
      </c>
      <c r="V555" s="16"/>
      <c r="W555" s="16">
        <v>0</v>
      </c>
      <c r="X555" s="16"/>
      <c r="Y555" s="16">
        <v>0</v>
      </c>
      <c r="Z555" s="16"/>
      <c r="AA555" s="16">
        <v>0</v>
      </c>
      <c r="AB555" s="16"/>
      <c r="AC555" s="16">
        <v>0</v>
      </c>
      <c r="AD555" s="16"/>
      <c r="AE555" s="16">
        <v>0</v>
      </c>
      <c r="AF555" s="16"/>
      <c r="AG555" s="16">
        <v>0</v>
      </c>
      <c r="AH555" s="16"/>
      <c r="AI555" s="16"/>
      <c r="AJ555" s="16">
        <f t="shared" si="142"/>
        <v>0</v>
      </c>
      <c r="AL555" s="30"/>
      <c r="AM555" s="83"/>
      <c r="AN555" s="30"/>
      <c r="AO555" s="83"/>
      <c r="AP555" s="30"/>
      <c r="AQ555" s="83"/>
      <c r="AR555" s="30"/>
      <c r="AS555" s="83"/>
      <c r="AT555" s="30"/>
      <c r="AU555" s="83"/>
      <c r="AV555" s="29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x14ac:dyDescent="0.2">
      <c r="B556" s="3" t="s">
        <v>24</v>
      </c>
      <c r="C556" s="16">
        <v>0</v>
      </c>
      <c r="D556" s="16"/>
      <c r="E556" s="16">
        <v>-47544.69</v>
      </c>
      <c r="F556" s="16"/>
      <c r="G556" s="16">
        <v>0</v>
      </c>
      <c r="H556" s="16"/>
      <c r="I556" s="16">
        <v>0</v>
      </c>
      <c r="J556" s="16"/>
      <c r="K556" s="16">
        <v>0</v>
      </c>
      <c r="L556" s="16"/>
      <c r="M556" s="16">
        <v>0</v>
      </c>
      <c r="N556" s="16"/>
      <c r="O556" s="16">
        <v>0</v>
      </c>
      <c r="P556" s="16"/>
      <c r="Q556" s="16">
        <v>0</v>
      </c>
      <c r="R556" s="16"/>
      <c r="S556" s="16">
        <v>0</v>
      </c>
      <c r="T556" s="16"/>
      <c r="U556" s="16">
        <v>0</v>
      </c>
      <c r="V556" s="16"/>
      <c r="W556" s="16">
        <v>-15.43</v>
      </c>
      <c r="X556" s="16"/>
      <c r="Y556" s="16">
        <v>0</v>
      </c>
      <c r="Z556" s="16"/>
      <c r="AA556" s="16">
        <v>0</v>
      </c>
      <c r="AB556" s="16"/>
      <c r="AC556" s="16">
        <v>0</v>
      </c>
      <c r="AD556" s="16"/>
      <c r="AE556" s="16">
        <v>0</v>
      </c>
      <c r="AF556" s="16"/>
      <c r="AG556" s="16">
        <v>0</v>
      </c>
      <c r="AH556" s="16"/>
      <c r="AI556" s="16"/>
      <c r="AJ556" s="16">
        <f t="shared" si="142"/>
        <v>-47560.12</v>
      </c>
      <c r="AL556" s="30"/>
      <c r="AM556" s="83"/>
      <c r="AN556" s="30"/>
      <c r="AO556" s="83"/>
      <c r="AP556" s="30"/>
      <c r="AQ556" s="83"/>
      <c r="AR556" s="30"/>
      <c r="AS556" s="83"/>
      <c r="AT556" s="30"/>
      <c r="AU556" s="83"/>
      <c r="AV556" s="29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x14ac:dyDescent="0.2">
      <c r="B557" s="3" t="s">
        <v>27</v>
      </c>
      <c r="C557" s="16">
        <v>0</v>
      </c>
      <c r="D557" s="16"/>
      <c r="E557" s="16">
        <v>0</v>
      </c>
      <c r="F557" s="16"/>
      <c r="G557" s="16">
        <v>0</v>
      </c>
      <c r="H557" s="16"/>
      <c r="I557" s="16">
        <v>0</v>
      </c>
      <c r="J557" s="16"/>
      <c r="K557" s="16">
        <v>0</v>
      </c>
      <c r="L557" s="16"/>
      <c r="M557" s="16">
        <v>0</v>
      </c>
      <c r="N557" s="16"/>
      <c r="O557" s="16">
        <v>0</v>
      </c>
      <c r="P557" s="16"/>
      <c r="Q557" s="16">
        <v>0</v>
      </c>
      <c r="R557" s="16"/>
      <c r="S557" s="16">
        <v>0</v>
      </c>
      <c r="T557" s="16"/>
      <c r="U557" s="16">
        <v>0</v>
      </c>
      <c r="V557" s="16"/>
      <c r="W557" s="16">
        <v>0</v>
      </c>
      <c r="X557" s="16"/>
      <c r="Y557" s="16">
        <v>0</v>
      </c>
      <c r="Z557" s="16"/>
      <c r="AA557" s="16">
        <v>0</v>
      </c>
      <c r="AB557" s="16"/>
      <c r="AC557" s="16">
        <v>0</v>
      </c>
      <c r="AD557" s="16"/>
      <c r="AE557" s="16">
        <v>0</v>
      </c>
      <c r="AF557" s="16"/>
      <c r="AG557" s="16">
        <v>0</v>
      </c>
      <c r="AH557" s="16"/>
      <c r="AI557" s="16"/>
      <c r="AJ557" s="16">
        <f t="shared" si="142"/>
        <v>0</v>
      </c>
      <c r="AL557" s="30"/>
      <c r="AM557" s="83"/>
      <c r="AN557" s="30"/>
      <c r="AO557" s="83"/>
      <c r="AP557" s="30"/>
      <c r="AQ557" s="83"/>
      <c r="AR557" s="30"/>
      <c r="AS557" s="83"/>
      <c r="AT557" s="30"/>
      <c r="AU557" s="83"/>
      <c r="AV557" s="29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x14ac:dyDescent="0.2">
      <c r="B558" s="3" t="s">
        <v>28</v>
      </c>
      <c r="C558" s="16">
        <v>0</v>
      </c>
      <c r="D558" s="16"/>
      <c r="E558" s="16">
        <v>0</v>
      </c>
      <c r="F558" s="16"/>
      <c r="G558" s="16">
        <v>0</v>
      </c>
      <c r="H558" s="16"/>
      <c r="I558" s="16">
        <v>100.57</v>
      </c>
      <c r="J558" s="16"/>
      <c r="K558" s="16">
        <v>0</v>
      </c>
      <c r="L558" s="16"/>
      <c r="M558" s="16">
        <v>0</v>
      </c>
      <c r="N558" s="16"/>
      <c r="O558" s="16">
        <v>0</v>
      </c>
      <c r="P558" s="16"/>
      <c r="Q558" s="16">
        <v>0</v>
      </c>
      <c r="R558" s="16"/>
      <c r="S558" s="16">
        <v>0</v>
      </c>
      <c r="T558" s="16"/>
      <c r="U558" s="16">
        <v>0</v>
      </c>
      <c r="V558" s="16"/>
      <c r="W558" s="16">
        <v>0</v>
      </c>
      <c r="X558" s="16"/>
      <c r="Y558" s="16">
        <v>0</v>
      </c>
      <c r="Z558" s="16"/>
      <c r="AA558" s="16">
        <v>0</v>
      </c>
      <c r="AB558" s="16"/>
      <c r="AC558" s="16">
        <v>0</v>
      </c>
      <c r="AD558" s="16"/>
      <c r="AE558" s="16">
        <v>0</v>
      </c>
      <c r="AF558" s="16"/>
      <c r="AG558" s="16">
        <v>0</v>
      </c>
      <c r="AH558" s="16"/>
      <c r="AI558" s="16"/>
      <c r="AJ558" s="16">
        <f t="shared" si="142"/>
        <v>100.57</v>
      </c>
      <c r="AL558" s="30"/>
      <c r="AM558" s="83"/>
      <c r="AN558" s="30"/>
      <c r="AO558" s="83"/>
      <c r="AP558" s="30"/>
      <c r="AQ558" s="83"/>
      <c r="AR558" s="30"/>
      <c r="AS558" s="83"/>
      <c r="AT558" s="30"/>
      <c r="AU558" s="83"/>
      <c r="AV558" s="29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x14ac:dyDescent="0.2">
      <c r="B559" s="3" t="s">
        <v>30</v>
      </c>
      <c r="C559" s="16">
        <v>0</v>
      </c>
      <c r="D559" s="16"/>
      <c r="E559" s="16">
        <v>0</v>
      </c>
      <c r="F559" s="16"/>
      <c r="G559" s="16">
        <v>0</v>
      </c>
      <c r="H559" s="16"/>
      <c r="I559" s="16">
        <v>0</v>
      </c>
      <c r="J559" s="16"/>
      <c r="K559" s="16">
        <v>0</v>
      </c>
      <c r="L559" s="16"/>
      <c r="M559" s="16">
        <v>0</v>
      </c>
      <c r="N559" s="16"/>
      <c r="O559" s="16">
        <v>0</v>
      </c>
      <c r="P559" s="16"/>
      <c r="Q559" s="16">
        <v>0</v>
      </c>
      <c r="R559" s="16"/>
      <c r="S559" s="16">
        <v>0</v>
      </c>
      <c r="T559" s="16"/>
      <c r="U559" s="16">
        <v>0</v>
      </c>
      <c r="V559" s="16"/>
      <c r="W559" s="16">
        <v>0</v>
      </c>
      <c r="X559" s="16"/>
      <c r="Y559" s="16">
        <v>0</v>
      </c>
      <c r="Z559" s="16"/>
      <c r="AA559" s="16">
        <v>0</v>
      </c>
      <c r="AB559" s="16"/>
      <c r="AC559" s="16">
        <v>0</v>
      </c>
      <c r="AD559" s="16"/>
      <c r="AE559" s="16">
        <v>0</v>
      </c>
      <c r="AF559" s="16"/>
      <c r="AG559" s="16">
        <v>0</v>
      </c>
      <c r="AH559" s="16"/>
      <c r="AI559" s="16"/>
      <c r="AJ559" s="16">
        <f t="shared" si="142"/>
        <v>0</v>
      </c>
      <c r="AL559" s="30"/>
      <c r="AM559" s="83"/>
      <c r="AN559" s="30"/>
      <c r="AO559" s="83"/>
      <c r="AP559" s="30"/>
      <c r="AQ559" s="83"/>
      <c r="AR559" s="30"/>
      <c r="AS559" s="83"/>
      <c r="AT559" s="30"/>
      <c r="AU559" s="83"/>
      <c r="AV559" s="29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x14ac:dyDescent="0.2">
      <c r="B560" s="3" t="s">
        <v>51</v>
      </c>
      <c r="C560" s="16">
        <v>0</v>
      </c>
      <c r="D560" s="16"/>
      <c r="E560" s="16">
        <v>0</v>
      </c>
      <c r="F560" s="16"/>
      <c r="G560" s="16">
        <v>0</v>
      </c>
      <c r="H560" s="16"/>
      <c r="I560" s="16">
        <v>0</v>
      </c>
      <c r="J560" s="16"/>
      <c r="K560" s="16">
        <v>0</v>
      </c>
      <c r="L560" s="16"/>
      <c r="M560" s="16">
        <v>0</v>
      </c>
      <c r="N560" s="16"/>
      <c r="O560" s="16">
        <v>0</v>
      </c>
      <c r="P560" s="16"/>
      <c r="Q560" s="16">
        <v>0</v>
      </c>
      <c r="R560" s="16"/>
      <c r="S560" s="16">
        <v>0</v>
      </c>
      <c r="T560" s="16"/>
      <c r="U560" s="16">
        <v>0</v>
      </c>
      <c r="V560" s="16"/>
      <c r="W560" s="16">
        <v>0</v>
      </c>
      <c r="X560" s="16"/>
      <c r="Y560" s="16">
        <v>0</v>
      </c>
      <c r="Z560" s="16"/>
      <c r="AA560" s="16">
        <v>0</v>
      </c>
      <c r="AB560" s="16"/>
      <c r="AC560" s="16">
        <v>0</v>
      </c>
      <c r="AD560" s="16"/>
      <c r="AE560" s="16">
        <v>0</v>
      </c>
      <c r="AF560" s="16"/>
      <c r="AG560" s="16">
        <v>0</v>
      </c>
      <c r="AH560" s="16"/>
      <c r="AI560" s="16"/>
      <c r="AJ560" s="16">
        <f t="shared" si="142"/>
        <v>0</v>
      </c>
      <c r="AL560" s="30"/>
      <c r="AM560" s="83"/>
      <c r="AN560" s="30"/>
      <c r="AO560" s="83"/>
      <c r="AP560" s="30"/>
      <c r="AQ560" s="83"/>
      <c r="AR560" s="30"/>
      <c r="AS560" s="83"/>
      <c r="AT560" s="30"/>
      <c r="AU560" s="83"/>
      <c r="AV560" s="29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x14ac:dyDescent="0.2">
      <c r="B561" s="3" t="s">
        <v>31</v>
      </c>
      <c r="C561" s="16">
        <v>0</v>
      </c>
      <c r="D561" s="16"/>
      <c r="E561" s="16">
        <v>0</v>
      </c>
      <c r="F561" s="16"/>
      <c r="G561" s="16">
        <v>0</v>
      </c>
      <c r="H561" s="16"/>
      <c r="I561" s="16">
        <v>0</v>
      </c>
      <c r="J561" s="16"/>
      <c r="K561" s="16">
        <v>0</v>
      </c>
      <c r="L561" s="16"/>
      <c r="M561" s="16">
        <v>0</v>
      </c>
      <c r="N561" s="16"/>
      <c r="O561" s="16">
        <v>0</v>
      </c>
      <c r="P561" s="16"/>
      <c r="Q561" s="16">
        <v>0</v>
      </c>
      <c r="R561" s="16"/>
      <c r="S561" s="16">
        <v>0</v>
      </c>
      <c r="T561" s="16"/>
      <c r="U561" s="16">
        <v>0</v>
      </c>
      <c r="V561" s="16"/>
      <c r="W561" s="16">
        <v>0</v>
      </c>
      <c r="X561" s="16"/>
      <c r="Y561" s="16">
        <v>0</v>
      </c>
      <c r="Z561" s="16"/>
      <c r="AA561" s="16">
        <v>0</v>
      </c>
      <c r="AB561" s="16"/>
      <c r="AC561" s="16">
        <v>0</v>
      </c>
      <c r="AD561" s="16"/>
      <c r="AE561" s="16">
        <v>0</v>
      </c>
      <c r="AF561" s="16"/>
      <c r="AG561" s="16">
        <v>0</v>
      </c>
      <c r="AH561" s="16"/>
      <c r="AI561" s="16"/>
      <c r="AJ561" s="16">
        <f t="shared" si="142"/>
        <v>0</v>
      </c>
      <c r="AL561" s="30"/>
      <c r="AM561" s="83"/>
      <c r="AN561" s="30"/>
      <c r="AO561" s="83"/>
      <c r="AP561" s="30"/>
      <c r="AQ561" s="83"/>
      <c r="AR561" s="30"/>
      <c r="AS561" s="83"/>
      <c r="AT561" s="30"/>
      <c r="AU561" s="83"/>
      <c r="AV561" s="29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x14ac:dyDescent="0.2">
      <c r="B562" s="120" t="s">
        <v>437</v>
      </c>
      <c r="C562" s="15">
        <v>0</v>
      </c>
      <c r="D562" s="16"/>
      <c r="E562" s="15">
        <v>0</v>
      </c>
      <c r="F562" s="16"/>
      <c r="G562" s="15">
        <v>0</v>
      </c>
      <c r="H562" s="16"/>
      <c r="I562" s="15">
        <v>0</v>
      </c>
      <c r="J562" s="16"/>
      <c r="K562" s="15">
        <v>0</v>
      </c>
      <c r="L562" s="16">
        <v>0</v>
      </c>
      <c r="M562" s="15">
        <v>0</v>
      </c>
      <c r="N562" s="16"/>
      <c r="O562" s="15">
        <v>0</v>
      </c>
      <c r="P562" s="16"/>
      <c r="Q562" s="15">
        <v>0</v>
      </c>
      <c r="R562" s="16"/>
      <c r="S562" s="15">
        <v>0</v>
      </c>
      <c r="T562" s="15"/>
      <c r="U562" s="15">
        <v>0</v>
      </c>
      <c r="V562" s="15"/>
      <c r="W562" s="15">
        <v>0</v>
      </c>
      <c r="X562" s="16"/>
      <c r="Y562" s="15">
        <v>0</v>
      </c>
      <c r="Z562" s="16"/>
      <c r="AA562" s="15">
        <v>0</v>
      </c>
      <c r="AB562" s="16"/>
      <c r="AC562" s="15">
        <v>0</v>
      </c>
      <c r="AD562" s="16"/>
      <c r="AE562" s="15"/>
      <c r="AF562" s="16"/>
      <c r="AG562" s="15"/>
      <c r="AH562" s="16"/>
      <c r="AI562" s="15"/>
      <c r="AJ562" s="16">
        <f t="shared" si="142"/>
        <v>0</v>
      </c>
      <c r="AL562" s="30"/>
      <c r="AM562" s="83"/>
      <c r="AN562" s="30"/>
      <c r="AO562" s="83"/>
      <c r="AP562" s="30"/>
      <c r="AQ562" s="83"/>
      <c r="AR562" s="30"/>
      <c r="AS562" s="83"/>
      <c r="AT562" s="30"/>
      <c r="AU562" s="83"/>
      <c r="AV562" s="29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x14ac:dyDescent="0.2">
      <c r="B563" s="3" t="s">
        <v>229</v>
      </c>
      <c r="C563" s="16">
        <f>SUM(C549:C562)</f>
        <v>0</v>
      </c>
      <c r="D563" s="16"/>
      <c r="E563" s="16">
        <f>SUM(E549:E562)</f>
        <v>0</v>
      </c>
      <c r="F563" s="16"/>
      <c r="G563" s="16">
        <f>SUM(G549:G562)</f>
        <v>0</v>
      </c>
      <c r="H563" s="16"/>
      <c r="I563" s="16">
        <f>SUM(I549:I562)</f>
        <v>100.57</v>
      </c>
      <c r="J563" s="16"/>
      <c r="K563" s="16">
        <f>SUM(K549:K562)</f>
        <v>0</v>
      </c>
      <c r="L563" s="16"/>
      <c r="M563" s="16">
        <f>SUM(M549:M562)</f>
        <v>0</v>
      </c>
      <c r="N563" s="16"/>
      <c r="O563" s="16">
        <f>SUM(O549:O562)</f>
        <v>0</v>
      </c>
      <c r="P563" s="16"/>
      <c r="Q563" s="16">
        <f>SUM(Q549:Q562)</f>
        <v>0</v>
      </c>
      <c r="R563" s="16"/>
      <c r="S563" s="16">
        <f>SUM(S549:S562)</f>
        <v>0</v>
      </c>
      <c r="T563" s="16"/>
      <c r="U563" s="16">
        <f>SUM(U549:U562)</f>
        <v>0</v>
      </c>
      <c r="V563" s="16"/>
      <c r="W563" s="16">
        <f>SUM(W549:W562)</f>
        <v>2.9132252166164108E-13</v>
      </c>
      <c r="X563" s="16"/>
      <c r="Y563" s="16">
        <f>SUM(Y549:Y562)</f>
        <v>0</v>
      </c>
      <c r="Z563" s="16"/>
      <c r="AA563" s="16">
        <f>SUM(AA549:AA562)</f>
        <v>0</v>
      </c>
      <c r="AB563" s="16"/>
      <c r="AC563" s="16">
        <f>SUM(AC549:AC562)</f>
        <v>0</v>
      </c>
      <c r="AD563" s="16"/>
      <c r="AE563" s="16">
        <f>SUM(AE549:AE561)</f>
        <v>0</v>
      </c>
      <c r="AF563" s="16"/>
      <c r="AG563" s="16">
        <f>SUM(AG549:AG561)</f>
        <v>0</v>
      </c>
      <c r="AH563" s="16"/>
      <c r="AI563" s="16"/>
      <c r="AJ563" s="19">
        <f>SUM(AJ549:AJ562)</f>
        <v>100.57</v>
      </c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29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x14ac:dyDescent="0.2">
      <c r="B564" s="1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29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ht="15" x14ac:dyDescent="0.35">
      <c r="A565" s="9" t="s">
        <v>90</v>
      </c>
      <c r="C565" s="32"/>
      <c r="D565" s="32"/>
      <c r="E565" s="32"/>
      <c r="F565" s="33"/>
      <c r="G565" s="32"/>
      <c r="H565" s="32"/>
      <c r="I565" s="32"/>
      <c r="J565" s="33"/>
      <c r="K565" s="32"/>
      <c r="L565" s="33"/>
      <c r="M565" s="32"/>
      <c r="N565" s="33"/>
      <c r="O565" s="32"/>
      <c r="P565" s="33"/>
      <c r="Q565" s="32"/>
      <c r="R565" s="33"/>
      <c r="S565" s="32"/>
      <c r="T565" s="32"/>
      <c r="U565" s="32"/>
      <c r="V565" s="32"/>
      <c r="W565" s="32"/>
      <c r="X565" s="33"/>
      <c r="Y565" s="32"/>
      <c r="Z565" s="33"/>
      <c r="AA565" s="32"/>
      <c r="AB565" s="33"/>
      <c r="AC565" s="32"/>
      <c r="AD565" s="33"/>
      <c r="AE565" s="32"/>
      <c r="AF565" s="33"/>
      <c r="AG565" s="32"/>
      <c r="AH565" s="33"/>
      <c r="AI565" s="32"/>
      <c r="AJ565" s="32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29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x14ac:dyDescent="0.2">
      <c r="B566" s="3" t="s">
        <v>14</v>
      </c>
      <c r="C566" s="16">
        <v>0</v>
      </c>
      <c r="D566" s="16"/>
      <c r="E566" s="16">
        <v>0</v>
      </c>
      <c r="F566" s="16"/>
      <c r="G566" s="16">
        <v>0</v>
      </c>
      <c r="H566" s="16"/>
      <c r="I566" s="16">
        <v>0</v>
      </c>
      <c r="J566" s="16"/>
      <c r="K566" s="16">
        <v>0</v>
      </c>
      <c r="L566" s="16"/>
      <c r="M566" s="16">
        <v>0</v>
      </c>
      <c r="N566" s="16"/>
      <c r="O566" s="16">
        <v>0</v>
      </c>
      <c r="P566" s="16"/>
      <c r="Q566" s="16">
        <v>0</v>
      </c>
      <c r="R566" s="16"/>
      <c r="S566" s="16">
        <v>0</v>
      </c>
      <c r="T566" s="16"/>
      <c r="U566" s="16">
        <v>0</v>
      </c>
      <c r="V566" s="16"/>
      <c r="W566" s="16">
        <v>0</v>
      </c>
      <c r="X566" s="16"/>
      <c r="Y566" s="16">
        <v>0</v>
      </c>
      <c r="Z566" s="16"/>
      <c r="AA566" s="16">
        <v>0</v>
      </c>
      <c r="AB566" s="16"/>
      <c r="AC566" s="16">
        <v>0</v>
      </c>
      <c r="AD566" s="16"/>
      <c r="AE566" s="16">
        <v>0</v>
      </c>
      <c r="AF566" s="16"/>
      <c r="AG566" s="16">
        <v>0</v>
      </c>
      <c r="AH566" s="16"/>
      <c r="AI566" s="16"/>
      <c r="AJ566" s="16">
        <f t="shared" ref="AJ566:AJ578" si="143">SUM(C566:AI566)</f>
        <v>0</v>
      </c>
      <c r="AL566" s="30"/>
      <c r="AM566" s="83"/>
      <c r="AN566" s="30"/>
      <c r="AO566" s="83"/>
      <c r="AP566" s="30"/>
      <c r="AQ566" s="83"/>
      <c r="AR566" s="30"/>
      <c r="AS566" s="83"/>
      <c r="AT566" s="30"/>
      <c r="AU566" s="83"/>
      <c r="AV566" s="29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x14ac:dyDescent="0.2">
      <c r="B567" s="3" t="s">
        <v>18</v>
      </c>
      <c r="C567" s="16">
        <v>0</v>
      </c>
      <c r="D567" s="16"/>
      <c r="E567" s="16">
        <v>0</v>
      </c>
      <c r="F567" s="16"/>
      <c r="G567" s="16">
        <v>0</v>
      </c>
      <c r="H567" s="16"/>
      <c r="I567" s="16">
        <v>0</v>
      </c>
      <c r="J567" s="16"/>
      <c r="K567" s="16">
        <v>0</v>
      </c>
      <c r="L567" s="16"/>
      <c r="M567" s="16">
        <v>0</v>
      </c>
      <c r="N567" s="16"/>
      <c r="O567" s="16">
        <v>0</v>
      </c>
      <c r="P567" s="16"/>
      <c r="Q567" s="16">
        <v>0</v>
      </c>
      <c r="R567" s="16"/>
      <c r="S567" s="16">
        <v>0</v>
      </c>
      <c r="T567" s="16"/>
      <c r="U567" s="16">
        <v>0</v>
      </c>
      <c r="V567" s="16"/>
      <c r="W567" s="16">
        <v>0</v>
      </c>
      <c r="X567" s="16"/>
      <c r="Y567" s="16">
        <v>0</v>
      </c>
      <c r="Z567" s="16"/>
      <c r="AA567" s="16">
        <v>0</v>
      </c>
      <c r="AB567" s="16"/>
      <c r="AC567" s="16">
        <v>0</v>
      </c>
      <c r="AD567" s="16"/>
      <c r="AE567" s="16">
        <v>0</v>
      </c>
      <c r="AF567" s="16"/>
      <c r="AG567" s="16">
        <v>0</v>
      </c>
      <c r="AH567" s="16"/>
      <c r="AI567" s="16"/>
      <c r="AJ567" s="16">
        <f t="shared" si="143"/>
        <v>0</v>
      </c>
      <c r="AL567" s="30"/>
      <c r="AM567" s="83"/>
      <c r="AN567" s="30"/>
      <c r="AO567" s="83"/>
      <c r="AP567" s="30"/>
      <c r="AQ567" s="83"/>
      <c r="AR567" s="30"/>
      <c r="AS567" s="83"/>
      <c r="AT567" s="30"/>
      <c r="AU567" s="83"/>
      <c r="AV567" s="29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x14ac:dyDescent="0.2">
      <c r="B568" s="3" t="s">
        <v>19</v>
      </c>
      <c r="C568" s="16">
        <v>0</v>
      </c>
      <c r="D568" s="16"/>
      <c r="E568" s="16">
        <v>0</v>
      </c>
      <c r="F568" s="16"/>
      <c r="G568" s="16">
        <v>0</v>
      </c>
      <c r="H568" s="16"/>
      <c r="I568" s="16">
        <v>0</v>
      </c>
      <c r="J568" s="16"/>
      <c r="K568" s="16">
        <v>0</v>
      </c>
      <c r="L568" s="16"/>
      <c r="M568" s="16">
        <v>0</v>
      </c>
      <c r="N568" s="16"/>
      <c r="O568" s="16">
        <v>0</v>
      </c>
      <c r="P568" s="16"/>
      <c r="Q568" s="16">
        <v>0</v>
      </c>
      <c r="R568" s="16"/>
      <c r="S568" s="16">
        <v>0</v>
      </c>
      <c r="T568" s="16"/>
      <c r="U568" s="16">
        <v>0</v>
      </c>
      <c r="V568" s="16"/>
      <c r="W568" s="16">
        <v>0</v>
      </c>
      <c r="X568" s="16"/>
      <c r="Y568" s="16">
        <v>0</v>
      </c>
      <c r="Z568" s="16"/>
      <c r="AA568" s="16">
        <v>0</v>
      </c>
      <c r="AB568" s="16"/>
      <c r="AC568" s="16">
        <v>0</v>
      </c>
      <c r="AD568" s="16"/>
      <c r="AE568" s="16">
        <v>0</v>
      </c>
      <c r="AF568" s="16"/>
      <c r="AG568" s="16">
        <v>0</v>
      </c>
      <c r="AH568" s="16"/>
      <c r="AI568" s="16"/>
      <c r="AJ568" s="16">
        <f t="shared" si="143"/>
        <v>0</v>
      </c>
      <c r="AL568" s="30"/>
      <c r="AM568" s="83"/>
      <c r="AN568" s="30"/>
      <c r="AO568" s="83"/>
      <c r="AP568" s="30"/>
      <c r="AQ568" s="83"/>
      <c r="AR568" s="30"/>
      <c r="AS568" s="83"/>
      <c r="AT568" s="30"/>
      <c r="AU568" s="83"/>
      <c r="AV568" s="29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x14ac:dyDescent="0.2">
      <c r="B569" s="3" t="s">
        <v>20</v>
      </c>
      <c r="C569" s="16">
        <v>0</v>
      </c>
      <c r="D569" s="16"/>
      <c r="E569" s="16">
        <v>0</v>
      </c>
      <c r="F569" s="16"/>
      <c r="G569" s="16">
        <v>0</v>
      </c>
      <c r="H569" s="16"/>
      <c r="I569" s="16">
        <v>0</v>
      </c>
      <c r="J569" s="16"/>
      <c r="K569" s="16">
        <v>0</v>
      </c>
      <c r="L569" s="16"/>
      <c r="M569" s="16">
        <v>0</v>
      </c>
      <c r="N569" s="16"/>
      <c r="O569" s="16">
        <v>0</v>
      </c>
      <c r="P569" s="16"/>
      <c r="Q569" s="16">
        <v>0</v>
      </c>
      <c r="R569" s="16"/>
      <c r="S569" s="16">
        <v>0</v>
      </c>
      <c r="T569" s="16"/>
      <c r="U569" s="16">
        <v>0</v>
      </c>
      <c r="V569" s="16"/>
      <c r="W569" s="16">
        <v>0</v>
      </c>
      <c r="X569" s="16"/>
      <c r="Y569" s="16">
        <v>0</v>
      </c>
      <c r="Z569" s="16"/>
      <c r="AA569" s="16">
        <v>0</v>
      </c>
      <c r="AB569" s="16"/>
      <c r="AC569" s="16">
        <v>0</v>
      </c>
      <c r="AD569" s="16"/>
      <c r="AE569" s="16">
        <v>0</v>
      </c>
      <c r="AF569" s="16"/>
      <c r="AG569" s="16">
        <v>0</v>
      </c>
      <c r="AH569" s="16"/>
      <c r="AI569" s="16"/>
      <c r="AJ569" s="16">
        <f t="shared" si="143"/>
        <v>0</v>
      </c>
      <c r="AL569" s="30"/>
      <c r="AM569" s="83"/>
      <c r="AN569" s="30"/>
      <c r="AO569" s="83"/>
      <c r="AP569" s="30"/>
      <c r="AQ569" s="83"/>
      <c r="AR569" s="30"/>
      <c r="AS569" s="83"/>
      <c r="AT569" s="30"/>
      <c r="AU569" s="83"/>
      <c r="AV569" s="29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x14ac:dyDescent="0.2">
      <c r="B570" s="3" t="s">
        <v>22</v>
      </c>
      <c r="C570" s="16">
        <v>0</v>
      </c>
      <c r="D570" s="16"/>
      <c r="E570" s="16">
        <v>0</v>
      </c>
      <c r="F570" s="16"/>
      <c r="G570" s="16">
        <v>0</v>
      </c>
      <c r="H570" s="16"/>
      <c r="I570" s="16">
        <v>0</v>
      </c>
      <c r="J570" s="16"/>
      <c r="K570" s="16">
        <v>0</v>
      </c>
      <c r="L570" s="16"/>
      <c r="M570" s="16">
        <v>0</v>
      </c>
      <c r="N570" s="16"/>
      <c r="O570" s="16">
        <v>0</v>
      </c>
      <c r="P570" s="16"/>
      <c r="Q570" s="16">
        <v>0</v>
      </c>
      <c r="R570" s="16"/>
      <c r="S570" s="16">
        <v>0</v>
      </c>
      <c r="T570" s="16"/>
      <c r="U570" s="16">
        <v>0</v>
      </c>
      <c r="V570" s="16"/>
      <c r="W570" s="16">
        <v>0</v>
      </c>
      <c r="X570" s="16"/>
      <c r="Y570" s="16">
        <v>0</v>
      </c>
      <c r="Z570" s="16"/>
      <c r="AA570" s="16">
        <v>0</v>
      </c>
      <c r="AB570" s="16"/>
      <c r="AC570" s="16">
        <v>0</v>
      </c>
      <c r="AD570" s="16"/>
      <c r="AE570" s="16">
        <v>0</v>
      </c>
      <c r="AF570" s="16"/>
      <c r="AG570" s="16">
        <v>0</v>
      </c>
      <c r="AH570" s="16"/>
      <c r="AI570" s="16"/>
      <c r="AJ570" s="16">
        <f t="shared" si="143"/>
        <v>0</v>
      </c>
      <c r="AL570" s="30"/>
      <c r="AM570" s="83"/>
      <c r="AN570" s="30"/>
      <c r="AO570" s="83"/>
      <c r="AP570" s="30"/>
      <c r="AQ570" s="83"/>
      <c r="AR570" s="30"/>
      <c r="AS570" s="83"/>
      <c r="AT570" s="30"/>
      <c r="AU570" s="83"/>
      <c r="AV570" s="29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x14ac:dyDescent="0.2">
      <c r="B571" s="3" t="s">
        <v>23</v>
      </c>
      <c r="C571" s="16">
        <v>0</v>
      </c>
      <c r="D571" s="16"/>
      <c r="E571" s="16">
        <v>0</v>
      </c>
      <c r="F571" s="16"/>
      <c r="G571" s="16">
        <v>0</v>
      </c>
      <c r="H571" s="16"/>
      <c r="I571" s="16">
        <v>0</v>
      </c>
      <c r="J571" s="16"/>
      <c r="K571" s="16">
        <v>0</v>
      </c>
      <c r="L571" s="16"/>
      <c r="M571" s="16">
        <v>0</v>
      </c>
      <c r="N571" s="16"/>
      <c r="O571" s="16">
        <v>0</v>
      </c>
      <c r="P571" s="16"/>
      <c r="Q571" s="16">
        <v>0</v>
      </c>
      <c r="R571" s="16"/>
      <c r="S571" s="16">
        <v>0</v>
      </c>
      <c r="T571" s="16"/>
      <c r="U571" s="16">
        <v>0</v>
      </c>
      <c r="V571" s="16"/>
      <c r="W571" s="16">
        <v>0</v>
      </c>
      <c r="X571" s="16"/>
      <c r="Y571" s="16">
        <v>0</v>
      </c>
      <c r="Z571" s="16"/>
      <c r="AA571" s="16">
        <v>0</v>
      </c>
      <c r="AB571" s="16"/>
      <c r="AC571" s="16">
        <v>0</v>
      </c>
      <c r="AD571" s="16"/>
      <c r="AE571" s="16">
        <v>0</v>
      </c>
      <c r="AF571" s="16"/>
      <c r="AG571" s="16">
        <v>0</v>
      </c>
      <c r="AH571" s="16"/>
      <c r="AI571" s="16"/>
      <c r="AJ571" s="16">
        <f t="shared" si="143"/>
        <v>0</v>
      </c>
      <c r="AL571" s="30"/>
      <c r="AM571" s="83"/>
      <c r="AN571" s="30"/>
      <c r="AO571" s="83"/>
      <c r="AP571" s="30"/>
      <c r="AQ571" s="83"/>
      <c r="AR571" s="30"/>
      <c r="AS571" s="83"/>
      <c r="AT571" s="30"/>
      <c r="AU571" s="83"/>
      <c r="AV571" s="29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x14ac:dyDescent="0.2">
      <c r="B572" s="3" t="s">
        <v>24</v>
      </c>
      <c r="C572" s="16">
        <v>0</v>
      </c>
      <c r="D572" s="16"/>
      <c r="E572" s="16">
        <v>0</v>
      </c>
      <c r="F572" s="16"/>
      <c r="G572" s="16">
        <v>0</v>
      </c>
      <c r="H572" s="16"/>
      <c r="I572" s="16"/>
      <c r="J572" s="16"/>
      <c r="K572" s="16">
        <v>0</v>
      </c>
      <c r="L572" s="16"/>
      <c r="M572" s="16">
        <v>0</v>
      </c>
      <c r="N572" s="16"/>
      <c r="O572" s="16">
        <v>0</v>
      </c>
      <c r="P572" s="16"/>
      <c r="Q572" s="16">
        <v>0</v>
      </c>
      <c r="R572" s="16"/>
      <c r="S572" s="16">
        <v>0</v>
      </c>
      <c r="T572" s="16"/>
      <c r="U572" s="16">
        <v>0</v>
      </c>
      <c r="V572" s="16"/>
      <c r="W572" s="16">
        <v>0</v>
      </c>
      <c r="X572" s="16"/>
      <c r="Y572" s="16">
        <v>0</v>
      </c>
      <c r="Z572" s="16"/>
      <c r="AA572" s="16">
        <v>0</v>
      </c>
      <c r="AB572" s="16"/>
      <c r="AC572" s="16">
        <v>0</v>
      </c>
      <c r="AD572" s="16"/>
      <c r="AE572" s="16">
        <v>0</v>
      </c>
      <c r="AF572" s="16"/>
      <c r="AG572" s="16">
        <v>0</v>
      </c>
      <c r="AH572" s="16"/>
      <c r="AI572" s="16"/>
      <c r="AJ572" s="16">
        <f t="shared" si="143"/>
        <v>0</v>
      </c>
      <c r="AL572" s="30"/>
      <c r="AM572" s="83"/>
      <c r="AN572" s="30"/>
      <c r="AO572" s="83"/>
      <c r="AP572" s="30"/>
      <c r="AQ572" s="83"/>
      <c r="AR572" s="30"/>
      <c r="AS572" s="83"/>
      <c r="AT572" s="30"/>
      <c r="AU572" s="83"/>
      <c r="AV572" s="29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x14ac:dyDescent="0.2">
      <c r="B573" s="3" t="s">
        <v>27</v>
      </c>
      <c r="C573" s="16">
        <v>0</v>
      </c>
      <c r="D573" s="16"/>
      <c r="E573" s="16">
        <v>0</v>
      </c>
      <c r="F573" s="16"/>
      <c r="G573" s="16">
        <v>0</v>
      </c>
      <c r="H573" s="16"/>
      <c r="I573" s="16">
        <v>0</v>
      </c>
      <c r="J573" s="16"/>
      <c r="K573" s="16">
        <v>0</v>
      </c>
      <c r="L573" s="16"/>
      <c r="M573" s="16">
        <v>0</v>
      </c>
      <c r="N573" s="16"/>
      <c r="O573" s="16">
        <v>0</v>
      </c>
      <c r="P573" s="16"/>
      <c r="Q573" s="16">
        <v>0</v>
      </c>
      <c r="R573" s="16"/>
      <c r="S573" s="16">
        <v>0</v>
      </c>
      <c r="T573" s="16"/>
      <c r="U573" s="16">
        <v>0</v>
      </c>
      <c r="V573" s="16"/>
      <c r="W573" s="16">
        <v>0</v>
      </c>
      <c r="X573" s="16"/>
      <c r="Y573" s="16">
        <v>0</v>
      </c>
      <c r="Z573" s="16"/>
      <c r="AA573" s="16">
        <v>0</v>
      </c>
      <c r="AB573" s="16"/>
      <c r="AC573" s="16">
        <v>0</v>
      </c>
      <c r="AD573" s="16"/>
      <c r="AE573" s="16">
        <v>0</v>
      </c>
      <c r="AF573" s="16"/>
      <c r="AG573" s="16">
        <v>0</v>
      </c>
      <c r="AH573" s="16"/>
      <c r="AI573" s="16"/>
      <c r="AJ573" s="16">
        <f t="shared" si="143"/>
        <v>0</v>
      </c>
      <c r="AL573" s="30"/>
      <c r="AM573" s="83"/>
      <c r="AN573" s="30"/>
      <c r="AO573" s="83"/>
      <c r="AP573" s="30"/>
      <c r="AQ573" s="83"/>
      <c r="AR573" s="30"/>
      <c r="AS573" s="83"/>
      <c r="AT573" s="30"/>
      <c r="AU573" s="83"/>
      <c r="AV573" s="29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x14ac:dyDescent="0.2">
      <c r="B574" s="3" t="s">
        <v>28</v>
      </c>
      <c r="C574" s="16">
        <v>0</v>
      </c>
      <c r="D574" s="16"/>
      <c r="E574" s="16">
        <v>0</v>
      </c>
      <c r="F574" s="16"/>
      <c r="G574" s="16">
        <v>0</v>
      </c>
      <c r="H574" s="16"/>
      <c r="I574" s="16">
        <v>-1252.0999999999999</v>
      </c>
      <c r="J574" s="16"/>
      <c r="K574" s="16">
        <v>0</v>
      </c>
      <c r="L574" s="16"/>
      <c r="M574" s="16">
        <v>0</v>
      </c>
      <c r="N574" s="16"/>
      <c r="O574" s="16">
        <v>0</v>
      </c>
      <c r="P574" s="16"/>
      <c r="Q574" s="16">
        <v>0</v>
      </c>
      <c r="R574" s="16"/>
      <c r="S574" s="16">
        <v>0</v>
      </c>
      <c r="T574" s="16"/>
      <c r="U574" s="16">
        <v>0</v>
      </c>
      <c r="V574" s="16"/>
      <c r="W574" s="16">
        <v>0</v>
      </c>
      <c r="X574" s="16"/>
      <c r="Y574" s="16">
        <v>0</v>
      </c>
      <c r="Z574" s="16"/>
      <c r="AA574" s="16">
        <v>0</v>
      </c>
      <c r="AB574" s="16"/>
      <c r="AC574" s="16">
        <v>0</v>
      </c>
      <c r="AD574" s="16"/>
      <c r="AE574" s="16">
        <v>0</v>
      </c>
      <c r="AF574" s="16"/>
      <c r="AG574" s="16">
        <v>0</v>
      </c>
      <c r="AH574" s="16"/>
      <c r="AI574" s="16"/>
      <c r="AJ574" s="16">
        <f t="shared" si="143"/>
        <v>-1252.0999999999999</v>
      </c>
      <c r="AL574" s="30"/>
      <c r="AM574" s="83"/>
      <c r="AN574" s="30"/>
      <c r="AO574" s="83"/>
      <c r="AP574" s="30"/>
      <c r="AQ574" s="83"/>
      <c r="AR574" s="30"/>
      <c r="AS574" s="83"/>
      <c r="AT574" s="30"/>
      <c r="AU574" s="83"/>
      <c r="AV574" s="29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x14ac:dyDescent="0.2">
      <c r="B575" s="3" t="s">
        <v>30</v>
      </c>
      <c r="C575" s="16">
        <v>0</v>
      </c>
      <c r="D575" s="16"/>
      <c r="E575" s="16">
        <v>0</v>
      </c>
      <c r="F575" s="16"/>
      <c r="G575" s="16">
        <v>0</v>
      </c>
      <c r="H575" s="16"/>
      <c r="I575" s="16">
        <v>0</v>
      </c>
      <c r="J575" s="16"/>
      <c r="K575" s="16">
        <v>0</v>
      </c>
      <c r="L575" s="16"/>
      <c r="M575" s="16">
        <v>0</v>
      </c>
      <c r="N575" s="16"/>
      <c r="O575" s="16">
        <v>0</v>
      </c>
      <c r="P575" s="16"/>
      <c r="Q575" s="16">
        <v>0</v>
      </c>
      <c r="R575" s="16"/>
      <c r="S575" s="16">
        <v>0</v>
      </c>
      <c r="T575" s="16"/>
      <c r="U575" s="16">
        <v>0</v>
      </c>
      <c r="V575" s="16"/>
      <c r="W575" s="16">
        <v>0</v>
      </c>
      <c r="X575" s="16"/>
      <c r="Y575" s="16">
        <v>0</v>
      </c>
      <c r="Z575" s="16"/>
      <c r="AA575" s="16">
        <v>0</v>
      </c>
      <c r="AB575" s="16"/>
      <c r="AC575" s="16">
        <v>0</v>
      </c>
      <c r="AD575" s="16"/>
      <c r="AE575" s="16">
        <v>0</v>
      </c>
      <c r="AF575" s="16"/>
      <c r="AG575" s="16">
        <v>0</v>
      </c>
      <c r="AH575" s="16"/>
      <c r="AI575" s="16"/>
      <c r="AJ575" s="16">
        <f t="shared" si="143"/>
        <v>0</v>
      </c>
      <c r="AL575" s="30"/>
      <c r="AM575" s="83"/>
      <c r="AN575" s="30"/>
      <c r="AO575" s="83"/>
      <c r="AP575" s="30"/>
      <c r="AQ575" s="83"/>
      <c r="AR575" s="30"/>
      <c r="AS575" s="83"/>
      <c r="AT575" s="30"/>
      <c r="AU575" s="83"/>
      <c r="AV575" s="29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x14ac:dyDescent="0.2">
      <c r="B576" s="3" t="s">
        <v>51</v>
      </c>
      <c r="C576" s="16">
        <v>0</v>
      </c>
      <c r="D576" s="16"/>
      <c r="E576" s="16">
        <v>0</v>
      </c>
      <c r="F576" s="16"/>
      <c r="G576" s="16">
        <v>0</v>
      </c>
      <c r="H576" s="16"/>
      <c r="I576" s="16">
        <v>0</v>
      </c>
      <c r="J576" s="16"/>
      <c r="K576" s="16">
        <v>0</v>
      </c>
      <c r="L576" s="16"/>
      <c r="M576" s="16">
        <v>0</v>
      </c>
      <c r="N576" s="16"/>
      <c r="O576" s="16">
        <v>0</v>
      </c>
      <c r="P576" s="16"/>
      <c r="Q576" s="16">
        <v>0</v>
      </c>
      <c r="R576" s="16"/>
      <c r="S576" s="16">
        <v>0</v>
      </c>
      <c r="T576" s="16"/>
      <c r="U576" s="16">
        <v>0</v>
      </c>
      <c r="V576" s="16"/>
      <c r="W576" s="16">
        <v>0</v>
      </c>
      <c r="X576" s="16"/>
      <c r="Y576" s="16">
        <v>0</v>
      </c>
      <c r="Z576" s="16"/>
      <c r="AA576" s="16">
        <v>0</v>
      </c>
      <c r="AB576" s="16"/>
      <c r="AC576" s="16">
        <v>0</v>
      </c>
      <c r="AD576" s="16"/>
      <c r="AE576" s="16">
        <v>0</v>
      </c>
      <c r="AF576" s="16"/>
      <c r="AG576" s="16">
        <v>0</v>
      </c>
      <c r="AH576" s="16"/>
      <c r="AI576" s="16"/>
      <c r="AJ576" s="16">
        <f t="shared" si="143"/>
        <v>0</v>
      </c>
      <c r="AL576" s="30"/>
      <c r="AM576" s="83"/>
      <c r="AN576" s="30"/>
      <c r="AO576" s="83"/>
      <c r="AP576" s="30"/>
      <c r="AQ576" s="83"/>
      <c r="AR576" s="30"/>
      <c r="AS576" s="83"/>
      <c r="AT576" s="30"/>
      <c r="AU576" s="83"/>
      <c r="AV576" s="29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x14ac:dyDescent="0.2">
      <c r="B577" s="3" t="s">
        <v>31</v>
      </c>
      <c r="C577" s="16">
        <v>0</v>
      </c>
      <c r="D577" s="16"/>
      <c r="E577" s="16">
        <v>0</v>
      </c>
      <c r="F577" s="16"/>
      <c r="G577" s="16">
        <v>0</v>
      </c>
      <c r="H577" s="16"/>
      <c r="I577" s="16">
        <v>0</v>
      </c>
      <c r="J577" s="16"/>
      <c r="K577" s="16">
        <v>0</v>
      </c>
      <c r="L577" s="16"/>
      <c r="M577" s="16">
        <v>0</v>
      </c>
      <c r="N577" s="16"/>
      <c r="O577" s="16">
        <v>0</v>
      </c>
      <c r="P577" s="16"/>
      <c r="Q577" s="16">
        <v>0</v>
      </c>
      <c r="R577" s="16"/>
      <c r="S577" s="16">
        <v>0</v>
      </c>
      <c r="T577" s="16"/>
      <c r="U577" s="16">
        <v>0</v>
      </c>
      <c r="V577" s="16"/>
      <c r="W577" s="16">
        <v>0</v>
      </c>
      <c r="X577" s="16"/>
      <c r="Y577" s="16">
        <v>0</v>
      </c>
      <c r="Z577" s="16"/>
      <c r="AA577" s="16">
        <v>0</v>
      </c>
      <c r="AB577" s="16"/>
      <c r="AC577" s="16">
        <v>0</v>
      </c>
      <c r="AD577" s="16"/>
      <c r="AE577" s="16">
        <v>0</v>
      </c>
      <c r="AF577" s="16"/>
      <c r="AG577" s="16">
        <v>0</v>
      </c>
      <c r="AH577" s="16"/>
      <c r="AI577" s="16"/>
      <c r="AJ577" s="16">
        <f t="shared" si="143"/>
        <v>0</v>
      </c>
      <c r="AL577" s="30"/>
      <c r="AM577" s="83"/>
      <c r="AN577" s="30"/>
      <c r="AO577" s="83"/>
      <c r="AP577" s="30"/>
      <c r="AQ577" s="83"/>
      <c r="AR577" s="30"/>
      <c r="AS577" s="83"/>
      <c r="AT577" s="30"/>
      <c r="AU577" s="83"/>
      <c r="AV577" s="29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x14ac:dyDescent="0.2">
      <c r="B578" s="3" t="s">
        <v>54</v>
      </c>
      <c r="C578" s="15">
        <v>0</v>
      </c>
      <c r="D578" s="16"/>
      <c r="E578" s="15">
        <v>0</v>
      </c>
      <c r="F578" s="16"/>
      <c r="G578" s="15">
        <v>0</v>
      </c>
      <c r="H578" s="16"/>
      <c r="I578" s="15">
        <v>0</v>
      </c>
      <c r="J578" s="16"/>
      <c r="K578" s="15">
        <v>0</v>
      </c>
      <c r="L578" s="16"/>
      <c r="M578" s="15">
        <v>0</v>
      </c>
      <c r="N578" s="16"/>
      <c r="O578" s="15">
        <v>0</v>
      </c>
      <c r="P578" s="16"/>
      <c r="Q578" s="15">
        <v>0</v>
      </c>
      <c r="R578" s="16"/>
      <c r="S578" s="15">
        <v>0</v>
      </c>
      <c r="T578" s="15"/>
      <c r="U578" s="15">
        <v>0</v>
      </c>
      <c r="V578" s="15"/>
      <c r="W578" s="15">
        <v>0</v>
      </c>
      <c r="X578" s="16"/>
      <c r="Y578" s="15">
        <v>0</v>
      </c>
      <c r="Z578" s="16"/>
      <c r="AA578" s="15">
        <v>0</v>
      </c>
      <c r="AB578" s="16"/>
      <c r="AC578" s="15">
        <v>0</v>
      </c>
      <c r="AD578" s="16"/>
      <c r="AE578" s="15">
        <v>0</v>
      </c>
      <c r="AF578" s="16"/>
      <c r="AG578" s="15">
        <v>0</v>
      </c>
      <c r="AH578" s="16"/>
      <c r="AI578" s="15"/>
      <c r="AJ578" s="16">
        <f t="shared" si="143"/>
        <v>0</v>
      </c>
      <c r="AL578" s="30"/>
      <c r="AM578" s="83"/>
      <c r="AN578" s="30"/>
      <c r="AO578" s="83"/>
      <c r="AP578" s="30"/>
      <c r="AQ578" s="83"/>
      <c r="AR578" s="30"/>
      <c r="AS578" s="83"/>
      <c r="AT578" s="30"/>
      <c r="AU578" s="83"/>
      <c r="AV578" s="29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x14ac:dyDescent="0.2">
      <c r="B579" s="18"/>
      <c r="C579" s="16">
        <f>SUM(C566:C578)</f>
        <v>0</v>
      </c>
      <c r="D579" s="16"/>
      <c r="E579" s="16">
        <f>SUM(E566:E578)</f>
        <v>0</v>
      </c>
      <c r="F579" s="16"/>
      <c r="G579" s="16">
        <f>SUM(G566:G578)</f>
        <v>0</v>
      </c>
      <c r="H579" s="16"/>
      <c r="I579" s="16">
        <f>SUM(I566:I578)</f>
        <v>-1252.0999999999999</v>
      </c>
      <c r="J579" s="16"/>
      <c r="K579" s="16">
        <f>SUM(K566:K578)</f>
        <v>0</v>
      </c>
      <c r="L579" s="16"/>
      <c r="M579" s="16">
        <f>SUM(M566:M578)</f>
        <v>0</v>
      </c>
      <c r="N579" s="16"/>
      <c r="O579" s="16">
        <f>SUM(O566:O578)</f>
        <v>0</v>
      </c>
      <c r="P579" s="16"/>
      <c r="Q579" s="16">
        <f>SUM(Q566:Q578)</f>
        <v>0</v>
      </c>
      <c r="R579" s="16"/>
      <c r="S579" s="16">
        <f>SUM(S566:S578)</f>
        <v>0</v>
      </c>
      <c r="T579" s="16"/>
      <c r="U579" s="16">
        <f>SUM(U566:U578)</f>
        <v>0</v>
      </c>
      <c r="V579" s="16"/>
      <c r="W579" s="16">
        <f>SUM(W566:W578)</f>
        <v>0</v>
      </c>
      <c r="X579" s="16"/>
      <c r="Y579" s="16">
        <f>SUM(Y566:Y578)</f>
        <v>0</v>
      </c>
      <c r="Z579" s="16"/>
      <c r="AA579" s="16">
        <f>SUM(AA566:AA578)</f>
        <v>0</v>
      </c>
      <c r="AB579" s="16"/>
      <c r="AC579" s="16">
        <f>SUM(AC566:AC578)</f>
        <v>0</v>
      </c>
      <c r="AD579" s="16"/>
      <c r="AE579" s="16">
        <f>SUM(AE566:AE578)</f>
        <v>0</v>
      </c>
      <c r="AF579" s="16"/>
      <c r="AG579" s="16">
        <f>SUM(AG566:AG578)</f>
        <v>0</v>
      </c>
      <c r="AH579" s="16"/>
      <c r="AI579" s="16"/>
      <c r="AJ579" s="19">
        <f>SUM(AJ566:AJ578)</f>
        <v>-1252.0999999999999</v>
      </c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29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x14ac:dyDescent="0.2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29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x14ac:dyDescent="0.2">
      <c r="A581" s="9" t="s">
        <v>91</v>
      </c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29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x14ac:dyDescent="0.2">
      <c r="B582" s="3" t="s">
        <v>13</v>
      </c>
      <c r="C582" s="14">
        <f>C566+C550+C523+C524+C578+C561++C544+C545</f>
        <v>0</v>
      </c>
      <c r="D582" s="14"/>
      <c r="E582" s="14">
        <f>E566+E550+E523+E524+E578+E561++E544+E545</f>
        <v>0</v>
      </c>
      <c r="F582" s="14"/>
      <c r="G582" s="14">
        <f>G566+G550+G523+G524+G578+G561++G544+G545</f>
        <v>0</v>
      </c>
      <c r="H582" s="14"/>
      <c r="I582" s="14">
        <f>I566+I550+I523+I524+I578+I561++I544+I545</f>
        <v>0</v>
      </c>
      <c r="J582" s="14"/>
      <c r="K582" s="14">
        <f>K566+K550+K523+K524+K578+K561++K544+K545</f>
        <v>0</v>
      </c>
      <c r="L582" s="14"/>
      <c r="M582" s="14">
        <f>M566+M550+M523+M524+M578+M561++M544+M545</f>
        <v>0</v>
      </c>
      <c r="N582" s="14"/>
      <c r="O582" s="14">
        <f>O566+O550+O523+O524+O578+O562++O544+O545</f>
        <v>0</v>
      </c>
      <c r="P582" s="14"/>
      <c r="Q582" s="14">
        <f>Q566+Q550+Q523+Q524+Q578+Q561++Q544+Q545</f>
        <v>0</v>
      </c>
      <c r="R582" s="14"/>
      <c r="S582" s="14">
        <f>S566+S550+S523+S524+S578+S561++S544+S545</f>
        <v>0</v>
      </c>
      <c r="T582" s="14"/>
      <c r="U582" s="14">
        <f>U566+U550+U523+U524+U578+U561++U544+U545</f>
        <v>0</v>
      </c>
      <c r="V582" s="14"/>
      <c r="W582" s="14">
        <f>W566+W550+W523+W524+W578+W561++W544+W545</f>
        <v>0</v>
      </c>
      <c r="X582" s="14"/>
      <c r="Y582" s="14">
        <f>Y566+Y550+Y523+Y524+Y578+Y561++Y544+Y545</f>
        <v>0</v>
      </c>
      <c r="Z582" s="14"/>
      <c r="AA582" s="14">
        <f>AA566+AA550+AA523+AA524+AA578+AA561++AA544+AA545</f>
        <v>0</v>
      </c>
      <c r="AB582" s="14"/>
      <c r="AC582" s="14">
        <f>AC566+AC550+AC523+AC524+AC578+AC561++AC544+AC545</f>
        <v>0</v>
      </c>
      <c r="AD582" s="14"/>
      <c r="AE582" s="14">
        <f>AE566+AE550+AE523+AE524+AE578+AE561++AE544+AE545</f>
        <v>0</v>
      </c>
      <c r="AF582" s="14"/>
      <c r="AG582" s="14">
        <f>AG566+AG550+AG523+AG524+AG578+AG561++AG544+AG545</f>
        <v>0</v>
      </c>
      <c r="AH582" s="14"/>
      <c r="AI582" s="14"/>
      <c r="AJ582" s="16">
        <f>SUM(C582:AI582)</f>
        <v>0</v>
      </c>
      <c r="AL582" s="30"/>
      <c r="AM582" s="83"/>
      <c r="AN582" s="30"/>
      <c r="AO582" s="83"/>
      <c r="AP582" s="30"/>
      <c r="AQ582" s="83"/>
      <c r="AR582" s="30"/>
      <c r="AS582" s="83"/>
      <c r="AT582" s="30"/>
      <c r="AU582" s="83"/>
      <c r="AV582" s="29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x14ac:dyDescent="0.2">
      <c r="B583" s="3" t="s">
        <v>17</v>
      </c>
      <c r="C583" s="16">
        <f>C567+C568+C569+C570+C571+C572+C551+C552+C553+C554+C555+C524+C525+C526+C527+C528+C529+C530+C531+C532+C533+C534+C556+C535</f>
        <v>0</v>
      </c>
      <c r="D583" s="16"/>
      <c r="E583" s="16">
        <f>E567+E568+E569+E570+E571+E572+E551+E552+E553+E554+E555+E524+E525+E526+E527+E528+E529+E530+E531+E532+E533+E534+E556+E535</f>
        <v>0</v>
      </c>
      <c r="F583" s="16"/>
      <c r="G583" s="16">
        <f>G567+G568+G569+G570+G571+G572+G551+G552+G553+G554+G555+G524+G525+G526+G527+G528+G529+G530+G531+G532+G533+G534+G556+G535</f>
        <v>0</v>
      </c>
      <c r="H583" s="16"/>
      <c r="I583" s="16">
        <f>I567+I568+I569+I570+I571+I572+I551+I552+I553+I554+I555+I524+I525+I526+I527+I528+I529+I530+I531+I532+I533+I534+I556+I535</f>
        <v>-9718.2900000000009</v>
      </c>
      <c r="J583" s="16"/>
      <c r="K583" s="16">
        <f>K567+K568+K569+K570+K571+K572+K551+K552+K553+K554+K555+K524+K525+K526+K527+K528+K529+K530+K531+K532+K533+K534+K556+K535</f>
        <v>-6845.56</v>
      </c>
      <c r="L583" s="16"/>
      <c r="M583" s="16">
        <f>M567+M568+M569+M570+M571+M572+M551+M552+M553+M554+M555+M524+M525+M526+M527+M528+M529+M530+M531+M532+M533+M534+M556+M535</f>
        <v>0</v>
      </c>
      <c r="N583" s="16"/>
      <c r="O583" s="16">
        <f>O567+O568+O569+O570+O571+O572+O551+O552+O553+O554+O555+O524+O525+O526+O527+O528+O529+O530+O531+O532+O533+O534+O556+O535</f>
        <v>0</v>
      </c>
      <c r="P583" s="16"/>
      <c r="Q583" s="16">
        <f>Q567+Q568+Q569+Q570+Q571+Q572+Q551+Q552+Q553+Q554+Q555+Q524+Q525+Q526+Q527+Q528+Q529+Q530+Q531+Q532+Q533+Q534+Q556+Q535</f>
        <v>0</v>
      </c>
      <c r="R583" s="16"/>
      <c r="S583" s="16">
        <f>S567+S568+S569+S570+S571+S572+S551+S552+S553+S554+S555+S524+S525+S526+S527+S528+S529+S530+S531+S532+S533+S534+S556+S535</f>
        <v>0</v>
      </c>
      <c r="T583" s="16"/>
      <c r="U583" s="16">
        <f>U567+U568+U569+U570+U571+U572+U551+U552+U553+U554+U555+U524+U525+U526+U527+U528+U529+U530+U531+U532+U533+U534+U556+U535</f>
        <v>0</v>
      </c>
      <c r="V583" s="16"/>
      <c r="W583" s="16">
        <f>W567+W568+W569+W570+W571+W572+W551+W552+W553+W554+W555+W524+W525+W526+W527+W528+W529+W530+W531+W532+W533+W534+W556+W535</f>
        <v>2.9132252166164108E-13</v>
      </c>
      <c r="X583" s="16"/>
      <c r="Y583" s="16">
        <f>Y567+Y568+Y569+Y570+Y571+Y572+Y551+Y552+Y553+Y554+Y555+Y524+Y525+Y526+Y527+Y528+Y529+Y530+Y531+Y532+Y533+Y534+Y556+Y535</f>
        <v>0</v>
      </c>
      <c r="Z583" s="16"/>
      <c r="AA583" s="16">
        <f>AA567+AA568+AA569+AA570+AA571+AA572+AA551+AA552+AA553+AA554+AA555+AA524+AA525+AA526+AA527+AA528+AA529+AA530+AA531+AA532+AA533+AA534+AA556+AA535</f>
        <v>0</v>
      </c>
      <c r="AB583" s="16"/>
      <c r="AC583" s="16">
        <f>AC567+AC568+AC569+AC570+AC571+AC572+AC551+AC552+AC553+AC554+AC555+AC524+AC525+AC526+AC527+AC528+AC529+AC530+AC531+AC532+AC533+AC534+AC556+AC535</f>
        <v>0</v>
      </c>
      <c r="AD583" s="16"/>
      <c r="AE583" s="16">
        <f>AE567+AE568+AE569+AE570+AE571+AE572+AE551+AE552+AE553+AE554+AE555+AE524+AE525+AE526+AE527+AE528+AE529+AE530+AE531+AE532+AE533+AE534+AE556+AE535</f>
        <v>0</v>
      </c>
      <c r="AF583" s="16"/>
      <c r="AG583" s="16">
        <f>AG567+AG568+AG569+AG570+AG571+AG572+AG551+AG552+AG553+AG554+AG555+AG524+AG525+AG526+AG527+AG528+AG529+AG530+AG531+AG532+AG533+AG534+AG556+AG535</f>
        <v>0</v>
      </c>
      <c r="AH583" s="16"/>
      <c r="AI583" s="16"/>
      <c r="AJ583" s="16">
        <f>SUM(C583:AI583)</f>
        <v>-16563.850000000002</v>
      </c>
      <c r="AL583" s="30"/>
      <c r="AM583" s="83"/>
      <c r="AN583" s="30"/>
      <c r="AO583" s="83"/>
      <c r="AP583" s="30"/>
      <c r="AQ583" s="83"/>
      <c r="AR583" s="30"/>
      <c r="AS583" s="83"/>
      <c r="AT583" s="30"/>
      <c r="AU583" s="83"/>
      <c r="AV583" s="29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x14ac:dyDescent="0.2">
      <c r="B584" s="3" t="s">
        <v>26</v>
      </c>
      <c r="C584" s="15">
        <f>C573+C574+C575+C576+C577+C557+C558+C559+C560+C536+C537+C538+C539+C540+C541+C561+C542+C543</f>
        <v>0</v>
      </c>
      <c r="D584" s="16"/>
      <c r="E584" s="15">
        <f>E573+E574+E575+E576+E577+E557+E558+E559+E560+E536+E537+E538+E539+E540+E541+E561+E542+E543</f>
        <v>0</v>
      </c>
      <c r="F584" s="16"/>
      <c r="G584" s="15">
        <f>G573+G574+G575+G576+G577+G557+G558+G559+G560+G536+G537+G538+G539+G540+G541+G561+G542+G543</f>
        <v>0</v>
      </c>
      <c r="H584" s="16"/>
      <c r="I584" s="15">
        <f>I573+I574+I575+I576+I577+I557+I558+I559+I560+I536+I537+I538+I539+I540+I541+I561+I542+I543</f>
        <v>-8839.0400000000009</v>
      </c>
      <c r="J584" s="16"/>
      <c r="K584" s="15">
        <f>K573+K574+K575+K576+K577+K557+K558+K559+K560+K536+K537+K538+K539+K540+K541+K561+K542+K543</f>
        <v>0</v>
      </c>
      <c r="L584" s="16"/>
      <c r="M584" s="15">
        <f>M573+M574+M575+M576+M577+M557+M558+M559+M560+M536+M537+M538+M539+M540+M541+M561+M542+M543</f>
        <v>0</v>
      </c>
      <c r="N584" s="16"/>
      <c r="O584" s="15">
        <f>O573+O574+O575+O576+O577+O557+O558+O559+O560+O536+O537+O538+O539+O540+O541+O561+O542+O543</f>
        <v>0</v>
      </c>
      <c r="P584" s="16"/>
      <c r="Q584" s="15">
        <f>Q573+Q574+Q575+Q576+Q577+Q557+Q558+Q559+Q560+Q536+Q537+Q538+Q539+Q540+Q541+Q561+Q542+Q543</f>
        <v>0</v>
      </c>
      <c r="R584" s="16"/>
      <c r="S584" s="15">
        <f>S573+S574+S575+S576+S577+S557+S558+S559+S560+S536+S537+S538+S539+S540+S541+S561+S542+S543</f>
        <v>0</v>
      </c>
      <c r="T584" s="15"/>
      <c r="U584" s="15">
        <f>U573+U574+U575+U576+U577+U557+U558+U559+U560+U536+U537+U538+U539+U540+U541+U561+U542+U543</f>
        <v>0</v>
      </c>
      <c r="V584" s="15"/>
      <c r="W584" s="15">
        <f>W573+W574+W575+W576+W577+W557+W558+W559+W560+W536+W537+W538+W539+W540+W541+W561+W542+W543</f>
        <v>0</v>
      </c>
      <c r="X584" s="16"/>
      <c r="Y584" s="15">
        <f>Y573+Y574+Y575+Y576+Y577+Y557+Y558+Y559+Y560+Y536+Y537+Y538+Y539+Y540+Y541+Y561+Y542+Y543</f>
        <v>0</v>
      </c>
      <c r="Z584" s="16"/>
      <c r="AA584" s="15">
        <f>AA573+AA574+AA575+AA576+AA577+AA557+AA558+AA559+AA560+AA536+AA537+AA538+AA539+AA540+AA541+AA561+AA542+AA543</f>
        <v>0</v>
      </c>
      <c r="AB584" s="16"/>
      <c r="AC584" s="15">
        <f>AC573+AC574+AC575+AC576+AC577+AC557+AC558+AC559+AC560+AC536+AC537+AC538+AC539+AC540+AC541+AC561+AC542+AC543</f>
        <v>-5110.33</v>
      </c>
      <c r="AD584" s="16"/>
      <c r="AE584" s="15">
        <f>AE573+AE574+AE575+AE576+AE577+AE557+AE558+AE559+AE560+AE536+AE537+AE538+AE539+AE540+AE541+AE561+AE542+AE543</f>
        <v>0</v>
      </c>
      <c r="AF584" s="16"/>
      <c r="AG584" s="15">
        <f>AG573+AG574+AG575+AG576+AG577+AG557+AG558+AG559+AG560+AG536+AG537+AG538+AG539+AG540+AG541+AG561+AG542+AG543</f>
        <v>0</v>
      </c>
      <c r="AH584" s="16"/>
      <c r="AI584" s="15"/>
      <c r="AJ584" s="16">
        <f>SUM(C584:AI584)</f>
        <v>-13949.37</v>
      </c>
      <c r="AL584" s="30"/>
      <c r="AM584" s="83"/>
      <c r="AN584" s="30"/>
      <c r="AO584" s="83"/>
      <c r="AP584" s="30"/>
      <c r="AQ584" s="83"/>
      <c r="AR584" s="30"/>
      <c r="AS584" s="83"/>
      <c r="AT584" s="30"/>
      <c r="AU584" s="83"/>
      <c r="AV584" s="29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x14ac:dyDescent="0.2">
      <c r="B585" s="18"/>
      <c r="C585" s="16">
        <f>SUM(C582:C584)</f>
        <v>0</v>
      </c>
      <c r="D585" s="16"/>
      <c r="E585" s="16">
        <f>SUM(E582:E584)</f>
        <v>0</v>
      </c>
      <c r="F585" s="16"/>
      <c r="G585" s="16">
        <f>SUM(G582:G584)</f>
        <v>0</v>
      </c>
      <c r="H585" s="16"/>
      <c r="I585" s="16">
        <f>SUM(I582:I584)</f>
        <v>-18557.330000000002</v>
      </c>
      <c r="J585" s="16"/>
      <c r="K585" s="16">
        <f>SUM(K582:K584)</f>
        <v>-6845.56</v>
      </c>
      <c r="L585" s="16"/>
      <c r="M585" s="16">
        <f>SUM(M582:M584)</f>
        <v>0</v>
      </c>
      <c r="N585" s="16"/>
      <c r="O585" s="16">
        <f>SUM(O582:O584)</f>
        <v>0</v>
      </c>
      <c r="P585" s="16"/>
      <c r="Q585" s="16">
        <f>SUM(Q582:Q584)</f>
        <v>0</v>
      </c>
      <c r="R585" s="16"/>
      <c r="S585" s="16">
        <f>SUM(S582:S584)</f>
        <v>0</v>
      </c>
      <c r="T585" s="16"/>
      <c r="U585" s="16">
        <f>SUM(U582:U584)</f>
        <v>0</v>
      </c>
      <c r="V585" s="16"/>
      <c r="W585" s="16">
        <f>SUM(W582:W584)</f>
        <v>2.9132252166164108E-13</v>
      </c>
      <c r="X585" s="16"/>
      <c r="Y585" s="16">
        <f>SUM(Y582:Y584)</f>
        <v>0</v>
      </c>
      <c r="Z585" s="16"/>
      <c r="AA585" s="16">
        <f>SUM(AA582:AA584)</f>
        <v>0</v>
      </c>
      <c r="AB585" s="16"/>
      <c r="AC585" s="16">
        <f>SUM(AC582:AC584)</f>
        <v>-5110.33</v>
      </c>
      <c r="AD585" s="16"/>
      <c r="AE585" s="16">
        <f>SUM(AE582:AE584)</f>
        <v>0</v>
      </c>
      <c r="AF585" s="16"/>
      <c r="AG585" s="16">
        <f>SUM(AG582:AG584)</f>
        <v>0</v>
      </c>
      <c r="AH585" s="16"/>
      <c r="AI585" s="16"/>
      <c r="AJ585" s="19">
        <f>SUM(AJ582:AJ584)</f>
        <v>-30513.22</v>
      </c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29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x14ac:dyDescent="0.2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29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x14ac:dyDescent="0.2">
      <c r="A587" s="9" t="s">
        <v>93</v>
      </c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29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x14ac:dyDescent="0.2">
      <c r="B588" s="3" t="s">
        <v>13</v>
      </c>
      <c r="C588" s="14">
        <v>0</v>
      </c>
      <c r="D588" s="14"/>
      <c r="E588" s="14">
        <v>0</v>
      </c>
      <c r="F588" s="14"/>
      <c r="G588" s="14">
        <v>0</v>
      </c>
      <c r="H588" s="14"/>
      <c r="I588" s="14">
        <v>2200</v>
      </c>
      <c r="J588" s="14"/>
      <c r="K588" s="14">
        <v>0</v>
      </c>
      <c r="L588" s="14"/>
      <c r="M588" s="14">
        <v>0</v>
      </c>
      <c r="N588" s="14"/>
      <c r="O588" s="14">
        <v>0</v>
      </c>
      <c r="P588" s="14"/>
      <c r="Q588" s="14">
        <v>0</v>
      </c>
      <c r="R588" s="14"/>
      <c r="S588" s="14">
        <v>0</v>
      </c>
      <c r="T588" s="14"/>
      <c r="U588" s="14">
        <v>0</v>
      </c>
      <c r="V588" s="14"/>
      <c r="W588" s="14">
        <v>0</v>
      </c>
      <c r="X588" s="14"/>
      <c r="Y588" s="14">
        <v>0</v>
      </c>
      <c r="Z588" s="14"/>
      <c r="AA588" s="14">
        <v>0</v>
      </c>
      <c r="AB588" s="14"/>
      <c r="AC588" s="14">
        <v>0</v>
      </c>
      <c r="AD588" s="14"/>
      <c r="AE588" s="14">
        <v>0</v>
      </c>
      <c r="AF588" s="14"/>
      <c r="AG588" s="14">
        <v>0</v>
      </c>
      <c r="AH588" s="14"/>
      <c r="AI588" s="14"/>
      <c r="AJ588" s="16">
        <f>SUM(C588:AI588)</f>
        <v>2200</v>
      </c>
      <c r="AK588" s="52"/>
      <c r="AL588" s="30"/>
      <c r="AM588" s="83"/>
      <c r="AN588" s="30"/>
      <c r="AO588" s="83"/>
      <c r="AP588" s="30"/>
      <c r="AQ588" s="83"/>
      <c r="AR588" s="30"/>
      <c r="AS588" s="83"/>
      <c r="AT588" s="30"/>
      <c r="AU588" s="83"/>
      <c r="AV588" s="29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x14ac:dyDescent="0.2">
      <c r="B589" s="3" t="s">
        <v>17</v>
      </c>
      <c r="C589" s="14">
        <v>0</v>
      </c>
      <c r="D589" s="14"/>
      <c r="E589" s="14">
        <v>0</v>
      </c>
      <c r="F589" s="14"/>
      <c r="G589" s="14">
        <v>0</v>
      </c>
      <c r="H589" s="14"/>
      <c r="I589" s="14">
        <v>34871.78</v>
      </c>
      <c r="J589" s="121"/>
      <c r="K589" s="14">
        <v>0</v>
      </c>
      <c r="L589" s="121"/>
      <c r="M589" s="14">
        <v>0</v>
      </c>
      <c r="N589" s="14"/>
      <c r="O589" s="14">
        <v>0</v>
      </c>
      <c r="P589" s="14"/>
      <c r="Q589" s="14">
        <v>0</v>
      </c>
      <c r="R589" s="14"/>
      <c r="S589" s="14">
        <v>0</v>
      </c>
      <c r="T589" s="14"/>
      <c r="U589" s="14">
        <v>0</v>
      </c>
      <c r="V589" s="14"/>
      <c r="W589" s="14">
        <v>0</v>
      </c>
      <c r="X589" s="14"/>
      <c r="Y589" s="14">
        <v>0</v>
      </c>
      <c r="Z589" s="14"/>
      <c r="AA589" s="14">
        <v>0</v>
      </c>
      <c r="AB589" s="14"/>
      <c r="AC589" s="14">
        <v>0</v>
      </c>
      <c r="AD589" s="14"/>
      <c r="AE589" s="14">
        <v>0</v>
      </c>
      <c r="AF589" s="14"/>
      <c r="AG589" s="14">
        <v>0</v>
      </c>
      <c r="AH589" s="14"/>
      <c r="AI589" s="14"/>
      <c r="AJ589" s="16">
        <f>SUM(C589:AI589)</f>
        <v>34871.78</v>
      </c>
      <c r="AK589" s="52"/>
      <c r="AL589" s="30"/>
      <c r="AM589" s="83"/>
      <c r="AN589" s="30"/>
      <c r="AO589" s="83"/>
      <c r="AP589" s="30"/>
      <c r="AQ589" s="83"/>
      <c r="AR589" s="30"/>
      <c r="AS589" s="83"/>
      <c r="AT589" s="30"/>
      <c r="AU589" s="83"/>
      <c r="AV589" s="29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x14ac:dyDescent="0.2">
      <c r="B590" s="3" t="s">
        <v>26</v>
      </c>
      <c r="C590" s="14">
        <v>0</v>
      </c>
      <c r="D590" s="14"/>
      <c r="E590" s="14">
        <v>0</v>
      </c>
      <c r="F590" s="14"/>
      <c r="G590" s="14">
        <v>0</v>
      </c>
      <c r="H590" s="14"/>
      <c r="I590" s="15">
        <v>15255.44</v>
      </c>
      <c r="J590" s="121"/>
      <c r="K590" s="14">
        <v>0</v>
      </c>
      <c r="L590" s="14"/>
      <c r="M590" s="14">
        <v>0</v>
      </c>
      <c r="N590" s="14"/>
      <c r="O590" s="14">
        <v>0</v>
      </c>
      <c r="P590" s="14"/>
      <c r="Q590" s="14">
        <v>0</v>
      </c>
      <c r="R590" s="14"/>
      <c r="S590" s="14">
        <v>0</v>
      </c>
      <c r="T590" s="14"/>
      <c r="U590" s="14">
        <v>0</v>
      </c>
      <c r="V590" s="14"/>
      <c r="W590" s="14">
        <v>0</v>
      </c>
      <c r="X590" s="14"/>
      <c r="Y590" s="14">
        <v>0</v>
      </c>
      <c r="Z590" s="14"/>
      <c r="AA590" s="14">
        <v>0</v>
      </c>
      <c r="AB590" s="14"/>
      <c r="AC590" s="14">
        <v>0</v>
      </c>
      <c r="AD590" s="14"/>
      <c r="AE590" s="14">
        <v>0</v>
      </c>
      <c r="AF590" s="14"/>
      <c r="AG590" s="14">
        <v>0</v>
      </c>
      <c r="AH590" s="14"/>
      <c r="AI590" s="14"/>
      <c r="AJ590" s="16">
        <f>SUM(C590:AI590)</f>
        <v>15255.44</v>
      </c>
      <c r="AK590" s="52"/>
      <c r="AL590" s="30"/>
      <c r="AM590" s="83"/>
      <c r="AN590" s="30"/>
      <c r="AO590" s="83"/>
      <c r="AP590" s="30"/>
      <c r="AQ590" s="83"/>
      <c r="AR590" s="30"/>
      <c r="AS590" s="83"/>
      <c r="AT590" s="30"/>
      <c r="AU590" s="83"/>
      <c r="AV590" s="29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x14ac:dyDescent="0.2">
      <c r="B591" s="18"/>
      <c r="C591" s="20">
        <f>SUM(C588:C590)</f>
        <v>0</v>
      </c>
      <c r="D591" s="16"/>
      <c r="E591" s="20">
        <f>SUM(E588:E590)</f>
        <v>0</v>
      </c>
      <c r="F591" s="14"/>
      <c r="G591" s="20">
        <f>SUM(G588:G590)</f>
        <v>0</v>
      </c>
      <c r="H591" s="16"/>
      <c r="I591" s="20">
        <f>SUM(I588:I590)</f>
        <v>52327.22</v>
      </c>
      <c r="J591" s="14"/>
      <c r="K591" s="20">
        <f>SUM(K588:K590)</f>
        <v>0</v>
      </c>
      <c r="L591" s="14"/>
      <c r="M591" s="20">
        <f>SUM(M588:M590)</f>
        <v>0</v>
      </c>
      <c r="N591" s="14"/>
      <c r="O591" s="20">
        <f>SUM(O588:O590)</f>
        <v>0</v>
      </c>
      <c r="P591" s="14"/>
      <c r="Q591" s="20">
        <f>SUM(Q588:Q590)</f>
        <v>0</v>
      </c>
      <c r="R591" s="14"/>
      <c r="S591" s="20">
        <f>SUM(S588:S590)</f>
        <v>0</v>
      </c>
      <c r="T591" s="20"/>
      <c r="U591" s="20">
        <f>SUM(U588:U590)</f>
        <v>0</v>
      </c>
      <c r="V591" s="20"/>
      <c r="W591" s="20">
        <f>SUM(W588:W590)</f>
        <v>0</v>
      </c>
      <c r="X591" s="14"/>
      <c r="Y591" s="20">
        <f>SUM(Y588:Y590)</f>
        <v>0</v>
      </c>
      <c r="Z591" s="14"/>
      <c r="AA591" s="20">
        <f>SUM(AA588:AA590)</f>
        <v>0</v>
      </c>
      <c r="AB591" s="14"/>
      <c r="AC591" s="20">
        <f>SUM(AC588:AC590)</f>
        <v>0</v>
      </c>
      <c r="AD591" s="14"/>
      <c r="AE591" s="20">
        <f>SUM(AE588:AE590)</f>
        <v>0</v>
      </c>
      <c r="AF591" s="14"/>
      <c r="AG591" s="20">
        <f>SUM(AG588:AG590)</f>
        <v>0</v>
      </c>
      <c r="AH591" s="14"/>
      <c r="AI591" s="20"/>
      <c r="AJ591" s="20">
        <f>SUM(AJ588:AJ590)</f>
        <v>52327.22</v>
      </c>
      <c r="AK591" s="52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29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x14ac:dyDescent="0.2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52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29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x14ac:dyDescent="0.2">
      <c r="B593" s="18" t="s">
        <v>94</v>
      </c>
      <c r="C593" s="15">
        <f>C585+C591</f>
        <v>0</v>
      </c>
      <c r="D593" s="16"/>
      <c r="E593" s="15">
        <f>E585+E591</f>
        <v>0</v>
      </c>
      <c r="F593" s="14"/>
      <c r="G593" s="15">
        <f>G585+G591</f>
        <v>0</v>
      </c>
      <c r="H593" s="16"/>
      <c r="I593" s="15">
        <f>I585+I591</f>
        <v>33769.89</v>
      </c>
      <c r="J593" s="14"/>
      <c r="K593" s="15">
        <f>K585+K591</f>
        <v>-6845.56</v>
      </c>
      <c r="L593" s="14"/>
      <c r="M593" s="15">
        <f>M585+M591</f>
        <v>0</v>
      </c>
      <c r="N593" s="14"/>
      <c r="O593" s="15">
        <f>O585+O591</f>
        <v>0</v>
      </c>
      <c r="P593" s="14"/>
      <c r="Q593" s="15">
        <f>Q585+Q591</f>
        <v>0</v>
      </c>
      <c r="R593" s="14"/>
      <c r="S593" s="15">
        <f>S585+S591</f>
        <v>0</v>
      </c>
      <c r="T593" s="15"/>
      <c r="U593" s="15">
        <f>U585+U591</f>
        <v>0</v>
      </c>
      <c r="V593" s="15"/>
      <c r="W593" s="15">
        <f>W585+W591</f>
        <v>2.9132252166164108E-13</v>
      </c>
      <c r="X593" s="14"/>
      <c r="Y593" s="15">
        <f>Y585+Y591</f>
        <v>0</v>
      </c>
      <c r="Z593" s="14"/>
      <c r="AA593" s="15">
        <f>AA585+AA591</f>
        <v>0</v>
      </c>
      <c r="AB593" s="14"/>
      <c r="AC593" s="15">
        <f>AC585+AC591</f>
        <v>-5110.33</v>
      </c>
      <c r="AD593" s="14"/>
      <c r="AE593" s="15">
        <f>AE585+AE591</f>
        <v>0</v>
      </c>
      <c r="AF593" s="14"/>
      <c r="AG593" s="15">
        <f>AG585+AG591</f>
        <v>0</v>
      </c>
      <c r="AH593" s="14"/>
      <c r="AI593" s="15"/>
      <c r="AJ593" s="15">
        <f>AJ585+AJ591</f>
        <v>21814</v>
      </c>
      <c r="AK593" s="52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29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x14ac:dyDescent="0.2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52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29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x14ac:dyDescent="0.2">
      <c r="A595" s="9" t="s">
        <v>95</v>
      </c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52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29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x14ac:dyDescent="0.2">
      <c r="B596" s="3" t="s">
        <v>13</v>
      </c>
      <c r="C596" s="14">
        <v>0</v>
      </c>
      <c r="D596" s="14"/>
      <c r="E596" s="14">
        <v>0</v>
      </c>
      <c r="F596" s="14"/>
      <c r="G596" s="14">
        <v>0</v>
      </c>
      <c r="H596" s="14"/>
      <c r="I596" s="14">
        <v>0</v>
      </c>
      <c r="J596" s="14"/>
      <c r="K596" s="14">
        <v>0</v>
      </c>
      <c r="L596" s="14"/>
      <c r="M596" s="14">
        <v>0</v>
      </c>
      <c r="N596" s="14"/>
      <c r="O596" s="14">
        <v>0</v>
      </c>
      <c r="P596" s="14"/>
      <c r="Q596" s="14">
        <v>0</v>
      </c>
      <c r="R596" s="14"/>
      <c r="S596" s="14">
        <v>0</v>
      </c>
      <c r="T596" s="14"/>
      <c r="U596" s="14">
        <v>0</v>
      </c>
      <c r="V596" s="14"/>
      <c r="W596" s="14">
        <v>0</v>
      </c>
      <c r="X596" s="14"/>
      <c r="Y596" s="14">
        <v>0</v>
      </c>
      <c r="Z596" s="14"/>
      <c r="AA596" s="14">
        <v>0</v>
      </c>
      <c r="AB596" s="14"/>
      <c r="AC596" s="14">
        <v>0</v>
      </c>
      <c r="AD596" s="14"/>
      <c r="AE596" s="14"/>
      <c r="AF596" s="14"/>
      <c r="AG596" s="14"/>
      <c r="AH596" s="14"/>
      <c r="AI596" s="14"/>
      <c r="AJ596" s="16">
        <f>SUM(C596:AI596)</f>
        <v>0</v>
      </c>
      <c r="AK596" s="52"/>
      <c r="AL596" s="30"/>
      <c r="AM596" s="83"/>
      <c r="AN596" s="30"/>
      <c r="AO596" s="83"/>
      <c r="AP596" s="30"/>
      <c r="AQ596" s="83"/>
      <c r="AR596" s="30"/>
      <c r="AS596" s="83"/>
      <c r="AT596" s="30"/>
      <c r="AU596" s="83"/>
      <c r="AV596" s="29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x14ac:dyDescent="0.2">
      <c r="B597" s="3" t="s">
        <v>17</v>
      </c>
      <c r="C597" s="14">
        <v>0</v>
      </c>
      <c r="D597" s="14"/>
      <c r="E597" s="14">
        <v>0</v>
      </c>
      <c r="F597" s="14"/>
      <c r="G597" s="14">
        <v>0</v>
      </c>
      <c r="H597" s="14"/>
      <c r="I597" s="14">
        <v>0</v>
      </c>
      <c r="J597" s="14"/>
      <c r="K597" s="14">
        <v>0</v>
      </c>
      <c r="L597" s="14"/>
      <c r="M597" s="14">
        <v>0</v>
      </c>
      <c r="N597" s="14"/>
      <c r="O597" s="14">
        <v>0</v>
      </c>
      <c r="P597" s="14"/>
      <c r="Q597" s="14">
        <v>0</v>
      </c>
      <c r="R597" s="14"/>
      <c r="S597" s="14">
        <v>0</v>
      </c>
      <c r="T597" s="14"/>
      <c r="U597" s="14">
        <v>0</v>
      </c>
      <c r="V597" s="14"/>
      <c r="W597" s="14">
        <v>0</v>
      </c>
      <c r="X597" s="14"/>
      <c r="Y597" s="14">
        <v>0</v>
      </c>
      <c r="Z597" s="14"/>
      <c r="AA597" s="14">
        <v>0</v>
      </c>
      <c r="AB597" s="14"/>
      <c r="AC597" s="14">
        <v>0</v>
      </c>
      <c r="AD597" s="14"/>
      <c r="AE597" s="14"/>
      <c r="AF597" s="14"/>
      <c r="AG597" s="14"/>
      <c r="AH597" s="14"/>
      <c r="AI597" s="14"/>
      <c r="AJ597" s="16">
        <f>SUM(C597:AI597)</f>
        <v>0</v>
      </c>
      <c r="AK597" s="52"/>
      <c r="AL597" s="30"/>
      <c r="AM597" s="83"/>
      <c r="AN597" s="30"/>
      <c r="AO597" s="83"/>
      <c r="AP597" s="30"/>
      <c r="AQ597" s="83"/>
      <c r="AR597" s="30"/>
      <c r="AS597" s="83"/>
      <c r="AT597" s="30"/>
      <c r="AU597" s="83"/>
      <c r="AV597" s="29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x14ac:dyDescent="0.2">
      <c r="B598" s="3" t="s">
        <v>26</v>
      </c>
      <c r="C598" s="15">
        <v>0</v>
      </c>
      <c r="D598" s="16"/>
      <c r="E598" s="15">
        <v>0</v>
      </c>
      <c r="F598" s="14"/>
      <c r="G598" s="15">
        <v>0</v>
      </c>
      <c r="H598" s="16"/>
      <c r="I598" s="15">
        <v>0</v>
      </c>
      <c r="J598" s="14"/>
      <c r="K598" s="15">
        <v>0</v>
      </c>
      <c r="L598" s="14"/>
      <c r="M598" s="15">
        <v>0</v>
      </c>
      <c r="N598" s="14"/>
      <c r="O598" s="15">
        <v>0</v>
      </c>
      <c r="P598" s="14"/>
      <c r="Q598" s="15">
        <v>0</v>
      </c>
      <c r="R598" s="14"/>
      <c r="S598" s="15">
        <v>0</v>
      </c>
      <c r="T598" s="15"/>
      <c r="U598" s="15">
        <v>0</v>
      </c>
      <c r="V598" s="15"/>
      <c r="W598" s="15">
        <v>0</v>
      </c>
      <c r="X598" s="14"/>
      <c r="Y598" s="15">
        <v>0</v>
      </c>
      <c r="Z598" s="14"/>
      <c r="AA598" s="15">
        <v>0</v>
      </c>
      <c r="AB598" s="14"/>
      <c r="AC598" s="15">
        <v>0</v>
      </c>
      <c r="AD598" s="14"/>
      <c r="AE598" s="15"/>
      <c r="AF598" s="14"/>
      <c r="AG598" s="15"/>
      <c r="AH598" s="14"/>
      <c r="AI598" s="15"/>
      <c r="AJ598" s="16">
        <f>SUM(C598:AI598)</f>
        <v>0</v>
      </c>
      <c r="AK598" s="52"/>
      <c r="AL598" s="30"/>
      <c r="AM598" s="83"/>
      <c r="AN598" s="30"/>
      <c r="AO598" s="83"/>
      <c r="AP598" s="30"/>
      <c r="AQ598" s="83"/>
      <c r="AR598" s="30"/>
      <c r="AS598" s="83"/>
      <c r="AT598" s="30"/>
      <c r="AU598" s="83"/>
      <c r="AV598" s="29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x14ac:dyDescent="0.2">
      <c r="B599" s="18" t="s">
        <v>99</v>
      </c>
      <c r="C599" s="16">
        <f>SUM(C596:C598)</f>
        <v>0</v>
      </c>
      <c r="D599" s="16"/>
      <c r="E599" s="16">
        <f>SUM(E596:E598)</f>
        <v>0</v>
      </c>
      <c r="F599" s="16"/>
      <c r="G599" s="16">
        <f>SUM(G596:G598)</f>
        <v>0</v>
      </c>
      <c r="H599" s="16"/>
      <c r="I599" s="16">
        <f>SUM(I596:I598)</f>
        <v>0</v>
      </c>
      <c r="J599" s="16"/>
      <c r="K599" s="16">
        <f>SUM(K596:K598)</f>
        <v>0</v>
      </c>
      <c r="L599" s="16"/>
      <c r="M599" s="16">
        <f>SUM(M596:M598)</f>
        <v>0</v>
      </c>
      <c r="N599" s="16"/>
      <c r="O599" s="16">
        <f>SUM(O596:O598)</f>
        <v>0</v>
      </c>
      <c r="P599" s="16"/>
      <c r="Q599" s="16">
        <f>SUM(Q596:Q598)</f>
        <v>0</v>
      </c>
      <c r="R599" s="16"/>
      <c r="S599" s="16">
        <f>SUM(S596:S598)</f>
        <v>0</v>
      </c>
      <c r="T599" s="16"/>
      <c r="U599" s="16">
        <f>SUM(U596:U598)</f>
        <v>0</v>
      </c>
      <c r="V599" s="16"/>
      <c r="W599" s="16">
        <f>SUM(W596:W598)</f>
        <v>0</v>
      </c>
      <c r="X599" s="16"/>
      <c r="Y599" s="16">
        <f>SUM(Y596:Y598)</f>
        <v>0</v>
      </c>
      <c r="Z599" s="16"/>
      <c r="AA599" s="16">
        <f>SUM(AA596:AA598)</f>
        <v>0</v>
      </c>
      <c r="AB599" s="16"/>
      <c r="AC599" s="16">
        <f>SUM(AC596:AC598)</f>
        <v>0</v>
      </c>
      <c r="AD599" s="16"/>
      <c r="AE599" s="16">
        <f>SUM(AE596:AE598)</f>
        <v>0</v>
      </c>
      <c r="AF599" s="16"/>
      <c r="AG599" s="16">
        <f>SUM(AG596:AG598)</f>
        <v>0</v>
      </c>
      <c r="AH599" s="16"/>
      <c r="AI599" s="16"/>
      <c r="AJ599" s="16">
        <f>SUM(AJ596:AJ598)</f>
        <v>0</v>
      </c>
      <c r="AK599" s="34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29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x14ac:dyDescent="0.2">
      <c r="B600" s="18"/>
      <c r="C600" s="16"/>
      <c r="D600" s="16"/>
      <c r="E600" s="16"/>
      <c r="F600" s="14"/>
      <c r="G600" s="16"/>
      <c r="H600" s="16"/>
      <c r="I600" s="16"/>
      <c r="J600" s="14"/>
      <c r="K600" s="16"/>
      <c r="L600" s="14"/>
      <c r="M600" s="16"/>
      <c r="N600" s="14"/>
      <c r="O600" s="16"/>
      <c r="P600" s="14"/>
      <c r="Q600" s="16"/>
      <c r="R600" s="14"/>
      <c r="S600" s="16"/>
      <c r="T600" s="16"/>
      <c r="U600" s="16"/>
      <c r="V600" s="16"/>
      <c r="W600" s="16"/>
      <c r="X600" s="14"/>
      <c r="Y600" s="16"/>
      <c r="Z600" s="14"/>
      <c r="AA600" s="16"/>
      <c r="AB600" s="14"/>
      <c r="AC600" s="16"/>
      <c r="AD600" s="14"/>
      <c r="AE600" s="16"/>
      <c r="AF600" s="14"/>
      <c r="AG600" s="16"/>
      <c r="AH600" s="14"/>
      <c r="AI600" s="16"/>
      <c r="AJ600" s="16"/>
      <c r="AK600" s="52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29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x14ac:dyDescent="0.2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52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29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ht="13.5" thickBot="1" x14ac:dyDescent="0.25">
      <c r="B602" s="18" t="s">
        <v>100</v>
      </c>
      <c r="C602" s="39">
        <f>C593+C599</f>
        <v>0</v>
      </c>
      <c r="D602" s="16"/>
      <c r="E602" s="39">
        <f>E593+E599</f>
        <v>0</v>
      </c>
      <c r="F602" s="14"/>
      <c r="G602" s="39">
        <f>G593+G599</f>
        <v>0</v>
      </c>
      <c r="H602" s="16"/>
      <c r="I602" s="39">
        <f>I593+I599</f>
        <v>33769.89</v>
      </c>
      <c r="J602" s="14"/>
      <c r="K602" s="39">
        <f>K593+K599</f>
        <v>-6845.56</v>
      </c>
      <c r="L602" s="14"/>
      <c r="M602" s="39">
        <f>M593+M599</f>
        <v>0</v>
      </c>
      <c r="N602" s="14"/>
      <c r="O602" s="39">
        <f>O593+O599</f>
        <v>0</v>
      </c>
      <c r="P602" s="14"/>
      <c r="Q602" s="39">
        <f>Q593+Q599</f>
        <v>0</v>
      </c>
      <c r="R602" s="14"/>
      <c r="S602" s="39">
        <f>S593+S599</f>
        <v>0</v>
      </c>
      <c r="T602" s="39"/>
      <c r="U602" s="39">
        <f>U593+U599</f>
        <v>0</v>
      </c>
      <c r="V602" s="39"/>
      <c r="W602" s="39">
        <f>W593+W599</f>
        <v>2.9132252166164108E-13</v>
      </c>
      <c r="X602" s="14"/>
      <c r="Y602" s="39">
        <f>Y593+Y599</f>
        <v>0</v>
      </c>
      <c r="Z602" s="14"/>
      <c r="AA602" s="39">
        <f>AA593+AA599</f>
        <v>0</v>
      </c>
      <c r="AB602" s="14"/>
      <c r="AC602" s="39">
        <f>AC593+AC599</f>
        <v>-5110.33</v>
      </c>
      <c r="AD602" s="14"/>
      <c r="AE602" s="39">
        <f>AE593+AE599</f>
        <v>0</v>
      </c>
      <c r="AF602" s="14"/>
      <c r="AG602" s="39">
        <f>AG593+AG599</f>
        <v>0</v>
      </c>
      <c r="AH602" s="14"/>
      <c r="AI602" s="39"/>
      <c r="AJ602" s="39">
        <f>AJ593+AJ599</f>
        <v>21814</v>
      </c>
      <c r="AK602" s="52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29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3.5" thickTop="1" x14ac:dyDescent="0.2">
      <c r="B603" s="18"/>
      <c r="C603" s="16"/>
      <c r="D603" s="16"/>
      <c r="E603" s="16"/>
      <c r="F603" s="14"/>
      <c r="G603" s="16"/>
      <c r="H603" s="16"/>
      <c r="I603" s="16"/>
      <c r="J603" s="14"/>
      <c r="K603" s="16"/>
      <c r="L603" s="14"/>
      <c r="M603" s="16"/>
      <c r="N603" s="14"/>
      <c r="O603" s="16"/>
      <c r="P603" s="14"/>
      <c r="Q603" s="16"/>
      <c r="R603" s="14"/>
      <c r="S603" s="16"/>
      <c r="T603" s="16"/>
      <c r="U603" s="16"/>
      <c r="V603" s="16"/>
      <c r="W603" s="16"/>
      <c r="X603" s="14"/>
      <c r="Y603" s="16"/>
      <c r="Z603" s="14"/>
      <c r="AA603" s="16"/>
      <c r="AB603" s="14"/>
      <c r="AC603" s="16"/>
      <c r="AD603" s="14"/>
      <c r="AE603" s="16"/>
      <c r="AF603" s="14"/>
      <c r="AG603" s="16"/>
      <c r="AH603" s="14"/>
      <c r="AI603" s="16"/>
      <c r="AJ603" s="16"/>
      <c r="AK603" s="52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29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x14ac:dyDescent="0.2">
      <c r="A604" s="146"/>
      <c r="B604" s="21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52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29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x14ac:dyDescent="0.2">
      <c r="A605" s="73"/>
      <c r="B605" s="21"/>
      <c r="C605" s="52"/>
      <c r="D605" s="52"/>
      <c r="E605" s="52"/>
      <c r="F605" s="52"/>
      <c r="G605" s="52"/>
      <c r="H605" s="52"/>
      <c r="I605" s="52"/>
      <c r="J605" s="52"/>
      <c r="K605" s="52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x14ac:dyDescent="0.2">
      <c r="A606" s="122">
        <v>42767</v>
      </c>
      <c r="B606" s="123" t="s">
        <v>438</v>
      </c>
      <c r="C606" s="52"/>
      <c r="D606" s="52"/>
      <c r="E606" s="52"/>
      <c r="F606" s="52"/>
      <c r="G606" s="52"/>
      <c r="H606" s="52"/>
      <c r="I606" s="52"/>
      <c r="J606" s="52"/>
      <c r="K606" s="52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x14ac:dyDescent="0.2">
      <c r="A607" s="122">
        <v>42795</v>
      </c>
      <c r="B607" s="123" t="s">
        <v>438</v>
      </c>
      <c r="C607" s="52"/>
      <c r="D607" s="52"/>
      <c r="E607" s="52"/>
      <c r="F607" s="52"/>
      <c r="G607" s="52"/>
      <c r="H607" s="52"/>
      <c r="I607" s="52"/>
      <c r="J607" s="52"/>
      <c r="K607" s="52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x14ac:dyDescent="0.2">
      <c r="A608" s="122" t="s">
        <v>439</v>
      </c>
      <c r="B608" s="123" t="s">
        <v>440</v>
      </c>
      <c r="C608" s="52"/>
      <c r="D608" s="52"/>
      <c r="E608" s="52"/>
      <c r="F608" s="52"/>
      <c r="G608" s="52"/>
      <c r="H608" s="52"/>
      <c r="I608" s="52"/>
      <c r="J608" s="52"/>
      <c r="K608" s="52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x14ac:dyDescent="0.2">
      <c r="A609" s="122" t="s">
        <v>441</v>
      </c>
      <c r="B609" s="123" t="s">
        <v>442</v>
      </c>
      <c r="C609" s="52"/>
      <c r="D609" s="52"/>
      <c r="E609" s="52"/>
      <c r="F609" s="52"/>
      <c r="G609" s="52"/>
      <c r="H609" s="52"/>
      <c r="I609" s="52"/>
      <c r="J609" s="52"/>
      <c r="K609" s="52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x14ac:dyDescent="0.2">
      <c r="A610" s="122">
        <v>42887</v>
      </c>
      <c r="B610" s="123" t="s">
        <v>443</v>
      </c>
      <c r="C610" s="52"/>
      <c r="D610" s="52"/>
      <c r="E610" s="52"/>
      <c r="F610" s="52"/>
      <c r="G610" s="52"/>
      <c r="H610" s="52"/>
      <c r="I610" s="52"/>
      <c r="J610" s="52"/>
      <c r="K610" s="52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x14ac:dyDescent="0.2">
      <c r="A611" s="122" t="s">
        <v>444</v>
      </c>
      <c r="B611" s="123" t="s">
        <v>445</v>
      </c>
      <c r="C611" s="52"/>
      <c r="D611" s="52"/>
      <c r="E611" s="52"/>
      <c r="F611" s="52"/>
      <c r="G611" s="52"/>
      <c r="H611" s="52"/>
      <c r="I611" s="52"/>
      <c r="J611" s="52"/>
      <c r="K611" s="52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x14ac:dyDescent="0.2">
      <c r="A612" s="122" t="s">
        <v>446</v>
      </c>
      <c r="B612" s="123" t="s">
        <v>447</v>
      </c>
      <c r="C612" s="52"/>
      <c r="D612" s="52"/>
      <c r="E612" s="52"/>
      <c r="F612" s="52"/>
      <c r="G612" s="52"/>
      <c r="H612" s="52"/>
      <c r="I612" s="52"/>
      <c r="J612" s="52"/>
      <c r="K612" s="52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x14ac:dyDescent="0.2">
      <c r="A613" s="122">
        <v>42917</v>
      </c>
      <c r="B613" s="124" t="s">
        <v>438</v>
      </c>
      <c r="C613" s="52"/>
      <c r="D613" s="52"/>
      <c r="E613" s="52"/>
      <c r="F613" s="52"/>
      <c r="G613" s="99"/>
      <c r="H613" s="52"/>
      <c r="I613" s="52"/>
      <c r="J613" s="52"/>
      <c r="K613" s="52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x14ac:dyDescent="0.2">
      <c r="A614" s="125" t="s">
        <v>448</v>
      </c>
      <c r="B614" s="124" t="s">
        <v>438</v>
      </c>
      <c r="C614" s="52"/>
      <c r="D614" s="52"/>
      <c r="E614" s="52"/>
      <c r="F614" s="52"/>
      <c r="G614" s="52"/>
      <c r="H614" s="52"/>
      <c r="I614" s="52"/>
      <c r="J614" s="52"/>
      <c r="K614" s="52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x14ac:dyDescent="0.2">
      <c r="A615" s="125" t="s">
        <v>449</v>
      </c>
      <c r="B615" s="123" t="s">
        <v>450</v>
      </c>
      <c r="C615" s="52"/>
      <c r="D615" s="52"/>
      <c r="E615" s="52"/>
      <c r="F615" s="52"/>
      <c r="G615" s="52"/>
      <c r="H615" s="52"/>
      <c r="I615" s="52"/>
      <c r="J615" s="52"/>
      <c r="K615" s="52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x14ac:dyDescent="0.2">
      <c r="A616" s="125" t="s">
        <v>451</v>
      </c>
      <c r="B616" s="124" t="s">
        <v>438</v>
      </c>
      <c r="C616" s="52"/>
      <c r="D616" s="52"/>
      <c r="E616" s="52"/>
      <c r="F616" s="52"/>
      <c r="G616" s="52"/>
      <c r="H616" s="52"/>
      <c r="I616" s="52"/>
      <c r="J616" s="52"/>
      <c r="K616" s="52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x14ac:dyDescent="0.2">
      <c r="A617" s="125" t="s">
        <v>452</v>
      </c>
      <c r="B617" s="123" t="s">
        <v>453</v>
      </c>
      <c r="C617" s="52"/>
      <c r="D617" s="52"/>
      <c r="E617" s="52"/>
      <c r="F617" s="52"/>
      <c r="G617" s="52"/>
      <c r="H617" s="52"/>
      <c r="I617" s="52"/>
      <c r="J617" s="52"/>
      <c r="K617" s="52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x14ac:dyDescent="0.2">
      <c r="A618" s="125" t="s">
        <v>454</v>
      </c>
      <c r="B618" s="123" t="s">
        <v>455</v>
      </c>
      <c r="C618" s="52"/>
      <c r="D618" s="52"/>
      <c r="E618" s="52"/>
      <c r="F618" s="52"/>
      <c r="G618" s="52"/>
      <c r="H618" s="52"/>
      <c r="I618" s="52"/>
      <c r="J618" s="52"/>
      <c r="K618" s="52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x14ac:dyDescent="0.2">
      <c r="A619" s="122">
        <v>43009</v>
      </c>
      <c r="B619" s="123" t="s">
        <v>443</v>
      </c>
      <c r="C619" s="52"/>
      <c r="D619" s="52"/>
      <c r="E619" s="52"/>
      <c r="F619" s="52"/>
      <c r="G619" s="52"/>
      <c r="H619" s="52"/>
      <c r="I619" s="52"/>
      <c r="J619" s="52"/>
      <c r="K619" s="52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x14ac:dyDescent="0.2">
      <c r="A620" s="73">
        <v>43040</v>
      </c>
      <c r="B620" s="123" t="s">
        <v>456</v>
      </c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x14ac:dyDescent="0.2">
      <c r="A621" s="73" t="s">
        <v>457</v>
      </c>
      <c r="B621" s="123" t="s">
        <v>458</v>
      </c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x14ac:dyDescent="0.2">
      <c r="A622" s="73"/>
      <c r="B622" s="21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x14ac:dyDescent="0.2">
      <c r="A623" s="73"/>
      <c r="B623" s="21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x14ac:dyDescent="0.2">
      <c r="A624" s="144"/>
      <c r="B624" s="21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x14ac:dyDescent="0.2">
      <c r="A625" s="144"/>
      <c r="B625" s="21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x14ac:dyDescent="0.2">
      <c r="A626" s="126"/>
      <c r="B626" s="2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x14ac:dyDescent="0.2">
      <c r="A627" s="126"/>
      <c r="B627" s="21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x14ac:dyDescent="0.2">
      <c r="A628" s="1"/>
      <c r="B628" s="2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x14ac:dyDescent="0.2">
      <c r="A629" s="126"/>
      <c r="B629" s="9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x14ac:dyDescent="0.2">
      <c r="A630" s="1"/>
      <c r="B630" s="9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x14ac:dyDescent="0.2">
      <c r="A631" s="127"/>
      <c r="B631" s="9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x14ac:dyDescent="0.2"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x14ac:dyDescent="0.2">
      <c r="A633" s="127"/>
      <c r="B633" s="9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x14ac:dyDescent="0.2"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x14ac:dyDescent="0.2">
      <c r="A635" s="9"/>
      <c r="B635" s="9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x14ac:dyDescent="0.2">
      <c r="A636" s="9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x14ac:dyDescent="0.2">
      <c r="A637" s="9"/>
      <c r="B637" s="9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x14ac:dyDescent="0.2"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x14ac:dyDescent="0.2">
      <c r="A639" s="144"/>
      <c r="B639" s="9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x14ac:dyDescent="0.2"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x14ac:dyDescent="0.2">
      <c r="A641" s="144"/>
      <c r="B641" s="9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x14ac:dyDescent="0.2"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x14ac:dyDescent="0.2">
      <c r="A643" s="127"/>
      <c r="B643" s="9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x14ac:dyDescent="0.2"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x14ac:dyDescent="0.2">
      <c r="A645" s="127"/>
      <c r="B645" s="9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x14ac:dyDescent="0.2"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x14ac:dyDescent="0.2">
      <c r="A647" s="127"/>
      <c r="B647" s="9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x14ac:dyDescent="0.2"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x14ac:dyDescent="0.2">
      <c r="A649" s="127"/>
      <c r="B649" s="9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x14ac:dyDescent="0.2"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x14ac:dyDescent="0.2">
      <c r="A651" s="9"/>
      <c r="B651" s="9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x14ac:dyDescent="0.2"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x14ac:dyDescent="0.2"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x14ac:dyDescent="0.2"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x14ac:dyDescent="0.2"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x14ac:dyDescent="0.2"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3:66" x14ac:dyDescent="0.2"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3:66" x14ac:dyDescent="0.2"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3:66" x14ac:dyDescent="0.2"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3:66" x14ac:dyDescent="0.2"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3:66" x14ac:dyDescent="0.2"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3:66" x14ac:dyDescent="0.2"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3:66" x14ac:dyDescent="0.2"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3:66" x14ac:dyDescent="0.2"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3:66" x14ac:dyDescent="0.2"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3:66" x14ac:dyDescent="0.2"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3:66" x14ac:dyDescent="0.2"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3:66" x14ac:dyDescent="0.2"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3:66" x14ac:dyDescent="0.2"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3:66" x14ac:dyDescent="0.2"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3:66" x14ac:dyDescent="0.2"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3:66" x14ac:dyDescent="0.2"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3:66" x14ac:dyDescent="0.2"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3:66" x14ac:dyDescent="0.2"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3:66" x14ac:dyDescent="0.2"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3:66" x14ac:dyDescent="0.2"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3:66" x14ac:dyDescent="0.2"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3:66" x14ac:dyDescent="0.2"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3:66" x14ac:dyDescent="0.2"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3:66" x14ac:dyDescent="0.2"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3:66" x14ac:dyDescent="0.2"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3:66" x14ac:dyDescent="0.2"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3:66" x14ac:dyDescent="0.2"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3:66" x14ac:dyDescent="0.2"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3:66" x14ac:dyDescent="0.2"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3:66" x14ac:dyDescent="0.2"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3:66" x14ac:dyDescent="0.2"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3:66" x14ac:dyDescent="0.2"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3:66" x14ac:dyDescent="0.2"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3:66" x14ac:dyDescent="0.2"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3:66" x14ac:dyDescent="0.2"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3:66" x14ac:dyDescent="0.2"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3:66" x14ac:dyDescent="0.2"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3:66" x14ac:dyDescent="0.2"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3:66" x14ac:dyDescent="0.2"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3:66" x14ac:dyDescent="0.2"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3:66" x14ac:dyDescent="0.2"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3:66" x14ac:dyDescent="0.2"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3:66" x14ac:dyDescent="0.2"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3:66" x14ac:dyDescent="0.2"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3:66" x14ac:dyDescent="0.2"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3:66" x14ac:dyDescent="0.2"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3:66" x14ac:dyDescent="0.2"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3:66" x14ac:dyDescent="0.2"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3:66" x14ac:dyDescent="0.2"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3:66" x14ac:dyDescent="0.2"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3:66" x14ac:dyDescent="0.2"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3:66" x14ac:dyDescent="0.2"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3:66" x14ac:dyDescent="0.2"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3:66" x14ac:dyDescent="0.2"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</sheetData>
  <dataValidations count="1">
    <dataValidation type="list" allowBlank="1" showInputMessage="1" showErrorMessage="1" sqref="C10 AG10 AC10 AI10 AE10 Y10 E10 Q10 O10 M10 K10 I10 G10 AA10 S10:W10">
      <formula1>$AV$1:$AV$4</formula1>
    </dataValidation>
  </dataValidation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61"/>
  <sheetViews>
    <sheetView workbookViewId="0">
      <selection sqref="A1:N1"/>
    </sheetView>
  </sheetViews>
  <sheetFormatPr defaultRowHeight="15.75" x14ac:dyDescent="0.25"/>
  <cols>
    <col min="1" max="1" width="12.140625" style="177" customWidth="1"/>
    <col min="2" max="2" width="28.5703125" style="177" bestFit="1" customWidth="1"/>
    <col min="3" max="3" width="4" style="177" customWidth="1"/>
    <col min="4" max="4" width="14.42578125" style="129" customWidth="1"/>
    <col min="5" max="5" width="2.85546875" style="129" customWidth="1"/>
    <col min="6" max="6" width="14.5703125" style="129" customWidth="1"/>
    <col min="7" max="7" width="2.85546875" style="129" customWidth="1"/>
    <col min="8" max="8" width="14.7109375" style="129" customWidth="1"/>
    <col min="9" max="9" width="2.7109375" style="129" customWidth="1"/>
    <col min="10" max="10" width="15.28515625" style="129" bestFit="1" customWidth="1"/>
    <col min="11" max="11" width="2.28515625" style="177" customWidth="1"/>
    <col min="12" max="12" width="15.42578125" style="129" bestFit="1" customWidth="1"/>
    <col min="13" max="13" width="2.42578125" style="177" customWidth="1"/>
    <col min="14" max="14" width="12.7109375" style="177" bestFit="1" customWidth="1"/>
    <col min="15" max="15" width="12" style="177" bestFit="1" customWidth="1"/>
    <col min="16" max="16384" width="9.140625" style="177"/>
  </cols>
  <sheetData>
    <row r="1" spans="1:15" x14ac:dyDescent="0.25">
      <c r="A1" s="206" t="s">
        <v>459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x14ac:dyDescent="0.25">
      <c r="A2" s="207" t="s">
        <v>460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x14ac:dyDescent="0.25">
      <c r="A3" s="178"/>
      <c r="B3" s="178"/>
      <c r="C3" s="178"/>
      <c r="D3" s="179"/>
      <c r="E3" s="179"/>
      <c r="F3" s="179"/>
      <c r="G3" s="179"/>
      <c r="H3" s="179"/>
      <c r="I3" s="179"/>
      <c r="J3" s="179"/>
      <c r="K3" s="178"/>
      <c r="L3" s="179"/>
    </row>
    <row r="5" spans="1:15" x14ac:dyDescent="0.25">
      <c r="A5" s="180"/>
    </row>
    <row r="6" spans="1:15" x14ac:dyDescent="0.25">
      <c r="D6" s="181" t="s">
        <v>461</v>
      </c>
      <c r="H6" s="181" t="s">
        <v>462</v>
      </c>
      <c r="N6" s="182" t="s">
        <v>463</v>
      </c>
      <c r="O6" s="182" t="s">
        <v>464</v>
      </c>
    </row>
    <row r="7" spans="1:15" ht="18" x14ac:dyDescent="0.4">
      <c r="D7" s="183" t="s">
        <v>465</v>
      </c>
      <c r="E7" s="181"/>
      <c r="F7" s="184" t="s">
        <v>466</v>
      </c>
      <c r="G7" s="181"/>
      <c r="H7" s="183" t="s">
        <v>467</v>
      </c>
      <c r="I7" s="181"/>
      <c r="J7" s="183" t="s">
        <v>67</v>
      </c>
      <c r="K7" s="182"/>
      <c r="L7" s="183" t="s">
        <v>468</v>
      </c>
      <c r="N7" s="185" t="s">
        <v>469</v>
      </c>
      <c r="O7" s="185" t="s">
        <v>470</v>
      </c>
    </row>
    <row r="8" spans="1:15" x14ac:dyDescent="0.25">
      <c r="A8" s="128" t="s">
        <v>471</v>
      </c>
      <c r="B8" s="186" t="s">
        <v>472</v>
      </c>
      <c r="D8" s="129">
        <v>18557.330000000002</v>
      </c>
      <c r="J8" s="129">
        <v>-20127.22</v>
      </c>
      <c r="L8" s="187">
        <f>J8+D8</f>
        <v>-1569.8899999999994</v>
      </c>
      <c r="N8" s="129">
        <v>21885</v>
      </c>
      <c r="O8" s="182" t="s">
        <v>473</v>
      </c>
    </row>
    <row r="9" spans="1:15" x14ac:dyDescent="0.25">
      <c r="A9" s="128" t="s">
        <v>471</v>
      </c>
      <c r="B9" s="177" t="s">
        <v>474</v>
      </c>
      <c r="D9" s="129">
        <v>0</v>
      </c>
      <c r="J9" s="129">
        <v>-2200</v>
      </c>
      <c r="L9" s="187">
        <f>(J9-H9-F9+D9)</f>
        <v>-2200</v>
      </c>
      <c r="N9" s="129">
        <v>22000</v>
      </c>
      <c r="O9" s="182" t="s">
        <v>473</v>
      </c>
    </row>
    <row r="10" spans="1:15" x14ac:dyDescent="0.25">
      <c r="A10" s="128" t="s">
        <v>471</v>
      </c>
      <c r="B10" s="177" t="s">
        <v>475</v>
      </c>
      <c r="D10" s="129">
        <v>0</v>
      </c>
      <c r="J10" s="129">
        <v>-30000</v>
      </c>
      <c r="L10" s="187">
        <f>(J10-H10-F10+D10)</f>
        <v>-30000</v>
      </c>
      <c r="N10" s="129">
        <v>30000</v>
      </c>
      <c r="O10" s="182" t="s">
        <v>473</v>
      </c>
    </row>
    <row r="11" spans="1:15" x14ac:dyDescent="0.25">
      <c r="A11" s="128" t="s">
        <v>476</v>
      </c>
      <c r="B11" s="177" t="s">
        <v>477</v>
      </c>
      <c r="D11" s="129">
        <v>6845.56</v>
      </c>
      <c r="J11" s="129">
        <v>0</v>
      </c>
      <c r="L11" s="129">
        <v>6845.56</v>
      </c>
      <c r="N11" s="177">
        <v>0</v>
      </c>
      <c r="O11" s="182" t="s">
        <v>473</v>
      </c>
    </row>
    <row r="12" spans="1:15" x14ac:dyDescent="0.25">
      <c r="A12" s="128" t="s">
        <v>478</v>
      </c>
      <c r="B12" s="177" t="s">
        <v>479</v>
      </c>
      <c r="D12" s="129">
        <v>5110.33</v>
      </c>
      <c r="L12" s="129">
        <v>5110.33</v>
      </c>
      <c r="N12" s="177">
        <v>0</v>
      </c>
      <c r="O12" s="182" t="s">
        <v>473</v>
      </c>
    </row>
    <row r="13" spans="1:15" x14ac:dyDescent="0.25">
      <c r="A13" s="188"/>
    </row>
    <row r="14" spans="1:15" x14ac:dyDescent="0.25">
      <c r="A14" s="188"/>
    </row>
    <row r="15" spans="1:15" x14ac:dyDescent="0.25">
      <c r="D15" s="189">
        <f>SUM(D8:D14)</f>
        <v>30513.22</v>
      </c>
      <c r="E15" s="189"/>
      <c r="F15" s="189">
        <f>SUM(F8:F14)</f>
        <v>0</v>
      </c>
      <c r="G15" s="189"/>
      <c r="H15" s="189">
        <f>SUM(H8:H14)</f>
        <v>0</v>
      </c>
      <c r="I15" s="189"/>
      <c r="J15" s="189">
        <f>SUM(J8:J14)</f>
        <v>-52327.22</v>
      </c>
      <c r="K15" s="190"/>
      <c r="L15" s="189">
        <f>SUM(L8:L14)</f>
        <v>-21814</v>
      </c>
    </row>
    <row r="16" spans="1:15" x14ac:dyDescent="0.25">
      <c r="D16" s="187"/>
      <c r="E16" s="187"/>
      <c r="F16" s="187"/>
      <c r="G16" s="187"/>
      <c r="H16" s="187"/>
      <c r="I16" s="187"/>
      <c r="J16" s="187"/>
      <c r="K16" s="191"/>
      <c r="L16" s="187"/>
    </row>
    <row r="17" spans="1:15" x14ac:dyDescent="0.25">
      <c r="L17" s="187"/>
    </row>
    <row r="18" spans="1:15" x14ac:dyDescent="0.25">
      <c r="D18" s="187"/>
      <c r="E18" s="187"/>
      <c r="F18" s="187"/>
      <c r="G18" s="187"/>
      <c r="H18" s="187"/>
      <c r="I18" s="187"/>
      <c r="J18" s="187"/>
      <c r="K18" s="191"/>
      <c r="L18" s="187"/>
    </row>
    <row r="19" spans="1:15" x14ac:dyDescent="0.25">
      <c r="D19" s="187"/>
      <c r="E19" s="187"/>
      <c r="F19" s="187"/>
      <c r="G19" s="187"/>
      <c r="H19" s="187"/>
      <c r="I19" s="187"/>
      <c r="J19" s="187"/>
      <c r="K19" s="191"/>
      <c r="L19" s="187"/>
    </row>
    <row r="20" spans="1:15" x14ac:dyDescent="0.25">
      <c r="D20" s="187"/>
      <c r="E20" s="187"/>
      <c r="F20" s="187"/>
      <c r="G20" s="187"/>
      <c r="H20" s="187"/>
      <c r="I20" s="187"/>
      <c r="J20" s="187"/>
      <c r="K20" s="191"/>
      <c r="L20" s="187"/>
    </row>
    <row r="21" spans="1:15" x14ac:dyDescent="0.25">
      <c r="A21" s="192"/>
      <c r="L21" s="187"/>
      <c r="N21" s="129"/>
      <c r="O21" s="182"/>
    </row>
    <row r="22" spans="1:15" s="191" customFormat="1" x14ac:dyDescent="0.25">
      <c r="B22" s="193"/>
      <c r="D22" s="187"/>
      <c r="E22" s="187"/>
      <c r="F22" s="187"/>
      <c r="G22" s="187"/>
      <c r="H22" s="187"/>
      <c r="I22" s="187"/>
      <c r="J22" s="187"/>
      <c r="L22" s="187"/>
    </row>
    <row r="23" spans="1:15" s="191" customFormat="1" x14ac:dyDescent="0.25">
      <c r="D23" s="187"/>
      <c r="E23" s="187"/>
      <c r="F23" s="187"/>
      <c r="G23" s="187"/>
      <c r="H23" s="187"/>
      <c r="I23" s="187"/>
      <c r="J23" s="187"/>
      <c r="L23" s="187"/>
    </row>
    <row r="24" spans="1:15" s="191" customFormat="1" x14ac:dyDescent="0.25">
      <c r="D24" s="187"/>
      <c r="E24" s="187"/>
      <c r="F24" s="187"/>
      <c r="G24" s="187"/>
      <c r="H24" s="187"/>
      <c r="I24" s="187"/>
      <c r="J24" s="187"/>
      <c r="L24" s="187"/>
    </row>
    <row r="25" spans="1:15" s="191" customFormat="1" x14ac:dyDescent="0.25">
      <c r="D25" s="187"/>
      <c r="E25" s="187"/>
      <c r="F25" s="187"/>
      <c r="G25" s="187"/>
      <c r="H25" s="187"/>
      <c r="I25" s="187"/>
      <c r="J25" s="187"/>
      <c r="L25" s="187"/>
    </row>
    <row r="26" spans="1:15" s="191" customFormat="1" x14ac:dyDescent="0.25">
      <c r="D26" s="187"/>
      <c r="E26" s="187"/>
      <c r="F26" s="187"/>
      <c r="G26" s="187"/>
      <c r="H26" s="187"/>
      <c r="I26" s="187"/>
      <c r="J26" s="187"/>
      <c r="L26" s="187"/>
    </row>
    <row r="27" spans="1:15" s="191" customFormat="1" x14ac:dyDescent="0.25">
      <c r="D27" s="187"/>
      <c r="E27" s="187"/>
      <c r="F27" s="187"/>
      <c r="G27" s="187"/>
      <c r="H27" s="187"/>
      <c r="I27" s="187"/>
      <c r="J27" s="187"/>
      <c r="L27" s="187"/>
    </row>
    <row r="28" spans="1:15" s="191" customFormat="1" x14ac:dyDescent="0.25">
      <c r="D28" s="187"/>
      <c r="E28" s="187"/>
      <c r="F28" s="187"/>
      <c r="G28" s="187"/>
      <c r="H28" s="187"/>
      <c r="I28" s="187"/>
      <c r="J28" s="187"/>
      <c r="L28" s="187"/>
    </row>
    <row r="29" spans="1:15" s="191" customFormat="1" x14ac:dyDescent="0.25">
      <c r="D29" s="187"/>
      <c r="E29" s="187"/>
      <c r="F29" s="187"/>
      <c r="G29" s="187"/>
      <c r="H29" s="187"/>
      <c r="I29" s="187"/>
      <c r="J29" s="187"/>
      <c r="L29" s="187"/>
    </row>
    <row r="30" spans="1:15" s="191" customFormat="1" x14ac:dyDescent="0.25">
      <c r="D30" s="187"/>
      <c r="E30" s="187"/>
      <c r="F30" s="187"/>
      <c r="G30" s="187"/>
      <c r="H30" s="187"/>
      <c r="I30" s="187"/>
      <c r="J30" s="187"/>
      <c r="L30" s="187"/>
    </row>
    <row r="31" spans="1:15" s="191" customFormat="1" x14ac:dyDescent="0.25">
      <c r="D31" s="187"/>
      <c r="E31" s="187"/>
      <c r="F31" s="187"/>
      <c r="G31" s="187"/>
      <c r="H31" s="187"/>
      <c r="I31" s="187"/>
      <c r="J31" s="187"/>
      <c r="L31" s="187"/>
    </row>
    <row r="32" spans="1:15" s="191" customFormat="1" x14ac:dyDescent="0.25">
      <c r="D32" s="187"/>
      <c r="E32" s="187"/>
      <c r="F32" s="187"/>
      <c r="G32" s="187"/>
      <c r="H32" s="187"/>
      <c r="I32" s="187"/>
      <c r="J32" s="187"/>
      <c r="L32" s="187"/>
    </row>
    <row r="33" spans="4:12" s="191" customFormat="1" x14ac:dyDescent="0.25">
      <c r="D33" s="187"/>
      <c r="E33" s="187"/>
      <c r="F33" s="187"/>
      <c r="G33" s="187"/>
      <c r="H33" s="187"/>
      <c r="I33" s="187"/>
      <c r="J33" s="187"/>
      <c r="L33" s="187"/>
    </row>
    <row r="34" spans="4:12" s="191" customFormat="1" x14ac:dyDescent="0.25">
      <c r="D34" s="187"/>
      <c r="E34" s="187"/>
      <c r="F34" s="187"/>
      <c r="G34" s="187"/>
      <c r="H34" s="187"/>
      <c r="I34" s="187"/>
      <c r="J34" s="187"/>
      <c r="L34" s="187"/>
    </row>
    <row r="35" spans="4:12" s="191" customFormat="1" x14ac:dyDescent="0.25">
      <c r="D35" s="187"/>
      <c r="E35" s="187"/>
      <c r="F35" s="187"/>
      <c r="G35" s="187"/>
      <c r="H35" s="187"/>
      <c r="I35" s="187"/>
      <c r="J35" s="187"/>
      <c r="L35" s="187"/>
    </row>
    <row r="36" spans="4:12" s="191" customFormat="1" x14ac:dyDescent="0.25">
      <c r="D36" s="187"/>
      <c r="E36" s="187"/>
      <c r="F36" s="187"/>
      <c r="G36" s="187"/>
      <c r="H36" s="187"/>
      <c r="I36" s="187"/>
      <c r="J36" s="187"/>
      <c r="L36" s="187"/>
    </row>
    <row r="37" spans="4:12" s="191" customFormat="1" x14ac:dyDescent="0.25">
      <c r="D37" s="187"/>
      <c r="E37" s="187"/>
      <c r="F37" s="187"/>
      <c r="G37" s="187"/>
      <c r="H37" s="187"/>
      <c r="I37" s="187"/>
      <c r="J37" s="187"/>
      <c r="L37" s="187"/>
    </row>
    <row r="38" spans="4:12" s="191" customFormat="1" x14ac:dyDescent="0.25">
      <c r="D38" s="187"/>
      <c r="E38" s="187"/>
      <c r="F38" s="187"/>
      <c r="G38" s="187"/>
      <c r="H38" s="187"/>
      <c r="I38" s="187"/>
      <c r="J38" s="187"/>
      <c r="L38" s="187"/>
    </row>
    <row r="39" spans="4:12" s="191" customFormat="1" x14ac:dyDescent="0.25">
      <c r="D39" s="187"/>
      <c r="E39" s="187"/>
      <c r="F39" s="187"/>
      <c r="G39" s="187"/>
      <c r="H39" s="187"/>
      <c r="I39" s="187"/>
      <c r="J39" s="187"/>
      <c r="L39" s="187"/>
    </row>
    <row r="40" spans="4:12" s="191" customFormat="1" x14ac:dyDescent="0.25">
      <c r="D40" s="187"/>
      <c r="E40" s="187"/>
      <c r="F40" s="187"/>
      <c r="G40" s="187"/>
      <c r="H40" s="187"/>
      <c r="I40" s="187"/>
      <c r="J40" s="187"/>
      <c r="L40" s="187"/>
    </row>
    <row r="41" spans="4:12" s="191" customFormat="1" x14ac:dyDescent="0.25">
      <c r="D41" s="187"/>
      <c r="E41" s="187"/>
      <c r="F41" s="187"/>
      <c r="G41" s="187"/>
      <c r="H41" s="187"/>
      <c r="I41" s="187"/>
      <c r="J41" s="187"/>
      <c r="L41" s="187"/>
    </row>
    <row r="42" spans="4:12" s="191" customFormat="1" x14ac:dyDescent="0.25">
      <c r="D42" s="187"/>
      <c r="E42" s="187"/>
      <c r="F42" s="187"/>
      <c r="G42" s="187"/>
      <c r="H42" s="187"/>
      <c r="I42" s="187"/>
      <c r="J42" s="187"/>
      <c r="L42" s="187"/>
    </row>
    <row r="43" spans="4:12" s="191" customFormat="1" x14ac:dyDescent="0.25">
      <c r="D43" s="187"/>
      <c r="E43" s="187"/>
      <c r="F43" s="187"/>
      <c r="G43" s="187"/>
      <c r="H43" s="187"/>
      <c r="I43" s="187"/>
      <c r="J43" s="187"/>
      <c r="L43" s="187"/>
    </row>
    <row r="44" spans="4:12" s="191" customFormat="1" x14ac:dyDescent="0.25">
      <c r="D44" s="187"/>
      <c r="E44" s="187"/>
      <c r="F44" s="187"/>
      <c r="G44" s="187"/>
      <c r="H44" s="187"/>
      <c r="I44" s="187"/>
      <c r="J44" s="187"/>
      <c r="L44" s="187"/>
    </row>
    <row r="45" spans="4:12" s="191" customFormat="1" x14ac:dyDescent="0.25">
      <c r="D45" s="187"/>
      <c r="E45" s="187"/>
      <c r="F45" s="187"/>
      <c r="G45" s="187"/>
      <c r="H45" s="187"/>
      <c r="I45" s="187"/>
      <c r="J45" s="187"/>
      <c r="L45" s="187"/>
    </row>
    <row r="46" spans="4:12" s="191" customFormat="1" x14ac:dyDescent="0.25">
      <c r="D46" s="187"/>
      <c r="E46" s="187"/>
      <c r="F46" s="187"/>
      <c r="G46" s="187"/>
      <c r="H46" s="187"/>
      <c r="I46" s="187"/>
      <c r="J46" s="187"/>
      <c r="L46" s="187"/>
    </row>
    <row r="47" spans="4:12" s="191" customFormat="1" x14ac:dyDescent="0.25">
      <c r="D47" s="187"/>
      <c r="E47" s="187"/>
      <c r="F47" s="187"/>
      <c r="G47" s="187"/>
      <c r="H47" s="187"/>
      <c r="I47" s="187"/>
      <c r="J47" s="187"/>
      <c r="L47" s="187"/>
    </row>
    <row r="48" spans="4:12" s="191" customFormat="1" x14ac:dyDescent="0.25">
      <c r="D48" s="187"/>
      <c r="E48" s="187"/>
      <c r="F48" s="187"/>
      <c r="G48" s="187"/>
      <c r="H48" s="187"/>
      <c r="I48" s="187"/>
      <c r="J48" s="187"/>
      <c r="L48" s="187"/>
    </row>
    <row r="49" spans="4:12" s="191" customFormat="1" x14ac:dyDescent="0.25">
      <c r="D49" s="187"/>
      <c r="E49" s="187"/>
      <c r="F49" s="187"/>
      <c r="G49" s="187"/>
      <c r="H49" s="187"/>
      <c r="I49" s="187"/>
      <c r="J49" s="187"/>
      <c r="L49" s="187"/>
    </row>
    <row r="50" spans="4:12" s="191" customFormat="1" x14ac:dyDescent="0.25">
      <c r="D50" s="187"/>
      <c r="E50" s="187"/>
      <c r="F50" s="187"/>
      <c r="G50" s="187"/>
      <c r="H50" s="187"/>
      <c r="I50" s="187"/>
      <c r="J50" s="187"/>
      <c r="L50" s="187"/>
    </row>
    <row r="51" spans="4:12" s="191" customFormat="1" x14ac:dyDescent="0.25">
      <c r="D51" s="187"/>
      <c r="E51" s="187"/>
      <c r="F51" s="187"/>
      <c r="G51" s="187"/>
      <c r="H51" s="187"/>
      <c r="I51" s="187"/>
      <c r="J51" s="187"/>
      <c r="L51" s="187"/>
    </row>
    <row r="52" spans="4:12" s="191" customFormat="1" x14ac:dyDescent="0.25">
      <c r="D52" s="187"/>
      <c r="E52" s="187"/>
      <c r="F52" s="187"/>
      <c r="G52" s="187"/>
      <c r="H52" s="187"/>
      <c r="I52" s="187"/>
      <c r="J52" s="187"/>
      <c r="L52" s="187"/>
    </row>
    <row r="53" spans="4:12" s="191" customFormat="1" x14ac:dyDescent="0.25">
      <c r="D53" s="187"/>
      <c r="E53" s="187"/>
      <c r="F53" s="187"/>
      <c r="G53" s="187"/>
      <c r="H53" s="187"/>
      <c r="I53" s="187"/>
      <c r="J53" s="187"/>
      <c r="L53" s="187"/>
    </row>
    <row r="54" spans="4:12" s="191" customFormat="1" x14ac:dyDescent="0.25">
      <c r="D54" s="187"/>
      <c r="E54" s="187"/>
      <c r="F54" s="187"/>
      <c r="G54" s="187"/>
      <c r="H54" s="187"/>
      <c r="I54" s="187"/>
      <c r="J54" s="187"/>
      <c r="L54" s="187"/>
    </row>
    <row r="55" spans="4:12" s="191" customFormat="1" x14ac:dyDescent="0.25">
      <c r="D55" s="187"/>
      <c r="E55" s="187"/>
      <c r="F55" s="187"/>
      <c r="G55" s="187"/>
      <c r="H55" s="187"/>
      <c r="I55" s="187"/>
      <c r="J55" s="187"/>
      <c r="L55" s="187"/>
    </row>
    <row r="56" spans="4:12" s="191" customFormat="1" x14ac:dyDescent="0.25">
      <c r="D56" s="187"/>
      <c r="E56" s="187"/>
      <c r="F56" s="187"/>
      <c r="G56" s="187"/>
      <c r="H56" s="187"/>
      <c r="I56" s="187"/>
      <c r="J56" s="187"/>
      <c r="L56" s="187"/>
    </row>
    <row r="57" spans="4:12" s="191" customFormat="1" x14ac:dyDescent="0.25">
      <c r="D57" s="187"/>
      <c r="E57" s="187"/>
      <c r="F57" s="187"/>
      <c r="G57" s="187"/>
      <c r="H57" s="187"/>
      <c r="I57" s="187"/>
      <c r="J57" s="187"/>
      <c r="L57" s="187"/>
    </row>
    <row r="58" spans="4:12" s="191" customFormat="1" x14ac:dyDescent="0.25">
      <c r="D58" s="187"/>
      <c r="E58" s="187"/>
      <c r="F58" s="187"/>
      <c r="G58" s="187"/>
      <c r="H58" s="187"/>
      <c r="I58" s="187"/>
      <c r="J58" s="187"/>
      <c r="L58" s="187"/>
    </row>
    <row r="59" spans="4:12" s="191" customFormat="1" x14ac:dyDescent="0.25">
      <c r="D59" s="187"/>
      <c r="E59" s="187"/>
      <c r="F59" s="187"/>
      <c r="G59" s="187"/>
      <c r="H59" s="187"/>
      <c r="I59" s="187"/>
      <c r="J59" s="187"/>
      <c r="L59" s="187"/>
    </row>
    <row r="60" spans="4:12" s="191" customFormat="1" x14ac:dyDescent="0.25">
      <c r="D60" s="187"/>
      <c r="E60" s="187"/>
      <c r="F60" s="187"/>
      <c r="G60" s="187"/>
      <c r="H60" s="187"/>
      <c r="I60" s="187"/>
      <c r="J60" s="187"/>
      <c r="L60" s="187"/>
    </row>
    <row r="61" spans="4:12" s="191" customFormat="1" x14ac:dyDescent="0.25">
      <c r="D61" s="187"/>
      <c r="E61" s="187"/>
      <c r="F61" s="187"/>
      <c r="G61" s="187"/>
      <c r="H61" s="187"/>
      <c r="I61" s="187"/>
      <c r="J61" s="187"/>
      <c r="L61" s="187"/>
    </row>
  </sheetData>
  <mergeCells count="2">
    <mergeCell ref="A1:O1"/>
    <mergeCell ref="A2:O2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142"/>
  <sheetViews>
    <sheetView topLeftCell="A43" workbookViewId="0">
      <selection sqref="A1:N1"/>
    </sheetView>
  </sheetViews>
  <sheetFormatPr defaultRowHeight="12.75" x14ac:dyDescent="0.2"/>
  <cols>
    <col min="1" max="1" width="18.42578125" style="90" customWidth="1"/>
    <col min="2" max="2" width="40.5703125" style="90" customWidth="1"/>
    <col min="3" max="3" width="21.85546875" style="35" customWidth="1"/>
    <col min="4" max="16384" width="9.140625" style="3"/>
  </cols>
  <sheetData>
    <row r="1" spans="1:17" x14ac:dyDescent="0.2">
      <c r="A1" s="203" t="s">
        <v>0</v>
      </c>
      <c r="B1" s="203"/>
      <c r="C1" s="203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x14ac:dyDescent="0.2">
      <c r="A2" s="208" t="s">
        <v>480</v>
      </c>
      <c r="B2" s="203"/>
      <c r="C2" s="203"/>
    </row>
    <row r="3" spans="1:17" x14ac:dyDescent="0.2">
      <c r="A3" s="203" t="s">
        <v>3721</v>
      </c>
      <c r="B3" s="203"/>
      <c r="C3" s="203"/>
    </row>
    <row r="5" spans="1:17" x14ac:dyDescent="0.2">
      <c r="A5" s="172" t="s">
        <v>481</v>
      </c>
      <c r="B5" s="172" t="s">
        <v>482</v>
      </c>
      <c r="C5" s="173" t="s">
        <v>483</v>
      </c>
    </row>
    <row r="6" spans="1:17" x14ac:dyDescent="0.2">
      <c r="A6" s="174" t="s">
        <v>484</v>
      </c>
      <c r="B6" s="3" t="s">
        <v>485</v>
      </c>
      <c r="C6" s="175">
        <v>46522.77</v>
      </c>
    </row>
    <row r="7" spans="1:17" x14ac:dyDescent="0.2">
      <c r="A7" s="174" t="s">
        <v>486</v>
      </c>
      <c r="B7" s="3" t="s">
        <v>487</v>
      </c>
      <c r="C7" s="175">
        <v>42290.290000000015</v>
      </c>
    </row>
    <row r="8" spans="1:17" x14ac:dyDescent="0.2">
      <c r="A8" s="174" t="s">
        <v>488</v>
      </c>
      <c r="B8" s="3" t="s">
        <v>489</v>
      </c>
      <c r="C8" s="175">
        <v>50201.760000000002</v>
      </c>
    </row>
    <row r="9" spans="1:17" x14ac:dyDescent="0.2">
      <c r="A9" s="174" t="s">
        <v>490</v>
      </c>
      <c r="B9" s="3" t="s">
        <v>491</v>
      </c>
      <c r="C9" s="175">
        <v>14972.45</v>
      </c>
    </row>
    <row r="10" spans="1:17" x14ac:dyDescent="0.2">
      <c r="A10" s="174" t="s">
        <v>492</v>
      </c>
      <c r="B10" s="3" t="s">
        <v>493</v>
      </c>
      <c r="C10" s="175">
        <v>201058.8300000001</v>
      </c>
    </row>
    <row r="11" spans="1:17" x14ac:dyDescent="0.2">
      <c r="A11" s="174" t="s">
        <v>494</v>
      </c>
      <c r="B11" s="3" t="s">
        <v>495</v>
      </c>
      <c r="C11" s="175">
        <v>85910.79</v>
      </c>
    </row>
    <row r="12" spans="1:17" x14ac:dyDescent="0.2">
      <c r="A12" s="174" t="s">
        <v>496</v>
      </c>
      <c r="B12" s="3" t="s">
        <v>497</v>
      </c>
      <c r="C12" s="175">
        <v>7461.22</v>
      </c>
    </row>
    <row r="13" spans="1:17" x14ac:dyDescent="0.2">
      <c r="A13" s="174" t="s">
        <v>498</v>
      </c>
      <c r="B13" s="3" t="s">
        <v>499</v>
      </c>
      <c r="C13" s="175">
        <v>138852.71000000002</v>
      </c>
    </row>
    <row r="14" spans="1:17" x14ac:dyDescent="0.2">
      <c r="A14" s="174" t="s">
        <v>500</v>
      </c>
      <c r="B14" s="3" t="s">
        <v>501</v>
      </c>
      <c r="C14" s="175">
        <v>-7.460698725481052E-14</v>
      </c>
    </row>
    <row r="15" spans="1:17" x14ac:dyDescent="0.2">
      <c r="A15" s="174" t="s">
        <v>502</v>
      </c>
      <c r="B15" s="3" t="s">
        <v>503</v>
      </c>
      <c r="C15" s="175">
        <v>-8769.34</v>
      </c>
    </row>
    <row r="16" spans="1:17" x14ac:dyDescent="0.2">
      <c r="A16" s="174" t="s">
        <v>504</v>
      </c>
      <c r="B16" s="3" t="s">
        <v>505</v>
      </c>
      <c r="C16" s="175">
        <v>2202.3700000000003</v>
      </c>
    </row>
    <row r="17" spans="1:3" x14ac:dyDescent="0.2">
      <c r="A17" s="174" t="s">
        <v>506</v>
      </c>
      <c r="B17" s="3" t="s">
        <v>507</v>
      </c>
      <c r="C17" s="175">
        <v>654433.5299999998</v>
      </c>
    </row>
    <row r="18" spans="1:3" x14ac:dyDescent="0.2">
      <c r="A18" s="174" t="s">
        <v>508</v>
      </c>
      <c r="B18" s="3" t="s">
        <v>509</v>
      </c>
      <c r="C18" s="175">
        <v>-5673.47</v>
      </c>
    </row>
    <row r="19" spans="1:3" x14ac:dyDescent="0.2">
      <c r="A19" s="174" t="s">
        <v>510</v>
      </c>
      <c r="B19" s="3" t="s">
        <v>511</v>
      </c>
      <c r="C19" s="175">
        <v>0</v>
      </c>
    </row>
    <row r="20" spans="1:3" x14ac:dyDescent="0.2">
      <c r="A20" s="174" t="s">
        <v>512</v>
      </c>
      <c r="B20" s="3" t="s">
        <v>513</v>
      </c>
      <c r="C20" s="175">
        <v>-74.87</v>
      </c>
    </row>
    <row r="21" spans="1:3" x14ac:dyDescent="0.2">
      <c r="A21" s="174" t="s">
        <v>514</v>
      </c>
      <c r="B21" s="3" t="s">
        <v>515</v>
      </c>
      <c r="C21" s="175">
        <v>80.389999999999873</v>
      </c>
    </row>
    <row r="22" spans="1:3" x14ac:dyDescent="0.2">
      <c r="A22" s="174" t="s">
        <v>516</v>
      </c>
      <c r="B22" s="3" t="s">
        <v>517</v>
      </c>
      <c r="C22" s="175">
        <v>-1.1599999999999999</v>
      </c>
    </row>
    <row r="23" spans="1:3" x14ac:dyDescent="0.2">
      <c r="A23" s="174" t="s">
        <v>518</v>
      </c>
      <c r="B23" s="3" t="s">
        <v>519</v>
      </c>
      <c r="C23" s="175">
        <v>14149.19</v>
      </c>
    </row>
    <row r="24" spans="1:3" x14ac:dyDescent="0.2">
      <c r="A24" s="174" t="s">
        <v>520</v>
      </c>
      <c r="B24" s="3" t="s">
        <v>521</v>
      </c>
      <c r="C24" s="175">
        <v>-13789.05</v>
      </c>
    </row>
    <row r="25" spans="1:3" x14ac:dyDescent="0.2">
      <c r="A25" s="174" t="s">
        <v>522</v>
      </c>
      <c r="B25" s="3" t="s">
        <v>523</v>
      </c>
      <c r="C25" s="175">
        <v>191.1</v>
      </c>
    </row>
    <row r="26" spans="1:3" x14ac:dyDescent="0.2">
      <c r="A26" s="174" t="s">
        <v>524</v>
      </c>
      <c r="B26" s="3" t="s">
        <v>525</v>
      </c>
      <c r="C26" s="175">
        <v>-14342.5</v>
      </c>
    </row>
    <row r="27" spans="1:3" x14ac:dyDescent="0.2">
      <c r="A27" s="174" t="s">
        <v>526</v>
      </c>
      <c r="B27" s="3" t="s">
        <v>527</v>
      </c>
      <c r="C27" s="175">
        <v>-805.86</v>
      </c>
    </row>
    <row r="28" spans="1:3" x14ac:dyDescent="0.2">
      <c r="A28" s="174" t="s">
        <v>528</v>
      </c>
      <c r="B28" s="3" t="s">
        <v>529</v>
      </c>
      <c r="C28" s="175">
        <v>0</v>
      </c>
    </row>
    <row r="29" spans="1:3" x14ac:dyDescent="0.2">
      <c r="A29" s="174" t="s">
        <v>530</v>
      </c>
      <c r="B29" s="3" t="s">
        <v>531</v>
      </c>
      <c r="C29" s="175">
        <v>-17735.52</v>
      </c>
    </row>
    <row r="30" spans="1:3" x14ac:dyDescent="0.2">
      <c r="A30" s="174" t="s">
        <v>532</v>
      </c>
      <c r="B30" s="3" t="s">
        <v>533</v>
      </c>
      <c r="C30" s="175">
        <v>651.02</v>
      </c>
    </row>
    <row r="31" spans="1:3" x14ac:dyDescent="0.2">
      <c r="A31" s="174" t="s">
        <v>534</v>
      </c>
      <c r="B31" s="3" t="s">
        <v>535</v>
      </c>
      <c r="C31" s="175">
        <v>-242.83</v>
      </c>
    </row>
    <row r="32" spans="1:3" x14ac:dyDescent="0.2">
      <c r="A32" s="174" t="s">
        <v>536</v>
      </c>
      <c r="B32" s="3" t="s">
        <v>537</v>
      </c>
      <c r="C32" s="175">
        <v>-180.52</v>
      </c>
    </row>
    <row r="33" spans="1:3" x14ac:dyDescent="0.2">
      <c r="A33" s="174" t="s">
        <v>538</v>
      </c>
      <c r="B33" s="3" t="s">
        <v>539</v>
      </c>
      <c r="C33" s="175">
        <v>-159.9</v>
      </c>
    </row>
    <row r="34" spans="1:3" x14ac:dyDescent="0.2">
      <c r="A34" s="174" t="s">
        <v>540</v>
      </c>
      <c r="B34" s="3" t="s">
        <v>541</v>
      </c>
      <c r="C34" s="175">
        <v>149.22999999999999</v>
      </c>
    </row>
    <row r="35" spans="1:3" x14ac:dyDescent="0.2">
      <c r="A35" s="174" t="s">
        <v>542</v>
      </c>
      <c r="B35" s="3" t="s">
        <v>543</v>
      </c>
      <c r="C35" s="175">
        <v>0.25</v>
      </c>
    </row>
    <row r="36" spans="1:3" x14ac:dyDescent="0.2">
      <c r="A36" s="174" t="s">
        <v>544</v>
      </c>
      <c r="B36" s="3" t="s">
        <v>545</v>
      </c>
      <c r="C36" s="175">
        <v>263994.15000000014</v>
      </c>
    </row>
    <row r="37" spans="1:3" x14ac:dyDescent="0.2">
      <c r="A37" s="174" t="s">
        <v>546</v>
      </c>
      <c r="B37" s="3" t="s">
        <v>547</v>
      </c>
      <c r="C37" s="175">
        <v>-92273.349999999991</v>
      </c>
    </row>
    <row r="38" spans="1:3" x14ac:dyDescent="0.2">
      <c r="A38" s="174" t="s">
        <v>548</v>
      </c>
      <c r="B38" s="3" t="s">
        <v>549</v>
      </c>
      <c r="C38" s="175">
        <v>181.08</v>
      </c>
    </row>
    <row r="39" spans="1:3" x14ac:dyDescent="0.2">
      <c r="A39" s="174" t="s">
        <v>550</v>
      </c>
      <c r="B39" s="3" t="s">
        <v>551</v>
      </c>
      <c r="C39" s="175">
        <v>-11261.88</v>
      </c>
    </row>
    <row r="40" spans="1:3" x14ac:dyDescent="0.2">
      <c r="A40" s="174" t="s">
        <v>552</v>
      </c>
      <c r="B40" s="3" t="s">
        <v>553</v>
      </c>
      <c r="C40" s="175">
        <v>43882.25</v>
      </c>
    </row>
    <row r="41" spans="1:3" x14ac:dyDescent="0.2">
      <c r="A41" s="174" t="s">
        <v>554</v>
      </c>
      <c r="B41" s="3" t="s">
        <v>555</v>
      </c>
      <c r="C41" s="175">
        <v>0</v>
      </c>
    </row>
    <row r="42" spans="1:3" x14ac:dyDescent="0.2">
      <c r="A42" s="174" t="s">
        <v>556</v>
      </c>
      <c r="B42" s="3" t="s">
        <v>557</v>
      </c>
      <c r="C42" s="175">
        <v>401789.52000000008</v>
      </c>
    </row>
    <row r="43" spans="1:3" x14ac:dyDescent="0.2">
      <c r="A43" s="174" t="s">
        <v>558</v>
      </c>
      <c r="B43" s="3" t="s">
        <v>559</v>
      </c>
      <c r="C43" s="175">
        <v>0</v>
      </c>
    </row>
    <row r="44" spans="1:3" x14ac:dyDescent="0.2">
      <c r="A44" s="174" t="s">
        <v>560</v>
      </c>
      <c r="B44" s="3" t="s">
        <v>561</v>
      </c>
      <c r="C44" s="175">
        <v>-9785</v>
      </c>
    </row>
    <row r="45" spans="1:3" x14ac:dyDescent="0.2">
      <c r="A45" s="174" t="s">
        <v>562</v>
      </c>
      <c r="B45" s="3" t="s">
        <v>563</v>
      </c>
      <c r="C45" s="175">
        <v>-1.5916157281026244E-11</v>
      </c>
    </row>
    <row r="46" spans="1:3" x14ac:dyDescent="0.2">
      <c r="A46" s="174" t="s">
        <v>564</v>
      </c>
      <c r="B46" s="3" t="s">
        <v>565</v>
      </c>
      <c r="C46" s="175">
        <v>145.19999999999999</v>
      </c>
    </row>
    <row r="47" spans="1:3" x14ac:dyDescent="0.2">
      <c r="A47" s="174" t="s">
        <v>566</v>
      </c>
      <c r="B47" s="3" t="s">
        <v>567</v>
      </c>
      <c r="C47" s="175">
        <v>-1576765.2199999997</v>
      </c>
    </row>
    <row r="48" spans="1:3" x14ac:dyDescent="0.2">
      <c r="A48" s="174" t="s">
        <v>568</v>
      </c>
      <c r="B48" s="3" t="s">
        <v>569</v>
      </c>
      <c r="C48" s="175">
        <v>-384933.91</v>
      </c>
    </row>
    <row r="49" spans="1:3" x14ac:dyDescent="0.2">
      <c r="A49" s="174" t="s">
        <v>570</v>
      </c>
      <c r="B49" s="3" t="s">
        <v>571</v>
      </c>
      <c r="C49" s="175">
        <v>-308.82</v>
      </c>
    </row>
    <row r="50" spans="1:3" x14ac:dyDescent="0.2">
      <c r="A50" s="174" t="s">
        <v>572</v>
      </c>
      <c r="B50" s="3" t="s">
        <v>573</v>
      </c>
      <c r="C50" s="175">
        <v>-977.9</v>
      </c>
    </row>
    <row r="51" spans="1:3" x14ac:dyDescent="0.2">
      <c r="A51" s="174" t="s">
        <v>574</v>
      </c>
      <c r="B51" s="3" t="s">
        <v>575</v>
      </c>
      <c r="C51" s="175">
        <v>175213.39000000118</v>
      </c>
    </row>
    <row r="52" spans="1:3" x14ac:dyDescent="0.2">
      <c r="A52" s="174" t="s">
        <v>576</v>
      </c>
      <c r="B52" s="3" t="s">
        <v>577</v>
      </c>
      <c r="C52" s="175">
        <v>12515402.259999992</v>
      </c>
    </row>
    <row r="53" spans="1:3" x14ac:dyDescent="0.2">
      <c r="A53" s="174" t="s">
        <v>578</v>
      </c>
      <c r="B53" s="3" t="s">
        <v>579</v>
      </c>
      <c r="C53" s="175">
        <v>-3663.3100000000004</v>
      </c>
    </row>
    <row r="54" spans="1:3" x14ac:dyDescent="0.2">
      <c r="A54" s="174" t="s">
        <v>580</v>
      </c>
      <c r="B54" s="3" t="s">
        <v>581</v>
      </c>
      <c r="C54" s="175">
        <v>2123.6900000000005</v>
      </c>
    </row>
    <row r="55" spans="1:3" x14ac:dyDescent="0.2">
      <c r="A55" s="174" t="s">
        <v>582</v>
      </c>
      <c r="B55" s="3" t="s">
        <v>583</v>
      </c>
      <c r="C55" s="175">
        <v>1929856.6400000001</v>
      </c>
    </row>
    <row r="56" spans="1:3" x14ac:dyDescent="0.2">
      <c r="A56" s="174" t="s">
        <v>584</v>
      </c>
      <c r="B56" s="3" t="s">
        <v>585</v>
      </c>
      <c r="C56" s="175">
        <v>358976.03000000014</v>
      </c>
    </row>
    <row r="57" spans="1:3" x14ac:dyDescent="0.2">
      <c r="A57" s="174" t="s">
        <v>586</v>
      </c>
      <c r="B57" s="3" t="s">
        <v>587</v>
      </c>
      <c r="C57" s="175">
        <v>1680197.2600000002</v>
      </c>
    </row>
    <row r="58" spans="1:3" x14ac:dyDescent="0.2">
      <c r="A58" s="174" t="s">
        <v>588</v>
      </c>
      <c r="B58" s="3" t="s">
        <v>589</v>
      </c>
      <c r="C58" s="175">
        <v>5073670.3299999945</v>
      </c>
    </row>
    <row r="59" spans="1:3" x14ac:dyDescent="0.2">
      <c r="A59" s="174" t="s">
        <v>590</v>
      </c>
      <c r="B59" s="3" t="s">
        <v>591</v>
      </c>
      <c r="C59" s="175">
        <v>15331.269999999999</v>
      </c>
    </row>
    <row r="60" spans="1:3" x14ac:dyDescent="0.2">
      <c r="A60" s="174" t="s">
        <v>592</v>
      </c>
      <c r="B60" s="3" t="s">
        <v>593</v>
      </c>
      <c r="C60" s="175">
        <v>-1655.62</v>
      </c>
    </row>
    <row r="61" spans="1:3" x14ac:dyDescent="0.2">
      <c r="A61" s="174" t="s">
        <v>594</v>
      </c>
      <c r="B61" s="3" t="s">
        <v>595</v>
      </c>
      <c r="C61" s="175">
        <v>0</v>
      </c>
    </row>
    <row r="62" spans="1:3" x14ac:dyDescent="0.2">
      <c r="A62" s="174" t="s">
        <v>596</v>
      </c>
      <c r="B62" s="3" t="s">
        <v>597</v>
      </c>
      <c r="C62" s="175">
        <v>52358.109999999979</v>
      </c>
    </row>
    <row r="63" spans="1:3" x14ac:dyDescent="0.2">
      <c r="A63" s="174" t="s">
        <v>598</v>
      </c>
      <c r="B63" s="3" t="s">
        <v>599</v>
      </c>
      <c r="C63" s="175">
        <v>-90789.22</v>
      </c>
    </row>
    <row r="64" spans="1:3" x14ac:dyDescent="0.2">
      <c r="A64" s="174" t="s">
        <v>600</v>
      </c>
      <c r="B64" s="3" t="s">
        <v>601</v>
      </c>
      <c r="C64" s="175">
        <v>1259107.3199999998</v>
      </c>
    </row>
    <row r="65" spans="1:3" x14ac:dyDescent="0.2">
      <c r="A65" s="174" t="s">
        <v>602</v>
      </c>
      <c r="B65" s="3" t="s">
        <v>603</v>
      </c>
      <c r="C65" s="175">
        <v>127370.76000000001</v>
      </c>
    </row>
    <row r="66" spans="1:3" x14ac:dyDescent="0.2">
      <c r="A66" s="174" t="s">
        <v>604</v>
      </c>
      <c r="B66" s="3" t="s">
        <v>605</v>
      </c>
      <c r="C66" s="175">
        <v>711445.68</v>
      </c>
    </row>
    <row r="67" spans="1:3" x14ac:dyDescent="0.2">
      <c r="A67" s="174" t="s">
        <v>606</v>
      </c>
      <c r="B67" s="3" t="s">
        <v>607</v>
      </c>
      <c r="C67" s="175">
        <v>2385.239999999998</v>
      </c>
    </row>
    <row r="68" spans="1:3" x14ac:dyDescent="0.2">
      <c r="A68" s="174" t="s">
        <v>608</v>
      </c>
      <c r="B68" s="3" t="s">
        <v>609</v>
      </c>
      <c r="C68" s="175">
        <v>1575.12</v>
      </c>
    </row>
    <row r="69" spans="1:3" x14ac:dyDescent="0.2">
      <c r="A69" s="174" t="s">
        <v>610</v>
      </c>
      <c r="B69" s="3" t="s">
        <v>611</v>
      </c>
      <c r="C69" s="175">
        <v>961.68</v>
      </c>
    </row>
    <row r="70" spans="1:3" x14ac:dyDescent="0.2">
      <c r="A70" s="174" t="s">
        <v>612</v>
      </c>
      <c r="B70" s="3" t="s">
        <v>613</v>
      </c>
      <c r="C70" s="175">
        <v>-50114.28</v>
      </c>
    </row>
    <row r="71" spans="1:3" x14ac:dyDescent="0.2">
      <c r="A71" s="174" t="s">
        <v>614</v>
      </c>
      <c r="B71" s="3" t="s">
        <v>615</v>
      </c>
      <c r="C71" s="175">
        <v>-725.5</v>
      </c>
    </row>
    <row r="72" spans="1:3" x14ac:dyDescent="0.2">
      <c r="A72" s="174" t="s">
        <v>616</v>
      </c>
      <c r="B72" s="3" t="s">
        <v>617</v>
      </c>
      <c r="C72" s="175">
        <v>512166.81999999966</v>
      </c>
    </row>
    <row r="73" spans="1:3" x14ac:dyDescent="0.2">
      <c r="A73" s="174" t="s">
        <v>618</v>
      </c>
      <c r="B73" s="3" t="s">
        <v>619</v>
      </c>
      <c r="C73" s="175">
        <v>467.48</v>
      </c>
    </row>
    <row r="74" spans="1:3" x14ac:dyDescent="0.2">
      <c r="A74" s="174" t="s">
        <v>620</v>
      </c>
      <c r="B74" s="3" t="s">
        <v>621</v>
      </c>
      <c r="C74" s="175">
        <v>526479.41</v>
      </c>
    </row>
    <row r="75" spans="1:3" x14ac:dyDescent="0.2">
      <c r="A75" s="174" t="s">
        <v>622</v>
      </c>
      <c r="B75" s="3" t="s">
        <v>623</v>
      </c>
      <c r="C75" s="175">
        <v>2690446.0900000026</v>
      </c>
    </row>
    <row r="76" spans="1:3" x14ac:dyDescent="0.2">
      <c r="A76" s="174" t="s">
        <v>624</v>
      </c>
      <c r="B76" s="3" t="s">
        <v>625</v>
      </c>
      <c r="C76" s="175">
        <v>1919425.66</v>
      </c>
    </row>
    <row r="77" spans="1:3" x14ac:dyDescent="0.2">
      <c r="A77" s="174" t="s">
        <v>626</v>
      </c>
      <c r="B77" s="3" t="s">
        <v>627</v>
      </c>
      <c r="C77" s="175">
        <v>805936.7</v>
      </c>
    </row>
    <row r="78" spans="1:3" x14ac:dyDescent="0.2">
      <c r="A78" s="174" t="s">
        <v>628</v>
      </c>
      <c r="B78" s="3" t="s">
        <v>629</v>
      </c>
      <c r="C78" s="175">
        <v>1250</v>
      </c>
    </row>
    <row r="79" spans="1:3" x14ac:dyDescent="0.2">
      <c r="A79" s="174" t="s">
        <v>630</v>
      </c>
      <c r="B79" s="3" t="s">
        <v>631</v>
      </c>
      <c r="C79" s="175">
        <v>147378.38999999998</v>
      </c>
    </row>
    <row r="80" spans="1:3" x14ac:dyDescent="0.2">
      <c r="A80" s="174" t="s">
        <v>632</v>
      </c>
      <c r="B80" s="3" t="s">
        <v>633</v>
      </c>
      <c r="C80" s="175">
        <v>1439959.6899999995</v>
      </c>
    </row>
    <row r="81" spans="1:3" x14ac:dyDescent="0.2">
      <c r="A81" s="174" t="s">
        <v>634</v>
      </c>
      <c r="B81" s="3" t="s">
        <v>635</v>
      </c>
      <c r="C81" s="175">
        <v>288428.71999999991</v>
      </c>
    </row>
    <row r="82" spans="1:3" x14ac:dyDescent="0.2">
      <c r="A82" s="174" t="s">
        <v>636</v>
      </c>
      <c r="B82" s="3" t="s">
        <v>637</v>
      </c>
      <c r="C82" s="175">
        <v>68567.95</v>
      </c>
    </row>
    <row r="83" spans="1:3" x14ac:dyDescent="0.2">
      <c r="A83" s="174" t="s">
        <v>638</v>
      </c>
      <c r="B83" s="3" t="s">
        <v>639</v>
      </c>
      <c r="C83" s="175">
        <v>64938</v>
      </c>
    </row>
    <row r="84" spans="1:3" x14ac:dyDescent="0.2">
      <c r="A84" s="174" t="s">
        <v>640</v>
      </c>
      <c r="B84" s="3" t="s">
        <v>641</v>
      </c>
      <c r="C84" s="175">
        <v>62117.36</v>
      </c>
    </row>
    <row r="85" spans="1:3" x14ac:dyDescent="0.2">
      <c r="A85" s="174" t="s">
        <v>642</v>
      </c>
      <c r="B85" s="3" t="s">
        <v>643</v>
      </c>
      <c r="C85" s="175">
        <v>22953.45</v>
      </c>
    </row>
    <row r="86" spans="1:3" x14ac:dyDescent="0.2">
      <c r="A86" s="174" t="s">
        <v>644</v>
      </c>
      <c r="B86" s="3" t="s">
        <v>645</v>
      </c>
      <c r="C86" s="175">
        <v>38525.079999999994</v>
      </c>
    </row>
    <row r="87" spans="1:3" x14ac:dyDescent="0.2">
      <c r="A87" s="174" t="s">
        <v>646</v>
      </c>
      <c r="B87" s="3" t="s">
        <v>647</v>
      </c>
      <c r="C87" s="175">
        <v>924194.7999999997</v>
      </c>
    </row>
    <row r="88" spans="1:3" x14ac:dyDescent="0.2">
      <c r="A88" s="174" t="s">
        <v>648</v>
      </c>
      <c r="B88" s="3" t="s">
        <v>649</v>
      </c>
      <c r="C88" s="175">
        <v>421790.41000000003</v>
      </c>
    </row>
    <row r="89" spans="1:3" x14ac:dyDescent="0.2">
      <c r="A89" s="174" t="s">
        <v>650</v>
      </c>
      <c r="B89" s="3" t="s">
        <v>651</v>
      </c>
      <c r="C89" s="175">
        <v>206931.32</v>
      </c>
    </row>
    <row r="90" spans="1:3" x14ac:dyDescent="0.2">
      <c r="A90" s="174" t="s">
        <v>652</v>
      </c>
      <c r="B90" s="3" t="s">
        <v>653</v>
      </c>
      <c r="C90" s="175">
        <v>245601.38</v>
      </c>
    </row>
    <row r="91" spans="1:3" x14ac:dyDescent="0.2">
      <c r="A91" s="174" t="s">
        <v>654</v>
      </c>
      <c r="B91" s="3" t="s">
        <v>655</v>
      </c>
      <c r="C91" s="175">
        <v>461480.7</v>
      </c>
    </row>
    <row r="92" spans="1:3" x14ac:dyDescent="0.2">
      <c r="A92" s="174" t="s">
        <v>656</v>
      </c>
      <c r="B92" s="3" t="s">
        <v>657</v>
      </c>
      <c r="C92" s="175">
        <v>30094.6</v>
      </c>
    </row>
    <row r="93" spans="1:3" x14ac:dyDescent="0.2">
      <c r="A93" s="174" t="s">
        <v>658</v>
      </c>
      <c r="B93" s="3" t="s">
        <v>659</v>
      </c>
      <c r="C93" s="175">
        <v>570816.03</v>
      </c>
    </row>
    <row r="94" spans="1:3" x14ac:dyDescent="0.2">
      <c r="A94" s="174" t="s">
        <v>660</v>
      </c>
      <c r="B94" s="3" t="s">
        <v>661</v>
      </c>
      <c r="C94" s="175">
        <v>945109.8600000001</v>
      </c>
    </row>
    <row r="95" spans="1:3" x14ac:dyDescent="0.2">
      <c r="A95" s="174" t="s">
        <v>662</v>
      </c>
      <c r="B95" s="3" t="s">
        <v>663</v>
      </c>
      <c r="C95" s="175">
        <v>360782.62000000011</v>
      </c>
    </row>
    <row r="96" spans="1:3" x14ac:dyDescent="0.2">
      <c r="A96" s="174" t="s">
        <v>664</v>
      </c>
      <c r="B96" s="3" t="s">
        <v>665</v>
      </c>
      <c r="C96" s="175">
        <v>1887875.43</v>
      </c>
    </row>
    <row r="97" spans="1:3" x14ac:dyDescent="0.2">
      <c r="A97" s="174" t="s">
        <v>666</v>
      </c>
      <c r="B97" s="3" t="s">
        <v>667</v>
      </c>
      <c r="C97" s="175">
        <v>-6004.18</v>
      </c>
    </row>
    <row r="98" spans="1:3" x14ac:dyDescent="0.2">
      <c r="A98" s="174" t="s">
        <v>668</v>
      </c>
      <c r="B98" s="3" t="s">
        <v>669</v>
      </c>
      <c r="C98" s="175">
        <v>155697.19</v>
      </c>
    </row>
    <row r="99" spans="1:3" x14ac:dyDescent="0.2">
      <c r="A99" s="174" t="s">
        <v>670</v>
      </c>
      <c r="B99" s="3" t="s">
        <v>671</v>
      </c>
      <c r="C99" s="175">
        <v>341589.67000000004</v>
      </c>
    </row>
    <row r="100" spans="1:3" x14ac:dyDescent="0.2">
      <c r="A100" s="174" t="s">
        <v>672</v>
      </c>
      <c r="B100" s="3" t="s">
        <v>673</v>
      </c>
      <c r="C100" s="175">
        <v>417439.3899999999</v>
      </c>
    </row>
    <row r="101" spans="1:3" x14ac:dyDescent="0.2">
      <c r="A101" s="174" t="s">
        <v>674</v>
      </c>
      <c r="B101" s="3" t="s">
        <v>675</v>
      </c>
      <c r="C101" s="175">
        <v>6186.5299999999943</v>
      </c>
    </row>
    <row r="102" spans="1:3" x14ac:dyDescent="0.2">
      <c r="A102" s="174" t="s">
        <v>676</v>
      </c>
      <c r="B102" s="3" t="s">
        <v>677</v>
      </c>
      <c r="C102" s="175">
        <v>149291.89000000007</v>
      </c>
    </row>
    <row r="103" spans="1:3" x14ac:dyDescent="0.2">
      <c r="A103" s="174" t="s">
        <v>678</v>
      </c>
      <c r="B103" s="3" t="s">
        <v>679</v>
      </c>
      <c r="C103" s="175">
        <v>3108.4700000000003</v>
      </c>
    </row>
    <row r="104" spans="1:3" x14ac:dyDescent="0.2">
      <c r="A104" s="174" t="s">
        <v>680</v>
      </c>
      <c r="B104" s="3" t="s">
        <v>681</v>
      </c>
      <c r="C104" s="175">
        <v>477.97999999999956</v>
      </c>
    </row>
    <row r="105" spans="1:3" x14ac:dyDescent="0.2">
      <c r="A105" s="174" t="s">
        <v>682</v>
      </c>
      <c r="B105" s="3" t="s">
        <v>683</v>
      </c>
      <c r="C105" s="175">
        <v>195139.5</v>
      </c>
    </row>
    <row r="106" spans="1:3" x14ac:dyDescent="0.2">
      <c r="A106" s="174" t="s">
        <v>684</v>
      </c>
      <c r="B106" s="3" t="s">
        <v>685</v>
      </c>
      <c r="C106" s="175">
        <v>196392.39</v>
      </c>
    </row>
    <row r="107" spans="1:3" x14ac:dyDescent="0.2">
      <c r="A107" s="174" t="s">
        <v>686</v>
      </c>
      <c r="B107" s="3" t="s">
        <v>687</v>
      </c>
      <c r="C107" s="175">
        <v>260183.82999999984</v>
      </c>
    </row>
    <row r="108" spans="1:3" x14ac:dyDescent="0.2">
      <c r="A108" s="174" t="s">
        <v>688</v>
      </c>
      <c r="B108" s="3" t="s">
        <v>689</v>
      </c>
      <c r="C108" s="175">
        <v>881370.93999999983</v>
      </c>
    </row>
    <row r="109" spans="1:3" x14ac:dyDescent="0.2">
      <c r="A109" s="174" t="s">
        <v>690</v>
      </c>
      <c r="B109" s="3" t="s">
        <v>691</v>
      </c>
      <c r="C109" s="175">
        <v>185536.70000000016</v>
      </c>
    </row>
    <row r="110" spans="1:3" x14ac:dyDescent="0.2">
      <c r="A110" s="174" t="s">
        <v>692</v>
      </c>
      <c r="B110" s="3" t="s">
        <v>693</v>
      </c>
      <c r="C110" s="175">
        <v>-12429.119999999988</v>
      </c>
    </row>
    <row r="111" spans="1:3" x14ac:dyDescent="0.2">
      <c r="A111" s="174" t="s">
        <v>694</v>
      </c>
      <c r="B111" s="3" t="s">
        <v>695</v>
      </c>
      <c r="C111" s="175">
        <v>0</v>
      </c>
    </row>
    <row r="112" spans="1:3" x14ac:dyDescent="0.2">
      <c r="A112" s="174" t="s">
        <v>696</v>
      </c>
      <c r="B112" s="3" t="s">
        <v>697</v>
      </c>
      <c r="C112" s="175">
        <v>51217.549999999988</v>
      </c>
    </row>
    <row r="113" spans="1:3" x14ac:dyDescent="0.2">
      <c r="A113" s="174" t="s">
        <v>698</v>
      </c>
      <c r="B113" s="3" t="s">
        <v>699</v>
      </c>
      <c r="C113" s="175">
        <v>-112.29</v>
      </c>
    </row>
    <row r="114" spans="1:3" x14ac:dyDescent="0.2">
      <c r="A114" s="174" t="s">
        <v>700</v>
      </c>
      <c r="B114" s="3" t="s">
        <v>701</v>
      </c>
      <c r="C114" s="175">
        <v>6392.26</v>
      </c>
    </row>
    <row r="115" spans="1:3" x14ac:dyDescent="0.2">
      <c r="A115" s="174" t="s">
        <v>702</v>
      </c>
      <c r="B115" s="3" t="s">
        <v>703</v>
      </c>
      <c r="C115" s="175">
        <v>26468.729999999996</v>
      </c>
    </row>
    <row r="116" spans="1:3" x14ac:dyDescent="0.2">
      <c r="A116" s="174" t="s">
        <v>704</v>
      </c>
      <c r="B116" s="3" t="s">
        <v>705</v>
      </c>
      <c r="C116" s="175">
        <v>1127253.8800000001</v>
      </c>
    </row>
    <row r="117" spans="1:3" x14ac:dyDescent="0.2">
      <c r="A117" s="174" t="s">
        <v>706</v>
      </c>
      <c r="B117" s="3" t="s">
        <v>707</v>
      </c>
      <c r="C117" s="175">
        <v>109650.6200000001</v>
      </c>
    </row>
    <row r="118" spans="1:3" x14ac:dyDescent="0.2">
      <c r="A118" s="174" t="s">
        <v>708</v>
      </c>
      <c r="B118" s="3" t="s">
        <v>709</v>
      </c>
      <c r="C118" s="175">
        <v>608078.25</v>
      </c>
    </row>
    <row r="119" spans="1:3" x14ac:dyDescent="0.2">
      <c r="A119" s="174" t="s">
        <v>710</v>
      </c>
      <c r="B119" s="3" t="s">
        <v>711</v>
      </c>
      <c r="C119" s="175">
        <v>481489.16000000009</v>
      </c>
    </row>
    <row r="120" spans="1:3" x14ac:dyDescent="0.2">
      <c r="A120" s="174" t="s">
        <v>712</v>
      </c>
      <c r="B120" s="3" t="s">
        <v>713</v>
      </c>
      <c r="C120" s="175">
        <v>237075.61000000002</v>
      </c>
    </row>
    <row r="121" spans="1:3" x14ac:dyDescent="0.2">
      <c r="A121" s="174" t="s">
        <v>714</v>
      </c>
      <c r="B121" s="3" t="s">
        <v>715</v>
      </c>
      <c r="C121" s="175">
        <v>159650.13999999998</v>
      </c>
    </row>
    <row r="122" spans="1:3" x14ac:dyDescent="0.2">
      <c r="A122" s="174" t="s">
        <v>716</v>
      </c>
      <c r="B122" s="3" t="s">
        <v>717</v>
      </c>
      <c r="C122" s="175">
        <v>134694.56</v>
      </c>
    </row>
    <row r="123" spans="1:3" x14ac:dyDescent="0.2">
      <c r="A123" s="174" t="s">
        <v>718</v>
      </c>
      <c r="B123" s="3" t="s">
        <v>719</v>
      </c>
      <c r="C123" s="175">
        <v>1576169.6500000008</v>
      </c>
    </row>
    <row r="124" spans="1:3" x14ac:dyDescent="0.2">
      <c r="A124" s="174" t="s">
        <v>720</v>
      </c>
      <c r="B124" s="3" t="s">
        <v>721</v>
      </c>
      <c r="C124" s="175">
        <v>176363.63</v>
      </c>
    </row>
    <row r="125" spans="1:3" x14ac:dyDescent="0.2">
      <c r="A125" s="174" t="s">
        <v>722</v>
      </c>
      <c r="B125" s="3" t="s">
        <v>723</v>
      </c>
      <c r="C125" s="175">
        <v>-29099.970000000005</v>
      </c>
    </row>
    <row r="126" spans="1:3" x14ac:dyDescent="0.2">
      <c r="A126" s="174" t="s">
        <v>724</v>
      </c>
      <c r="B126" s="3" t="s">
        <v>725</v>
      </c>
      <c r="C126" s="175">
        <v>244.83999999999997</v>
      </c>
    </row>
    <row r="127" spans="1:3" x14ac:dyDescent="0.2">
      <c r="A127" s="174" t="s">
        <v>726</v>
      </c>
      <c r="B127" s="3" t="s">
        <v>727</v>
      </c>
      <c r="C127" s="175">
        <v>20375.430000000004</v>
      </c>
    </row>
    <row r="128" spans="1:3" x14ac:dyDescent="0.2">
      <c r="A128" s="174" t="s">
        <v>728</v>
      </c>
      <c r="B128" s="3" t="s">
        <v>729</v>
      </c>
      <c r="C128" s="175">
        <v>85535.58999999988</v>
      </c>
    </row>
    <row r="129" spans="1:3" x14ac:dyDescent="0.2">
      <c r="A129" s="174" t="s">
        <v>730</v>
      </c>
      <c r="B129" s="3" t="s">
        <v>731</v>
      </c>
      <c r="C129" s="175">
        <v>1172510.3599999992</v>
      </c>
    </row>
    <row r="130" spans="1:3" x14ac:dyDescent="0.2">
      <c r="A130" s="174" t="s">
        <v>732</v>
      </c>
      <c r="B130" s="3" t="s">
        <v>733</v>
      </c>
      <c r="C130" s="175">
        <v>82768.570000000007</v>
      </c>
    </row>
    <row r="131" spans="1:3" x14ac:dyDescent="0.2">
      <c r="A131" s="174" t="s">
        <v>734</v>
      </c>
      <c r="B131" s="3" t="s">
        <v>735</v>
      </c>
      <c r="C131" s="175">
        <v>319678.09999999998</v>
      </c>
    </row>
    <row r="132" spans="1:3" x14ac:dyDescent="0.2">
      <c r="A132" s="174" t="s">
        <v>736</v>
      </c>
      <c r="B132" s="3" t="s">
        <v>737</v>
      </c>
      <c r="C132" s="175">
        <v>-48634.009999999995</v>
      </c>
    </row>
    <row r="133" spans="1:3" x14ac:dyDescent="0.2">
      <c r="A133" s="174" t="s">
        <v>738</v>
      </c>
      <c r="B133" s="3" t="s">
        <v>739</v>
      </c>
      <c r="C133" s="175">
        <v>16714.540000000008</v>
      </c>
    </row>
    <row r="134" spans="1:3" x14ac:dyDescent="0.2">
      <c r="A134" s="174" t="s">
        <v>740</v>
      </c>
      <c r="B134" s="3" t="s">
        <v>741</v>
      </c>
      <c r="C134" s="175">
        <v>1639.1199999999953</v>
      </c>
    </row>
    <row r="135" spans="1:3" x14ac:dyDescent="0.2">
      <c r="A135" s="174" t="s">
        <v>742</v>
      </c>
      <c r="B135" s="3" t="s">
        <v>743</v>
      </c>
      <c r="C135" s="175">
        <v>500796.44000000024</v>
      </c>
    </row>
    <row r="136" spans="1:3" x14ac:dyDescent="0.2">
      <c r="A136" s="174" t="s">
        <v>744</v>
      </c>
      <c r="B136" s="3" t="s">
        <v>745</v>
      </c>
      <c r="C136" s="175">
        <v>-47.45</v>
      </c>
    </row>
    <row r="137" spans="1:3" x14ac:dyDescent="0.2">
      <c r="A137" s="174" t="s">
        <v>746</v>
      </c>
      <c r="B137" s="3" t="s">
        <v>747</v>
      </c>
      <c r="C137" s="175">
        <v>5910.1399999999967</v>
      </c>
    </row>
    <row r="138" spans="1:3" x14ac:dyDescent="0.2">
      <c r="A138" s="174" t="s">
        <v>748</v>
      </c>
      <c r="B138" s="3" t="s">
        <v>749</v>
      </c>
      <c r="C138" s="175">
        <v>-16800</v>
      </c>
    </row>
    <row r="139" spans="1:3" x14ac:dyDescent="0.2">
      <c r="A139" s="174" t="s">
        <v>750</v>
      </c>
      <c r="B139" s="3" t="s">
        <v>751</v>
      </c>
      <c r="C139" s="175">
        <v>211685.59000000003</v>
      </c>
    </row>
    <row r="140" spans="1:3" x14ac:dyDescent="0.2">
      <c r="A140" s="174" t="s">
        <v>752</v>
      </c>
      <c r="B140" s="3" t="s">
        <v>753</v>
      </c>
      <c r="C140" s="175">
        <v>95095.739999999962</v>
      </c>
    </row>
    <row r="141" spans="1:3" x14ac:dyDescent="0.2">
      <c r="A141" s="174" t="s">
        <v>754</v>
      </c>
      <c r="B141" s="3" t="s">
        <v>755</v>
      </c>
      <c r="C141" s="175">
        <v>187447.35000000003</v>
      </c>
    </row>
    <row r="142" spans="1:3" x14ac:dyDescent="0.2">
      <c r="A142" s="174" t="s">
        <v>756</v>
      </c>
      <c r="B142" s="3" t="s">
        <v>757</v>
      </c>
      <c r="C142" s="175">
        <v>4829.5600000000004</v>
      </c>
    </row>
    <row r="143" spans="1:3" x14ac:dyDescent="0.2">
      <c r="A143" s="174" t="s">
        <v>758</v>
      </c>
      <c r="B143" s="3" t="s">
        <v>759</v>
      </c>
      <c r="C143" s="175">
        <v>-75104.11</v>
      </c>
    </row>
    <row r="144" spans="1:3" x14ac:dyDescent="0.2">
      <c r="A144" s="174" t="s">
        <v>760</v>
      </c>
      <c r="B144" s="3" t="s">
        <v>761</v>
      </c>
      <c r="C144" s="175">
        <v>-64236.109999999986</v>
      </c>
    </row>
    <row r="145" spans="1:3" x14ac:dyDescent="0.2">
      <c r="A145" s="174" t="s">
        <v>762</v>
      </c>
      <c r="B145" s="3" t="s">
        <v>763</v>
      </c>
      <c r="C145" s="175">
        <v>475576.66000000056</v>
      </c>
    </row>
    <row r="146" spans="1:3" x14ac:dyDescent="0.2">
      <c r="A146" s="174" t="s">
        <v>764</v>
      </c>
      <c r="B146" s="3" t="s">
        <v>765</v>
      </c>
      <c r="C146" s="175">
        <v>6600.2100000000019</v>
      </c>
    </row>
    <row r="147" spans="1:3" x14ac:dyDescent="0.2">
      <c r="A147" s="174" t="s">
        <v>766</v>
      </c>
      <c r="B147" s="3" t="s">
        <v>767</v>
      </c>
      <c r="C147" s="175">
        <v>72811.67</v>
      </c>
    </row>
    <row r="148" spans="1:3" x14ac:dyDescent="0.2">
      <c r="A148" s="174" t="s">
        <v>768</v>
      </c>
      <c r="B148" s="3" t="s">
        <v>769</v>
      </c>
      <c r="C148" s="175">
        <v>236590.57000000004</v>
      </c>
    </row>
    <row r="149" spans="1:3" x14ac:dyDescent="0.2">
      <c r="A149" s="174" t="s">
        <v>770</v>
      </c>
      <c r="B149" s="3" t="s">
        <v>771</v>
      </c>
      <c r="C149" s="175">
        <v>7993.5</v>
      </c>
    </row>
    <row r="150" spans="1:3" x14ac:dyDescent="0.2">
      <c r="A150" s="174" t="s">
        <v>772</v>
      </c>
      <c r="B150" s="3" t="s">
        <v>773</v>
      </c>
      <c r="C150" s="175">
        <v>-7993.5</v>
      </c>
    </row>
    <row r="151" spans="1:3" x14ac:dyDescent="0.2">
      <c r="A151" s="174" t="s">
        <v>774</v>
      </c>
      <c r="B151" s="3" t="s">
        <v>775</v>
      </c>
      <c r="C151" s="175">
        <v>232300.48</v>
      </c>
    </row>
    <row r="152" spans="1:3" x14ac:dyDescent="0.2">
      <c r="A152" s="174" t="s">
        <v>776</v>
      </c>
      <c r="B152" s="3" t="s">
        <v>777</v>
      </c>
      <c r="C152" s="175">
        <v>9752.2999999999993</v>
      </c>
    </row>
    <row r="153" spans="1:3" x14ac:dyDescent="0.2">
      <c r="A153" s="174" t="s">
        <v>778</v>
      </c>
      <c r="B153" s="3" t="s">
        <v>779</v>
      </c>
      <c r="C153" s="175">
        <v>815684.24</v>
      </c>
    </row>
    <row r="154" spans="1:3" x14ac:dyDescent="0.2">
      <c r="A154" s="174" t="s">
        <v>780</v>
      </c>
      <c r="B154" s="3" t="s">
        <v>781</v>
      </c>
      <c r="C154" s="175">
        <v>42768.210000000123</v>
      </c>
    </row>
    <row r="155" spans="1:3" x14ac:dyDescent="0.2">
      <c r="A155" s="174" t="s">
        <v>782</v>
      </c>
      <c r="B155" s="3" t="s">
        <v>783</v>
      </c>
      <c r="C155" s="175">
        <v>76733.580000000016</v>
      </c>
    </row>
    <row r="156" spans="1:3" x14ac:dyDescent="0.2">
      <c r="A156" s="174" t="s">
        <v>784</v>
      </c>
      <c r="B156" s="3" t="s">
        <v>785</v>
      </c>
      <c r="C156" s="175">
        <v>-1506.6299999997136</v>
      </c>
    </row>
    <row r="157" spans="1:3" x14ac:dyDescent="0.2">
      <c r="A157" s="174" t="s">
        <v>786</v>
      </c>
      <c r="B157" s="3" t="s">
        <v>787</v>
      </c>
      <c r="C157" s="175">
        <v>-2.5612512111194974E-11</v>
      </c>
    </row>
    <row r="158" spans="1:3" x14ac:dyDescent="0.2">
      <c r="A158" s="174" t="s">
        <v>788</v>
      </c>
      <c r="B158" s="3" t="s">
        <v>789</v>
      </c>
      <c r="C158" s="175">
        <v>-3400</v>
      </c>
    </row>
    <row r="159" spans="1:3" x14ac:dyDescent="0.2">
      <c r="A159" s="174" t="s">
        <v>790</v>
      </c>
      <c r="B159" s="3" t="s">
        <v>791</v>
      </c>
      <c r="C159" s="175">
        <v>988.99999999999955</v>
      </c>
    </row>
    <row r="160" spans="1:3" x14ac:dyDescent="0.2">
      <c r="A160" s="174" t="s">
        <v>792</v>
      </c>
      <c r="B160" s="3" t="s">
        <v>793</v>
      </c>
      <c r="C160" s="175">
        <v>536.73999999999955</v>
      </c>
    </row>
    <row r="161" spans="1:3" x14ac:dyDescent="0.2">
      <c r="A161" s="174" t="s">
        <v>794</v>
      </c>
      <c r="B161" s="3" t="s">
        <v>795</v>
      </c>
      <c r="C161" s="175">
        <v>4565.75</v>
      </c>
    </row>
    <row r="162" spans="1:3" x14ac:dyDescent="0.2">
      <c r="A162" s="174" t="s">
        <v>796</v>
      </c>
      <c r="B162" s="3" t="s">
        <v>797</v>
      </c>
      <c r="C162" s="175">
        <v>-427.97</v>
      </c>
    </row>
    <row r="163" spans="1:3" x14ac:dyDescent="0.2">
      <c r="A163" s="174" t="s">
        <v>798</v>
      </c>
      <c r="B163" s="3" t="s">
        <v>799</v>
      </c>
      <c r="C163" s="175">
        <v>649356.55000000028</v>
      </c>
    </row>
    <row r="164" spans="1:3" x14ac:dyDescent="0.2">
      <c r="A164" s="174" t="s">
        <v>800</v>
      </c>
      <c r="B164" s="3" t="s">
        <v>801</v>
      </c>
      <c r="C164" s="175">
        <v>146077.57</v>
      </c>
    </row>
    <row r="165" spans="1:3" x14ac:dyDescent="0.2">
      <c r="A165" s="174" t="s">
        <v>802</v>
      </c>
      <c r="B165" s="3" t="s">
        <v>803</v>
      </c>
      <c r="C165" s="175">
        <v>2993.49</v>
      </c>
    </row>
    <row r="166" spans="1:3" x14ac:dyDescent="0.2">
      <c r="A166" s="174" t="s">
        <v>804</v>
      </c>
      <c r="B166" s="3" t="s">
        <v>805</v>
      </c>
      <c r="C166" s="175">
        <v>150.37</v>
      </c>
    </row>
    <row r="167" spans="1:3" x14ac:dyDescent="0.2">
      <c r="A167" s="174" t="s">
        <v>806</v>
      </c>
      <c r="B167" s="3" t="s">
        <v>807</v>
      </c>
      <c r="C167" s="175">
        <v>3084.44</v>
      </c>
    </row>
    <row r="168" spans="1:3" x14ac:dyDescent="0.2">
      <c r="A168" s="174" t="s">
        <v>808</v>
      </c>
      <c r="B168" s="3" t="s">
        <v>809</v>
      </c>
      <c r="C168" s="175">
        <v>7914.45</v>
      </c>
    </row>
    <row r="169" spans="1:3" x14ac:dyDescent="0.2">
      <c r="A169" s="174" t="s">
        <v>810</v>
      </c>
      <c r="B169" s="3" t="s">
        <v>811</v>
      </c>
      <c r="C169" s="175">
        <v>46.869999999999983</v>
      </c>
    </row>
    <row r="170" spans="1:3" x14ac:dyDescent="0.2">
      <c r="A170" s="174" t="s">
        <v>812</v>
      </c>
      <c r="B170" s="3" t="s">
        <v>813</v>
      </c>
      <c r="C170" s="175">
        <v>-1600</v>
      </c>
    </row>
    <row r="171" spans="1:3" x14ac:dyDescent="0.2">
      <c r="A171" s="174" t="s">
        <v>814</v>
      </c>
      <c r="B171" s="3" t="s">
        <v>815</v>
      </c>
      <c r="C171" s="175">
        <v>-40085.479999999974</v>
      </c>
    </row>
    <row r="172" spans="1:3" x14ac:dyDescent="0.2">
      <c r="A172" s="174" t="s">
        <v>816</v>
      </c>
      <c r="B172" s="3" t="s">
        <v>817</v>
      </c>
      <c r="C172" s="175">
        <v>-11144.49</v>
      </c>
    </row>
    <row r="173" spans="1:3" x14ac:dyDescent="0.2">
      <c r="A173" s="174" t="s">
        <v>818</v>
      </c>
      <c r="B173" s="3" t="s">
        <v>819</v>
      </c>
      <c r="C173" s="175">
        <v>10191.519999999999</v>
      </c>
    </row>
    <row r="174" spans="1:3" x14ac:dyDescent="0.2">
      <c r="A174" s="174" t="s">
        <v>820</v>
      </c>
      <c r="B174" s="3" t="s">
        <v>821</v>
      </c>
      <c r="C174" s="175">
        <v>526575.5499999997</v>
      </c>
    </row>
    <row r="175" spans="1:3" x14ac:dyDescent="0.2">
      <c r="A175" s="174" t="s">
        <v>822</v>
      </c>
      <c r="B175" s="3" t="s">
        <v>823</v>
      </c>
      <c r="C175" s="175">
        <v>34560.899999999994</v>
      </c>
    </row>
    <row r="176" spans="1:3" x14ac:dyDescent="0.2">
      <c r="A176" s="174" t="s">
        <v>824</v>
      </c>
      <c r="B176" s="3" t="s">
        <v>825</v>
      </c>
      <c r="C176" s="175">
        <v>264.85000000000036</v>
      </c>
    </row>
    <row r="177" spans="1:3" x14ac:dyDescent="0.2">
      <c r="A177" s="174" t="s">
        <v>826</v>
      </c>
      <c r="B177" s="3" t="s">
        <v>827</v>
      </c>
      <c r="C177" s="175">
        <v>3437.4</v>
      </c>
    </row>
    <row r="178" spans="1:3" x14ac:dyDescent="0.2">
      <c r="A178" s="174" t="s">
        <v>828</v>
      </c>
      <c r="B178" s="3" t="s">
        <v>829</v>
      </c>
      <c r="C178" s="175">
        <v>21113.149999999998</v>
      </c>
    </row>
    <row r="179" spans="1:3" x14ac:dyDescent="0.2">
      <c r="A179" s="174" t="s">
        <v>830</v>
      </c>
      <c r="B179" s="3" t="s">
        <v>831</v>
      </c>
      <c r="C179" s="175">
        <v>15501.039999999997</v>
      </c>
    </row>
    <row r="180" spans="1:3" x14ac:dyDescent="0.2">
      <c r="A180" s="174" t="s">
        <v>832</v>
      </c>
      <c r="B180" s="3" t="s">
        <v>833</v>
      </c>
      <c r="C180" s="175">
        <v>232142.51999999996</v>
      </c>
    </row>
    <row r="181" spans="1:3" x14ac:dyDescent="0.2">
      <c r="A181" s="174" t="s">
        <v>834</v>
      </c>
      <c r="B181" s="3" t="s">
        <v>835</v>
      </c>
      <c r="C181" s="175">
        <v>1239.7900000000002</v>
      </c>
    </row>
    <row r="182" spans="1:3" x14ac:dyDescent="0.2">
      <c r="A182" s="174" t="s">
        <v>836</v>
      </c>
      <c r="B182" s="3" t="s">
        <v>837</v>
      </c>
      <c r="C182" s="175">
        <v>744.86000000000013</v>
      </c>
    </row>
    <row r="183" spans="1:3" x14ac:dyDescent="0.2">
      <c r="A183" s="174" t="s">
        <v>838</v>
      </c>
      <c r="B183" s="3" t="s">
        <v>839</v>
      </c>
      <c r="C183" s="175">
        <v>-3583.47</v>
      </c>
    </row>
    <row r="184" spans="1:3" x14ac:dyDescent="0.2">
      <c r="A184" s="174" t="s">
        <v>840</v>
      </c>
      <c r="B184" s="3" t="s">
        <v>841</v>
      </c>
      <c r="C184" s="175">
        <v>21273.500000000036</v>
      </c>
    </row>
    <row r="185" spans="1:3" x14ac:dyDescent="0.2">
      <c r="A185" s="174" t="s">
        <v>842</v>
      </c>
      <c r="B185" s="3" t="s">
        <v>843</v>
      </c>
      <c r="C185" s="175">
        <v>-21627.129999999994</v>
      </c>
    </row>
    <row r="186" spans="1:3" x14ac:dyDescent="0.2">
      <c r="A186" s="174" t="s">
        <v>844</v>
      </c>
      <c r="B186" s="3" t="s">
        <v>845</v>
      </c>
      <c r="C186" s="175">
        <v>62042.029999999992</v>
      </c>
    </row>
    <row r="187" spans="1:3" x14ac:dyDescent="0.2">
      <c r="A187" s="174" t="s">
        <v>846</v>
      </c>
      <c r="B187" s="3" t="s">
        <v>847</v>
      </c>
      <c r="C187" s="175">
        <v>69161.86</v>
      </c>
    </row>
    <row r="188" spans="1:3" x14ac:dyDescent="0.2">
      <c r="A188" s="174" t="s">
        <v>848</v>
      </c>
      <c r="B188" s="3" t="s">
        <v>849</v>
      </c>
      <c r="C188" s="175">
        <v>65465.279999999999</v>
      </c>
    </row>
    <row r="189" spans="1:3" x14ac:dyDescent="0.2">
      <c r="A189" s="174" t="s">
        <v>850</v>
      </c>
      <c r="B189" s="3" t="s">
        <v>851</v>
      </c>
      <c r="C189" s="175">
        <v>19744.599999999991</v>
      </c>
    </row>
    <row r="190" spans="1:3" x14ac:dyDescent="0.2">
      <c r="A190" s="174" t="s">
        <v>852</v>
      </c>
      <c r="B190" s="3" t="s">
        <v>853</v>
      </c>
      <c r="C190" s="175">
        <v>-1366.9499999999998</v>
      </c>
    </row>
    <row r="191" spans="1:3" x14ac:dyDescent="0.2">
      <c r="A191" s="174" t="s">
        <v>854</v>
      </c>
      <c r="B191" s="3" t="s">
        <v>855</v>
      </c>
      <c r="C191" s="175">
        <v>-634.14</v>
      </c>
    </row>
    <row r="192" spans="1:3" x14ac:dyDescent="0.2">
      <c r="A192" s="174" t="s">
        <v>856</v>
      </c>
      <c r="B192" s="3" t="s">
        <v>857</v>
      </c>
      <c r="C192" s="175">
        <v>0</v>
      </c>
    </row>
    <row r="193" spans="1:3" x14ac:dyDescent="0.2">
      <c r="A193" s="174" t="s">
        <v>858</v>
      </c>
      <c r="B193" s="3" t="s">
        <v>859</v>
      </c>
      <c r="C193" s="175">
        <v>234277.61</v>
      </c>
    </row>
    <row r="194" spans="1:3" x14ac:dyDescent="0.2">
      <c r="A194" s="174" t="s">
        <v>860</v>
      </c>
      <c r="B194" s="3" t="s">
        <v>861</v>
      </c>
      <c r="C194" s="175">
        <v>36317.700000000004</v>
      </c>
    </row>
    <row r="195" spans="1:3" x14ac:dyDescent="0.2">
      <c r="A195" s="174" t="s">
        <v>862</v>
      </c>
      <c r="B195" s="3" t="s">
        <v>863</v>
      </c>
      <c r="C195" s="175">
        <v>171163.48000000004</v>
      </c>
    </row>
    <row r="196" spans="1:3" x14ac:dyDescent="0.2">
      <c r="A196" s="174" t="s">
        <v>864</v>
      </c>
      <c r="B196" s="3" t="s">
        <v>865</v>
      </c>
      <c r="C196" s="175">
        <v>-36097.409999999996</v>
      </c>
    </row>
    <row r="197" spans="1:3" x14ac:dyDescent="0.2">
      <c r="A197" s="174" t="s">
        <v>866</v>
      </c>
      <c r="B197" s="3" t="s">
        <v>867</v>
      </c>
      <c r="C197" s="175">
        <v>2442.0299999999997</v>
      </c>
    </row>
    <row r="198" spans="1:3" x14ac:dyDescent="0.2">
      <c r="A198" s="174" t="s">
        <v>868</v>
      </c>
      <c r="B198" s="3" t="s">
        <v>869</v>
      </c>
      <c r="C198" s="175">
        <v>33982.699999999983</v>
      </c>
    </row>
    <row r="199" spans="1:3" x14ac:dyDescent="0.2">
      <c r="A199" s="174" t="s">
        <v>870</v>
      </c>
      <c r="B199" s="3" t="s">
        <v>871</v>
      </c>
      <c r="C199" s="175">
        <v>-1591.8700000000003</v>
      </c>
    </row>
    <row r="200" spans="1:3" x14ac:dyDescent="0.2">
      <c r="A200" s="174" t="s">
        <v>872</v>
      </c>
      <c r="B200" s="3" t="s">
        <v>873</v>
      </c>
      <c r="C200" s="175">
        <v>411.48</v>
      </c>
    </row>
    <row r="201" spans="1:3" x14ac:dyDescent="0.2">
      <c r="A201" s="174" t="s">
        <v>874</v>
      </c>
      <c r="B201" s="3" t="s">
        <v>875</v>
      </c>
      <c r="C201" s="175">
        <v>12967.95</v>
      </c>
    </row>
    <row r="202" spans="1:3" x14ac:dyDescent="0.2">
      <c r="A202" s="174" t="s">
        <v>876</v>
      </c>
      <c r="B202" s="3" t="s">
        <v>877</v>
      </c>
      <c r="C202" s="175">
        <v>2158684.8900000006</v>
      </c>
    </row>
    <row r="203" spans="1:3" x14ac:dyDescent="0.2">
      <c r="A203" s="174" t="s">
        <v>878</v>
      </c>
      <c r="B203" s="3" t="s">
        <v>879</v>
      </c>
      <c r="C203" s="175">
        <v>-16848.659999999982</v>
      </c>
    </row>
    <row r="204" spans="1:3" x14ac:dyDescent="0.2">
      <c r="A204" s="174" t="s">
        <v>880</v>
      </c>
      <c r="B204" s="3" t="s">
        <v>881</v>
      </c>
      <c r="C204" s="175">
        <v>342.96999999999997</v>
      </c>
    </row>
    <row r="205" spans="1:3" x14ac:dyDescent="0.2">
      <c r="A205" s="174" t="s">
        <v>882</v>
      </c>
      <c r="B205" s="3" t="s">
        <v>883</v>
      </c>
      <c r="C205" s="175">
        <v>778.73</v>
      </c>
    </row>
    <row r="206" spans="1:3" x14ac:dyDescent="0.2">
      <c r="A206" s="174" t="s">
        <v>884</v>
      </c>
      <c r="B206" s="3" t="s">
        <v>885</v>
      </c>
      <c r="C206" s="175">
        <v>-20916</v>
      </c>
    </row>
    <row r="207" spans="1:3" x14ac:dyDescent="0.2">
      <c r="A207" s="174" t="s">
        <v>886</v>
      </c>
      <c r="B207" s="3" t="s">
        <v>887</v>
      </c>
      <c r="C207" s="175">
        <v>66427.99000000002</v>
      </c>
    </row>
    <row r="208" spans="1:3" x14ac:dyDescent="0.2">
      <c r="A208" s="174" t="s">
        <v>888</v>
      </c>
      <c r="B208" s="3" t="s">
        <v>889</v>
      </c>
      <c r="C208" s="175">
        <v>-0.98</v>
      </c>
    </row>
    <row r="209" spans="1:3" x14ac:dyDescent="0.2">
      <c r="A209" s="174" t="s">
        <v>890</v>
      </c>
      <c r="B209" s="3" t="s">
        <v>891</v>
      </c>
      <c r="C209" s="175">
        <v>558.62</v>
      </c>
    </row>
    <row r="210" spans="1:3" x14ac:dyDescent="0.2">
      <c r="A210" s="174" t="s">
        <v>892</v>
      </c>
      <c r="B210" s="3" t="s">
        <v>893</v>
      </c>
      <c r="C210" s="175">
        <v>5633.98</v>
      </c>
    </row>
    <row r="211" spans="1:3" x14ac:dyDescent="0.2">
      <c r="A211" s="174" t="s">
        <v>894</v>
      </c>
      <c r="B211" s="3" t="s">
        <v>895</v>
      </c>
      <c r="C211" s="175">
        <v>252.01000000000002</v>
      </c>
    </row>
    <row r="212" spans="1:3" x14ac:dyDescent="0.2">
      <c r="A212" s="174" t="s">
        <v>896</v>
      </c>
      <c r="B212" s="3" t="s">
        <v>897</v>
      </c>
      <c r="C212" s="175">
        <v>125230.62000000002</v>
      </c>
    </row>
    <row r="213" spans="1:3" x14ac:dyDescent="0.2">
      <c r="A213" s="174" t="s">
        <v>898</v>
      </c>
      <c r="B213" s="3" t="s">
        <v>899</v>
      </c>
      <c r="C213" s="175">
        <v>1015228.6099999999</v>
      </c>
    </row>
    <row r="214" spans="1:3" x14ac:dyDescent="0.2">
      <c r="A214" s="174" t="s">
        <v>900</v>
      </c>
      <c r="B214" s="3" t="s">
        <v>901</v>
      </c>
      <c r="C214" s="175">
        <v>68022.420000000013</v>
      </c>
    </row>
    <row r="215" spans="1:3" x14ac:dyDescent="0.2">
      <c r="A215" s="174" t="s">
        <v>902</v>
      </c>
      <c r="B215" s="3" t="s">
        <v>903</v>
      </c>
      <c r="C215" s="175">
        <v>60.109999999999907</v>
      </c>
    </row>
    <row r="216" spans="1:3" x14ac:dyDescent="0.2">
      <c r="A216" s="174" t="s">
        <v>904</v>
      </c>
      <c r="B216" s="3" t="s">
        <v>905</v>
      </c>
      <c r="C216" s="175">
        <v>-6165.010000000002</v>
      </c>
    </row>
    <row r="217" spans="1:3" x14ac:dyDescent="0.2">
      <c r="A217" s="174" t="s">
        <v>906</v>
      </c>
      <c r="B217" s="3" t="s">
        <v>907</v>
      </c>
      <c r="C217" s="175">
        <v>-21342.13</v>
      </c>
    </row>
    <row r="218" spans="1:3" x14ac:dyDescent="0.2">
      <c r="A218" s="174" t="s">
        <v>908</v>
      </c>
      <c r="B218" s="3" t="s">
        <v>909</v>
      </c>
      <c r="C218" s="175">
        <v>-177.65999999999994</v>
      </c>
    </row>
    <row r="219" spans="1:3" x14ac:dyDescent="0.2">
      <c r="A219" s="174" t="s">
        <v>910</v>
      </c>
      <c r="B219" s="3" t="s">
        <v>911</v>
      </c>
      <c r="C219" s="175">
        <v>616.87000000000103</v>
      </c>
    </row>
    <row r="220" spans="1:3" x14ac:dyDescent="0.2">
      <c r="A220" s="174" t="s">
        <v>912</v>
      </c>
      <c r="B220" s="3" t="s">
        <v>913</v>
      </c>
      <c r="C220" s="175">
        <v>8989.2000000000007</v>
      </c>
    </row>
    <row r="221" spans="1:3" x14ac:dyDescent="0.2">
      <c r="A221" s="174" t="s">
        <v>914</v>
      </c>
      <c r="B221" s="3" t="s">
        <v>915</v>
      </c>
      <c r="C221" s="175">
        <v>2990913.6400000015</v>
      </c>
    </row>
    <row r="222" spans="1:3" x14ac:dyDescent="0.2">
      <c r="A222" s="174" t="s">
        <v>916</v>
      </c>
      <c r="B222" s="3" t="s">
        <v>917</v>
      </c>
      <c r="C222" s="175">
        <v>0</v>
      </c>
    </row>
    <row r="223" spans="1:3" x14ac:dyDescent="0.2">
      <c r="A223" s="174" t="s">
        <v>918</v>
      </c>
      <c r="B223" s="3" t="s">
        <v>919</v>
      </c>
      <c r="C223" s="175">
        <v>1512.8899999999996</v>
      </c>
    </row>
    <row r="224" spans="1:3" x14ac:dyDescent="0.2">
      <c r="A224" s="174" t="s">
        <v>920</v>
      </c>
      <c r="B224" s="3" t="s">
        <v>921</v>
      </c>
      <c r="C224" s="175">
        <v>-639.6</v>
      </c>
    </row>
    <row r="225" spans="1:3" x14ac:dyDescent="0.2">
      <c r="A225" s="174" t="s">
        <v>922</v>
      </c>
      <c r="B225" s="3" t="s">
        <v>923</v>
      </c>
      <c r="C225" s="175">
        <v>1091.19</v>
      </c>
    </row>
    <row r="226" spans="1:3" x14ac:dyDescent="0.2">
      <c r="A226" s="174" t="s">
        <v>924</v>
      </c>
      <c r="B226" s="3" t="s">
        <v>925</v>
      </c>
      <c r="C226" s="175">
        <v>162447.71999999994</v>
      </c>
    </row>
    <row r="227" spans="1:3" x14ac:dyDescent="0.2">
      <c r="A227" s="174" t="s">
        <v>926</v>
      </c>
      <c r="B227" s="3" t="s">
        <v>927</v>
      </c>
      <c r="C227" s="175">
        <v>591460.40000000107</v>
      </c>
    </row>
    <row r="228" spans="1:3" x14ac:dyDescent="0.2">
      <c r="A228" s="174" t="s">
        <v>928</v>
      </c>
      <c r="B228" s="3" t="s">
        <v>929</v>
      </c>
      <c r="C228" s="175">
        <v>-24838.379999999997</v>
      </c>
    </row>
    <row r="229" spans="1:3" x14ac:dyDescent="0.2">
      <c r="A229" s="174" t="s">
        <v>930</v>
      </c>
      <c r="B229" s="3" t="s">
        <v>931</v>
      </c>
      <c r="C229" s="175">
        <v>209248.86999999994</v>
      </c>
    </row>
    <row r="230" spans="1:3" x14ac:dyDescent="0.2">
      <c r="A230" s="174" t="s">
        <v>932</v>
      </c>
      <c r="B230" s="3" t="s">
        <v>933</v>
      </c>
      <c r="C230" s="175">
        <v>18920.800000000014</v>
      </c>
    </row>
    <row r="231" spans="1:3" x14ac:dyDescent="0.2">
      <c r="A231" s="174" t="s">
        <v>934</v>
      </c>
      <c r="B231" s="3" t="s">
        <v>935</v>
      </c>
      <c r="C231" s="175">
        <v>2688.7200000000021</v>
      </c>
    </row>
    <row r="232" spans="1:3" x14ac:dyDescent="0.2">
      <c r="A232" s="174" t="s">
        <v>936</v>
      </c>
      <c r="B232" s="3" t="s">
        <v>937</v>
      </c>
      <c r="C232" s="175">
        <v>1815857.38</v>
      </c>
    </row>
    <row r="233" spans="1:3" x14ac:dyDescent="0.2">
      <c r="A233" s="174" t="s">
        <v>938</v>
      </c>
      <c r="B233" s="3" t="s">
        <v>939</v>
      </c>
      <c r="C233" s="175">
        <v>1526.3799999999981</v>
      </c>
    </row>
    <row r="234" spans="1:3" x14ac:dyDescent="0.2">
      <c r="A234" s="174" t="s">
        <v>940</v>
      </c>
      <c r="B234" s="3" t="s">
        <v>941</v>
      </c>
      <c r="C234" s="175">
        <v>110293.19999999997</v>
      </c>
    </row>
    <row r="235" spans="1:3" x14ac:dyDescent="0.2">
      <c r="A235" s="174" t="s">
        <v>942</v>
      </c>
      <c r="B235" s="3" t="s">
        <v>943</v>
      </c>
      <c r="C235" s="175">
        <v>-20000</v>
      </c>
    </row>
    <row r="236" spans="1:3" x14ac:dyDescent="0.2">
      <c r="A236" s="174" t="s">
        <v>944</v>
      </c>
      <c r="B236" s="3" t="s">
        <v>945</v>
      </c>
      <c r="C236" s="175">
        <v>93.76</v>
      </c>
    </row>
    <row r="237" spans="1:3" x14ac:dyDescent="0.2">
      <c r="A237" s="174" t="s">
        <v>946</v>
      </c>
      <c r="B237" s="3" t="s">
        <v>947</v>
      </c>
      <c r="C237" s="175">
        <v>2161.1999999999998</v>
      </c>
    </row>
    <row r="238" spans="1:3" x14ac:dyDescent="0.2">
      <c r="A238" s="174" t="s">
        <v>948</v>
      </c>
      <c r="B238" s="3" t="s">
        <v>949</v>
      </c>
      <c r="C238" s="175">
        <v>738035.52</v>
      </c>
    </row>
    <row r="239" spans="1:3" x14ac:dyDescent="0.2">
      <c r="A239" s="174" t="s">
        <v>950</v>
      </c>
      <c r="B239" s="3" t="s">
        <v>951</v>
      </c>
      <c r="C239" s="175">
        <v>112902.35</v>
      </c>
    </row>
    <row r="240" spans="1:3" x14ac:dyDescent="0.2">
      <c r="A240" s="174" t="s">
        <v>952</v>
      </c>
      <c r="B240" s="3" t="s">
        <v>953</v>
      </c>
      <c r="C240" s="175">
        <v>379044.08</v>
      </c>
    </row>
    <row r="241" spans="1:3" x14ac:dyDescent="0.2">
      <c r="A241" s="174" t="s">
        <v>954</v>
      </c>
      <c r="B241" s="3" t="s">
        <v>955</v>
      </c>
      <c r="C241" s="175">
        <v>1146455.18</v>
      </c>
    </row>
    <row r="242" spans="1:3" x14ac:dyDescent="0.2">
      <c r="A242" s="174" t="s">
        <v>956</v>
      </c>
      <c r="B242" s="3" t="s">
        <v>957</v>
      </c>
      <c r="C242" s="175">
        <v>9313401.5300000012</v>
      </c>
    </row>
    <row r="243" spans="1:3" x14ac:dyDescent="0.2">
      <c r="A243" s="174" t="s">
        <v>958</v>
      </c>
      <c r="B243" s="3" t="s">
        <v>959</v>
      </c>
      <c r="C243" s="175">
        <v>171055.19999999998</v>
      </c>
    </row>
    <row r="244" spans="1:3" x14ac:dyDescent="0.2">
      <c r="A244" s="174" t="s">
        <v>960</v>
      </c>
      <c r="B244" s="3" t="s">
        <v>961</v>
      </c>
      <c r="C244" s="175">
        <v>180124.53</v>
      </c>
    </row>
    <row r="245" spans="1:3" x14ac:dyDescent="0.2">
      <c r="A245" s="174" t="s">
        <v>962</v>
      </c>
      <c r="B245" s="3" t="s">
        <v>963</v>
      </c>
      <c r="C245" s="175">
        <v>97166.460000000036</v>
      </c>
    </row>
    <row r="246" spans="1:3" x14ac:dyDescent="0.2">
      <c r="A246" s="174" t="s">
        <v>964</v>
      </c>
      <c r="B246" s="3" t="s">
        <v>965</v>
      </c>
      <c r="C246" s="175">
        <v>81896.050000000032</v>
      </c>
    </row>
    <row r="247" spans="1:3" x14ac:dyDescent="0.2">
      <c r="A247" s="174" t="s">
        <v>966</v>
      </c>
      <c r="B247" s="3" t="s">
        <v>967</v>
      </c>
      <c r="C247" s="175">
        <v>333465.91000000021</v>
      </c>
    </row>
    <row r="248" spans="1:3" x14ac:dyDescent="0.2">
      <c r="A248" s="174" t="s">
        <v>968</v>
      </c>
      <c r="B248" s="3" t="s">
        <v>969</v>
      </c>
      <c r="C248" s="175">
        <v>234153.46000000008</v>
      </c>
    </row>
    <row r="249" spans="1:3" x14ac:dyDescent="0.2">
      <c r="A249" s="174" t="s">
        <v>970</v>
      </c>
      <c r="B249" s="3" t="s">
        <v>971</v>
      </c>
      <c r="C249" s="175">
        <v>138131.71000000005</v>
      </c>
    </row>
    <row r="250" spans="1:3" x14ac:dyDescent="0.2">
      <c r="A250" s="174" t="s">
        <v>972</v>
      </c>
      <c r="B250" s="3" t="s">
        <v>973</v>
      </c>
      <c r="C250" s="175">
        <v>2135124.91</v>
      </c>
    </row>
    <row r="251" spans="1:3" x14ac:dyDescent="0.2">
      <c r="A251" s="174" t="s">
        <v>974</v>
      </c>
      <c r="B251" s="3" t="s">
        <v>975</v>
      </c>
      <c r="C251" s="175">
        <v>68530.530000000028</v>
      </c>
    </row>
    <row r="252" spans="1:3" x14ac:dyDescent="0.2">
      <c r="A252" s="174" t="s">
        <v>976</v>
      </c>
      <c r="B252" s="3" t="s">
        <v>977</v>
      </c>
      <c r="C252" s="175">
        <v>66702.590000000011</v>
      </c>
    </row>
    <row r="253" spans="1:3" x14ac:dyDescent="0.2">
      <c r="A253" s="174" t="s">
        <v>978</v>
      </c>
      <c r="B253" s="3" t="s">
        <v>979</v>
      </c>
      <c r="C253" s="175">
        <v>56047.979999999996</v>
      </c>
    </row>
    <row r="254" spans="1:3" x14ac:dyDescent="0.2">
      <c r="A254" s="174" t="s">
        <v>980</v>
      </c>
      <c r="B254" s="3" t="s">
        <v>981</v>
      </c>
      <c r="C254" s="175">
        <v>84906.46</v>
      </c>
    </row>
    <row r="255" spans="1:3" x14ac:dyDescent="0.2">
      <c r="A255" s="174" t="s">
        <v>982</v>
      </c>
      <c r="B255" s="3" t="s">
        <v>983</v>
      </c>
      <c r="C255" s="175">
        <v>200077.11999999997</v>
      </c>
    </row>
    <row r="256" spans="1:3" x14ac:dyDescent="0.2">
      <c r="A256" s="174" t="s">
        <v>984</v>
      </c>
      <c r="B256" s="3" t="s">
        <v>985</v>
      </c>
      <c r="C256" s="175">
        <v>63755.229999999989</v>
      </c>
    </row>
    <row r="257" spans="1:3" x14ac:dyDescent="0.2">
      <c r="A257" s="174" t="s">
        <v>986</v>
      </c>
      <c r="B257" s="3" t="s">
        <v>987</v>
      </c>
      <c r="C257" s="175">
        <v>67280.709999999992</v>
      </c>
    </row>
    <row r="258" spans="1:3" x14ac:dyDescent="0.2">
      <c r="A258" s="174" t="s">
        <v>988</v>
      </c>
      <c r="B258" s="3" t="s">
        <v>989</v>
      </c>
      <c r="C258" s="175">
        <v>97868.36</v>
      </c>
    </row>
    <row r="259" spans="1:3" x14ac:dyDescent="0.2">
      <c r="A259" s="174" t="s">
        <v>990</v>
      </c>
      <c r="B259" s="3" t="s">
        <v>991</v>
      </c>
      <c r="C259" s="175">
        <v>962110.49000000022</v>
      </c>
    </row>
    <row r="260" spans="1:3" x14ac:dyDescent="0.2">
      <c r="A260" s="174" t="s">
        <v>992</v>
      </c>
      <c r="B260" s="3" t="s">
        <v>993</v>
      </c>
      <c r="C260" s="175">
        <v>116845.3</v>
      </c>
    </row>
    <row r="261" spans="1:3" x14ac:dyDescent="0.2">
      <c r="A261" s="174" t="s">
        <v>994</v>
      </c>
      <c r="B261" s="3" t="s">
        <v>995</v>
      </c>
      <c r="C261" s="175">
        <v>45666.159999999996</v>
      </c>
    </row>
    <row r="262" spans="1:3" x14ac:dyDescent="0.2">
      <c r="A262" s="174" t="s">
        <v>996</v>
      </c>
      <c r="B262" s="3" t="s">
        <v>997</v>
      </c>
      <c r="C262" s="175">
        <v>64131.370000000032</v>
      </c>
    </row>
    <row r="263" spans="1:3" x14ac:dyDescent="0.2">
      <c r="A263" s="174" t="s">
        <v>998</v>
      </c>
      <c r="B263" s="3" t="s">
        <v>999</v>
      </c>
      <c r="C263" s="175">
        <v>-9.9999999995645794E-3</v>
      </c>
    </row>
    <row r="264" spans="1:3" x14ac:dyDescent="0.2">
      <c r="A264" s="174" t="s">
        <v>1000</v>
      </c>
      <c r="B264" s="3" t="s">
        <v>1001</v>
      </c>
      <c r="C264" s="175">
        <v>3738.2</v>
      </c>
    </row>
    <row r="265" spans="1:3" x14ac:dyDescent="0.2">
      <c r="A265" s="174" t="s">
        <v>1002</v>
      </c>
      <c r="B265" s="3" t="s">
        <v>1003</v>
      </c>
      <c r="C265" s="175">
        <v>162833.04999999999</v>
      </c>
    </row>
    <row r="266" spans="1:3" x14ac:dyDescent="0.2">
      <c r="A266" s="174" t="s">
        <v>1004</v>
      </c>
      <c r="B266" s="3" t="s">
        <v>1005</v>
      </c>
      <c r="C266" s="175">
        <v>-150.68999999999892</v>
      </c>
    </row>
    <row r="267" spans="1:3" x14ac:dyDescent="0.2">
      <c r="A267" s="174" t="s">
        <v>1006</v>
      </c>
      <c r="B267" s="3" t="s">
        <v>1007</v>
      </c>
      <c r="C267" s="175">
        <v>-648.97000000000025</v>
      </c>
    </row>
    <row r="268" spans="1:3" x14ac:dyDescent="0.2">
      <c r="A268" s="174" t="s">
        <v>1008</v>
      </c>
      <c r="B268" s="3" t="s">
        <v>1009</v>
      </c>
      <c r="C268" s="175">
        <v>-12720</v>
      </c>
    </row>
    <row r="269" spans="1:3" x14ac:dyDescent="0.2">
      <c r="A269" s="174" t="s">
        <v>1010</v>
      </c>
      <c r="B269" s="3" t="s">
        <v>1011</v>
      </c>
      <c r="C269" s="175">
        <v>89997.27</v>
      </c>
    </row>
    <row r="270" spans="1:3" x14ac:dyDescent="0.2">
      <c r="A270" s="174" t="s">
        <v>1012</v>
      </c>
      <c r="B270" s="3" t="s">
        <v>1013</v>
      </c>
      <c r="C270" s="175">
        <v>290934.03999999998</v>
      </c>
    </row>
    <row r="271" spans="1:3" x14ac:dyDescent="0.2">
      <c r="A271" s="174" t="s">
        <v>1014</v>
      </c>
      <c r="B271" s="3" t="s">
        <v>1015</v>
      </c>
      <c r="C271" s="175">
        <v>364199.5</v>
      </c>
    </row>
    <row r="272" spans="1:3" x14ac:dyDescent="0.2">
      <c r="A272" s="174" t="s">
        <v>1016</v>
      </c>
      <c r="B272" s="3" t="s">
        <v>1017</v>
      </c>
      <c r="C272" s="175">
        <v>4669.93</v>
      </c>
    </row>
    <row r="273" spans="1:3" x14ac:dyDescent="0.2">
      <c r="A273" s="174" t="s">
        <v>1018</v>
      </c>
      <c r="B273" s="3" t="s">
        <v>1019</v>
      </c>
      <c r="C273" s="175">
        <v>-6522.8099999999986</v>
      </c>
    </row>
    <row r="274" spans="1:3" x14ac:dyDescent="0.2">
      <c r="A274" s="174" t="s">
        <v>1020</v>
      </c>
      <c r="B274" s="3" t="s">
        <v>1021</v>
      </c>
      <c r="C274" s="175">
        <v>420971.11999999965</v>
      </c>
    </row>
    <row r="275" spans="1:3" x14ac:dyDescent="0.2">
      <c r="A275" s="174" t="s">
        <v>1022</v>
      </c>
      <c r="B275" s="3" t="s">
        <v>1023</v>
      </c>
      <c r="C275" s="175">
        <v>290614.66000000003</v>
      </c>
    </row>
    <row r="276" spans="1:3" x14ac:dyDescent="0.2">
      <c r="A276" s="174" t="s">
        <v>1024</v>
      </c>
      <c r="B276" s="3" t="s">
        <v>1025</v>
      </c>
      <c r="C276" s="175">
        <v>2608.6699999999992</v>
      </c>
    </row>
    <row r="277" spans="1:3" x14ac:dyDescent="0.2">
      <c r="A277" s="174" t="s">
        <v>1026</v>
      </c>
      <c r="B277" s="3" t="s">
        <v>1027</v>
      </c>
      <c r="C277" s="175">
        <v>63063.72</v>
      </c>
    </row>
    <row r="278" spans="1:3" x14ac:dyDescent="0.2">
      <c r="A278" s="174" t="s">
        <v>1028</v>
      </c>
      <c r="B278" s="3" t="s">
        <v>1029</v>
      </c>
      <c r="C278" s="175">
        <v>50033.310000000005</v>
      </c>
    </row>
    <row r="279" spans="1:3" x14ac:dyDescent="0.2">
      <c r="A279" s="174" t="s">
        <v>1030</v>
      </c>
      <c r="B279" s="3" t="s">
        <v>1031</v>
      </c>
      <c r="C279" s="175">
        <v>-2000</v>
      </c>
    </row>
    <row r="280" spans="1:3" x14ac:dyDescent="0.2">
      <c r="A280" s="174" t="s">
        <v>1032</v>
      </c>
      <c r="B280" s="3" t="s">
        <v>1033</v>
      </c>
      <c r="C280" s="175">
        <v>-2000</v>
      </c>
    </row>
    <row r="281" spans="1:3" x14ac:dyDescent="0.2">
      <c r="A281" s="174" t="s">
        <v>1034</v>
      </c>
      <c r="B281" s="3" t="s">
        <v>1035</v>
      </c>
      <c r="C281" s="175">
        <v>1910.0200000000002</v>
      </c>
    </row>
    <row r="282" spans="1:3" x14ac:dyDescent="0.2">
      <c r="A282" s="174" t="s">
        <v>1036</v>
      </c>
      <c r="B282" s="3" t="s">
        <v>1037</v>
      </c>
      <c r="C282" s="175">
        <v>263369.12</v>
      </c>
    </row>
    <row r="283" spans="1:3" x14ac:dyDescent="0.2">
      <c r="A283" s="174" t="s">
        <v>1038</v>
      </c>
      <c r="B283" s="3" t="s">
        <v>1039</v>
      </c>
      <c r="C283" s="175">
        <v>17905.169999999998</v>
      </c>
    </row>
    <row r="284" spans="1:3" x14ac:dyDescent="0.2">
      <c r="A284" s="174" t="s">
        <v>1040</v>
      </c>
      <c r="B284" s="3" t="s">
        <v>1041</v>
      </c>
      <c r="C284" s="175">
        <v>17484.37</v>
      </c>
    </row>
    <row r="285" spans="1:3" x14ac:dyDescent="0.2">
      <c r="A285" s="174" t="s">
        <v>1042</v>
      </c>
      <c r="B285" s="3" t="s">
        <v>1043</v>
      </c>
      <c r="C285" s="175">
        <v>-20316.000000000004</v>
      </c>
    </row>
    <row r="286" spans="1:3" x14ac:dyDescent="0.2">
      <c r="A286" s="174" t="s">
        <v>1044</v>
      </c>
      <c r="B286" s="3" t="s">
        <v>1045</v>
      </c>
      <c r="C286" s="175">
        <v>2300.34</v>
      </c>
    </row>
    <row r="287" spans="1:3" x14ac:dyDescent="0.2">
      <c r="A287" s="174" t="s">
        <v>1046</v>
      </c>
      <c r="B287" s="3" t="s">
        <v>1047</v>
      </c>
      <c r="C287" s="175">
        <v>35451.449999999997</v>
      </c>
    </row>
    <row r="288" spans="1:3" x14ac:dyDescent="0.2">
      <c r="A288" s="174" t="s">
        <v>1048</v>
      </c>
      <c r="B288" s="3" t="s">
        <v>1049</v>
      </c>
      <c r="C288" s="175">
        <v>44667.679999999993</v>
      </c>
    </row>
    <row r="289" spans="1:3" x14ac:dyDescent="0.2">
      <c r="A289" s="174" t="s">
        <v>1050</v>
      </c>
      <c r="B289" s="3" t="s">
        <v>1051</v>
      </c>
      <c r="C289" s="175">
        <v>17213.59</v>
      </c>
    </row>
    <row r="290" spans="1:3" x14ac:dyDescent="0.2">
      <c r="A290" s="174" t="s">
        <v>1052</v>
      </c>
      <c r="B290" s="3" t="s">
        <v>1053</v>
      </c>
      <c r="C290" s="175">
        <v>187.01</v>
      </c>
    </row>
    <row r="291" spans="1:3" x14ac:dyDescent="0.2">
      <c r="A291" s="174" t="s">
        <v>1054</v>
      </c>
      <c r="B291" s="3" t="s">
        <v>1055</v>
      </c>
      <c r="C291" s="175">
        <v>-5833.83</v>
      </c>
    </row>
    <row r="292" spans="1:3" x14ac:dyDescent="0.2">
      <c r="A292" s="174" t="s">
        <v>1056</v>
      </c>
      <c r="B292" s="3" t="s">
        <v>1057</v>
      </c>
      <c r="C292" s="175">
        <v>78818.16</v>
      </c>
    </row>
    <row r="293" spans="1:3" x14ac:dyDescent="0.2">
      <c r="A293" s="174" t="s">
        <v>1058</v>
      </c>
      <c r="B293" s="3" t="s">
        <v>1059</v>
      </c>
      <c r="C293" s="175">
        <v>8304.1700000000055</v>
      </c>
    </row>
    <row r="294" spans="1:3" x14ac:dyDescent="0.2">
      <c r="A294" s="174" t="s">
        <v>1060</v>
      </c>
      <c r="B294" s="3" t="s">
        <v>1061</v>
      </c>
      <c r="C294" s="175">
        <v>9085.7999999999993</v>
      </c>
    </row>
    <row r="295" spans="1:3" x14ac:dyDescent="0.2">
      <c r="A295" s="174" t="s">
        <v>1062</v>
      </c>
      <c r="B295" s="3" t="s">
        <v>1063</v>
      </c>
      <c r="C295" s="175">
        <v>4059.92</v>
      </c>
    </row>
    <row r="296" spans="1:3" x14ac:dyDescent="0.2">
      <c r="A296" s="174" t="s">
        <v>1064</v>
      </c>
      <c r="B296" s="3" t="s">
        <v>1065</v>
      </c>
      <c r="C296" s="175">
        <v>1073.8599999999994</v>
      </c>
    </row>
    <row r="297" spans="1:3" x14ac:dyDescent="0.2">
      <c r="A297" s="174" t="s">
        <v>1066</v>
      </c>
      <c r="B297" s="3" t="s">
        <v>1067</v>
      </c>
      <c r="C297" s="175">
        <v>81145.5</v>
      </c>
    </row>
    <row r="298" spans="1:3" x14ac:dyDescent="0.2">
      <c r="A298" s="174" t="s">
        <v>1068</v>
      </c>
      <c r="B298" s="3" t="s">
        <v>1069</v>
      </c>
      <c r="C298" s="175">
        <v>10060.489999999998</v>
      </c>
    </row>
    <row r="299" spans="1:3" x14ac:dyDescent="0.2">
      <c r="A299" s="174" t="s">
        <v>1070</v>
      </c>
      <c r="B299" s="3" t="s">
        <v>1071</v>
      </c>
      <c r="C299" s="175">
        <v>8.3666407135751797E-13</v>
      </c>
    </row>
    <row r="300" spans="1:3" x14ac:dyDescent="0.2">
      <c r="A300" s="174" t="s">
        <v>1072</v>
      </c>
      <c r="B300" s="3" t="s">
        <v>1073</v>
      </c>
      <c r="C300" s="175">
        <v>42037.780000000013</v>
      </c>
    </row>
    <row r="301" spans="1:3" x14ac:dyDescent="0.2">
      <c r="A301" s="174" t="s">
        <v>1074</v>
      </c>
      <c r="B301" s="3" t="s">
        <v>1075</v>
      </c>
      <c r="C301" s="175">
        <v>14265.5</v>
      </c>
    </row>
    <row r="302" spans="1:3" x14ac:dyDescent="0.2">
      <c r="A302" s="174" t="s">
        <v>1076</v>
      </c>
      <c r="B302" s="3" t="s">
        <v>1077</v>
      </c>
      <c r="C302" s="175">
        <v>23896.11</v>
      </c>
    </row>
    <row r="303" spans="1:3" x14ac:dyDescent="0.2">
      <c r="A303" s="174" t="s">
        <v>1078</v>
      </c>
      <c r="B303" s="3" t="s">
        <v>1079</v>
      </c>
      <c r="C303" s="175">
        <v>46461.919999999998</v>
      </c>
    </row>
    <row r="304" spans="1:3" x14ac:dyDescent="0.2">
      <c r="A304" s="174" t="s">
        <v>1080</v>
      </c>
      <c r="B304" s="3" t="s">
        <v>1081</v>
      </c>
      <c r="C304" s="175">
        <v>1026686.7500000005</v>
      </c>
    </row>
    <row r="305" spans="1:3" x14ac:dyDescent="0.2">
      <c r="A305" s="174" t="s">
        <v>1082</v>
      </c>
      <c r="B305" s="3" t="s">
        <v>1083</v>
      </c>
      <c r="C305" s="175">
        <v>24633.819999999985</v>
      </c>
    </row>
    <row r="306" spans="1:3" x14ac:dyDescent="0.2">
      <c r="A306" s="174" t="s">
        <v>1084</v>
      </c>
      <c r="B306" s="3" t="s">
        <v>1085</v>
      </c>
      <c r="C306" s="175">
        <v>474642.24000000011</v>
      </c>
    </row>
    <row r="307" spans="1:3" x14ac:dyDescent="0.2">
      <c r="A307" s="174" t="s">
        <v>1086</v>
      </c>
      <c r="B307" s="3" t="s">
        <v>1087</v>
      </c>
      <c r="C307" s="175">
        <v>426640.92999999982</v>
      </c>
    </row>
    <row r="308" spans="1:3" x14ac:dyDescent="0.2">
      <c r="A308" s="174" t="s">
        <v>1088</v>
      </c>
      <c r="B308" s="3" t="s">
        <v>1089</v>
      </c>
      <c r="C308" s="175">
        <v>92801.069999999992</v>
      </c>
    </row>
    <row r="309" spans="1:3" x14ac:dyDescent="0.2">
      <c r="A309" s="174" t="s">
        <v>1090</v>
      </c>
      <c r="B309" s="3" t="s">
        <v>1091</v>
      </c>
      <c r="C309" s="175">
        <v>115198.95999999999</v>
      </c>
    </row>
    <row r="310" spans="1:3" x14ac:dyDescent="0.2">
      <c r="A310" s="174" t="s">
        <v>1092</v>
      </c>
      <c r="B310" s="3" t="s">
        <v>1093</v>
      </c>
      <c r="C310" s="175">
        <v>104193.41000000002</v>
      </c>
    </row>
    <row r="311" spans="1:3" x14ac:dyDescent="0.2">
      <c r="A311" s="174" t="s">
        <v>1094</v>
      </c>
      <c r="B311" s="3" t="s">
        <v>1095</v>
      </c>
      <c r="C311" s="175">
        <v>24127.59</v>
      </c>
    </row>
    <row r="312" spans="1:3" x14ac:dyDescent="0.2">
      <c r="A312" s="174" t="s">
        <v>1096</v>
      </c>
      <c r="B312" s="3" t="s">
        <v>1097</v>
      </c>
      <c r="C312" s="175">
        <v>37111.93</v>
      </c>
    </row>
    <row r="313" spans="1:3" x14ac:dyDescent="0.2">
      <c r="A313" s="174" t="s">
        <v>1098</v>
      </c>
      <c r="B313" s="3" t="s">
        <v>1099</v>
      </c>
      <c r="C313" s="175">
        <v>6617.3300000000008</v>
      </c>
    </row>
    <row r="314" spans="1:3" x14ac:dyDescent="0.2">
      <c r="A314" s="174" t="s">
        <v>1100</v>
      </c>
      <c r="B314" s="3" t="s">
        <v>1101</v>
      </c>
      <c r="C314" s="175">
        <v>67036.479999999996</v>
      </c>
    </row>
    <row r="315" spans="1:3" x14ac:dyDescent="0.2">
      <c r="A315" s="174" t="s">
        <v>1102</v>
      </c>
      <c r="B315" s="3" t="s">
        <v>1103</v>
      </c>
      <c r="C315" s="175">
        <v>146053.29999999999</v>
      </c>
    </row>
    <row r="316" spans="1:3" x14ac:dyDescent="0.2">
      <c r="A316" s="174" t="s">
        <v>1104</v>
      </c>
      <c r="B316" s="3" t="s">
        <v>1105</v>
      </c>
      <c r="C316" s="175">
        <v>25853.96</v>
      </c>
    </row>
    <row r="317" spans="1:3" x14ac:dyDescent="0.2">
      <c r="A317" s="174" t="s">
        <v>1106</v>
      </c>
      <c r="B317" s="3" t="s">
        <v>1107</v>
      </c>
      <c r="C317" s="175">
        <v>1386724.2299999997</v>
      </c>
    </row>
    <row r="318" spans="1:3" x14ac:dyDescent="0.2">
      <c r="A318" s="174" t="s">
        <v>1108</v>
      </c>
      <c r="B318" s="3" t="s">
        <v>1109</v>
      </c>
      <c r="C318" s="175">
        <v>323122.90999999992</v>
      </c>
    </row>
    <row r="319" spans="1:3" x14ac:dyDescent="0.2">
      <c r="A319" s="174" t="s">
        <v>1110</v>
      </c>
      <c r="B319" s="3" t="s">
        <v>1111</v>
      </c>
      <c r="C319" s="175">
        <v>348.74999999999994</v>
      </c>
    </row>
    <row r="320" spans="1:3" x14ac:dyDescent="0.2">
      <c r="A320" s="174" t="s">
        <v>1112</v>
      </c>
      <c r="B320" s="3" t="s">
        <v>1113</v>
      </c>
      <c r="C320" s="175">
        <v>29847.870000000003</v>
      </c>
    </row>
    <row r="321" spans="1:3" x14ac:dyDescent="0.2">
      <c r="A321" s="174" t="s">
        <v>1114</v>
      </c>
      <c r="B321" s="3" t="s">
        <v>1115</v>
      </c>
      <c r="C321" s="175">
        <v>650.53000000000065</v>
      </c>
    </row>
    <row r="322" spans="1:3" x14ac:dyDescent="0.2">
      <c r="A322" s="174" t="s">
        <v>1116</v>
      </c>
      <c r="B322" s="3" t="s">
        <v>1117</v>
      </c>
      <c r="C322" s="175">
        <v>8570.33</v>
      </c>
    </row>
    <row r="323" spans="1:3" x14ac:dyDescent="0.2">
      <c r="A323" s="174" t="s">
        <v>1118</v>
      </c>
      <c r="B323" s="3" t="s">
        <v>1119</v>
      </c>
      <c r="C323" s="175">
        <v>5155.869999999999</v>
      </c>
    </row>
    <row r="324" spans="1:3" x14ac:dyDescent="0.2">
      <c r="A324" s="174" t="s">
        <v>1120</v>
      </c>
      <c r="B324" s="3" t="s">
        <v>1121</v>
      </c>
      <c r="C324" s="175">
        <v>77401.069999999992</v>
      </c>
    </row>
    <row r="325" spans="1:3" x14ac:dyDescent="0.2">
      <c r="A325" s="174" t="s">
        <v>1122</v>
      </c>
      <c r="B325" s="3" t="s">
        <v>1123</v>
      </c>
      <c r="C325" s="175">
        <v>97015.099999999991</v>
      </c>
    </row>
    <row r="326" spans="1:3" x14ac:dyDescent="0.2">
      <c r="A326" s="174" t="s">
        <v>1124</v>
      </c>
      <c r="B326" s="3" t="s">
        <v>1125</v>
      </c>
      <c r="C326" s="175">
        <v>44864.630000000005</v>
      </c>
    </row>
    <row r="327" spans="1:3" x14ac:dyDescent="0.2">
      <c r="A327" s="174" t="s">
        <v>1126</v>
      </c>
      <c r="B327" s="3" t="s">
        <v>1127</v>
      </c>
      <c r="C327" s="175">
        <v>8441.35</v>
      </c>
    </row>
    <row r="328" spans="1:3" x14ac:dyDescent="0.2">
      <c r="A328" s="174" t="s">
        <v>1128</v>
      </c>
      <c r="B328" s="3" t="s">
        <v>1129</v>
      </c>
      <c r="C328" s="175">
        <v>23245.809999999998</v>
      </c>
    </row>
    <row r="329" spans="1:3" x14ac:dyDescent="0.2">
      <c r="A329" s="174" t="s">
        <v>1130</v>
      </c>
      <c r="B329" s="3" t="s">
        <v>1131</v>
      </c>
      <c r="C329" s="175">
        <v>2806941.7100000004</v>
      </c>
    </row>
    <row r="330" spans="1:3" x14ac:dyDescent="0.2">
      <c r="A330" s="174" t="s">
        <v>1132</v>
      </c>
      <c r="B330" s="3" t="s">
        <v>1133</v>
      </c>
      <c r="C330" s="175">
        <v>40544.259999999995</v>
      </c>
    </row>
    <row r="331" spans="1:3" x14ac:dyDescent="0.2">
      <c r="A331" s="174" t="s">
        <v>1134</v>
      </c>
      <c r="B331" s="3" t="s">
        <v>1135</v>
      </c>
      <c r="C331" s="175">
        <v>6630.06</v>
      </c>
    </row>
    <row r="332" spans="1:3" x14ac:dyDescent="0.2">
      <c r="A332" s="174" t="s">
        <v>1136</v>
      </c>
      <c r="B332" s="3" t="s">
        <v>1137</v>
      </c>
      <c r="C332" s="175">
        <v>-83900.56</v>
      </c>
    </row>
    <row r="333" spans="1:3" x14ac:dyDescent="0.2">
      <c r="A333" s="174" t="s">
        <v>1138</v>
      </c>
      <c r="B333" s="3" t="s">
        <v>1139</v>
      </c>
      <c r="C333" s="175">
        <v>2233.2900000000036</v>
      </c>
    </row>
    <row r="334" spans="1:3" x14ac:dyDescent="0.2">
      <c r="A334" s="174" t="s">
        <v>1140</v>
      </c>
      <c r="B334" s="3" t="s">
        <v>1141</v>
      </c>
      <c r="C334" s="175">
        <v>73027.839999999997</v>
      </c>
    </row>
    <row r="335" spans="1:3" x14ac:dyDescent="0.2">
      <c r="A335" s="174" t="s">
        <v>1142</v>
      </c>
      <c r="B335" s="3" t="s">
        <v>1143</v>
      </c>
      <c r="C335" s="175">
        <v>91558.689999999988</v>
      </c>
    </row>
    <row r="336" spans="1:3" x14ac:dyDescent="0.2">
      <c r="A336" s="174" t="s">
        <v>1144</v>
      </c>
      <c r="B336" s="3" t="s">
        <v>1145</v>
      </c>
      <c r="C336" s="175">
        <v>174835.80999999994</v>
      </c>
    </row>
    <row r="337" spans="1:3" x14ac:dyDescent="0.2">
      <c r="A337" s="174" t="s">
        <v>1146</v>
      </c>
      <c r="B337" s="3" t="s">
        <v>1147</v>
      </c>
      <c r="C337" s="175">
        <v>3619.2300000000023</v>
      </c>
    </row>
    <row r="338" spans="1:3" x14ac:dyDescent="0.2">
      <c r="A338" s="174" t="s">
        <v>1148</v>
      </c>
      <c r="B338" s="3" t="s">
        <v>1149</v>
      </c>
      <c r="C338" s="175">
        <v>0</v>
      </c>
    </row>
    <row r="339" spans="1:3" x14ac:dyDescent="0.2">
      <c r="A339" s="174" t="s">
        <v>1150</v>
      </c>
      <c r="B339" s="3" t="s">
        <v>1151</v>
      </c>
      <c r="C339" s="175">
        <v>11313.840000000002</v>
      </c>
    </row>
    <row r="340" spans="1:3" x14ac:dyDescent="0.2">
      <c r="A340" s="174" t="s">
        <v>1152</v>
      </c>
      <c r="B340" s="3" t="s">
        <v>1153</v>
      </c>
      <c r="C340" s="175">
        <v>19440.339999999997</v>
      </c>
    </row>
    <row r="341" spans="1:3" x14ac:dyDescent="0.2">
      <c r="A341" s="174" t="s">
        <v>1154</v>
      </c>
      <c r="B341" s="3" t="s">
        <v>1155</v>
      </c>
      <c r="C341" s="175">
        <v>50451.950000000004</v>
      </c>
    </row>
    <row r="342" spans="1:3" x14ac:dyDescent="0.2">
      <c r="A342" s="174" t="s">
        <v>1156</v>
      </c>
      <c r="B342" s="3" t="s">
        <v>1157</v>
      </c>
      <c r="C342" s="175">
        <v>1067.7</v>
      </c>
    </row>
    <row r="343" spans="1:3" x14ac:dyDescent="0.2">
      <c r="A343" s="174" t="s">
        <v>1158</v>
      </c>
      <c r="B343" s="3" t="s">
        <v>1159</v>
      </c>
      <c r="C343" s="175">
        <v>970610.94999999949</v>
      </c>
    </row>
    <row r="344" spans="1:3" x14ac:dyDescent="0.2">
      <c r="A344" s="174" t="s">
        <v>1160</v>
      </c>
      <c r="B344" s="3" t="s">
        <v>1161</v>
      </c>
      <c r="C344" s="175">
        <v>767.53</v>
      </c>
    </row>
    <row r="345" spans="1:3" x14ac:dyDescent="0.2">
      <c r="A345" s="174" t="s">
        <v>1162</v>
      </c>
      <c r="B345" s="3" t="s">
        <v>1163</v>
      </c>
      <c r="C345" s="175">
        <v>-5.8832938520936295E-11</v>
      </c>
    </row>
    <row r="346" spans="1:3" x14ac:dyDescent="0.2">
      <c r="A346" s="174" t="s">
        <v>1164</v>
      </c>
      <c r="B346" s="3" t="s">
        <v>1165</v>
      </c>
      <c r="C346" s="175">
        <v>-2830.5099999999998</v>
      </c>
    </row>
    <row r="347" spans="1:3" x14ac:dyDescent="0.2">
      <c r="A347" s="174" t="s">
        <v>1166</v>
      </c>
      <c r="B347" s="3" t="s">
        <v>1167</v>
      </c>
      <c r="C347" s="175">
        <v>262.43</v>
      </c>
    </row>
    <row r="348" spans="1:3" x14ac:dyDescent="0.2">
      <c r="A348" s="174" t="s">
        <v>1168</v>
      </c>
      <c r="B348" s="3" t="s">
        <v>1169</v>
      </c>
      <c r="C348" s="175">
        <v>-48108.10999999995</v>
      </c>
    </row>
    <row r="349" spans="1:3" x14ac:dyDescent="0.2">
      <c r="A349" s="174" t="s">
        <v>1170</v>
      </c>
      <c r="B349" s="3" t="s">
        <v>1171</v>
      </c>
      <c r="C349" s="175">
        <v>46.53</v>
      </c>
    </row>
    <row r="350" spans="1:3" x14ac:dyDescent="0.2">
      <c r="A350" s="174" t="s">
        <v>1172</v>
      </c>
      <c r="B350" s="3" t="s">
        <v>1173</v>
      </c>
      <c r="C350" s="175">
        <v>0</v>
      </c>
    </row>
    <row r="351" spans="1:3" x14ac:dyDescent="0.2">
      <c r="A351" s="174" t="s">
        <v>1174</v>
      </c>
      <c r="B351" s="3" t="s">
        <v>1175</v>
      </c>
      <c r="C351" s="175">
        <v>19170.900000000001</v>
      </c>
    </row>
    <row r="352" spans="1:3" x14ac:dyDescent="0.2">
      <c r="A352" s="174" t="s">
        <v>1176</v>
      </c>
      <c r="B352" s="3" t="s">
        <v>1177</v>
      </c>
      <c r="C352" s="175">
        <v>21342.539999999997</v>
      </c>
    </row>
    <row r="353" spans="1:3" x14ac:dyDescent="0.2">
      <c r="A353" s="174" t="s">
        <v>1178</v>
      </c>
      <c r="B353" s="3" t="s">
        <v>1179</v>
      </c>
      <c r="C353" s="175">
        <v>-6669.5499999999993</v>
      </c>
    </row>
    <row r="354" spans="1:3" x14ac:dyDescent="0.2">
      <c r="A354" s="174" t="s">
        <v>1180</v>
      </c>
      <c r="B354" s="3" t="s">
        <v>1181</v>
      </c>
      <c r="C354" s="175">
        <v>-2032.86</v>
      </c>
    </row>
    <row r="355" spans="1:3" x14ac:dyDescent="0.2">
      <c r="A355" s="174" t="s">
        <v>1182</v>
      </c>
      <c r="B355" s="3" t="s">
        <v>1183</v>
      </c>
      <c r="C355" s="175">
        <v>204.48</v>
      </c>
    </row>
    <row r="356" spans="1:3" x14ac:dyDescent="0.2">
      <c r="A356" s="174" t="s">
        <v>1184</v>
      </c>
      <c r="B356" s="3" t="s">
        <v>1185</v>
      </c>
      <c r="C356" s="175">
        <v>47194.130000000012</v>
      </c>
    </row>
    <row r="357" spans="1:3" x14ac:dyDescent="0.2">
      <c r="A357" s="174" t="s">
        <v>1186</v>
      </c>
      <c r="B357" s="3" t="s">
        <v>1187</v>
      </c>
      <c r="C357" s="175">
        <v>-6743.2399999999952</v>
      </c>
    </row>
    <row r="358" spans="1:3" x14ac:dyDescent="0.2">
      <c r="A358" s="174" t="s">
        <v>1188</v>
      </c>
      <c r="B358" s="3" t="s">
        <v>1189</v>
      </c>
      <c r="C358" s="175">
        <v>-8010.1799999999994</v>
      </c>
    </row>
    <row r="359" spans="1:3" x14ac:dyDescent="0.2">
      <c r="A359" s="174" t="s">
        <v>1190</v>
      </c>
      <c r="B359" s="3" t="s">
        <v>1191</v>
      </c>
      <c r="C359" s="175">
        <v>181737.76</v>
      </c>
    </row>
    <row r="360" spans="1:3" x14ac:dyDescent="0.2">
      <c r="A360" s="174" t="s">
        <v>1192</v>
      </c>
      <c r="B360" s="3" t="s">
        <v>1193</v>
      </c>
      <c r="C360" s="175">
        <v>4380.57</v>
      </c>
    </row>
    <row r="361" spans="1:3" x14ac:dyDescent="0.2">
      <c r="A361" s="174" t="s">
        <v>1194</v>
      </c>
      <c r="B361" s="3" t="s">
        <v>1195</v>
      </c>
      <c r="C361" s="175">
        <v>-14128.75</v>
      </c>
    </row>
    <row r="362" spans="1:3" x14ac:dyDescent="0.2">
      <c r="A362" s="174" t="s">
        <v>1196</v>
      </c>
      <c r="B362" s="3" t="s">
        <v>1197</v>
      </c>
      <c r="C362" s="175">
        <v>7191.9999999999982</v>
      </c>
    </row>
    <row r="363" spans="1:3" x14ac:dyDescent="0.2">
      <c r="A363" s="174" t="s">
        <v>1198</v>
      </c>
      <c r="B363" s="3" t="s">
        <v>1199</v>
      </c>
      <c r="C363" s="175">
        <v>-2174.54</v>
      </c>
    </row>
    <row r="364" spans="1:3" x14ac:dyDescent="0.2">
      <c r="A364" s="174" t="s">
        <v>1200</v>
      </c>
      <c r="B364" s="3" t="s">
        <v>1201</v>
      </c>
      <c r="C364" s="175">
        <v>10560</v>
      </c>
    </row>
    <row r="365" spans="1:3" x14ac:dyDescent="0.2">
      <c r="A365" s="174" t="s">
        <v>1202</v>
      </c>
      <c r="B365" s="3" t="s">
        <v>1203</v>
      </c>
      <c r="C365" s="175">
        <v>394177.10000000003</v>
      </c>
    </row>
    <row r="366" spans="1:3" x14ac:dyDescent="0.2">
      <c r="A366" s="174" t="s">
        <v>1204</v>
      </c>
      <c r="B366" s="3" t="s">
        <v>1205</v>
      </c>
      <c r="C366" s="175">
        <v>74341.699999999983</v>
      </c>
    </row>
    <row r="367" spans="1:3" x14ac:dyDescent="0.2">
      <c r="A367" s="174" t="s">
        <v>1206</v>
      </c>
      <c r="B367" s="3" t="s">
        <v>1207</v>
      </c>
      <c r="C367" s="175">
        <v>187223.52</v>
      </c>
    </row>
    <row r="368" spans="1:3" x14ac:dyDescent="0.2">
      <c r="A368" s="174" t="s">
        <v>1208</v>
      </c>
      <c r="B368" s="3" t="s">
        <v>1209</v>
      </c>
      <c r="C368" s="175">
        <v>1389.4099999999999</v>
      </c>
    </row>
    <row r="369" spans="1:3" x14ac:dyDescent="0.2">
      <c r="A369" s="174" t="s">
        <v>1210</v>
      </c>
      <c r="B369" s="3" t="s">
        <v>1211</v>
      </c>
      <c r="C369" s="175">
        <v>9069.16</v>
      </c>
    </row>
    <row r="370" spans="1:3" x14ac:dyDescent="0.2">
      <c r="A370" s="174" t="s">
        <v>1212</v>
      </c>
      <c r="B370" s="3" t="s">
        <v>1213</v>
      </c>
      <c r="C370" s="175">
        <v>-1468.44</v>
      </c>
    </row>
    <row r="371" spans="1:3" x14ac:dyDescent="0.2">
      <c r="A371" s="174" t="s">
        <v>1214</v>
      </c>
      <c r="B371" s="3" t="s">
        <v>1215</v>
      </c>
      <c r="C371" s="175">
        <v>67258.890000000029</v>
      </c>
    </row>
    <row r="372" spans="1:3" x14ac:dyDescent="0.2">
      <c r="A372" s="174" t="s">
        <v>1216</v>
      </c>
      <c r="B372" s="3" t="s">
        <v>1217</v>
      </c>
      <c r="C372" s="175">
        <v>129918.77000000003</v>
      </c>
    </row>
    <row r="373" spans="1:3" x14ac:dyDescent="0.2">
      <c r="A373" s="174" t="s">
        <v>1218</v>
      </c>
      <c r="B373" s="3" t="s">
        <v>1219</v>
      </c>
      <c r="C373" s="175">
        <v>113</v>
      </c>
    </row>
    <row r="374" spans="1:3" x14ac:dyDescent="0.2">
      <c r="A374" s="174" t="s">
        <v>1220</v>
      </c>
      <c r="B374" s="3" t="s">
        <v>1221</v>
      </c>
      <c r="C374" s="175">
        <v>3988101.0399999986</v>
      </c>
    </row>
    <row r="375" spans="1:3" x14ac:dyDescent="0.2">
      <c r="A375" s="174" t="s">
        <v>1222</v>
      </c>
      <c r="B375" s="3" t="s">
        <v>1223</v>
      </c>
      <c r="C375" s="175">
        <v>12633232.049999988</v>
      </c>
    </row>
    <row r="376" spans="1:3" x14ac:dyDescent="0.2">
      <c r="A376" s="174" t="s">
        <v>1224</v>
      </c>
      <c r="B376" s="3" t="s">
        <v>1225</v>
      </c>
      <c r="C376" s="175">
        <v>18444288.080000017</v>
      </c>
    </row>
    <row r="377" spans="1:3" x14ac:dyDescent="0.2">
      <c r="A377" s="174" t="s">
        <v>1226</v>
      </c>
      <c r="B377" s="3" t="s">
        <v>1227</v>
      </c>
      <c r="C377" s="175">
        <v>3522288.8599999994</v>
      </c>
    </row>
    <row r="378" spans="1:3" x14ac:dyDescent="0.2">
      <c r="A378" s="174" t="s">
        <v>1228</v>
      </c>
      <c r="B378" s="3" t="s">
        <v>1229</v>
      </c>
      <c r="C378" s="175">
        <v>14349950.370000007</v>
      </c>
    </row>
    <row r="379" spans="1:3" x14ac:dyDescent="0.2">
      <c r="A379" s="174" t="s">
        <v>1230</v>
      </c>
      <c r="B379" s="3" t="s">
        <v>1231</v>
      </c>
      <c r="C379" s="175">
        <v>1488705.3599999985</v>
      </c>
    </row>
    <row r="380" spans="1:3" x14ac:dyDescent="0.2">
      <c r="A380" s="174" t="s">
        <v>1232</v>
      </c>
      <c r="B380" s="3" t="s">
        <v>1233</v>
      </c>
      <c r="C380" s="175">
        <v>-2666.38</v>
      </c>
    </row>
    <row r="381" spans="1:3" x14ac:dyDescent="0.2">
      <c r="A381" s="174" t="s">
        <v>1234</v>
      </c>
      <c r="B381" s="3" t="s">
        <v>1235</v>
      </c>
      <c r="C381" s="175">
        <v>0.19999999999999929</v>
      </c>
    </row>
    <row r="382" spans="1:3" x14ac:dyDescent="0.2">
      <c r="A382" s="174" t="s">
        <v>1236</v>
      </c>
      <c r="B382" s="3" t="s">
        <v>1237</v>
      </c>
      <c r="C382" s="175">
        <v>16.399999999999636</v>
      </c>
    </row>
    <row r="383" spans="1:3" x14ac:dyDescent="0.2">
      <c r="A383" s="174" t="s">
        <v>1238</v>
      </c>
      <c r="B383" s="3" t="s">
        <v>1239</v>
      </c>
      <c r="C383" s="175">
        <v>2867.3600000000006</v>
      </c>
    </row>
    <row r="384" spans="1:3" x14ac:dyDescent="0.2">
      <c r="A384" s="174" t="s">
        <v>1240</v>
      </c>
      <c r="B384" s="3" t="s">
        <v>1241</v>
      </c>
      <c r="C384" s="175">
        <v>-15798.990000000029</v>
      </c>
    </row>
    <row r="385" spans="1:3" x14ac:dyDescent="0.2">
      <c r="A385" s="174" t="s">
        <v>1242</v>
      </c>
      <c r="B385" s="3" t="s">
        <v>1243</v>
      </c>
      <c r="C385" s="175">
        <v>59701.71</v>
      </c>
    </row>
    <row r="386" spans="1:3" x14ac:dyDescent="0.2">
      <c r="A386" s="174" t="s">
        <v>1244</v>
      </c>
      <c r="B386" s="3" t="s">
        <v>1245</v>
      </c>
      <c r="C386" s="175">
        <v>133206.26</v>
      </c>
    </row>
    <row r="387" spans="1:3" x14ac:dyDescent="0.2">
      <c r="A387" s="174" t="s">
        <v>1246</v>
      </c>
      <c r="B387" s="3" t="s">
        <v>1247</v>
      </c>
      <c r="C387" s="175">
        <v>166339.70999999996</v>
      </c>
    </row>
    <row r="388" spans="1:3" x14ac:dyDescent="0.2">
      <c r="A388" s="174" t="s">
        <v>1248</v>
      </c>
      <c r="B388" s="3" t="s">
        <v>1249</v>
      </c>
      <c r="C388" s="175">
        <v>148210.26</v>
      </c>
    </row>
    <row r="389" spans="1:3" x14ac:dyDescent="0.2">
      <c r="A389" s="174" t="s">
        <v>1250</v>
      </c>
      <c r="B389" s="3" t="s">
        <v>1251</v>
      </c>
      <c r="C389" s="175">
        <v>312423.28999999986</v>
      </c>
    </row>
    <row r="390" spans="1:3" x14ac:dyDescent="0.2">
      <c r="A390" s="174" t="s">
        <v>1252</v>
      </c>
      <c r="B390" s="3" t="s">
        <v>1253</v>
      </c>
      <c r="C390" s="175">
        <v>67432.909999999989</v>
      </c>
    </row>
    <row r="391" spans="1:3" x14ac:dyDescent="0.2">
      <c r="A391" s="174" t="s">
        <v>1254</v>
      </c>
      <c r="B391" s="3" t="s">
        <v>1255</v>
      </c>
      <c r="C391" s="175">
        <v>143294.96000000002</v>
      </c>
    </row>
    <row r="392" spans="1:3" x14ac:dyDescent="0.2">
      <c r="A392" s="174" t="s">
        <v>1256</v>
      </c>
      <c r="B392" s="3" t="s">
        <v>1257</v>
      </c>
      <c r="C392" s="175">
        <v>125827.26999999997</v>
      </c>
    </row>
    <row r="393" spans="1:3" x14ac:dyDescent="0.2">
      <c r="A393" s="174" t="s">
        <v>1258</v>
      </c>
      <c r="B393" s="3" t="s">
        <v>1259</v>
      </c>
      <c r="C393" s="175">
        <v>188791.2</v>
      </c>
    </row>
    <row r="394" spans="1:3" x14ac:dyDescent="0.2">
      <c r="A394" s="174" t="s">
        <v>1260</v>
      </c>
      <c r="B394" s="3" t="s">
        <v>1261</v>
      </c>
      <c r="C394" s="175">
        <v>218586.9</v>
      </c>
    </row>
    <row r="395" spans="1:3" x14ac:dyDescent="0.2">
      <c r="A395" s="174" t="s">
        <v>1262</v>
      </c>
      <c r="B395" s="3" t="s">
        <v>1263</v>
      </c>
      <c r="C395" s="175">
        <v>501545.94999999995</v>
      </c>
    </row>
    <row r="396" spans="1:3" x14ac:dyDescent="0.2">
      <c r="A396" s="174" t="s">
        <v>1264</v>
      </c>
      <c r="B396" s="3" t="s">
        <v>1265</v>
      </c>
      <c r="C396" s="175">
        <v>220967.6</v>
      </c>
    </row>
    <row r="397" spans="1:3" x14ac:dyDescent="0.2">
      <c r="A397" s="174" t="s">
        <v>1266</v>
      </c>
      <c r="B397" s="3" t="s">
        <v>1267</v>
      </c>
      <c r="C397" s="175">
        <v>-4795.4199999999983</v>
      </c>
    </row>
    <row r="398" spans="1:3" x14ac:dyDescent="0.2">
      <c r="A398" s="174" t="s">
        <v>1268</v>
      </c>
      <c r="B398" s="3" t="s">
        <v>1269</v>
      </c>
      <c r="C398" s="175">
        <v>51311.950000000026</v>
      </c>
    </row>
    <row r="399" spans="1:3" x14ac:dyDescent="0.2">
      <c r="A399" s="174" t="s">
        <v>1270</v>
      </c>
      <c r="B399" s="3" t="s">
        <v>1271</v>
      </c>
      <c r="C399" s="175">
        <v>111399.79999999996</v>
      </c>
    </row>
    <row r="400" spans="1:3" x14ac:dyDescent="0.2">
      <c r="A400" s="174" t="s">
        <v>1272</v>
      </c>
      <c r="B400" s="3" t="s">
        <v>1273</v>
      </c>
      <c r="C400" s="175">
        <v>0.19999999999999998</v>
      </c>
    </row>
    <row r="401" spans="1:3" x14ac:dyDescent="0.2">
      <c r="A401" s="174" t="s">
        <v>1274</v>
      </c>
      <c r="B401" s="3" t="s">
        <v>1275</v>
      </c>
      <c r="C401" s="175">
        <v>-782.19</v>
      </c>
    </row>
    <row r="402" spans="1:3" x14ac:dyDescent="0.2">
      <c r="A402" s="174" t="s">
        <v>1276</v>
      </c>
      <c r="B402" s="3" t="s">
        <v>1277</v>
      </c>
      <c r="C402" s="175">
        <v>8.4699999999984357</v>
      </c>
    </row>
    <row r="403" spans="1:3" x14ac:dyDescent="0.2">
      <c r="A403" s="174" t="s">
        <v>1278</v>
      </c>
      <c r="B403" s="3" t="s">
        <v>1279</v>
      </c>
      <c r="C403" s="175">
        <v>749.96999999999912</v>
      </c>
    </row>
    <row r="404" spans="1:3" x14ac:dyDescent="0.2">
      <c r="A404" s="174" t="s">
        <v>1280</v>
      </c>
      <c r="B404" s="3" t="s">
        <v>1281</v>
      </c>
      <c r="C404" s="175">
        <v>268586.62999999989</v>
      </c>
    </row>
    <row r="405" spans="1:3" x14ac:dyDescent="0.2">
      <c r="A405" s="174" t="s">
        <v>1282</v>
      </c>
      <c r="B405" s="3" t="s">
        <v>1283</v>
      </c>
      <c r="C405" s="175">
        <v>-1118.74</v>
      </c>
    </row>
    <row r="406" spans="1:3" x14ac:dyDescent="0.2">
      <c r="A406" s="174" t="s">
        <v>1284</v>
      </c>
      <c r="B406" s="3" t="s">
        <v>1285</v>
      </c>
      <c r="C406" s="175">
        <v>231698.96999999997</v>
      </c>
    </row>
    <row r="407" spans="1:3" x14ac:dyDescent="0.2">
      <c r="A407" s="174" t="s">
        <v>1286</v>
      </c>
      <c r="B407" s="3" t="s">
        <v>1287</v>
      </c>
      <c r="C407" s="175">
        <v>168144.18000000002</v>
      </c>
    </row>
    <row r="408" spans="1:3" x14ac:dyDescent="0.2">
      <c r="A408" s="174" t="s">
        <v>1288</v>
      </c>
      <c r="B408" s="3" t="s">
        <v>1289</v>
      </c>
      <c r="C408" s="175">
        <v>6318.3499999999904</v>
      </c>
    </row>
    <row r="409" spans="1:3" x14ac:dyDescent="0.2">
      <c r="A409" s="174" t="s">
        <v>1290</v>
      </c>
      <c r="B409" s="3" t="s">
        <v>1291</v>
      </c>
      <c r="C409" s="175">
        <v>860943.30999999994</v>
      </c>
    </row>
    <row r="410" spans="1:3" x14ac:dyDescent="0.2">
      <c r="A410" s="174" t="s">
        <v>1292</v>
      </c>
      <c r="B410" s="3" t="s">
        <v>1293</v>
      </c>
      <c r="C410" s="175">
        <v>100502.74</v>
      </c>
    </row>
    <row r="411" spans="1:3" x14ac:dyDescent="0.2">
      <c r="A411" s="174" t="s">
        <v>1294</v>
      </c>
      <c r="B411" s="3" t="s">
        <v>1295</v>
      </c>
      <c r="C411" s="175">
        <v>14096.549999999996</v>
      </c>
    </row>
    <row r="412" spans="1:3" x14ac:dyDescent="0.2">
      <c r="A412" s="174" t="s">
        <v>1296</v>
      </c>
      <c r="B412" s="3" t="s">
        <v>1297</v>
      </c>
      <c r="C412" s="175">
        <v>62652.879999999983</v>
      </c>
    </row>
    <row r="413" spans="1:3" x14ac:dyDescent="0.2">
      <c r="A413" s="174" t="s">
        <v>1298</v>
      </c>
      <c r="B413" s="3" t="s">
        <v>1299</v>
      </c>
      <c r="C413" s="175">
        <v>1873.14</v>
      </c>
    </row>
    <row r="414" spans="1:3" x14ac:dyDescent="0.2">
      <c r="A414" s="174" t="s">
        <v>1300</v>
      </c>
      <c r="B414" s="3" t="s">
        <v>1301</v>
      </c>
      <c r="C414" s="175">
        <v>0</v>
      </c>
    </row>
    <row r="415" spans="1:3" x14ac:dyDescent="0.2">
      <c r="A415" s="174" t="s">
        <v>1302</v>
      </c>
      <c r="B415" s="3" t="s">
        <v>1303</v>
      </c>
      <c r="C415" s="175">
        <v>17779.46</v>
      </c>
    </row>
    <row r="416" spans="1:3" x14ac:dyDescent="0.2">
      <c r="A416" s="174" t="s">
        <v>1304</v>
      </c>
      <c r="B416" s="3" t="s">
        <v>1305</v>
      </c>
      <c r="C416" s="175">
        <v>1570.9800000000014</v>
      </c>
    </row>
    <row r="417" spans="1:3" x14ac:dyDescent="0.2">
      <c r="A417" s="174" t="s">
        <v>1306</v>
      </c>
      <c r="B417" s="3" t="s">
        <v>1307</v>
      </c>
      <c r="C417" s="175">
        <v>167874.13</v>
      </c>
    </row>
    <row r="418" spans="1:3" x14ac:dyDescent="0.2">
      <c r="A418" s="174" t="s">
        <v>1308</v>
      </c>
      <c r="B418" s="3" t="s">
        <v>1309</v>
      </c>
      <c r="C418" s="175">
        <v>57394.180000000029</v>
      </c>
    </row>
    <row r="419" spans="1:3" x14ac:dyDescent="0.2">
      <c r="A419" s="174" t="s">
        <v>1310</v>
      </c>
      <c r="B419" s="3" t="s">
        <v>1311</v>
      </c>
      <c r="C419" s="175">
        <v>21877.329999999998</v>
      </c>
    </row>
    <row r="420" spans="1:3" x14ac:dyDescent="0.2">
      <c r="A420" s="174" t="s">
        <v>1312</v>
      </c>
      <c r="B420" s="3" t="s">
        <v>1313</v>
      </c>
      <c r="C420" s="175">
        <v>53699.089999999989</v>
      </c>
    </row>
    <row r="421" spans="1:3" x14ac:dyDescent="0.2">
      <c r="A421" s="174" t="s">
        <v>1314</v>
      </c>
      <c r="B421" s="3" t="s">
        <v>1315</v>
      </c>
      <c r="C421" s="175">
        <v>15622.269999999997</v>
      </c>
    </row>
    <row r="422" spans="1:3" x14ac:dyDescent="0.2">
      <c r="A422" s="174" t="s">
        <v>1316</v>
      </c>
      <c r="B422" s="3" t="s">
        <v>1317</v>
      </c>
      <c r="C422" s="175">
        <v>291255.01999999996</v>
      </c>
    </row>
    <row r="423" spans="1:3" x14ac:dyDescent="0.2">
      <c r="A423" s="174" t="s">
        <v>1318</v>
      </c>
      <c r="B423" s="3" t="s">
        <v>1319</v>
      </c>
      <c r="C423" s="175">
        <v>84403.5</v>
      </c>
    </row>
    <row r="424" spans="1:3" x14ac:dyDescent="0.2">
      <c r="A424" s="174" t="s">
        <v>1320</v>
      </c>
      <c r="B424" s="3" t="s">
        <v>1321</v>
      </c>
      <c r="C424" s="175">
        <v>243022.16000000006</v>
      </c>
    </row>
    <row r="425" spans="1:3" x14ac:dyDescent="0.2">
      <c r="A425" s="174" t="s">
        <v>1322</v>
      </c>
      <c r="B425" s="3" t="s">
        <v>1323</v>
      </c>
      <c r="C425" s="175">
        <v>116658.21000000002</v>
      </c>
    </row>
    <row r="426" spans="1:3" x14ac:dyDescent="0.2">
      <c r="A426" s="174" t="s">
        <v>1324</v>
      </c>
      <c r="B426" s="3" t="s">
        <v>1325</v>
      </c>
      <c r="C426" s="175">
        <v>446202.52000000008</v>
      </c>
    </row>
    <row r="427" spans="1:3" x14ac:dyDescent="0.2">
      <c r="A427" s="174" t="s">
        <v>1326</v>
      </c>
      <c r="B427" s="3" t="s">
        <v>1327</v>
      </c>
      <c r="C427" s="175">
        <v>125130.66</v>
      </c>
    </row>
    <row r="428" spans="1:3" x14ac:dyDescent="0.2">
      <c r="A428" s="174" t="s">
        <v>1328</v>
      </c>
      <c r="B428" s="3" t="s">
        <v>1329</v>
      </c>
      <c r="C428" s="175">
        <v>59043.829999999987</v>
      </c>
    </row>
    <row r="429" spans="1:3" x14ac:dyDescent="0.2">
      <c r="A429" s="174" t="s">
        <v>1330</v>
      </c>
      <c r="B429" s="3" t="s">
        <v>1331</v>
      </c>
      <c r="C429" s="175">
        <v>40081.480000000025</v>
      </c>
    </row>
    <row r="430" spans="1:3" x14ac:dyDescent="0.2">
      <c r="A430" s="174" t="s">
        <v>1332</v>
      </c>
      <c r="B430" s="3" t="s">
        <v>1333</v>
      </c>
      <c r="C430" s="175">
        <v>250051.41000000012</v>
      </c>
    </row>
    <row r="431" spans="1:3" x14ac:dyDescent="0.2">
      <c r="A431" s="174" t="s">
        <v>1334</v>
      </c>
      <c r="B431" s="3" t="s">
        <v>1335</v>
      </c>
      <c r="C431" s="175">
        <v>98041.349999999962</v>
      </c>
    </row>
    <row r="432" spans="1:3" x14ac:dyDescent="0.2">
      <c r="A432" s="174" t="s">
        <v>1336</v>
      </c>
      <c r="B432" s="3" t="s">
        <v>1337</v>
      </c>
      <c r="C432" s="175">
        <v>308673.38</v>
      </c>
    </row>
    <row r="433" spans="1:3" x14ac:dyDescent="0.2">
      <c r="A433" s="174" t="s">
        <v>1338</v>
      </c>
      <c r="B433" s="3" t="s">
        <v>1339</v>
      </c>
      <c r="C433" s="175">
        <v>109469.52999999998</v>
      </c>
    </row>
    <row r="434" spans="1:3" x14ac:dyDescent="0.2">
      <c r="A434" s="174" t="s">
        <v>1340</v>
      </c>
      <c r="B434" s="3" t="s">
        <v>1341</v>
      </c>
      <c r="C434" s="175">
        <v>25742.680000000004</v>
      </c>
    </row>
    <row r="435" spans="1:3" x14ac:dyDescent="0.2">
      <c r="A435" s="174" t="s">
        <v>1342</v>
      </c>
      <c r="B435" s="3" t="s">
        <v>1343</v>
      </c>
      <c r="C435" s="175">
        <v>236523.18</v>
      </c>
    </row>
    <row r="436" spans="1:3" x14ac:dyDescent="0.2">
      <c r="A436" s="174" t="s">
        <v>1344</v>
      </c>
      <c r="B436" s="3" t="s">
        <v>1345</v>
      </c>
      <c r="C436" s="175">
        <v>973909.82000000041</v>
      </c>
    </row>
    <row r="437" spans="1:3" x14ac:dyDescent="0.2">
      <c r="A437" s="174" t="s">
        <v>1346</v>
      </c>
      <c r="B437" s="3" t="s">
        <v>1347</v>
      </c>
      <c r="C437" s="175">
        <v>160272.45000000001</v>
      </c>
    </row>
    <row r="438" spans="1:3" x14ac:dyDescent="0.2">
      <c r="A438" s="174" t="s">
        <v>1348</v>
      </c>
      <c r="B438" s="3" t="s">
        <v>1349</v>
      </c>
      <c r="C438" s="175">
        <v>30743.490000000005</v>
      </c>
    </row>
    <row r="439" spans="1:3" x14ac:dyDescent="0.2">
      <c r="A439" s="174" t="s">
        <v>1350</v>
      </c>
      <c r="B439" s="3" t="s">
        <v>1351</v>
      </c>
      <c r="C439" s="175">
        <v>530.35</v>
      </c>
    </row>
    <row r="440" spans="1:3" x14ac:dyDescent="0.2">
      <c r="A440" s="174" t="s">
        <v>1352</v>
      </c>
      <c r="B440" s="3" t="s">
        <v>1353</v>
      </c>
      <c r="C440" s="175">
        <v>389923.53999999975</v>
      </c>
    </row>
    <row r="441" spans="1:3" x14ac:dyDescent="0.2">
      <c r="A441" s="174" t="s">
        <v>1354</v>
      </c>
      <c r="B441" s="3" t="s">
        <v>1355</v>
      </c>
      <c r="C441" s="175">
        <v>439429.58999999997</v>
      </c>
    </row>
    <row r="442" spans="1:3" x14ac:dyDescent="0.2">
      <c r="A442" s="174" t="s">
        <v>1356</v>
      </c>
      <c r="B442" s="3" t="s">
        <v>1357</v>
      </c>
      <c r="C442" s="175">
        <v>292761.48000000033</v>
      </c>
    </row>
    <row r="443" spans="1:3" x14ac:dyDescent="0.2">
      <c r="A443" s="174" t="s">
        <v>1358</v>
      </c>
      <c r="B443" s="3" t="s">
        <v>1359</v>
      </c>
      <c r="C443" s="175">
        <v>1794585.9800000004</v>
      </c>
    </row>
    <row r="444" spans="1:3" x14ac:dyDescent="0.2">
      <c r="A444" s="174" t="s">
        <v>1360</v>
      </c>
      <c r="B444" s="3" t="s">
        <v>1361</v>
      </c>
      <c r="C444" s="175">
        <v>1658722.6400000025</v>
      </c>
    </row>
    <row r="445" spans="1:3" x14ac:dyDescent="0.2">
      <c r="A445" s="174" t="s">
        <v>1362</v>
      </c>
      <c r="B445" s="3" t="s">
        <v>1363</v>
      </c>
      <c r="C445" s="175">
        <v>404349.66000000015</v>
      </c>
    </row>
    <row r="446" spans="1:3" x14ac:dyDescent="0.2">
      <c r="A446" s="174" t="s">
        <v>1364</v>
      </c>
      <c r="B446" s="3" t="s">
        <v>1365</v>
      </c>
      <c r="C446" s="175">
        <v>306599.61000000034</v>
      </c>
    </row>
    <row r="447" spans="1:3" x14ac:dyDescent="0.2">
      <c r="A447" s="174" t="s">
        <v>1366</v>
      </c>
      <c r="B447" s="3" t="s">
        <v>1367</v>
      </c>
      <c r="C447" s="175">
        <v>-4140.8100000000004</v>
      </c>
    </row>
    <row r="448" spans="1:3" x14ac:dyDescent="0.2">
      <c r="A448" s="174" t="s">
        <v>1368</v>
      </c>
      <c r="B448" s="3" t="s">
        <v>1369</v>
      </c>
      <c r="C448" s="175">
        <v>6766.8699999999571</v>
      </c>
    </row>
    <row r="449" spans="1:3" x14ac:dyDescent="0.2">
      <c r="A449" s="174" t="s">
        <v>1370</v>
      </c>
      <c r="B449" s="3" t="s">
        <v>1371</v>
      </c>
      <c r="C449" s="175">
        <v>19621.460000000006</v>
      </c>
    </row>
    <row r="450" spans="1:3" x14ac:dyDescent="0.2">
      <c r="A450" s="174" t="s">
        <v>1372</v>
      </c>
      <c r="B450" s="3" t="s">
        <v>1373</v>
      </c>
      <c r="C450" s="175">
        <v>31636924.940000031</v>
      </c>
    </row>
    <row r="451" spans="1:3" x14ac:dyDescent="0.2">
      <c r="A451" s="174" t="s">
        <v>1374</v>
      </c>
      <c r="B451" s="3" t="s">
        <v>1375</v>
      </c>
      <c r="C451" s="175">
        <v>79430.060000000012</v>
      </c>
    </row>
    <row r="452" spans="1:3" x14ac:dyDescent="0.2">
      <c r="A452" s="174" t="s">
        <v>1376</v>
      </c>
      <c r="B452" s="3" t="s">
        <v>1377</v>
      </c>
      <c r="C452" s="175">
        <v>40080.970000000008</v>
      </c>
    </row>
    <row r="453" spans="1:3" x14ac:dyDescent="0.2">
      <c r="A453" s="174" t="s">
        <v>1378</v>
      </c>
      <c r="B453" s="3" t="s">
        <v>1379</v>
      </c>
      <c r="C453" s="175">
        <v>137180.73999999993</v>
      </c>
    </row>
    <row r="454" spans="1:3" x14ac:dyDescent="0.2">
      <c r="A454" s="174" t="s">
        <v>1380</v>
      </c>
      <c r="B454" s="3" t="s">
        <v>1381</v>
      </c>
      <c r="C454" s="175">
        <v>178318.70000000004</v>
      </c>
    </row>
    <row r="455" spans="1:3" x14ac:dyDescent="0.2">
      <c r="A455" s="174" t="s">
        <v>1382</v>
      </c>
      <c r="B455" s="3" t="s">
        <v>1383</v>
      </c>
      <c r="C455" s="175">
        <v>8588</v>
      </c>
    </row>
    <row r="456" spans="1:3" x14ac:dyDescent="0.2">
      <c r="A456" s="174" t="s">
        <v>1384</v>
      </c>
      <c r="B456" s="3" t="s">
        <v>1385</v>
      </c>
      <c r="C456" s="175">
        <v>169014.65</v>
      </c>
    </row>
    <row r="457" spans="1:3" x14ac:dyDescent="0.2">
      <c r="A457" s="174" t="s">
        <v>1386</v>
      </c>
      <c r="B457" s="3" t="s">
        <v>1387</v>
      </c>
      <c r="C457" s="175">
        <v>69938768.220000014</v>
      </c>
    </row>
    <row r="458" spans="1:3" x14ac:dyDescent="0.2">
      <c r="A458" s="174" t="s">
        <v>1388</v>
      </c>
      <c r="B458" s="3" t="s">
        <v>1389</v>
      </c>
      <c r="C458" s="175">
        <v>14081562.259999981</v>
      </c>
    </row>
    <row r="459" spans="1:3" x14ac:dyDescent="0.2">
      <c r="A459" s="174" t="s">
        <v>1390</v>
      </c>
      <c r="B459" s="3" t="s">
        <v>1391</v>
      </c>
      <c r="C459" s="175">
        <v>53133.96</v>
      </c>
    </row>
    <row r="460" spans="1:3" x14ac:dyDescent="0.2">
      <c r="A460" s="174" t="s">
        <v>1392</v>
      </c>
      <c r="B460" s="3" t="s">
        <v>1393</v>
      </c>
      <c r="C460" s="175">
        <v>47131.97</v>
      </c>
    </row>
    <row r="461" spans="1:3" x14ac:dyDescent="0.2">
      <c r="A461" s="174" t="s">
        <v>1394</v>
      </c>
      <c r="B461" s="3" t="s">
        <v>1395</v>
      </c>
      <c r="C461" s="175">
        <v>45771.37</v>
      </c>
    </row>
    <row r="462" spans="1:3" x14ac:dyDescent="0.2">
      <c r="A462" s="174" t="s">
        <v>1396</v>
      </c>
      <c r="B462" s="3" t="s">
        <v>1397</v>
      </c>
      <c r="C462" s="175">
        <v>26382.719999999998</v>
      </c>
    </row>
    <row r="463" spans="1:3" x14ac:dyDescent="0.2">
      <c r="A463" s="174" t="s">
        <v>1398</v>
      </c>
      <c r="B463" s="3" t="s">
        <v>1399</v>
      </c>
      <c r="C463" s="175">
        <v>86193.89</v>
      </c>
    </row>
    <row r="464" spans="1:3" x14ac:dyDescent="0.2">
      <c r="A464" s="174" t="s">
        <v>1400</v>
      </c>
      <c r="B464" s="3" t="s">
        <v>1401</v>
      </c>
      <c r="C464" s="175">
        <v>21776.53999999999</v>
      </c>
    </row>
    <row r="465" spans="1:3" x14ac:dyDescent="0.2">
      <c r="A465" s="174" t="s">
        <v>1402</v>
      </c>
      <c r="B465" s="3" t="s">
        <v>1403</v>
      </c>
      <c r="C465" s="175">
        <v>584755.4</v>
      </c>
    </row>
    <row r="466" spans="1:3" x14ac:dyDescent="0.2">
      <c r="A466" s="174" t="s">
        <v>1404</v>
      </c>
      <c r="B466" s="3" t="s">
        <v>1405</v>
      </c>
      <c r="C466" s="175">
        <v>1672202.15</v>
      </c>
    </row>
    <row r="467" spans="1:3" x14ac:dyDescent="0.2">
      <c r="A467" s="174" t="s">
        <v>1406</v>
      </c>
      <c r="B467" s="3" t="s">
        <v>1407</v>
      </c>
      <c r="C467" s="175">
        <v>322887.58000000007</v>
      </c>
    </row>
    <row r="468" spans="1:3" x14ac:dyDescent="0.2">
      <c r="A468" s="174" t="s">
        <v>1408</v>
      </c>
      <c r="B468" s="3" t="s">
        <v>1409</v>
      </c>
      <c r="C468" s="175">
        <v>47884.180000000029</v>
      </c>
    </row>
    <row r="469" spans="1:3" x14ac:dyDescent="0.2">
      <c r="A469" s="174" t="s">
        <v>1410</v>
      </c>
      <c r="B469" s="3" t="s">
        <v>1411</v>
      </c>
      <c r="C469" s="175">
        <v>205648.01</v>
      </c>
    </row>
    <row r="470" spans="1:3" x14ac:dyDescent="0.2">
      <c r="A470" s="174" t="s">
        <v>1412</v>
      </c>
      <c r="B470" s="3" t="s">
        <v>1413</v>
      </c>
      <c r="C470" s="175">
        <v>26304.080000000002</v>
      </c>
    </row>
    <row r="471" spans="1:3" x14ac:dyDescent="0.2">
      <c r="A471" s="174" t="s">
        <v>1414</v>
      </c>
      <c r="B471" s="3" t="s">
        <v>1415</v>
      </c>
      <c r="C471" s="175">
        <v>48847.520000000004</v>
      </c>
    </row>
    <row r="472" spans="1:3" x14ac:dyDescent="0.2">
      <c r="A472" s="174" t="s">
        <v>1416</v>
      </c>
      <c r="B472" s="3" t="s">
        <v>1417</v>
      </c>
      <c r="C472" s="175">
        <v>227962.27000000002</v>
      </c>
    </row>
    <row r="473" spans="1:3" x14ac:dyDescent="0.2">
      <c r="A473" s="174" t="s">
        <v>1418</v>
      </c>
      <c r="B473" s="3" t="s">
        <v>1419</v>
      </c>
      <c r="C473" s="175">
        <v>8168.04</v>
      </c>
    </row>
    <row r="474" spans="1:3" x14ac:dyDescent="0.2">
      <c r="A474" s="174" t="s">
        <v>1420</v>
      </c>
      <c r="B474" s="3" t="s">
        <v>1421</v>
      </c>
      <c r="C474" s="175">
        <v>136464.22000000003</v>
      </c>
    </row>
    <row r="475" spans="1:3" x14ac:dyDescent="0.2">
      <c r="A475" s="174" t="s">
        <v>1422</v>
      </c>
      <c r="B475" s="3" t="s">
        <v>1423</v>
      </c>
      <c r="C475" s="175">
        <v>138299.54</v>
      </c>
    </row>
    <row r="476" spans="1:3" x14ac:dyDescent="0.2">
      <c r="A476" s="174" t="s">
        <v>1424</v>
      </c>
      <c r="B476" s="3" t="s">
        <v>1425</v>
      </c>
      <c r="C476" s="175">
        <v>131945.26000000004</v>
      </c>
    </row>
    <row r="477" spans="1:3" x14ac:dyDescent="0.2">
      <c r="A477" s="174" t="s">
        <v>1426</v>
      </c>
      <c r="B477" s="3" t="s">
        <v>1427</v>
      </c>
      <c r="C477" s="175">
        <v>53011.989999999991</v>
      </c>
    </row>
    <row r="478" spans="1:3" x14ac:dyDescent="0.2">
      <c r="A478" s="174" t="s">
        <v>1428</v>
      </c>
      <c r="B478" s="3" t="s">
        <v>1429</v>
      </c>
      <c r="C478" s="175">
        <v>61204.529999999992</v>
      </c>
    </row>
    <row r="479" spans="1:3" x14ac:dyDescent="0.2">
      <c r="A479" s="174" t="s">
        <v>1430</v>
      </c>
      <c r="B479" s="3" t="s">
        <v>1431</v>
      </c>
      <c r="C479" s="175">
        <v>59009.109999999986</v>
      </c>
    </row>
    <row r="480" spans="1:3" x14ac:dyDescent="0.2">
      <c r="A480" s="174" t="s">
        <v>1432</v>
      </c>
      <c r="B480" s="3" t="s">
        <v>1433</v>
      </c>
      <c r="C480" s="175">
        <v>78685.240000000005</v>
      </c>
    </row>
    <row r="481" spans="1:3" x14ac:dyDescent="0.2">
      <c r="A481" s="174" t="s">
        <v>1434</v>
      </c>
      <c r="B481" s="3" t="s">
        <v>1435</v>
      </c>
      <c r="C481" s="175">
        <v>221263.81000000006</v>
      </c>
    </row>
    <row r="482" spans="1:3" x14ac:dyDescent="0.2">
      <c r="A482" s="174" t="s">
        <v>1436</v>
      </c>
      <c r="B482" s="3" t="s">
        <v>1437</v>
      </c>
      <c r="C482" s="175">
        <v>1189153.1099999996</v>
      </c>
    </row>
    <row r="483" spans="1:3" x14ac:dyDescent="0.2">
      <c r="A483" s="174" t="s">
        <v>1438</v>
      </c>
      <c r="B483" s="3" t="s">
        <v>1439</v>
      </c>
      <c r="C483" s="175">
        <v>134464.33000000002</v>
      </c>
    </row>
    <row r="484" spans="1:3" x14ac:dyDescent="0.2">
      <c r="A484" s="174" t="s">
        <v>1440</v>
      </c>
      <c r="B484" s="3" t="s">
        <v>1441</v>
      </c>
      <c r="C484" s="175">
        <v>755514.99999999977</v>
      </c>
    </row>
    <row r="485" spans="1:3" x14ac:dyDescent="0.2">
      <c r="A485" s="174" t="s">
        <v>1442</v>
      </c>
      <c r="B485" s="3" t="s">
        <v>1443</v>
      </c>
      <c r="C485" s="175">
        <v>164385.01000000004</v>
      </c>
    </row>
    <row r="486" spans="1:3" x14ac:dyDescent="0.2">
      <c r="A486" s="174" t="s">
        <v>1444</v>
      </c>
      <c r="B486" s="3" t="s">
        <v>1445</v>
      </c>
      <c r="C486" s="175">
        <v>1239109.05</v>
      </c>
    </row>
    <row r="487" spans="1:3" x14ac:dyDescent="0.2">
      <c r="A487" s="174" t="s">
        <v>1446</v>
      </c>
      <c r="B487" s="3" t="s">
        <v>1447</v>
      </c>
      <c r="C487" s="175">
        <v>674433.07000000018</v>
      </c>
    </row>
    <row r="488" spans="1:3" x14ac:dyDescent="0.2">
      <c r="A488" s="174" t="s">
        <v>1448</v>
      </c>
      <c r="B488" s="3" t="s">
        <v>1449</v>
      </c>
      <c r="C488" s="175">
        <v>246390.69000000032</v>
      </c>
    </row>
    <row r="489" spans="1:3" x14ac:dyDescent="0.2">
      <c r="A489" s="174" t="s">
        <v>1450</v>
      </c>
      <c r="B489" s="3" t="s">
        <v>1451</v>
      </c>
      <c r="C489" s="175">
        <v>219698.33000000002</v>
      </c>
    </row>
    <row r="490" spans="1:3" x14ac:dyDescent="0.2">
      <c r="A490" s="174" t="s">
        <v>1452</v>
      </c>
      <c r="B490" s="3" t="s">
        <v>1453</v>
      </c>
      <c r="C490" s="175">
        <v>3319.1600000000008</v>
      </c>
    </row>
    <row r="491" spans="1:3" x14ac:dyDescent="0.2">
      <c r="A491" s="174" t="s">
        <v>1454</v>
      </c>
      <c r="B491" s="3" t="s">
        <v>1455</v>
      </c>
      <c r="C491" s="175">
        <v>465078.46000000084</v>
      </c>
    </row>
    <row r="492" spans="1:3" x14ac:dyDescent="0.2">
      <c r="A492" s="174" t="s">
        <v>1456</v>
      </c>
      <c r="B492" s="3" t="s">
        <v>1457</v>
      </c>
      <c r="C492" s="175">
        <v>0</v>
      </c>
    </row>
    <row r="493" spans="1:3" x14ac:dyDescent="0.2">
      <c r="A493" s="174" t="s">
        <v>1458</v>
      </c>
      <c r="B493" s="3" t="s">
        <v>1459</v>
      </c>
      <c r="C493" s="175">
        <v>339439.35000000003</v>
      </c>
    </row>
    <row r="494" spans="1:3" x14ac:dyDescent="0.2">
      <c r="A494" s="174" t="s">
        <v>1460</v>
      </c>
      <c r="B494" s="3" t="s">
        <v>1461</v>
      </c>
      <c r="C494" s="175">
        <v>10149.730000000001</v>
      </c>
    </row>
    <row r="495" spans="1:3" x14ac:dyDescent="0.2">
      <c r="A495" s="174" t="s">
        <v>1462</v>
      </c>
      <c r="B495" s="3" t="s">
        <v>1463</v>
      </c>
      <c r="C495" s="175">
        <v>3818.6500000000015</v>
      </c>
    </row>
    <row r="496" spans="1:3" x14ac:dyDescent="0.2">
      <c r="A496" s="174" t="s">
        <v>1464</v>
      </c>
      <c r="B496" s="3" t="s">
        <v>1465</v>
      </c>
      <c r="C496" s="175">
        <v>2281.5299999999988</v>
      </c>
    </row>
    <row r="497" spans="1:3" x14ac:dyDescent="0.2">
      <c r="A497" s="174" t="s">
        <v>1466</v>
      </c>
      <c r="B497" s="3" t="s">
        <v>1467</v>
      </c>
      <c r="C497" s="175">
        <v>30350.22</v>
      </c>
    </row>
    <row r="498" spans="1:3" x14ac:dyDescent="0.2">
      <c r="A498" s="174" t="s">
        <v>1468</v>
      </c>
      <c r="B498" s="3" t="s">
        <v>1469</v>
      </c>
      <c r="C498" s="175">
        <v>40239.89</v>
      </c>
    </row>
    <row r="499" spans="1:3" x14ac:dyDescent="0.2">
      <c r="A499" s="174" t="s">
        <v>1470</v>
      </c>
      <c r="B499" s="3" t="s">
        <v>1471</v>
      </c>
      <c r="C499" s="175">
        <v>16483.339999999989</v>
      </c>
    </row>
    <row r="500" spans="1:3" x14ac:dyDescent="0.2">
      <c r="A500" s="174" t="s">
        <v>1472</v>
      </c>
      <c r="B500" s="3" t="s">
        <v>1473</v>
      </c>
      <c r="C500" s="175">
        <v>16561.479999999978</v>
      </c>
    </row>
    <row r="501" spans="1:3" x14ac:dyDescent="0.2">
      <c r="A501" s="174" t="s">
        <v>1474</v>
      </c>
      <c r="B501" s="3" t="s">
        <v>1475</v>
      </c>
      <c r="C501" s="175">
        <v>3658046.5300000012</v>
      </c>
    </row>
    <row r="502" spans="1:3" x14ac:dyDescent="0.2">
      <c r="A502" s="174" t="s">
        <v>1476</v>
      </c>
      <c r="B502" s="3" t="s">
        <v>1477</v>
      </c>
      <c r="C502" s="175">
        <v>152934.75999999998</v>
      </c>
    </row>
    <row r="503" spans="1:3" x14ac:dyDescent="0.2">
      <c r="A503" s="174" t="s">
        <v>1478</v>
      </c>
      <c r="B503" s="3" t="s">
        <v>1479</v>
      </c>
      <c r="C503" s="175">
        <v>72418.010000000009</v>
      </c>
    </row>
    <row r="504" spans="1:3" x14ac:dyDescent="0.2">
      <c r="A504" s="174" t="s">
        <v>1480</v>
      </c>
      <c r="B504" s="3" t="s">
        <v>1481</v>
      </c>
      <c r="C504" s="175">
        <v>346236.5</v>
      </c>
    </row>
    <row r="505" spans="1:3" x14ac:dyDescent="0.2">
      <c r="A505" s="174" t="s">
        <v>1482</v>
      </c>
      <c r="B505" s="3" t="s">
        <v>1483</v>
      </c>
      <c r="C505" s="175">
        <v>236155.27000000008</v>
      </c>
    </row>
    <row r="506" spans="1:3" x14ac:dyDescent="0.2">
      <c r="A506" s="174" t="s">
        <v>1484</v>
      </c>
      <c r="B506" s="3" t="s">
        <v>1485</v>
      </c>
      <c r="C506" s="175">
        <v>14101.920000000002</v>
      </c>
    </row>
    <row r="507" spans="1:3" x14ac:dyDescent="0.2">
      <c r="A507" s="174" t="s">
        <v>1486</v>
      </c>
      <c r="B507" s="3" t="s">
        <v>1487</v>
      </c>
      <c r="C507" s="175">
        <v>77898.990000000005</v>
      </c>
    </row>
    <row r="508" spans="1:3" x14ac:dyDescent="0.2">
      <c r="A508" s="174" t="s">
        <v>1488</v>
      </c>
      <c r="B508" s="3" t="s">
        <v>1489</v>
      </c>
      <c r="C508" s="175">
        <v>20896.879999999997</v>
      </c>
    </row>
    <row r="509" spans="1:3" x14ac:dyDescent="0.2">
      <c r="A509" s="174" t="s">
        <v>1490</v>
      </c>
      <c r="B509" s="3" t="s">
        <v>1491</v>
      </c>
      <c r="C509" s="175">
        <v>-1991.59</v>
      </c>
    </row>
    <row r="510" spans="1:3" x14ac:dyDescent="0.2">
      <c r="A510" s="174" t="s">
        <v>1492</v>
      </c>
      <c r="B510" s="3" t="s">
        <v>1493</v>
      </c>
      <c r="C510" s="175">
        <v>4497.170000000001</v>
      </c>
    </row>
    <row r="511" spans="1:3" x14ac:dyDescent="0.2">
      <c r="A511" s="174" t="s">
        <v>1494</v>
      </c>
      <c r="B511" s="3" t="s">
        <v>1495</v>
      </c>
      <c r="C511" s="175">
        <v>40219.22</v>
      </c>
    </row>
    <row r="512" spans="1:3" x14ac:dyDescent="0.2">
      <c r="A512" s="174" t="s">
        <v>1496</v>
      </c>
      <c r="B512" s="3" t="s">
        <v>1497</v>
      </c>
      <c r="C512" s="175">
        <v>47570.57</v>
      </c>
    </row>
    <row r="513" spans="1:3" x14ac:dyDescent="0.2">
      <c r="A513" s="174" t="s">
        <v>1498</v>
      </c>
      <c r="B513" s="3" t="s">
        <v>1499</v>
      </c>
      <c r="C513" s="175">
        <v>55896.49</v>
      </c>
    </row>
    <row r="514" spans="1:3" x14ac:dyDescent="0.2">
      <c r="A514" s="174" t="s">
        <v>1500</v>
      </c>
      <c r="B514" s="3" t="s">
        <v>1501</v>
      </c>
      <c r="C514" s="175">
        <v>24411.999999999978</v>
      </c>
    </row>
    <row r="515" spans="1:3" x14ac:dyDescent="0.2">
      <c r="A515" s="174" t="s">
        <v>1502</v>
      </c>
      <c r="B515" s="3" t="s">
        <v>1503</v>
      </c>
      <c r="C515" s="175">
        <v>35710.050000000003</v>
      </c>
    </row>
    <row r="516" spans="1:3" x14ac:dyDescent="0.2">
      <c r="A516" s="174" t="s">
        <v>1504</v>
      </c>
      <c r="B516" s="3" t="s">
        <v>1505</v>
      </c>
      <c r="C516" s="175">
        <v>130527.08</v>
      </c>
    </row>
    <row r="517" spans="1:3" x14ac:dyDescent="0.2">
      <c r="A517" s="174" t="s">
        <v>1506</v>
      </c>
      <c r="B517" s="3" t="s">
        <v>1507</v>
      </c>
      <c r="C517" s="175">
        <v>80.53</v>
      </c>
    </row>
    <row r="518" spans="1:3" x14ac:dyDescent="0.2">
      <c r="A518" s="174" t="s">
        <v>1508</v>
      </c>
      <c r="B518" s="3" t="s">
        <v>1509</v>
      </c>
      <c r="C518" s="175">
        <v>707.78000000000009</v>
      </c>
    </row>
    <row r="519" spans="1:3" x14ac:dyDescent="0.2">
      <c r="A519" s="174" t="s">
        <v>1510</v>
      </c>
      <c r="B519" s="3" t="s">
        <v>1511</v>
      </c>
      <c r="C519" s="175">
        <v>1437672.8900000008</v>
      </c>
    </row>
    <row r="520" spans="1:3" x14ac:dyDescent="0.2">
      <c r="A520" s="174" t="s">
        <v>1512</v>
      </c>
      <c r="B520" s="3" t="s">
        <v>1513</v>
      </c>
      <c r="C520" s="175">
        <v>171866.38999999998</v>
      </c>
    </row>
    <row r="521" spans="1:3" x14ac:dyDescent="0.2">
      <c r="A521" s="174" t="s">
        <v>1514</v>
      </c>
      <c r="B521" s="3" t="s">
        <v>1515</v>
      </c>
      <c r="C521" s="175">
        <v>896.23000000000025</v>
      </c>
    </row>
    <row r="522" spans="1:3" x14ac:dyDescent="0.2">
      <c r="A522" s="174" t="s">
        <v>1516</v>
      </c>
      <c r="B522" s="3" t="s">
        <v>1517</v>
      </c>
      <c r="C522" s="175">
        <v>24948</v>
      </c>
    </row>
    <row r="523" spans="1:3" x14ac:dyDescent="0.2">
      <c r="A523" s="174" t="s">
        <v>1518</v>
      </c>
      <c r="B523" s="3" t="s">
        <v>1519</v>
      </c>
      <c r="C523" s="175">
        <v>0</v>
      </c>
    </row>
    <row r="524" spans="1:3" x14ac:dyDescent="0.2">
      <c r="A524" s="174" t="s">
        <v>1520</v>
      </c>
      <c r="B524" s="3" t="s">
        <v>1521</v>
      </c>
      <c r="C524" s="175">
        <v>-3614.05</v>
      </c>
    </row>
    <row r="525" spans="1:3" x14ac:dyDescent="0.2">
      <c r="A525" s="174" t="s">
        <v>1522</v>
      </c>
      <c r="B525" s="3" t="s">
        <v>1523</v>
      </c>
      <c r="C525" s="175">
        <v>-4800</v>
      </c>
    </row>
    <row r="526" spans="1:3" x14ac:dyDescent="0.2">
      <c r="A526" s="174" t="s">
        <v>1524</v>
      </c>
      <c r="B526" s="3" t="s">
        <v>1525</v>
      </c>
      <c r="C526" s="175">
        <v>8761.8600000000024</v>
      </c>
    </row>
    <row r="527" spans="1:3" x14ac:dyDescent="0.2">
      <c r="A527" s="174" t="s">
        <v>1526</v>
      </c>
      <c r="B527" s="3" t="s">
        <v>1527</v>
      </c>
      <c r="C527" s="175">
        <v>1835.859999999999</v>
      </c>
    </row>
    <row r="528" spans="1:3" x14ac:dyDescent="0.2">
      <c r="A528" s="174" t="s">
        <v>1528</v>
      </c>
      <c r="B528" s="3" t="s">
        <v>1529</v>
      </c>
      <c r="C528" s="175">
        <v>127566.55999999998</v>
      </c>
    </row>
    <row r="529" spans="1:3" x14ac:dyDescent="0.2">
      <c r="A529" s="174" t="s">
        <v>1530</v>
      </c>
      <c r="B529" s="3" t="s">
        <v>1531</v>
      </c>
      <c r="C529" s="175">
        <v>374524.96000000008</v>
      </c>
    </row>
    <row r="530" spans="1:3" x14ac:dyDescent="0.2">
      <c r="A530" s="174" t="s">
        <v>1532</v>
      </c>
      <c r="B530" s="3" t="s">
        <v>1533</v>
      </c>
      <c r="C530" s="175">
        <v>116324.92000000001</v>
      </c>
    </row>
    <row r="531" spans="1:3" x14ac:dyDescent="0.2">
      <c r="A531" s="174" t="s">
        <v>1534</v>
      </c>
      <c r="B531" s="3" t="s">
        <v>1535</v>
      </c>
      <c r="C531" s="175">
        <v>235787.87</v>
      </c>
    </row>
    <row r="532" spans="1:3" x14ac:dyDescent="0.2">
      <c r="A532" s="174" t="s">
        <v>1536</v>
      </c>
      <c r="B532" s="3" t="s">
        <v>1537</v>
      </c>
      <c r="C532" s="175">
        <v>309471.48999999993</v>
      </c>
    </row>
    <row r="533" spans="1:3" x14ac:dyDescent="0.2">
      <c r="A533" s="174" t="s">
        <v>1538</v>
      </c>
      <c r="B533" s="3" t="s">
        <v>1539</v>
      </c>
      <c r="C533" s="175">
        <v>92536.69</v>
      </c>
    </row>
    <row r="534" spans="1:3" x14ac:dyDescent="0.2">
      <c r="A534" s="174" t="s">
        <v>1540</v>
      </c>
      <c r="B534" s="3" t="s">
        <v>1541</v>
      </c>
      <c r="C534" s="175">
        <v>364211.45000000007</v>
      </c>
    </row>
    <row r="535" spans="1:3" x14ac:dyDescent="0.2">
      <c r="A535" s="174" t="s">
        <v>1542</v>
      </c>
      <c r="B535" s="3" t="s">
        <v>1543</v>
      </c>
      <c r="C535" s="175">
        <v>12559.779999999999</v>
      </c>
    </row>
    <row r="536" spans="1:3" x14ac:dyDescent="0.2">
      <c r="A536" s="174" t="s">
        <v>1544</v>
      </c>
      <c r="B536" s="3" t="s">
        <v>1545</v>
      </c>
      <c r="C536" s="175">
        <v>345308.14999999997</v>
      </c>
    </row>
    <row r="537" spans="1:3" x14ac:dyDescent="0.2">
      <c r="A537" s="174" t="s">
        <v>1546</v>
      </c>
      <c r="B537" s="3" t="s">
        <v>1547</v>
      </c>
      <c r="C537" s="175">
        <v>54043.719999999994</v>
      </c>
    </row>
    <row r="538" spans="1:3" x14ac:dyDescent="0.2">
      <c r="A538" s="174" t="s">
        <v>1548</v>
      </c>
      <c r="B538" s="3" t="s">
        <v>1549</v>
      </c>
      <c r="C538" s="175">
        <v>26357.119999999992</v>
      </c>
    </row>
    <row r="539" spans="1:3" x14ac:dyDescent="0.2">
      <c r="A539" s="174" t="s">
        <v>1550</v>
      </c>
      <c r="B539" s="3" t="s">
        <v>1551</v>
      </c>
      <c r="C539" s="175">
        <v>120427.60000000005</v>
      </c>
    </row>
    <row r="540" spans="1:3" x14ac:dyDescent="0.2">
      <c r="A540" s="174" t="s">
        <v>1552</v>
      </c>
      <c r="B540" s="3" t="s">
        <v>1553</v>
      </c>
      <c r="C540" s="175">
        <v>-9136.9399999999987</v>
      </c>
    </row>
    <row r="541" spans="1:3" x14ac:dyDescent="0.2">
      <c r="A541" s="174" t="s">
        <v>1554</v>
      </c>
      <c r="B541" s="3" t="s">
        <v>1555</v>
      </c>
      <c r="C541" s="175">
        <v>75911.919999999969</v>
      </c>
    </row>
    <row r="542" spans="1:3" x14ac:dyDescent="0.2">
      <c r="A542" s="174" t="s">
        <v>1556</v>
      </c>
      <c r="B542" s="3" t="s">
        <v>1557</v>
      </c>
      <c r="C542" s="175">
        <v>35770.550000000003</v>
      </c>
    </row>
    <row r="543" spans="1:3" x14ac:dyDescent="0.2">
      <c r="A543" s="174" t="s">
        <v>1558</v>
      </c>
      <c r="B543" s="3" t="s">
        <v>1559</v>
      </c>
      <c r="C543" s="175">
        <v>701682.46</v>
      </c>
    </row>
    <row r="544" spans="1:3" x14ac:dyDescent="0.2">
      <c r="A544" s="174" t="s">
        <v>1560</v>
      </c>
      <c r="B544" s="3" t="s">
        <v>1561</v>
      </c>
      <c r="C544" s="175">
        <v>2514701.16</v>
      </c>
    </row>
    <row r="545" spans="1:3" x14ac:dyDescent="0.2">
      <c r="A545" s="174" t="s">
        <v>1562</v>
      </c>
      <c r="B545" s="3" t="s">
        <v>1563</v>
      </c>
      <c r="C545" s="175">
        <v>318767.86999999976</v>
      </c>
    </row>
    <row r="546" spans="1:3" x14ac:dyDescent="0.2">
      <c r="A546" s="174" t="s">
        <v>1564</v>
      </c>
      <c r="B546" s="3" t="s">
        <v>1565</v>
      </c>
      <c r="C546" s="175">
        <v>934264.19000000018</v>
      </c>
    </row>
    <row r="547" spans="1:3" x14ac:dyDescent="0.2">
      <c r="A547" s="174" t="s">
        <v>1566</v>
      </c>
      <c r="B547" s="3" t="s">
        <v>1567</v>
      </c>
      <c r="C547" s="175">
        <v>-8389.1200000000063</v>
      </c>
    </row>
    <row r="548" spans="1:3" x14ac:dyDescent="0.2">
      <c r="A548" s="174" t="s">
        <v>1568</v>
      </c>
      <c r="B548" s="3" t="s">
        <v>1569</v>
      </c>
      <c r="C548" s="175">
        <v>451843.75999999995</v>
      </c>
    </row>
    <row r="549" spans="1:3" x14ac:dyDescent="0.2">
      <c r="A549" s="174" t="s">
        <v>1570</v>
      </c>
      <c r="B549" s="3" t="s">
        <v>1571</v>
      </c>
      <c r="C549" s="175">
        <v>-0.82999999999992724</v>
      </c>
    </row>
    <row r="550" spans="1:3" x14ac:dyDescent="0.2">
      <c r="A550" s="174" t="s">
        <v>1572</v>
      </c>
      <c r="B550" s="3" t="s">
        <v>1573</v>
      </c>
      <c r="C550" s="175">
        <v>-0.12000000000261934</v>
      </c>
    </row>
    <row r="551" spans="1:3" x14ac:dyDescent="0.2">
      <c r="A551" s="174" t="s">
        <v>1574</v>
      </c>
      <c r="B551" s="3" t="s">
        <v>1575</v>
      </c>
      <c r="C551" s="175">
        <v>15194.279999999993</v>
      </c>
    </row>
    <row r="552" spans="1:3" x14ac:dyDescent="0.2">
      <c r="A552" s="174" t="s">
        <v>1576</v>
      </c>
      <c r="B552" s="3" t="s">
        <v>1577</v>
      </c>
      <c r="C552" s="175">
        <v>18913.309999999998</v>
      </c>
    </row>
    <row r="553" spans="1:3" x14ac:dyDescent="0.2">
      <c r="A553" s="174" t="s">
        <v>1578</v>
      </c>
      <c r="B553" s="3" t="s">
        <v>1579</v>
      </c>
      <c r="C553" s="175">
        <v>4710.0699999999988</v>
      </c>
    </row>
    <row r="554" spans="1:3" x14ac:dyDescent="0.2">
      <c r="A554" s="174" t="s">
        <v>1580</v>
      </c>
      <c r="B554" s="3" t="s">
        <v>1581</v>
      </c>
      <c r="C554" s="175">
        <v>9349.0199999999986</v>
      </c>
    </row>
    <row r="555" spans="1:3" x14ac:dyDescent="0.2">
      <c r="A555" s="174" t="s">
        <v>1582</v>
      </c>
      <c r="B555" s="3" t="s">
        <v>1583</v>
      </c>
      <c r="C555" s="175">
        <v>1579852.9300000006</v>
      </c>
    </row>
    <row r="556" spans="1:3" x14ac:dyDescent="0.2">
      <c r="A556" s="174" t="s">
        <v>1584</v>
      </c>
      <c r="B556" s="3" t="s">
        <v>1585</v>
      </c>
      <c r="C556" s="175">
        <v>117804.28</v>
      </c>
    </row>
    <row r="557" spans="1:3" x14ac:dyDescent="0.2">
      <c r="A557" s="174" t="s">
        <v>1586</v>
      </c>
      <c r="B557" s="3" t="s">
        <v>1587</v>
      </c>
      <c r="C557" s="175">
        <v>1472497.7700000003</v>
      </c>
    </row>
    <row r="558" spans="1:3" x14ac:dyDescent="0.2">
      <c r="A558" s="174" t="s">
        <v>1588</v>
      </c>
      <c r="B558" s="3" t="s">
        <v>1589</v>
      </c>
      <c r="C558" s="175">
        <v>11831.14</v>
      </c>
    </row>
    <row r="559" spans="1:3" x14ac:dyDescent="0.2">
      <c r="A559" s="174" t="s">
        <v>1590</v>
      </c>
      <c r="B559" s="3" t="s">
        <v>1591</v>
      </c>
      <c r="C559" s="175">
        <v>86152.690000000017</v>
      </c>
    </row>
    <row r="560" spans="1:3" x14ac:dyDescent="0.2">
      <c r="A560" s="174" t="s">
        <v>1592</v>
      </c>
      <c r="B560" s="3" t="s">
        <v>1593</v>
      </c>
      <c r="C560" s="175">
        <v>199381.36</v>
      </c>
    </row>
    <row r="561" spans="1:3" x14ac:dyDescent="0.2">
      <c r="A561" s="174" t="s">
        <v>1594</v>
      </c>
      <c r="B561" s="3" t="s">
        <v>1595</v>
      </c>
      <c r="C561" s="175">
        <v>992.24999999999977</v>
      </c>
    </row>
    <row r="562" spans="1:3" x14ac:dyDescent="0.2">
      <c r="A562" s="174" t="s">
        <v>1596</v>
      </c>
      <c r="B562" s="3" t="s">
        <v>1597</v>
      </c>
      <c r="C562" s="175">
        <v>4535.03</v>
      </c>
    </row>
    <row r="563" spans="1:3" x14ac:dyDescent="0.2">
      <c r="A563" s="174" t="s">
        <v>1598</v>
      </c>
      <c r="B563" s="3" t="s">
        <v>1599</v>
      </c>
      <c r="C563" s="175">
        <v>7950.81</v>
      </c>
    </row>
    <row r="564" spans="1:3" x14ac:dyDescent="0.2">
      <c r="A564" s="174" t="s">
        <v>1600</v>
      </c>
      <c r="B564" s="3" t="s">
        <v>1601</v>
      </c>
      <c r="C564" s="175">
        <v>185445.38000000009</v>
      </c>
    </row>
    <row r="565" spans="1:3" x14ac:dyDescent="0.2">
      <c r="A565" s="174" t="s">
        <v>1602</v>
      </c>
      <c r="B565" s="3" t="s">
        <v>1603</v>
      </c>
      <c r="C565" s="175">
        <v>381.24</v>
      </c>
    </row>
    <row r="566" spans="1:3" x14ac:dyDescent="0.2">
      <c r="A566" s="174" t="s">
        <v>1604</v>
      </c>
      <c r="B566" s="3" t="s">
        <v>1605</v>
      </c>
      <c r="C566" s="175">
        <v>118197.03000000003</v>
      </c>
    </row>
    <row r="567" spans="1:3" x14ac:dyDescent="0.2">
      <c r="A567" s="174" t="s">
        <v>1606</v>
      </c>
      <c r="B567" s="3" t="s">
        <v>1607</v>
      </c>
      <c r="C567" s="175">
        <v>16186.199999999997</v>
      </c>
    </row>
    <row r="568" spans="1:3" x14ac:dyDescent="0.2">
      <c r="A568" s="174" t="s">
        <v>1608</v>
      </c>
      <c r="B568" s="3" t="s">
        <v>1609</v>
      </c>
      <c r="C568" s="175">
        <v>-25474.419999999995</v>
      </c>
    </row>
    <row r="569" spans="1:3" x14ac:dyDescent="0.2">
      <c r="A569" s="174" t="s">
        <v>1610</v>
      </c>
      <c r="B569" s="3" t="s">
        <v>1611</v>
      </c>
      <c r="C569" s="175">
        <v>17738.7</v>
      </c>
    </row>
    <row r="570" spans="1:3" x14ac:dyDescent="0.2">
      <c r="A570" s="174" t="s">
        <v>1612</v>
      </c>
      <c r="B570" s="3" t="s">
        <v>1613</v>
      </c>
      <c r="C570" s="175">
        <v>2162.4</v>
      </c>
    </row>
    <row r="571" spans="1:3" x14ac:dyDescent="0.2">
      <c r="A571" s="174" t="s">
        <v>1614</v>
      </c>
      <c r="B571" s="3" t="s">
        <v>1615</v>
      </c>
      <c r="C571" s="175">
        <v>102773.81000000003</v>
      </c>
    </row>
    <row r="572" spans="1:3" x14ac:dyDescent="0.2">
      <c r="A572" s="174" t="s">
        <v>1616</v>
      </c>
      <c r="B572" s="3" t="s">
        <v>1617</v>
      </c>
      <c r="C572" s="175">
        <v>22070.290000000008</v>
      </c>
    </row>
    <row r="573" spans="1:3" x14ac:dyDescent="0.2">
      <c r="A573" s="174" t="s">
        <v>1618</v>
      </c>
      <c r="B573" s="3" t="s">
        <v>1619</v>
      </c>
      <c r="C573" s="175">
        <v>35275.49</v>
      </c>
    </row>
    <row r="574" spans="1:3" x14ac:dyDescent="0.2">
      <c r="A574" s="174" t="s">
        <v>1620</v>
      </c>
      <c r="B574" s="3" t="s">
        <v>1621</v>
      </c>
      <c r="C574" s="175">
        <v>652.17000000000007</v>
      </c>
    </row>
    <row r="575" spans="1:3" x14ac:dyDescent="0.2">
      <c r="A575" s="174" t="s">
        <v>1622</v>
      </c>
      <c r="B575" s="3" t="s">
        <v>1623</v>
      </c>
      <c r="C575" s="175">
        <v>112690.56000000008</v>
      </c>
    </row>
    <row r="576" spans="1:3" x14ac:dyDescent="0.2">
      <c r="A576" s="174" t="s">
        <v>1624</v>
      </c>
      <c r="B576" s="3" t="s">
        <v>1625</v>
      </c>
      <c r="C576" s="175">
        <v>495095.29999999993</v>
      </c>
    </row>
    <row r="577" spans="1:3" x14ac:dyDescent="0.2">
      <c r="A577" s="174" t="s">
        <v>1626</v>
      </c>
      <c r="B577" s="3" t="s">
        <v>1627</v>
      </c>
      <c r="C577" s="175">
        <v>646.61000000000058</v>
      </c>
    </row>
    <row r="578" spans="1:3" x14ac:dyDescent="0.2">
      <c r="A578" s="174" t="s">
        <v>1628</v>
      </c>
      <c r="B578" s="3" t="s">
        <v>1629</v>
      </c>
      <c r="C578" s="175">
        <v>6917.1500000000115</v>
      </c>
    </row>
    <row r="579" spans="1:3" x14ac:dyDescent="0.2">
      <c r="A579" s="174" t="s">
        <v>1630</v>
      </c>
      <c r="B579" s="3" t="s">
        <v>1631</v>
      </c>
      <c r="C579" s="175">
        <v>0</v>
      </c>
    </row>
    <row r="580" spans="1:3" x14ac:dyDescent="0.2">
      <c r="A580" s="174" t="s">
        <v>1632</v>
      </c>
      <c r="B580" s="3" t="s">
        <v>1633</v>
      </c>
      <c r="C580" s="175">
        <v>157290.82999999993</v>
      </c>
    </row>
    <row r="581" spans="1:3" x14ac:dyDescent="0.2">
      <c r="A581" s="174" t="s">
        <v>1634</v>
      </c>
      <c r="B581" s="3" t="s">
        <v>1635</v>
      </c>
      <c r="C581" s="175">
        <v>16235.43</v>
      </c>
    </row>
    <row r="582" spans="1:3" x14ac:dyDescent="0.2">
      <c r="A582" s="174" t="s">
        <v>1636</v>
      </c>
      <c r="B582" s="3" t="s">
        <v>1637</v>
      </c>
      <c r="C582" s="175">
        <v>564355.0500000004</v>
      </c>
    </row>
    <row r="583" spans="1:3" x14ac:dyDescent="0.2">
      <c r="A583" s="174" t="s">
        <v>1638</v>
      </c>
      <c r="B583" s="3" t="s">
        <v>1639</v>
      </c>
      <c r="C583" s="175">
        <v>767355.9099999998</v>
      </c>
    </row>
    <row r="584" spans="1:3" x14ac:dyDescent="0.2">
      <c r="A584" s="174" t="s">
        <v>1640</v>
      </c>
      <c r="B584" s="3" t="s">
        <v>1641</v>
      </c>
      <c r="C584" s="175">
        <v>38011.090000000004</v>
      </c>
    </row>
    <row r="585" spans="1:3" x14ac:dyDescent="0.2">
      <c r="A585" s="174" t="s">
        <v>1642</v>
      </c>
      <c r="B585" s="3" t="s">
        <v>1643</v>
      </c>
      <c r="C585" s="175">
        <v>13402.1</v>
      </c>
    </row>
    <row r="586" spans="1:3" x14ac:dyDescent="0.2">
      <c r="A586" s="174" t="s">
        <v>1644</v>
      </c>
      <c r="B586" s="3" t="s">
        <v>1645</v>
      </c>
      <c r="C586" s="175">
        <v>134458.28999999995</v>
      </c>
    </row>
    <row r="587" spans="1:3" x14ac:dyDescent="0.2">
      <c r="A587" s="174" t="s">
        <v>1646</v>
      </c>
      <c r="B587" s="3" t="s">
        <v>1647</v>
      </c>
      <c r="C587" s="175">
        <v>10127.9</v>
      </c>
    </row>
    <row r="588" spans="1:3" x14ac:dyDescent="0.2">
      <c r="A588" s="174" t="s">
        <v>1648</v>
      </c>
      <c r="B588" s="3" t="s">
        <v>1649</v>
      </c>
      <c r="C588" s="175">
        <v>35363.439999999995</v>
      </c>
    </row>
    <row r="589" spans="1:3" x14ac:dyDescent="0.2">
      <c r="A589" s="174" t="s">
        <v>1650</v>
      </c>
      <c r="B589" s="3" t="s">
        <v>1651</v>
      </c>
      <c r="C589" s="175">
        <v>180940.18000000002</v>
      </c>
    </row>
    <row r="590" spans="1:3" x14ac:dyDescent="0.2">
      <c r="A590" s="174" t="s">
        <v>1652</v>
      </c>
      <c r="B590" s="3" t="s">
        <v>1653</v>
      </c>
      <c r="C590" s="175">
        <v>3571.2600000000011</v>
      </c>
    </row>
    <row r="591" spans="1:3" x14ac:dyDescent="0.2">
      <c r="A591" s="174" t="s">
        <v>1654</v>
      </c>
      <c r="B591" s="3" t="s">
        <v>1655</v>
      </c>
      <c r="C591" s="175">
        <v>1576977.0599999996</v>
      </c>
    </row>
    <row r="592" spans="1:3" x14ac:dyDescent="0.2">
      <c r="A592" s="174" t="s">
        <v>1656</v>
      </c>
      <c r="B592" s="3" t="s">
        <v>1657</v>
      </c>
      <c r="C592" s="175">
        <v>322737.83999999968</v>
      </c>
    </row>
    <row r="593" spans="1:3" x14ac:dyDescent="0.2">
      <c r="A593" s="174" t="s">
        <v>1658</v>
      </c>
      <c r="B593" s="3" t="s">
        <v>1659</v>
      </c>
      <c r="C593" s="175">
        <v>21424.380000000005</v>
      </c>
    </row>
    <row r="594" spans="1:3" x14ac:dyDescent="0.2">
      <c r="A594" s="174" t="s">
        <v>1660</v>
      </c>
      <c r="B594" s="3" t="s">
        <v>1661</v>
      </c>
      <c r="C594" s="175">
        <v>36477.800000000003</v>
      </c>
    </row>
    <row r="595" spans="1:3" x14ac:dyDescent="0.2">
      <c r="A595" s="174" t="s">
        <v>1662</v>
      </c>
      <c r="B595" s="3" t="s">
        <v>1663</v>
      </c>
      <c r="C595" s="175">
        <v>177466.17999999991</v>
      </c>
    </row>
    <row r="596" spans="1:3" x14ac:dyDescent="0.2">
      <c r="A596" s="174" t="s">
        <v>1664</v>
      </c>
      <c r="B596" s="3" t="s">
        <v>1665</v>
      </c>
      <c r="C596" s="175">
        <v>5.8308913253313222E-13</v>
      </c>
    </row>
    <row r="597" spans="1:3" x14ac:dyDescent="0.2">
      <c r="A597" s="174" t="s">
        <v>1666</v>
      </c>
      <c r="B597" s="3" t="s">
        <v>1667</v>
      </c>
      <c r="C597" s="175">
        <v>40030.950000000004</v>
      </c>
    </row>
    <row r="598" spans="1:3" x14ac:dyDescent="0.2">
      <c r="A598" s="174" t="s">
        <v>1668</v>
      </c>
      <c r="B598" s="3" t="s">
        <v>1669</v>
      </c>
      <c r="C598" s="175">
        <v>136566.22</v>
      </c>
    </row>
    <row r="599" spans="1:3" x14ac:dyDescent="0.2">
      <c r="A599" s="174" t="s">
        <v>1670</v>
      </c>
      <c r="B599" s="3" t="s">
        <v>1671</v>
      </c>
      <c r="C599" s="175">
        <v>23518.34</v>
      </c>
    </row>
    <row r="600" spans="1:3" x14ac:dyDescent="0.2">
      <c r="A600" s="174" t="s">
        <v>1672</v>
      </c>
      <c r="B600" s="3" t="s">
        <v>1673</v>
      </c>
      <c r="C600" s="175">
        <v>35927.68</v>
      </c>
    </row>
    <row r="601" spans="1:3" x14ac:dyDescent="0.2">
      <c r="A601" s="174" t="s">
        <v>1674</v>
      </c>
      <c r="B601" s="3" t="s">
        <v>1675</v>
      </c>
      <c r="C601" s="175">
        <v>175542.54000000004</v>
      </c>
    </row>
    <row r="602" spans="1:3" x14ac:dyDescent="0.2">
      <c r="A602" s="174" t="s">
        <v>1676</v>
      </c>
      <c r="B602" s="3" t="s">
        <v>1677</v>
      </c>
      <c r="C602" s="175">
        <v>117963.48</v>
      </c>
    </row>
    <row r="603" spans="1:3" x14ac:dyDescent="0.2">
      <c r="A603" s="174" t="s">
        <v>1678</v>
      </c>
      <c r="B603" s="3" t="s">
        <v>1679</v>
      </c>
      <c r="C603" s="175">
        <v>25972.669999999991</v>
      </c>
    </row>
    <row r="604" spans="1:3" x14ac:dyDescent="0.2">
      <c r="A604" s="174" t="s">
        <v>1680</v>
      </c>
      <c r="B604" s="3" t="s">
        <v>1681</v>
      </c>
      <c r="C604" s="175">
        <v>50376.729999999996</v>
      </c>
    </row>
    <row r="605" spans="1:3" x14ac:dyDescent="0.2">
      <c r="A605" s="174" t="s">
        <v>1682</v>
      </c>
      <c r="B605" s="3" t="s">
        <v>1683</v>
      </c>
      <c r="C605" s="175">
        <v>33324.229999999981</v>
      </c>
    </row>
    <row r="606" spans="1:3" x14ac:dyDescent="0.2">
      <c r="A606" s="174" t="s">
        <v>1684</v>
      </c>
      <c r="B606" s="3" t="s">
        <v>1685</v>
      </c>
      <c r="C606" s="175">
        <v>43333.220000000008</v>
      </c>
    </row>
    <row r="607" spans="1:3" x14ac:dyDescent="0.2">
      <c r="A607" s="174" t="s">
        <v>1686</v>
      </c>
      <c r="B607" s="3" t="s">
        <v>1687</v>
      </c>
      <c r="C607" s="175">
        <v>2164636.0900000017</v>
      </c>
    </row>
    <row r="608" spans="1:3" x14ac:dyDescent="0.2">
      <c r="A608" s="174" t="s">
        <v>1688</v>
      </c>
      <c r="B608" s="3" t="s">
        <v>1689</v>
      </c>
      <c r="C608" s="175">
        <v>836049.95999999973</v>
      </c>
    </row>
    <row r="609" spans="1:3" x14ac:dyDescent="0.2">
      <c r="A609" s="174" t="s">
        <v>1690</v>
      </c>
      <c r="B609" s="3" t="s">
        <v>1691</v>
      </c>
      <c r="C609" s="175">
        <v>82002.76999999999</v>
      </c>
    </row>
    <row r="610" spans="1:3" x14ac:dyDescent="0.2">
      <c r="A610" s="174" t="s">
        <v>1692</v>
      </c>
      <c r="B610" s="3" t="s">
        <v>1693</v>
      </c>
      <c r="C610" s="175">
        <v>105415.76999999999</v>
      </c>
    </row>
    <row r="611" spans="1:3" x14ac:dyDescent="0.2">
      <c r="A611" s="174" t="s">
        <v>1694</v>
      </c>
      <c r="B611" s="3" t="s">
        <v>1695</v>
      </c>
      <c r="C611" s="175">
        <v>166519.99999999994</v>
      </c>
    </row>
    <row r="612" spans="1:3" x14ac:dyDescent="0.2">
      <c r="A612" s="174" t="s">
        <v>1696</v>
      </c>
      <c r="B612" s="3" t="s">
        <v>1697</v>
      </c>
      <c r="C612" s="175">
        <v>45305.979999999989</v>
      </c>
    </row>
    <row r="613" spans="1:3" x14ac:dyDescent="0.2">
      <c r="A613" s="174" t="s">
        <v>1698</v>
      </c>
      <c r="B613" s="3" t="s">
        <v>1699</v>
      </c>
      <c r="C613" s="175">
        <v>16399.679999999997</v>
      </c>
    </row>
    <row r="614" spans="1:3" x14ac:dyDescent="0.2">
      <c r="A614" s="174" t="s">
        <v>1700</v>
      </c>
      <c r="B614" s="3" t="s">
        <v>1701</v>
      </c>
      <c r="C614" s="175">
        <v>11804.91</v>
      </c>
    </row>
    <row r="615" spans="1:3" x14ac:dyDescent="0.2">
      <c r="A615" s="174" t="s">
        <v>1702</v>
      </c>
      <c r="B615" s="3" t="s">
        <v>1703</v>
      </c>
      <c r="C615" s="175">
        <v>79826.98</v>
      </c>
    </row>
    <row r="616" spans="1:3" x14ac:dyDescent="0.2">
      <c r="A616" s="174" t="s">
        <v>1704</v>
      </c>
      <c r="B616" s="3" t="s">
        <v>1705</v>
      </c>
      <c r="C616" s="175">
        <v>92833.269999999975</v>
      </c>
    </row>
    <row r="617" spans="1:3" x14ac:dyDescent="0.2">
      <c r="A617" s="174" t="s">
        <v>1706</v>
      </c>
      <c r="B617" s="3" t="s">
        <v>1707</v>
      </c>
      <c r="C617" s="175">
        <v>33277.659999999938</v>
      </c>
    </row>
    <row r="618" spans="1:3" x14ac:dyDescent="0.2">
      <c r="A618" s="174" t="s">
        <v>1708</v>
      </c>
      <c r="B618" s="3" t="s">
        <v>1709</v>
      </c>
      <c r="C618" s="175">
        <v>32319.32</v>
      </c>
    </row>
    <row r="619" spans="1:3" x14ac:dyDescent="0.2">
      <c r="A619" s="174" t="s">
        <v>1710</v>
      </c>
      <c r="B619" s="3" t="s">
        <v>1711</v>
      </c>
      <c r="C619" s="175">
        <v>25656.920000000009</v>
      </c>
    </row>
    <row r="620" spans="1:3" x14ac:dyDescent="0.2">
      <c r="A620" s="174" t="s">
        <v>1712</v>
      </c>
      <c r="B620" s="3" t="s">
        <v>1713</v>
      </c>
      <c r="C620" s="175">
        <v>140271.97</v>
      </c>
    </row>
    <row r="621" spans="1:3" x14ac:dyDescent="0.2">
      <c r="A621" s="174" t="s">
        <v>1714</v>
      </c>
      <c r="B621" s="3" t="s">
        <v>1715</v>
      </c>
      <c r="C621" s="175">
        <v>24315.540000000008</v>
      </c>
    </row>
    <row r="622" spans="1:3" x14ac:dyDescent="0.2">
      <c r="A622" s="174" t="s">
        <v>1716</v>
      </c>
      <c r="B622" s="3" t="s">
        <v>1717</v>
      </c>
      <c r="C622" s="175">
        <v>27621.720000000008</v>
      </c>
    </row>
    <row r="623" spans="1:3" x14ac:dyDescent="0.2">
      <c r="A623" s="174" t="s">
        <v>1718</v>
      </c>
      <c r="B623" s="3" t="s">
        <v>1719</v>
      </c>
      <c r="C623" s="175">
        <v>1712693.16</v>
      </c>
    </row>
    <row r="624" spans="1:3" x14ac:dyDescent="0.2">
      <c r="A624" s="174" t="s">
        <v>1720</v>
      </c>
      <c r="B624" s="3" t="s">
        <v>1721</v>
      </c>
      <c r="C624" s="175">
        <v>105494.28</v>
      </c>
    </row>
    <row r="625" spans="1:3" x14ac:dyDescent="0.2">
      <c r="A625" s="174" t="s">
        <v>1722</v>
      </c>
      <c r="B625" s="3" t="s">
        <v>1723</v>
      </c>
      <c r="C625" s="175">
        <v>264585.38999999996</v>
      </c>
    </row>
    <row r="626" spans="1:3" x14ac:dyDescent="0.2">
      <c r="A626" s="174" t="s">
        <v>1724</v>
      </c>
      <c r="B626" s="3" t="s">
        <v>1725</v>
      </c>
      <c r="C626" s="175">
        <v>88427.659999999989</v>
      </c>
    </row>
    <row r="627" spans="1:3" x14ac:dyDescent="0.2">
      <c r="A627" s="174" t="s">
        <v>1726</v>
      </c>
      <c r="B627" s="3" t="s">
        <v>1727</v>
      </c>
      <c r="C627" s="175">
        <v>4301202.45</v>
      </c>
    </row>
    <row r="628" spans="1:3" x14ac:dyDescent="0.2">
      <c r="A628" s="174" t="s">
        <v>1728</v>
      </c>
      <c r="B628" s="3" t="s">
        <v>1729</v>
      </c>
      <c r="C628" s="175">
        <v>1026220.5599999997</v>
      </c>
    </row>
    <row r="629" spans="1:3" x14ac:dyDescent="0.2">
      <c r="A629" s="174" t="s">
        <v>1730</v>
      </c>
      <c r="B629" s="3" t="s">
        <v>1731</v>
      </c>
      <c r="C629" s="175">
        <v>91340.920000000027</v>
      </c>
    </row>
    <row r="630" spans="1:3" x14ac:dyDescent="0.2">
      <c r="A630" s="174" t="s">
        <v>1732</v>
      </c>
      <c r="B630" s="3" t="s">
        <v>1733</v>
      </c>
      <c r="C630" s="175">
        <v>83940.560000000041</v>
      </c>
    </row>
    <row r="631" spans="1:3" x14ac:dyDescent="0.2">
      <c r="A631" s="174" t="s">
        <v>1734</v>
      </c>
      <c r="B631" s="3" t="s">
        <v>1735</v>
      </c>
      <c r="C631" s="175">
        <v>25180.19</v>
      </c>
    </row>
    <row r="632" spans="1:3" x14ac:dyDescent="0.2">
      <c r="A632" s="174" t="s">
        <v>1736</v>
      </c>
      <c r="B632" s="3" t="s">
        <v>1737</v>
      </c>
      <c r="C632" s="175">
        <v>123913.58</v>
      </c>
    </row>
    <row r="633" spans="1:3" x14ac:dyDescent="0.2">
      <c r="A633" s="174" t="s">
        <v>1738</v>
      </c>
      <c r="B633" s="3" t="s">
        <v>1739</v>
      </c>
      <c r="C633" s="175">
        <v>16012.279999999999</v>
      </c>
    </row>
    <row r="634" spans="1:3" x14ac:dyDescent="0.2">
      <c r="A634" s="174" t="s">
        <v>1740</v>
      </c>
      <c r="B634" s="3" t="s">
        <v>1741</v>
      </c>
      <c r="C634" s="175">
        <v>191621.72000000009</v>
      </c>
    </row>
    <row r="635" spans="1:3" x14ac:dyDescent="0.2">
      <c r="A635" s="174" t="s">
        <v>1742</v>
      </c>
      <c r="B635" s="3" t="s">
        <v>1743</v>
      </c>
      <c r="C635" s="175">
        <v>129158.82</v>
      </c>
    </row>
    <row r="636" spans="1:3" x14ac:dyDescent="0.2">
      <c r="A636" s="174" t="s">
        <v>1744</v>
      </c>
      <c r="B636" s="3" t="s">
        <v>1745</v>
      </c>
      <c r="C636" s="175">
        <v>659439.07000000007</v>
      </c>
    </row>
    <row r="637" spans="1:3" x14ac:dyDescent="0.2">
      <c r="A637" s="174" t="s">
        <v>1746</v>
      </c>
      <c r="B637" s="3" t="s">
        <v>1747</v>
      </c>
      <c r="C637" s="175">
        <v>83303.049999999974</v>
      </c>
    </row>
    <row r="638" spans="1:3" x14ac:dyDescent="0.2">
      <c r="A638" s="174" t="s">
        <v>1748</v>
      </c>
      <c r="B638" s="3" t="s">
        <v>1749</v>
      </c>
      <c r="C638" s="175">
        <v>62629.169999999976</v>
      </c>
    </row>
    <row r="639" spans="1:3" x14ac:dyDescent="0.2">
      <c r="A639" s="174" t="s">
        <v>1750</v>
      </c>
      <c r="B639" s="3" t="s">
        <v>1751</v>
      </c>
      <c r="C639" s="175">
        <v>40465.859999999986</v>
      </c>
    </row>
    <row r="640" spans="1:3" x14ac:dyDescent="0.2">
      <c r="A640" s="174" t="s">
        <v>1752</v>
      </c>
      <c r="B640" s="3" t="s">
        <v>1753</v>
      </c>
      <c r="C640" s="175">
        <v>51940</v>
      </c>
    </row>
    <row r="641" spans="1:3" x14ac:dyDescent="0.2">
      <c r="A641" s="174" t="s">
        <v>1754</v>
      </c>
      <c r="B641" s="3" t="s">
        <v>1755</v>
      </c>
      <c r="C641" s="175">
        <v>712719.13999999978</v>
      </c>
    </row>
    <row r="642" spans="1:3" x14ac:dyDescent="0.2">
      <c r="A642" s="174" t="s">
        <v>1756</v>
      </c>
      <c r="B642" s="3" t="s">
        <v>1757</v>
      </c>
      <c r="C642" s="175">
        <v>92980.68</v>
      </c>
    </row>
    <row r="643" spans="1:3" x14ac:dyDescent="0.2">
      <c r="A643" s="174" t="s">
        <v>1758</v>
      </c>
      <c r="B643" s="3" t="s">
        <v>1759</v>
      </c>
      <c r="C643" s="175">
        <v>92980.68</v>
      </c>
    </row>
    <row r="644" spans="1:3" x14ac:dyDescent="0.2">
      <c r="A644" s="174" t="s">
        <v>1760</v>
      </c>
      <c r="B644" s="3" t="s">
        <v>1761</v>
      </c>
      <c r="C644" s="175">
        <v>61667.650000000038</v>
      </c>
    </row>
    <row r="645" spans="1:3" x14ac:dyDescent="0.2">
      <c r="A645" s="174" t="s">
        <v>1762</v>
      </c>
      <c r="B645" s="3" t="s">
        <v>1763</v>
      </c>
      <c r="C645" s="175">
        <v>38096.629999999997</v>
      </c>
    </row>
    <row r="646" spans="1:3" x14ac:dyDescent="0.2">
      <c r="A646" s="174" t="s">
        <v>1764</v>
      </c>
      <c r="B646" s="3" t="s">
        <v>1765</v>
      </c>
      <c r="C646" s="175">
        <v>190114.56</v>
      </c>
    </row>
    <row r="647" spans="1:3" x14ac:dyDescent="0.2">
      <c r="A647" s="174" t="s">
        <v>1766</v>
      </c>
      <c r="B647" s="3" t="s">
        <v>1767</v>
      </c>
      <c r="C647" s="175">
        <v>19794.739999999998</v>
      </c>
    </row>
    <row r="648" spans="1:3" x14ac:dyDescent="0.2">
      <c r="A648" s="174" t="s">
        <v>1768</v>
      </c>
      <c r="B648" s="3" t="s">
        <v>1769</v>
      </c>
      <c r="C648" s="175">
        <v>222685.62000000002</v>
      </c>
    </row>
    <row r="649" spans="1:3" x14ac:dyDescent="0.2">
      <c r="A649" s="174" t="s">
        <v>1770</v>
      </c>
      <c r="B649" s="3" t="s">
        <v>1771</v>
      </c>
      <c r="C649" s="175">
        <v>-1.7408297026122455E-13</v>
      </c>
    </row>
    <row r="650" spans="1:3" x14ac:dyDescent="0.2">
      <c r="A650" s="174" t="s">
        <v>1772</v>
      </c>
      <c r="B650" s="3" t="s">
        <v>1773</v>
      </c>
      <c r="C650" s="175">
        <v>194458.91000000003</v>
      </c>
    </row>
    <row r="651" spans="1:3" x14ac:dyDescent="0.2">
      <c r="A651" s="174" t="s">
        <v>1774</v>
      </c>
      <c r="B651" s="3" t="s">
        <v>1775</v>
      </c>
      <c r="C651" s="175">
        <v>53902.689999999995</v>
      </c>
    </row>
    <row r="652" spans="1:3" x14ac:dyDescent="0.2">
      <c r="A652" s="174" t="s">
        <v>1776</v>
      </c>
      <c r="B652" s="3" t="s">
        <v>1777</v>
      </c>
      <c r="C652" s="175">
        <v>91351.519999999975</v>
      </c>
    </row>
    <row r="653" spans="1:3" x14ac:dyDescent="0.2">
      <c r="A653" s="174" t="s">
        <v>1778</v>
      </c>
      <c r="B653" s="3" t="s">
        <v>1779</v>
      </c>
      <c r="C653" s="175">
        <v>11456.560000000001</v>
      </c>
    </row>
    <row r="654" spans="1:3" x14ac:dyDescent="0.2">
      <c r="A654" s="174" t="s">
        <v>1780</v>
      </c>
      <c r="B654" s="3" t="s">
        <v>1781</v>
      </c>
      <c r="C654" s="175">
        <v>159515.76000000007</v>
      </c>
    </row>
    <row r="655" spans="1:3" x14ac:dyDescent="0.2">
      <c r="A655" s="174" t="s">
        <v>1782</v>
      </c>
      <c r="B655" s="3" t="s">
        <v>1783</v>
      </c>
      <c r="C655" s="175">
        <v>52703.18</v>
      </c>
    </row>
    <row r="656" spans="1:3" x14ac:dyDescent="0.2">
      <c r="A656" s="174" t="s">
        <v>1784</v>
      </c>
      <c r="B656" s="3" t="s">
        <v>1785</v>
      </c>
      <c r="C656" s="175">
        <v>113926.36</v>
      </c>
    </row>
    <row r="657" spans="1:3" x14ac:dyDescent="0.2">
      <c r="A657" s="174" t="s">
        <v>1786</v>
      </c>
      <c r="B657" s="3" t="s">
        <v>1787</v>
      </c>
      <c r="C657" s="175">
        <v>186341.01999999987</v>
      </c>
    </row>
    <row r="658" spans="1:3" x14ac:dyDescent="0.2">
      <c r="A658" s="174" t="s">
        <v>1788</v>
      </c>
      <c r="B658" s="3" t="s">
        <v>1789</v>
      </c>
      <c r="C658" s="175">
        <v>4611.9400000000005</v>
      </c>
    </row>
    <row r="659" spans="1:3" x14ac:dyDescent="0.2">
      <c r="A659" s="174" t="s">
        <v>1790</v>
      </c>
      <c r="B659" s="3" t="s">
        <v>1791</v>
      </c>
      <c r="C659" s="175">
        <v>9465</v>
      </c>
    </row>
    <row r="660" spans="1:3" x14ac:dyDescent="0.2">
      <c r="A660" s="174" t="s">
        <v>1792</v>
      </c>
      <c r="B660" s="3" t="s">
        <v>1793</v>
      </c>
      <c r="C660" s="175">
        <v>47355.100000000006</v>
      </c>
    </row>
    <row r="661" spans="1:3" x14ac:dyDescent="0.2">
      <c r="A661" s="174" t="s">
        <v>1794</v>
      </c>
      <c r="B661" s="3" t="s">
        <v>1795</v>
      </c>
      <c r="C661" s="175">
        <v>1307.6600000000001</v>
      </c>
    </row>
    <row r="662" spans="1:3" x14ac:dyDescent="0.2">
      <c r="A662" s="174" t="s">
        <v>1796</v>
      </c>
      <c r="B662" s="3" t="s">
        <v>1797</v>
      </c>
      <c r="C662" s="175">
        <v>7598.119999999999</v>
      </c>
    </row>
    <row r="663" spans="1:3" x14ac:dyDescent="0.2">
      <c r="A663" s="174" t="s">
        <v>1798</v>
      </c>
      <c r="B663" s="3" t="s">
        <v>1799</v>
      </c>
      <c r="C663" s="175">
        <v>5655.4</v>
      </c>
    </row>
    <row r="664" spans="1:3" x14ac:dyDescent="0.2">
      <c r="A664" s="174" t="s">
        <v>1800</v>
      </c>
      <c r="B664" s="3" t="s">
        <v>1801</v>
      </c>
      <c r="C664" s="175">
        <v>72528.149999999994</v>
      </c>
    </row>
    <row r="665" spans="1:3" x14ac:dyDescent="0.2">
      <c r="A665" s="174" t="s">
        <v>1802</v>
      </c>
      <c r="B665" s="3" t="s">
        <v>1803</v>
      </c>
      <c r="C665" s="175">
        <v>35195.800000000003</v>
      </c>
    </row>
    <row r="666" spans="1:3" x14ac:dyDescent="0.2">
      <c r="A666" s="174" t="s">
        <v>1804</v>
      </c>
      <c r="B666" s="3" t="s">
        <v>1805</v>
      </c>
      <c r="C666" s="175">
        <v>21152.89</v>
      </c>
    </row>
    <row r="667" spans="1:3" x14ac:dyDescent="0.2">
      <c r="A667" s="174" t="s">
        <v>1806</v>
      </c>
      <c r="B667" s="3" t="s">
        <v>1807</v>
      </c>
      <c r="C667" s="175">
        <v>20289.72</v>
      </c>
    </row>
    <row r="668" spans="1:3" x14ac:dyDescent="0.2">
      <c r="A668" s="174" t="s">
        <v>1808</v>
      </c>
      <c r="B668" s="3" t="s">
        <v>1809</v>
      </c>
      <c r="C668" s="175">
        <v>13963.8</v>
      </c>
    </row>
    <row r="669" spans="1:3" x14ac:dyDescent="0.2">
      <c r="A669" s="174" t="s">
        <v>1810</v>
      </c>
      <c r="B669" s="3" t="s">
        <v>1811</v>
      </c>
      <c r="C669" s="175">
        <v>114096.99000000009</v>
      </c>
    </row>
    <row r="670" spans="1:3" x14ac:dyDescent="0.2">
      <c r="A670" s="174" t="s">
        <v>1812</v>
      </c>
      <c r="B670" s="3" t="s">
        <v>1813</v>
      </c>
      <c r="C670" s="175">
        <v>270189.99000000017</v>
      </c>
    </row>
    <row r="671" spans="1:3" x14ac:dyDescent="0.2">
      <c r="A671" s="174" t="s">
        <v>1814</v>
      </c>
      <c r="B671" s="3" t="s">
        <v>1815</v>
      </c>
      <c r="C671" s="175">
        <v>53465.75</v>
      </c>
    </row>
    <row r="672" spans="1:3" x14ac:dyDescent="0.2">
      <c r="A672" s="174" t="s">
        <v>1816</v>
      </c>
      <c r="B672" s="3" t="s">
        <v>1817</v>
      </c>
      <c r="C672" s="175">
        <v>23390.099999999995</v>
      </c>
    </row>
    <row r="673" spans="1:3" x14ac:dyDescent="0.2">
      <c r="A673" s="174" t="s">
        <v>1818</v>
      </c>
      <c r="B673" s="3" t="s">
        <v>1819</v>
      </c>
      <c r="C673" s="175">
        <v>20031.86</v>
      </c>
    </row>
    <row r="674" spans="1:3" x14ac:dyDescent="0.2">
      <c r="A674" s="174" t="s">
        <v>1820</v>
      </c>
      <c r="B674" s="3" t="s">
        <v>1821</v>
      </c>
      <c r="C674" s="175">
        <v>11268.79</v>
      </c>
    </row>
    <row r="675" spans="1:3" x14ac:dyDescent="0.2">
      <c r="A675" s="174" t="s">
        <v>1822</v>
      </c>
      <c r="B675" s="3" t="s">
        <v>1823</v>
      </c>
      <c r="C675" s="175">
        <v>17091.649999999998</v>
      </c>
    </row>
    <row r="676" spans="1:3" x14ac:dyDescent="0.2">
      <c r="A676" s="174" t="s">
        <v>1824</v>
      </c>
      <c r="B676" s="3" t="s">
        <v>1825</v>
      </c>
      <c r="C676" s="175">
        <v>68067.12</v>
      </c>
    </row>
    <row r="677" spans="1:3" x14ac:dyDescent="0.2">
      <c r="A677" s="174" t="s">
        <v>1826</v>
      </c>
      <c r="B677" s="3" t="s">
        <v>1827</v>
      </c>
      <c r="C677" s="175">
        <v>16234.420000000049</v>
      </c>
    </row>
    <row r="678" spans="1:3" x14ac:dyDescent="0.2">
      <c r="A678" s="174" t="s">
        <v>1828</v>
      </c>
      <c r="B678" s="3" t="s">
        <v>1829</v>
      </c>
      <c r="C678" s="175">
        <v>51327.090000000011</v>
      </c>
    </row>
    <row r="679" spans="1:3" x14ac:dyDescent="0.2">
      <c r="A679" s="174" t="s">
        <v>1830</v>
      </c>
      <c r="B679" s="3" t="s">
        <v>1831</v>
      </c>
      <c r="C679" s="175">
        <v>188304.31999999998</v>
      </c>
    </row>
    <row r="680" spans="1:3" x14ac:dyDescent="0.2">
      <c r="A680" s="174" t="s">
        <v>1832</v>
      </c>
      <c r="B680" s="3" t="s">
        <v>1833</v>
      </c>
      <c r="C680" s="175">
        <v>37971.74</v>
      </c>
    </row>
    <row r="681" spans="1:3" x14ac:dyDescent="0.2">
      <c r="A681" s="174" t="s">
        <v>1834</v>
      </c>
      <c r="B681" s="3" t="s">
        <v>1835</v>
      </c>
      <c r="C681" s="175">
        <v>29610.519999999997</v>
      </c>
    </row>
    <row r="682" spans="1:3" x14ac:dyDescent="0.2">
      <c r="A682" s="174" t="s">
        <v>1836</v>
      </c>
      <c r="B682" s="3" t="s">
        <v>1837</v>
      </c>
      <c r="C682" s="175">
        <v>384225.19</v>
      </c>
    </row>
    <row r="683" spans="1:3" x14ac:dyDescent="0.2">
      <c r="A683" s="174" t="s">
        <v>1838</v>
      </c>
      <c r="B683" s="3" t="s">
        <v>1839</v>
      </c>
      <c r="C683" s="175">
        <v>52270.45</v>
      </c>
    </row>
    <row r="684" spans="1:3" x14ac:dyDescent="0.2">
      <c r="A684" s="174" t="s">
        <v>1840</v>
      </c>
      <c r="B684" s="3" t="s">
        <v>1841</v>
      </c>
      <c r="C684" s="175">
        <v>3060</v>
      </c>
    </row>
    <row r="685" spans="1:3" x14ac:dyDescent="0.2">
      <c r="A685" s="174" t="s">
        <v>1842</v>
      </c>
      <c r="B685" s="3" t="s">
        <v>1843</v>
      </c>
      <c r="C685" s="175">
        <v>9400</v>
      </c>
    </row>
    <row r="686" spans="1:3" x14ac:dyDescent="0.2">
      <c r="A686" s="174" t="s">
        <v>1844</v>
      </c>
      <c r="B686" s="3" t="s">
        <v>1845</v>
      </c>
      <c r="C686" s="175">
        <v>4677.1499999999996</v>
      </c>
    </row>
    <row r="687" spans="1:3" x14ac:dyDescent="0.2">
      <c r="A687" s="174" t="s">
        <v>1846</v>
      </c>
      <c r="B687" s="3" t="s">
        <v>1847</v>
      </c>
      <c r="C687" s="175">
        <v>14394.91</v>
      </c>
    </row>
    <row r="688" spans="1:3" x14ac:dyDescent="0.2">
      <c r="A688" s="174" t="s">
        <v>1848</v>
      </c>
      <c r="B688" s="3" t="s">
        <v>1849</v>
      </c>
      <c r="C688" s="175">
        <v>90938.599999999977</v>
      </c>
    </row>
    <row r="689" spans="1:3" x14ac:dyDescent="0.2">
      <c r="A689" s="174" t="s">
        <v>1850</v>
      </c>
      <c r="B689" s="3" t="s">
        <v>1851</v>
      </c>
      <c r="C689" s="175">
        <v>9878.82</v>
      </c>
    </row>
    <row r="690" spans="1:3" x14ac:dyDescent="0.2">
      <c r="A690" s="174" t="s">
        <v>1852</v>
      </c>
      <c r="B690" s="3" t="s">
        <v>1853</v>
      </c>
      <c r="C690" s="175">
        <v>150852.75999999983</v>
      </c>
    </row>
    <row r="691" spans="1:3" x14ac:dyDescent="0.2">
      <c r="A691" s="174" t="s">
        <v>1854</v>
      </c>
      <c r="B691" s="3" t="s">
        <v>1855</v>
      </c>
      <c r="C691" s="175">
        <v>8115.1599999999989</v>
      </c>
    </row>
    <row r="692" spans="1:3" x14ac:dyDescent="0.2">
      <c r="A692" s="174" t="s">
        <v>1856</v>
      </c>
      <c r="B692" s="3" t="s">
        <v>1857</v>
      </c>
      <c r="C692" s="175">
        <v>96364.76</v>
      </c>
    </row>
    <row r="693" spans="1:3" x14ac:dyDescent="0.2">
      <c r="A693" s="174" t="s">
        <v>1858</v>
      </c>
      <c r="B693" s="3" t="s">
        <v>1859</v>
      </c>
      <c r="C693" s="175">
        <v>9.2986729427479986E-11</v>
      </c>
    </row>
    <row r="694" spans="1:3" x14ac:dyDescent="0.2">
      <c r="A694" s="174" t="s">
        <v>1860</v>
      </c>
      <c r="B694" s="3" t="s">
        <v>1861</v>
      </c>
      <c r="C694" s="175">
        <v>1217290.74</v>
      </c>
    </row>
    <row r="695" spans="1:3" x14ac:dyDescent="0.2">
      <c r="A695" s="174" t="s">
        <v>1862</v>
      </c>
      <c r="B695" s="3" t="s">
        <v>1863</v>
      </c>
      <c r="C695" s="175">
        <v>45459.779999999984</v>
      </c>
    </row>
    <row r="696" spans="1:3" x14ac:dyDescent="0.2">
      <c r="A696" s="174" t="s">
        <v>1864</v>
      </c>
      <c r="B696" s="3" t="s">
        <v>1865</v>
      </c>
      <c r="C696" s="175">
        <v>274042.96000000002</v>
      </c>
    </row>
    <row r="697" spans="1:3" x14ac:dyDescent="0.2">
      <c r="A697" s="174" t="s">
        <v>1866</v>
      </c>
      <c r="B697" s="3" t="s">
        <v>1867</v>
      </c>
      <c r="C697" s="175">
        <v>14677.31</v>
      </c>
    </row>
    <row r="698" spans="1:3" x14ac:dyDescent="0.2">
      <c r="A698" s="174" t="s">
        <v>1868</v>
      </c>
      <c r="B698" s="3" t="s">
        <v>1869</v>
      </c>
      <c r="C698" s="175">
        <v>63884.92</v>
      </c>
    </row>
    <row r="699" spans="1:3" x14ac:dyDescent="0.2">
      <c r="A699" s="174" t="s">
        <v>1870</v>
      </c>
      <c r="B699" s="3" t="s">
        <v>1871</v>
      </c>
      <c r="C699" s="175">
        <v>160134.29000000004</v>
      </c>
    </row>
    <row r="700" spans="1:3" x14ac:dyDescent="0.2">
      <c r="A700" s="174" t="s">
        <v>1872</v>
      </c>
      <c r="B700" s="3" t="s">
        <v>1873</v>
      </c>
      <c r="C700" s="175">
        <v>16390</v>
      </c>
    </row>
    <row r="701" spans="1:3" x14ac:dyDescent="0.2">
      <c r="A701" s="174" t="s">
        <v>1874</v>
      </c>
      <c r="B701" s="3" t="s">
        <v>1875</v>
      </c>
      <c r="C701" s="175">
        <v>255003.59999999995</v>
      </c>
    </row>
    <row r="702" spans="1:3" x14ac:dyDescent="0.2">
      <c r="A702" s="174" t="s">
        <v>1876</v>
      </c>
      <c r="B702" s="3" t="s">
        <v>1877</v>
      </c>
      <c r="C702" s="175">
        <v>58381.39</v>
      </c>
    </row>
    <row r="703" spans="1:3" x14ac:dyDescent="0.2">
      <c r="A703" s="174" t="s">
        <v>1878</v>
      </c>
      <c r="B703" s="3" t="s">
        <v>1879</v>
      </c>
      <c r="C703" s="175">
        <v>185040.23</v>
      </c>
    </row>
    <row r="704" spans="1:3" x14ac:dyDescent="0.2">
      <c r="A704" s="174" t="s">
        <v>1880</v>
      </c>
      <c r="B704" s="3" t="s">
        <v>1881</v>
      </c>
      <c r="C704" s="175">
        <v>45595.45</v>
      </c>
    </row>
    <row r="705" spans="1:3" x14ac:dyDescent="0.2">
      <c r="A705" s="174" t="s">
        <v>1882</v>
      </c>
      <c r="B705" s="3" t="s">
        <v>1883</v>
      </c>
      <c r="C705" s="175">
        <v>168182.23</v>
      </c>
    </row>
    <row r="706" spans="1:3" x14ac:dyDescent="0.2">
      <c r="A706" s="174" t="s">
        <v>1884</v>
      </c>
      <c r="B706" s="3" t="s">
        <v>1885</v>
      </c>
      <c r="C706" s="175">
        <v>136641.4</v>
      </c>
    </row>
    <row r="707" spans="1:3" x14ac:dyDescent="0.2">
      <c r="A707" s="174" t="s">
        <v>1886</v>
      </c>
      <c r="B707" s="3" t="s">
        <v>1887</v>
      </c>
      <c r="C707" s="175">
        <v>41991.739999999976</v>
      </c>
    </row>
    <row r="708" spans="1:3" x14ac:dyDescent="0.2">
      <c r="A708" s="174" t="s">
        <v>1888</v>
      </c>
      <c r="B708" s="3" t="s">
        <v>1889</v>
      </c>
      <c r="C708" s="175">
        <v>165920.56999999998</v>
      </c>
    </row>
    <row r="709" spans="1:3" x14ac:dyDescent="0.2">
      <c r="A709" s="174" t="s">
        <v>1890</v>
      </c>
      <c r="B709" s="3" t="s">
        <v>1891</v>
      </c>
      <c r="C709" s="175">
        <v>152602.0400000001</v>
      </c>
    </row>
    <row r="710" spans="1:3" x14ac:dyDescent="0.2">
      <c r="A710" s="174" t="s">
        <v>1892</v>
      </c>
      <c r="B710" s="3" t="s">
        <v>1893</v>
      </c>
      <c r="C710" s="175">
        <v>21379.260000000006</v>
      </c>
    </row>
    <row r="711" spans="1:3" x14ac:dyDescent="0.2">
      <c r="A711" s="174" t="s">
        <v>1894</v>
      </c>
      <c r="B711" s="3" t="s">
        <v>1895</v>
      </c>
      <c r="C711" s="175">
        <v>1191.93</v>
      </c>
    </row>
    <row r="712" spans="1:3" x14ac:dyDescent="0.2">
      <c r="A712" s="174" t="s">
        <v>1896</v>
      </c>
      <c r="B712" s="3" t="s">
        <v>1897</v>
      </c>
      <c r="C712" s="175">
        <v>36600.85</v>
      </c>
    </row>
    <row r="713" spans="1:3" x14ac:dyDescent="0.2">
      <c r="A713" s="174" t="s">
        <v>1898</v>
      </c>
      <c r="B713" s="3" t="s">
        <v>1899</v>
      </c>
      <c r="C713" s="175">
        <v>8519.44</v>
      </c>
    </row>
    <row r="714" spans="1:3" x14ac:dyDescent="0.2">
      <c r="A714" s="174" t="s">
        <v>1900</v>
      </c>
      <c r="B714" s="3" t="s">
        <v>1901</v>
      </c>
      <c r="C714" s="175">
        <v>49980</v>
      </c>
    </row>
    <row r="715" spans="1:3" x14ac:dyDescent="0.2">
      <c r="A715" s="174" t="s">
        <v>1902</v>
      </c>
      <c r="B715" s="3" t="s">
        <v>1903</v>
      </c>
      <c r="C715" s="175">
        <v>114279.56000000001</v>
      </c>
    </row>
    <row r="716" spans="1:3" x14ac:dyDescent="0.2">
      <c r="A716" s="174" t="s">
        <v>1904</v>
      </c>
      <c r="B716" s="3" t="s">
        <v>1905</v>
      </c>
      <c r="C716" s="175">
        <v>220909.28999999992</v>
      </c>
    </row>
    <row r="717" spans="1:3" x14ac:dyDescent="0.2">
      <c r="A717" s="174" t="s">
        <v>1906</v>
      </c>
      <c r="B717" s="3" t="s">
        <v>1907</v>
      </c>
      <c r="C717" s="175">
        <v>8585.119999999999</v>
      </c>
    </row>
    <row r="718" spans="1:3" x14ac:dyDescent="0.2">
      <c r="A718" s="174" t="s">
        <v>1908</v>
      </c>
      <c r="B718" s="3" t="s">
        <v>1909</v>
      </c>
      <c r="C718" s="175">
        <v>26842.17</v>
      </c>
    </row>
    <row r="719" spans="1:3" x14ac:dyDescent="0.2">
      <c r="A719" s="174" t="s">
        <v>1910</v>
      </c>
      <c r="B719" s="3" t="s">
        <v>1911</v>
      </c>
      <c r="C719" s="175">
        <v>26130.99</v>
      </c>
    </row>
    <row r="720" spans="1:3" x14ac:dyDescent="0.2">
      <c r="A720" s="174" t="s">
        <v>1912</v>
      </c>
      <c r="B720" s="3" t="s">
        <v>1913</v>
      </c>
      <c r="C720" s="175">
        <v>25249.23</v>
      </c>
    </row>
    <row r="721" spans="1:3" x14ac:dyDescent="0.2">
      <c r="A721" s="174" t="s">
        <v>1914</v>
      </c>
      <c r="B721" s="3" t="s">
        <v>1915</v>
      </c>
      <c r="C721" s="175">
        <v>389235.54999999993</v>
      </c>
    </row>
    <row r="722" spans="1:3" x14ac:dyDescent="0.2">
      <c r="A722" s="174" t="s">
        <v>1916</v>
      </c>
      <c r="B722" s="3" t="s">
        <v>1917</v>
      </c>
      <c r="C722" s="175">
        <v>179.57000000002949</v>
      </c>
    </row>
    <row r="723" spans="1:3" x14ac:dyDescent="0.2">
      <c r="A723" s="174" t="s">
        <v>1918</v>
      </c>
      <c r="B723" s="3" t="s">
        <v>1919</v>
      </c>
      <c r="C723" s="175">
        <v>57953.33</v>
      </c>
    </row>
    <row r="724" spans="1:3" x14ac:dyDescent="0.2">
      <c r="A724" s="174" t="s">
        <v>1920</v>
      </c>
      <c r="B724" s="3" t="s">
        <v>1921</v>
      </c>
      <c r="C724" s="175">
        <v>182744.42</v>
      </c>
    </row>
    <row r="725" spans="1:3" x14ac:dyDescent="0.2">
      <c r="A725" s="174" t="s">
        <v>1922</v>
      </c>
      <c r="B725" s="3" t="s">
        <v>1923</v>
      </c>
      <c r="C725" s="175">
        <v>75589.459999999977</v>
      </c>
    </row>
    <row r="726" spans="1:3" x14ac:dyDescent="0.2">
      <c r="A726" s="174" t="s">
        <v>1924</v>
      </c>
      <c r="B726" s="3" t="s">
        <v>1925</v>
      </c>
      <c r="C726" s="175">
        <v>107672.71999999997</v>
      </c>
    </row>
    <row r="727" spans="1:3" x14ac:dyDescent="0.2">
      <c r="A727" s="174" t="s">
        <v>1926</v>
      </c>
      <c r="B727" s="3" t="s">
        <v>1927</v>
      </c>
      <c r="C727" s="175">
        <v>34737.789999999994</v>
      </c>
    </row>
    <row r="728" spans="1:3" x14ac:dyDescent="0.2">
      <c r="A728" s="174" t="s">
        <v>1928</v>
      </c>
      <c r="B728" s="3" t="s">
        <v>1929</v>
      </c>
      <c r="C728" s="175">
        <v>24288.2</v>
      </c>
    </row>
    <row r="729" spans="1:3" x14ac:dyDescent="0.2">
      <c r="A729" s="174" t="s">
        <v>1930</v>
      </c>
      <c r="B729" s="3" t="s">
        <v>1931</v>
      </c>
      <c r="C729" s="175">
        <v>38930.230000000003</v>
      </c>
    </row>
    <row r="730" spans="1:3" x14ac:dyDescent="0.2">
      <c r="A730" s="174" t="s">
        <v>1932</v>
      </c>
      <c r="B730" s="3" t="s">
        <v>1933</v>
      </c>
      <c r="C730" s="175">
        <v>14956.25</v>
      </c>
    </row>
    <row r="731" spans="1:3" x14ac:dyDescent="0.2">
      <c r="A731" s="174" t="s">
        <v>1934</v>
      </c>
      <c r="B731" s="3" t="s">
        <v>1935</v>
      </c>
      <c r="C731" s="175">
        <v>20127.270000000004</v>
      </c>
    </row>
    <row r="732" spans="1:3" x14ac:dyDescent="0.2">
      <c r="A732" s="174" t="s">
        <v>1936</v>
      </c>
      <c r="B732" s="3" t="s">
        <v>1937</v>
      </c>
      <c r="C732" s="175">
        <v>4820.22</v>
      </c>
    </row>
    <row r="733" spans="1:3" x14ac:dyDescent="0.2">
      <c r="A733" s="174" t="s">
        <v>1938</v>
      </c>
      <c r="B733" s="3" t="s">
        <v>1939</v>
      </c>
      <c r="C733" s="175">
        <v>7118.5099999999957</v>
      </c>
    </row>
    <row r="734" spans="1:3" x14ac:dyDescent="0.2">
      <c r="A734" s="174" t="s">
        <v>1940</v>
      </c>
      <c r="B734" s="3" t="s">
        <v>1941</v>
      </c>
      <c r="C734" s="175">
        <v>116477.01999999999</v>
      </c>
    </row>
    <row r="735" spans="1:3" x14ac:dyDescent="0.2">
      <c r="A735" s="174" t="s">
        <v>1942</v>
      </c>
      <c r="B735" s="3" t="s">
        <v>1943</v>
      </c>
      <c r="C735" s="175">
        <v>505617.2199999998</v>
      </c>
    </row>
    <row r="736" spans="1:3" x14ac:dyDescent="0.2">
      <c r="A736" s="174" t="s">
        <v>1944</v>
      </c>
      <c r="B736" s="3" t="s">
        <v>1945</v>
      </c>
      <c r="C736" s="175">
        <v>92339.170000000013</v>
      </c>
    </row>
    <row r="737" spans="1:3" x14ac:dyDescent="0.2">
      <c r="A737" s="174" t="s">
        <v>1946</v>
      </c>
      <c r="B737" s="3" t="s">
        <v>1947</v>
      </c>
      <c r="C737" s="175">
        <v>342196.49999999994</v>
      </c>
    </row>
    <row r="738" spans="1:3" x14ac:dyDescent="0.2">
      <c r="A738" s="174" t="s">
        <v>1948</v>
      </c>
      <c r="B738" s="3" t="s">
        <v>1949</v>
      </c>
      <c r="C738" s="175">
        <v>360656.52</v>
      </c>
    </row>
    <row r="739" spans="1:3" x14ac:dyDescent="0.2">
      <c r="A739" s="174" t="s">
        <v>1950</v>
      </c>
      <c r="B739" s="3" t="s">
        <v>1951</v>
      </c>
      <c r="C739" s="175">
        <v>45420.229999999996</v>
      </c>
    </row>
    <row r="740" spans="1:3" x14ac:dyDescent="0.2">
      <c r="A740" s="174" t="s">
        <v>1952</v>
      </c>
      <c r="B740" s="3" t="s">
        <v>1953</v>
      </c>
      <c r="C740" s="175">
        <v>7289.68</v>
      </c>
    </row>
    <row r="741" spans="1:3" x14ac:dyDescent="0.2">
      <c r="A741" s="174" t="s">
        <v>1954</v>
      </c>
      <c r="B741" s="3" t="s">
        <v>1955</v>
      </c>
      <c r="C741" s="175">
        <v>16495.86</v>
      </c>
    </row>
    <row r="742" spans="1:3" x14ac:dyDescent="0.2">
      <c r="A742" s="174" t="s">
        <v>1956</v>
      </c>
      <c r="B742" s="3" t="s">
        <v>1957</v>
      </c>
      <c r="C742" s="175">
        <v>51557.21</v>
      </c>
    </row>
    <row r="743" spans="1:3" x14ac:dyDescent="0.2">
      <c r="A743" s="174" t="s">
        <v>1958</v>
      </c>
      <c r="B743" s="3" t="s">
        <v>1959</v>
      </c>
      <c r="C743" s="175">
        <v>11218.19</v>
      </c>
    </row>
    <row r="744" spans="1:3" x14ac:dyDescent="0.2">
      <c r="A744" s="174" t="s">
        <v>1960</v>
      </c>
      <c r="B744" s="3" t="s">
        <v>1961</v>
      </c>
      <c r="C744" s="175">
        <v>66747.380000000019</v>
      </c>
    </row>
    <row r="745" spans="1:3" x14ac:dyDescent="0.2">
      <c r="A745" s="174" t="s">
        <v>1962</v>
      </c>
      <c r="B745" s="3" t="s">
        <v>1963</v>
      </c>
      <c r="C745" s="175">
        <v>57331.280000000006</v>
      </c>
    </row>
    <row r="746" spans="1:3" x14ac:dyDescent="0.2">
      <c r="A746" s="174" t="s">
        <v>1964</v>
      </c>
      <c r="B746" s="3" t="s">
        <v>1965</v>
      </c>
      <c r="C746" s="175">
        <v>53357.189999999995</v>
      </c>
    </row>
    <row r="747" spans="1:3" x14ac:dyDescent="0.2">
      <c r="A747" s="174" t="s">
        <v>1966</v>
      </c>
      <c r="B747" s="3" t="s">
        <v>1967</v>
      </c>
      <c r="C747" s="175">
        <v>2.1259438653942198E-11</v>
      </c>
    </row>
    <row r="748" spans="1:3" x14ac:dyDescent="0.2">
      <c r="A748" s="174" t="s">
        <v>1968</v>
      </c>
      <c r="B748" s="3" t="s">
        <v>1969</v>
      </c>
      <c r="C748" s="175">
        <v>16054.2</v>
      </c>
    </row>
    <row r="749" spans="1:3" x14ac:dyDescent="0.2">
      <c r="A749" s="174" t="s">
        <v>1970</v>
      </c>
      <c r="B749" s="3" t="s">
        <v>1971</v>
      </c>
      <c r="C749" s="175">
        <v>23213.010000000002</v>
      </c>
    </row>
    <row r="750" spans="1:3" x14ac:dyDescent="0.2">
      <c r="A750" s="174" t="s">
        <v>1972</v>
      </c>
      <c r="B750" s="3" t="s">
        <v>1973</v>
      </c>
      <c r="C750" s="175">
        <v>15742.419999999995</v>
      </c>
    </row>
    <row r="751" spans="1:3" x14ac:dyDescent="0.2">
      <c r="A751" s="174" t="s">
        <v>1974</v>
      </c>
      <c r="B751" s="3" t="s">
        <v>1975</v>
      </c>
      <c r="C751" s="175">
        <v>313.09999999999997</v>
      </c>
    </row>
    <row r="752" spans="1:3" x14ac:dyDescent="0.2">
      <c r="A752" s="174" t="s">
        <v>1976</v>
      </c>
      <c r="B752" s="3" t="s">
        <v>1977</v>
      </c>
      <c r="C752" s="175">
        <v>136052.18000000005</v>
      </c>
    </row>
    <row r="753" spans="1:3" x14ac:dyDescent="0.2">
      <c r="A753" s="174" t="s">
        <v>1978</v>
      </c>
      <c r="B753" s="3" t="s">
        <v>1979</v>
      </c>
      <c r="C753" s="175">
        <v>149865.31999999998</v>
      </c>
    </row>
    <row r="754" spans="1:3" x14ac:dyDescent="0.2">
      <c r="A754" s="174" t="s">
        <v>1980</v>
      </c>
      <c r="B754" s="3" t="s">
        <v>1981</v>
      </c>
      <c r="C754" s="175">
        <v>26188.92</v>
      </c>
    </row>
    <row r="755" spans="1:3" x14ac:dyDescent="0.2">
      <c r="A755" s="174" t="s">
        <v>1982</v>
      </c>
      <c r="B755" s="3" t="s">
        <v>1983</v>
      </c>
      <c r="C755" s="175">
        <v>71495.790000000008</v>
      </c>
    </row>
    <row r="756" spans="1:3" x14ac:dyDescent="0.2">
      <c r="A756" s="174" t="s">
        <v>1984</v>
      </c>
      <c r="B756" s="3" t="s">
        <v>1985</v>
      </c>
      <c r="C756" s="175">
        <v>5274.97</v>
      </c>
    </row>
    <row r="757" spans="1:3" x14ac:dyDescent="0.2">
      <c r="A757" s="174" t="s">
        <v>1986</v>
      </c>
      <c r="B757" s="3" t="s">
        <v>1987</v>
      </c>
      <c r="C757" s="175">
        <v>207367.36</v>
      </c>
    </row>
    <row r="758" spans="1:3" x14ac:dyDescent="0.2">
      <c r="A758" s="174" t="s">
        <v>1988</v>
      </c>
      <c r="B758" s="3" t="s">
        <v>1989</v>
      </c>
      <c r="C758" s="175">
        <v>497184.78999999975</v>
      </c>
    </row>
    <row r="759" spans="1:3" x14ac:dyDescent="0.2">
      <c r="A759" s="174" t="s">
        <v>1990</v>
      </c>
      <c r="B759" s="3" t="s">
        <v>1991</v>
      </c>
      <c r="C759" s="175">
        <v>237152.21000000002</v>
      </c>
    </row>
    <row r="760" spans="1:3" x14ac:dyDescent="0.2">
      <c r="A760" s="174" t="s">
        <v>1992</v>
      </c>
      <c r="B760" s="3" t="s">
        <v>1993</v>
      </c>
      <c r="C760" s="175">
        <v>201299.33999999997</v>
      </c>
    </row>
    <row r="761" spans="1:3" x14ac:dyDescent="0.2">
      <c r="A761" s="174" t="s">
        <v>1994</v>
      </c>
      <c r="B761" s="3" t="s">
        <v>1995</v>
      </c>
      <c r="C761" s="175">
        <v>36770.17</v>
      </c>
    </row>
    <row r="762" spans="1:3" x14ac:dyDescent="0.2">
      <c r="A762" s="174" t="s">
        <v>1996</v>
      </c>
      <c r="B762" s="3" t="s">
        <v>1997</v>
      </c>
      <c r="C762" s="175">
        <v>8007.9499999999962</v>
      </c>
    </row>
    <row r="763" spans="1:3" x14ac:dyDescent="0.2">
      <c r="A763" s="174" t="s">
        <v>1998</v>
      </c>
      <c r="B763" s="3" t="s">
        <v>1999</v>
      </c>
      <c r="C763" s="175">
        <v>169270.14999999997</v>
      </c>
    </row>
    <row r="764" spans="1:3" x14ac:dyDescent="0.2">
      <c r="A764" s="174" t="s">
        <v>2000</v>
      </c>
      <c r="B764" s="3" t="s">
        <v>2001</v>
      </c>
      <c r="C764" s="175">
        <v>154968.44</v>
      </c>
    </row>
    <row r="765" spans="1:3" x14ac:dyDescent="0.2">
      <c r="A765" s="174" t="s">
        <v>2002</v>
      </c>
      <c r="B765" s="3" t="s">
        <v>2003</v>
      </c>
      <c r="C765" s="175">
        <v>23676.32</v>
      </c>
    </row>
    <row r="766" spans="1:3" x14ac:dyDescent="0.2">
      <c r="A766" s="174" t="s">
        <v>2004</v>
      </c>
      <c r="B766" s="3" t="s">
        <v>2005</v>
      </c>
      <c r="C766" s="175">
        <v>22138.91</v>
      </c>
    </row>
    <row r="767" spans="1:3" x14ac:dyDescent="0.2">
      <c r="A767" s="174" t="s">
        <v>2006</v>
      </c>
      <c r="B767" s="3" t="s">
        <v>2007</v>
      </c>
      <c r="C767" s="175">
        <v>559471.44000000018</v>
      </c>
    </row>
    <row r="768" spans="1:3" x14ac:dyDescent="0.2">
      <c r="A768" s="174" t="s">
        <v>2008</v>
      </c>
      <c r="B768" s="3" t="s">
        <v>2009</v>
      </c>
      <c r="C768" s="175">
        <v>7824.63</v>
      </c>
    </row>
    <row r="769" spans="1:3" x14ac:dyDescent="0.2">
      <c r="A769" s="174" t="s">
        <v>2010</v>
      </c>
      <c r="B769" s="3" t="s">
        <v>2011</v>
      </c>
      <c r="C769" s="175">
        <v>221206.59000000003</v>
      </c>
    </row>
    <row r="770" spans="1:3" x14ac:dyDescent="0.2">
      <c r="A770" s="174" t="s">
        <v>2012</v>
      </c>
      <c r="B770" s="3" t="s">
        <v>2013</v>
      </c>
      <c r="C770" s="175">
        <v>19325.29</v>
      </c>
    </row>
    <row r="771" spans="1:3" x14ac:dyDescent="0.2">
      <c r="A771" s="174" t="s">
        <v>2014</v>
      </c>
      <c r="B771" s="3" t="s">
        <v>2015</v>
      </c>
      <c r="C771" s="175">
        <v>197146.26</v>
      </c>
    </row>
    <row r="772" spans="1:3" x14ac:dyDescent="0.2">
      <c r="A772" s="174" t="s">
        <v>2016</v>
      </c>
      <c r="B772" s="3" t="s">
        <v>2017</v>
      </c>
      <c r="C772" s="175">
        <v>93095.780000000013</v>
      </c>
    </row>
    <row r="773" spans="1:3" x14ac:dyDescent="0.2">
      <c r="A773" s="174" t="s">
        <v>2018</v>
      </c>
      <c r="B773" s="3" t="s">
        <v>2019</v>
      </c>
      <c r="C773" s="175">
        <v>205369.55</v>
      </c>
    </row>
    <row r="774" spans="1:3" x14ac:dyDescent="0.2">
      <c r="A774" s="174" t="s">
        <v>2020</v>
      </c>
      <c r="B774" s="3" t="s">
        <v>2021</v>
      </c>
      <c r="C774" s="175">
        <v>35007.760000000002</v>
      </c>
    </row>
    <row r="775" spans="1:3" x14ac:dyDescent="0.2">
      <c r="A775" s="174" t="s">
        <v>2022</v>
      </c>
      <c r="B775" s="3" t="s">
        <v>2023</v>
      </c>
      <c r="C775" s="175">
        <v>21033.47</v>
      </c>
    </row>
    <row r="776" spans="1:3" x14ac:dyDescent="0.2">
      <c r="A776" s="174" t="s">
        <v>2024</v>
      </c>
      <c r="B776" s="3" t="s">
        <v>2025</v>
      </c>
      <c r="C776" s="175">
        <v>15041.460000000003</v>
      </c>
    </row>
    <row r="777" spans="1:3" x14ac:dyDescent="0.2">
      <c r="A777" s="174" t="s">
        <v>2026</v>
      </c>
      <c r="B777" s="3" t="s">
        <v>2027</v>
      </c>
      <c r="C777" s="175">
        <v>33585.81</v>
      </c>
    </row>
    <row r="778" spans="1:3" x14ac:dyDescent="0.2">
      <c r="A778" s="174" t="s">
        <v>2028</v>
      </c>
      <c r="B778" s="3" t="s">
        <v>2029</v>
      </c>
      <c r="C778" s="175">
        <v>34383.410000000003</v>
      </c>
    </row>
    <row r="779" spans="1:3" x14ac:dyDescent="0.2">
      <c r="A779" s="174" t="s">
        <v>2030</v>
      </c>
      <c r="B779" s="3" t="s">
        <v>2031</v>
      </c>
      <c r="C779" s="175">
        <v>73623.740000000005</v>
      </c>
    </row>
    <row r="780" spans="1:3" x14ac:dyDescent="0.2">
      <c r="A780" s="174" t="s">
        <v>2032</v>
      </c>
      <c r="B780" s="3" t="s">
        <v>2033</v>
      </c>
      <c r="C780" s="175">
        <v>12970</v>
      </c>
    </row>
    <row r="781" spans="1:3" x14ac:dyDescent="0.2">
      <c r="A781" s="174" t="s">
        <v>2034</v>
      </c>
      <c r="B781" s="3" t="s">
        <v>2035</v>
      </c>
      <c r="C781" s="175">
        <v>35028.450000000004</v>
      </c>
    </row>
    <row r="782" spans="1:3" x14ac:dyDescent="0.2">
      <c r="A782" s="174" t="s">
        <v>2036</v>
      </c>
      <c r="B782" s="3" t="s">
        <v>2037</v>
      </c>
      <c r="C782" s="175">
        <v>9648.5999999999985</v>
      </c>
    </row>
    <row r="783" spans="1:3" x14ac:dyDescent="0.2">
      <c r="A783" s="174" t="s">
        <v>2038</v>
      </c>
      <c r="B783" s="3" t="s">
        <v>2039</v>
      </c>
      <c r="C783" s="175">
        <v>483536.83000000013</v>
      </c>
    </row>
    <row r="784" spans="1:3" x14ac:dyDescent="0.2">
      <c r="A784" s="174" t="s">
        <v>2040</v>
      </c>
      <c r="B784" s="3" t="s">
        <v>2041</v>
      </c>
      <c r="C784" s="175">
        <v>-3900</v>
      </c>
    </row>
    <row r="785" spans="1:3" x14ac:dyDescent="0.2">
      <c r="A785" s="174" t="s">
        <v>2042</v>
      </c>
      <c r="B785" s="3" t="s">
        <v>2043</v>
      </c>
      <c r="C785" s="175">
        <v>-2878</v>
      </c>
    </row>
    <row r="786" spans="1:3" x14ac:dyDescent="0.2">
      <c r="A786" s="174" t="s">
        <v>2044</v>
      </c>
      <c r="B786" s="3" t="s">
        <v>2045</v>
      </c>
      <c r="C786" s="175">
        <v>23807.1</v>
      </c>
    </row>
    <row r="787" spans="1:3" x14ac:dyDescent="0.2">
      <c r="A787" s="174" t="s">
        <v>2046</v>
      </c>
      <c r="B787" s="3" t="s">
        <v>2047</v>
      </c>
      <c r="C787" s="175">
        <v>13915.800000000021</v>
      </c>
    </row>
    <row r="788" spans="1:3" x14ac:dyDescent="0.2">
      <c r="A788" s="174" t="s">
        <v>2048</v>
      </c>
      <c r="B788" s="3" t="s">
        <v>2049</v>
      </c>
      <c r="C788" s="175">
        <v>39542.79</v>
      </c>
    </row>
    <row r="789" spans="1:3" x14ac:dyDescent="0.2">
      <c r="A789" s="174" t="s">
        <v>2050</v>
      </c>
      <c r="B789" s="3" t="s">
        <v>2051</v>
      </c>
      <c r="C789" s="175">
        <v>91816.420000000013</v>
      </c>
    </row>
    <row r="790" spans="1:3" x14ac:dyDescent="0.2">
      <c r="A790" s="174" t="s">
        <v>2052</v>
      </c>
      <c r="B790" s="3" t="s">
        <v>2053</v>
      </c>
      <c r="C790" s="175">
        <v>38030.75</v>
      </c>
    </row>
    <row r="791" spans="1:3" x14ac:dyDescent="0.2">
      <c r="A791" s="174" t="s">
        <v>2054</v>
      </c>
      <c r="B791" s="3" t="s">
        <v>2055</v>
      </c>
      <c r="C791" s="175">
        <v>18358.350000000002</v>
      </c>
    </row>
    <row r="792" spans="1:3" x14ac:dyDescent="0.2">
      <c r="A792" s="174" t="s">
        <v>2056</v>
      </c>
      <c r="B792" s="3" t="s">
        <v>2057</v>
      </c>
      <c r="C792" s="175">
        <v>21934.050000000003</v>
      </c>
    </row>
    <row r="793" spans="1:3" x14ac:dyDescent="0.2">
      <c r="A793" s="174" t="s">
        <v>2058</v>
      </c>
      <c r="B793" s="3" t="s">
        <v>2059</v>
      </c>
      <c r="C793" s="175">
        <v>24052.29</v>
      </c>
    </row>
    <row r="794" spans="1:3" x14ac:dyDescent="0.2">
      <c r="A794" s="174" t="s">
        <v>2060</v>
      </c>
      <c r="B794" s="3" t="s">
        <v>2061</v>
      </c>
      <c r="C794" s="175">
        <v>12656.86</v>
      </c>
    </row>
    <row r="795" spans="1:3" x14ac:dyDescent="0.2">
      <c r="A795" s="174" t="s">
        <v>2062</v>
      </c>
      <c r="B795" s="3" t="s">
        <v>2063</v>
      </c>
      <c r="C795" s="175">
        <v>131461.23000000001</v>
      </c>
    </row>
    <row r="796" spans="1:3" x14ac:dyDescent="0.2">
      <c r="A796" s="174" t="s">
        <v>2064</v>
      </c>
      <c r="B796" s="3" t="s">
        <v>2065</v>
      </c>
      <c r="C796" s="175">
        <v>6285.8</v>
      </c>
    </row>
    <row r="797" spans="1:3" x14ac:dyDescent="0.2">
      <c r="A797" s="174" t="s">
        <v>2066</v>
      </c>
      <c r="B797" s="3" t="s">
        <v>2067</v>
      </c>
      <c r="C797" s="175">
        <v>27191.81</v>
      </c>
    </row>
    <row r="798" spans="1:3" x14ac:dyDescent="0.2">
      <c r="A798" s="174" t="s">
        <v>2068</v>
      </c>
      <c r="B798" s="3" t="s">
        <v>2069</v>
      </c>
      <c r="C798" s="175">
        <v>102521.93000000001</v>
      </c>
    </row>
    <row r="799" spans="1:3" x14ac:dyDescent="0.2">
      <c r="A799" s="174" t="s">
        <v>2070</v>
      </c>
      <c r="B799" s="3" t="s">
        <v>2071</v>
      </c>
      <c r="C799" s="175">
        <v>40416.009999999995</v>
      </c>
    </row>
    <row r="800" spans="1:3" x14ac:dyDescent="0.2">
      <c r="A800" s="174" t="s">
        <v>2072</v>
      </c>
      <c r="B800" s="3" t="s">
        <v>2073</v>
      </c>
      <c r="C800" s="175">
        <v>17744.61</v>
      </c>
    </row>
    <row r="801" spans="1:3" x14ac:dyDescent="0.2">
      <c r="A801" s="174" t="s">
        <v>2074</v>
      </c>
      <c r="B801" s="3" t="s">
        <v>2075</v>
      </c>
      <c r="C801" s="175">
        <v>16075.829999999996</v>
      </c>
    </row>
    <row r="802" spans="1:3" x14ac:dyDescent="0.2">
      <c r="A802" s="174" t="s">
        <v>2076</v>
      </c>
      <c r="B802" s="3" t="s">
        <v>2077</v>
      </c>
      <c r="C802" s="175">
        <v>85620</v>
      </c>
    </row>
    <row r="803" spans="1:3" x14ac:dyDescent="0.2">
      <c r="A803" s="174" t="s">
        <v>2078</v>
      </c>
      <c r="B803" s="3" t="s">
        <v>2079</v>
      </c>
      <c r="C803" s="175">
        <v>5023.9799999999996</v>
      </c>
    </row>
    <row r="804" spans="1:3" x14ac:dyDescent="0.2">
      <c r="A804" s="174" t="s">
        <v>2080</v>
      </c>
      <c r="B804" s="3" t="s">
        <v>2081</v>
      </c>
      <c r="C804" s="175">
        <v>235982.9</v>
      </c>
    </row>
    <row r="805" spans="1:3" x14ac:dyDescent="0.2">
      <c r="A805" s="174" t="s">
        <v>2082</v>
      </c>
      <c r="B805" s="3" t="s">
        <v>2083</v>
      </c>
      <c r="C805" s="175">
        <v>54.730000000039581</v>
      </c>
    </row>
    <row r="806" spans="1:3" x14ac:dyDescent="0.2">
      <c r="A806" s="174" t="s">
        <v>2084</v>
      </c>
      <c r="B806" s="3" t="s">
        <v>2085</v>
      </c>
      <c r="C806" s="175">
        <v>39525.919999999998</v>
      </c>
    </row>
    <row r="807" spans="1:3" x14ac:dyDescent="0.2">
      <c r="A807" s="174" t="s">
        <v>2086</v>
      </c>
      <c r="B807" s="3" t="s">
        <v>2087</v>
      </c>
      <c r="C807" s="175">
        <v>48264</v>
      </c>
    </row>
    <row r="808" spans="1:3" x14ac:dyDescent="0.2">
      <c r="A808" s="174" t="s">
        <v>2088</v>
      </c>
      <c r="B808" s="3" t="s">
        <v>2089</v>
      </c>
      <c r="C808" s="175">
        <v>48865.599999999999</v>
      </c>
    </row>
    <row r="809" spans="1:3" x14ac:dyDescent="0.2">
      <c r="A809" s="174" t="s">
        <v>2090</v>
      </c>
      <c r="B809" s="3" t="s">
        <v>2091</v>
      </c>
      <c r="C809" s="175">
        <v>30282.309999999998</v>
      </c>
    </row>
    <row r="810" spans="1:3" x14ac:dyDescent="0.2">
      <c r="A810" s="174" t="s">
        <v>2092</v>
      </c>
      <c r="B810" s="3" t="s">
        <v>2093</v>
      </c>
      <c r="C810" s="175">
        <v>41381.730000000003</v>
      </c>
    </row>
    <row r="811" spans="1:3" x14ac:dyDescent="0.2">
      <c r="A811" s="174" t="s">
        <v>2094</v>
      </c>
      <c r="B811" s="3" t="s">
        <v>2095</v>
      </c>
      <c r="C811" s="175">
        <v>12395.04</v>
      </c>
    </row>
    <row r="812" spans="1:3" x14ac:dyDescent="0.2">
      <c r="A812" s="174" t="s">
        <v>2096</v>
      </c>
      <c r="B812" s="3" t="s">
        <v>2097</v>
      </c>
      <c r="C812" s="175">
        <v>14666.45000000001</v>
      </c>
    </row>
    <row r="813" spans="1:3" x14ac:dyDescent="0.2">
      <c r="A813" s="174" t="s">
        <v>2098</v>
      </c>
      <c r="B813" s="3" t="s">
        <v>2099</v>
      </c>
      <c r="C813" s="175">
        <v>22330</v>
      </c>
    </row>
    <row r="814" spans="1:3" x14ac:dyDescent="0.2">
      <c r="A814" s="174" t="s">
        <v>2100</v>
      </c>
      <c r="B814" s="3" t="s">
        <v>2101</v>
      </c>
      <c r="C814" s="175">
        <v>20416.080000000002</v>
      </c>
    </row>
    <row r="815" spans="1:3" x14ac:dyDescent="0.2">
      <c r="A815" s="174" t="s">
        <v>2102</v>
      </c>
      <c r="B815" s="3" t="s">
        <v>2103</v>
      </c>
      <c r="C815" s="175">
        <v>229.00000000000458</v>
      </c>
    </row>
    <row r="816" spans="1:3" x14ac:dyDescent="0.2">
      <c r="A816" s="174" t="s">
        <v>2104</v>
      </c>
      <c r="B816" s="3" t="s">
        <v>2105</v>
      </c>
      <c r="C816" s="175">
        <v>631341.97000000009</v>
      </c>
    </row>
    <row r="817" spans="1:3" x14ac:dyDescent="0.2">
      <c r="A817" s="174" t="s">
        <v>2106</v>
      </c>
      <c r="B817" s="3" t="s">
        <v>2107</v>
      </c>
      <c r="C817" s="175">
        <v>14838.849999999999</v>
      </c>
    </row>
    <row r="818" spans="1:3" x14ac:dyDescent="0.2">
      <c r="A818" s="174" t="s">
        <v>2108</v>
      </c>
      <c r="B818" s="3" t="s">
        <v>2109</v>
      </c>
      <c r="C818" s="175">
        <v>329956.84999999998</v>
      </c>
    </row>
    <row r="819" spans="1:3" x14ac:dyDescent="0.2">
      <c r="A819" s="174" t="s">
        <v>2110</v>
      </c>
      <c r="B819" s="3" t="s">
        <v>2111</v>
      </c>
      <c r="C819" s="175">
        <v>29952.120000000003</v>
      </c>
    </row>
    <row r="820" spans="1:3" x14ac:dyDescent="0.2">
      <c r="A820" s="174" t="s">
        <v>2112</v>
      </c>
      <c r="B820" s="3" t="s">
        <v>2113</v>
      </c>
      <c r="C820" s="175">
        <v>10402.530000000001</v>
      </c>
    </row>
    <row r="821" spans="1:3" x14ac:dyDescent="0.2">
      <c r="A821" s="174" t="s">
        <v>2114</v>
      </c>
      <c r="B821" s="3" t="s">
        <v>2115</v>
      </c>
      <c r="C821" s="175">
        <v>67009.820000000007</v>
      </c>
    </row>
    <row r="822" spans="1:3" x14ac:dyDescent="0.2">
      <c r="A822" s="174" t="s">
        <v>2116</v>
      </c>
      <c r="B822" s="3" t="s">
        <v>2117</v>
      </c>
      <c r="C822" s="175">
        <v>22077.56</v>
      </c>
    </row>
    <row r="823" spans="1:3" x14ac:dyDescent="0.2">
      <c r="A823" s="174" t="s">
        <v>2118</v>
      </c>
      <c r="B823" s="3" t="s">
        <v>2119</v>
      </c>
      <c r="C823" s="175">
        <v>20988.690000000002</v>
      </c>
    </row>
    <row r="824" spans="1:3" x14ac:dyDescent="0.2">
      <c r="A824" s="174" t="s">
        <v>2120</v>
      </c>
      <c r="B824" s="3" t="s">
        <v>2121</v>
      </c>
      <c r="C824" s="175">
        <v>52069.569999999985</v>
      </c>
    </row>
    <row r="825" spans="1:3" x14ac:dyDescent="0.2">
      <c r="A825" s="174" t="s">
        <v>2122</v>
      </c>
      <c r="B825" s="3" t="s">
        <v>2123</v>
      </c>
      <c r="C825" s="175">
        <v>17709.25</v>
      </c>
    </row>
    <row r="826" spans="1:3" x14ac:dyDescent="0.2">
      <c r="A826" s="174" t="s">
        <v>2124</v>
      </c>
      <c r="B826" s="3" t="s">
        <v>2125</v>
      </c>
      <c r="C826" s="175">
        <v>18778.380000000005</v>
      </c>
    </row>
    <row r="827" spans="1:3" x14ac:dyDescent="0.2">
      <c r="A827" s="174" t="s">
        <v>2126</v>
      </c>
      <c r="B827" s="3" t="s">
        <v>2127</v>
      </c>
      <c r="C827" s="175">
        <v>212044.67</v>
      </c>
    </row>
    <row r="828" spans="1:3" x14ac:dyDescent="0.2">
      <c r="A828" s="174" t="s">
        <v>2128</v>
      </c>
      <c r="B828" s="3" t="s">
        <v>2129</v>
      </c>
      <c r="C828" s="175">
        <v>44033.18</v>
      </c>
    </row>
    <row r="829" spans="1:3" x14ac:dyDescent="0.2">
      <c r="A829" s="174" t="s">
        <v>2130</v>
      </c>
      <c r="B829" s="3" t="s">
        <v>2131</v>
      </c>
      <c r="C829" s="175">
        <v>27008.44</v>
      </c>
    </row>
    <row r="830" spans="1:3" x14ac:dyDescent="0.2">
      <c r="A830" s="174" t="s">
        <v>2132</v>
      </c>
      <c r="B830" s="3" t="s">
        <v>2133</v>
      </c>
      <c r="C830" s="175">
        <v>15875.090000000004</v>
      </c>
    </row>
    <row r="831" spans="1:3" x14ac:dyDescent="0.2">
      <c r="A831" s="174" t="s">
        <v>2134</v>
      </c>
      <c r="B831" s="3" t="s">
        <v>2135</v>
      </c>
      <c r="C831" s="175">
        <v>7951.67</v>
      </c>
    </row>
    <row r="832" spans="1:3" x14ac:dyDescent="0.2">
      <c r="A832" s="174" t="s">
        <v>2136</v>
      </c>
      <c r="B832" s="3" t="s">
        <v>2137</v>
      </c>
      <c r="C832" s="175">
        <v>98891.19</v>
      </c>
    </row>
    <row r="833" spans="1:3" x14ac:dyDescent="0.2">
      <c r="A833" s="174" t="s">
        <v>2138</v>
      </c>
      <c r="B833" s="3" t="s">
        <v>2139</v>
      </c>
      <c r="C833" s="175">
        <v>175362.8</v>
      </c>
    </row>
    <row r="834" spans="1:3" x14ac:dyDescent="0.2">
      <c r="A834" s="174" t="s">
        <v>2140</v>
      </c>
      <c r="B834" s="3" t="s">
        <v>2141</v>
      </c>
      <c r="C834" s="175">
        <v>101011.95000000001</v>
      </c>
    </row>
    <row r="835" spans="1:3" x14ac:dyDescent="0.2">
      <c r="A835" s="174" t="s">
        <v>2142</v>
      </c>
      <c r="B835" s="3" t="s">
        <v>2143</v>
      </c>
      <c r="C835" s="175">
        <v>24288.519999999993</v>
      </c>
    </row>
    <row r="836" spans="1:3" x14ac:dyDescent="0.2">
      <c r="A836" s="174" t="s">
        <v>2144</v>
      </c>
      <c r="B836" s="3" t="s">
        <v>2145</v>
      </c>
      <c r="C836" s="175">
        <v>53990.68</v>
      </c>
    </row>
    <row r="837" spans="1:3" x14ac:dyDescent="0.2">
      <c r="A837" s="174" t="s">
        <v>2146</v>
      </c>
      <c r="B837" s="3" t="s">
        <v>2147</v>
      </c>
      <c r="C837" s="175">
        <v>5823.15</v>
      </c>
    </row>
    <row r="838" spans="1:3" x14ac:dyDescent="0.2">
      <c r="A838" s="174" t="s">
        <v>2148</v>
      </c>
      <c r="B838" s="3" t="s">
        <v>2149</v>
      </c>
      <c r="C838" s="175">
        <v>755.89</v>
      </c>
    </row>
    <row r="839" spans="1:3" x14ac:dyDescent="0.2">
      <c r="A839" s="174" t="s">
        <v>2150</v>
      </c>
      <c r="B839" s="3" t="s">
        <v>2151</v>
      </c>
      <c r="C839" s="175">
        <v>5687.96</v>
      </c>
    </row>
    <row r="840" spans="1:3" x14ac:dyDescent="0.2">
      <c r="A840" s="174" t="s">
        <v>2152</v>
      </c>
      <c r="B840" s="3" t="s">
        <v>2153</v>
      </c>
      <c r="C840" s="175">
        <v>5458.65</v>
      </c>
    </row>
    <row r="841" spans="1:3" x14ac:dyDescent="0.2">
      <c r="A841" s="174" t="s">
        <v>2154</v>
      </c>
      <c r="B841" s="3" t="s">
        <v>2155</v>
      </c>
      <c r="C841" s="175">
        <v>12123.79</v>
      </c>
    </row>
    <row r="842" spans="1:3" x14ac:dyDescent="0.2">
      <c r="A842" s="174" t="s">
        <v>2156</v>
      </c>
      <c r="B842" s="3" t="s">
        <v>2157</v>
      </c>
      <c r="C842" s="175">
        <v>28342.609999999997</v>
      </c>
    </row>
    <row r="843" spans="1:3" x14ac:dyDescent="0.2">
      <c r="A843" s="174" t="s">
        <v>2158</v>
      </c>
      <c r="B843" s="3" t="s">
        <v>2159</v>
      </c>
      <c r="C843" s="175">
        <v>8649.6</v>
      </c>
    </row>
    <row r="844" spans="1:3" x14ac:dyDescent="0.2">
      <c r="A844" s="174" t="s">
        <v>2160</v>
      </c>
      <c r="B844" s="3" t="s">
        <v>2161</v>
      </c>
      <c r="C844" s="175">
        <v>488.75</v>
      </c>
    </row>
    <row r="845" spans="1:3" x14ac:dyDescent="0.2">
      <c r="A845" s="174" t="s">
        <v>2162</v>
      </c>
      <c r="B845" s="3" t="s">
        <v>2163</v>
      </c>
      <c r="C845" s="175">
        <v>8593.6099999999988</v>
      </c>
    </row>
    <row r="846" spans="1:3" x14ac:dyDescent="0.2">
      <c r="A846" s="174" t="s">
        <v>2164</v>
      </c>
      <c r="B846" s="3" t="s">
        <v>2165</v>
      </c>
      <c r="C846" s="175">
        <v>1928.1000000000001</v>
      </c>
    </row>
    <row r="847" spans="1:3" x14ac:dyDescent="0.2">
      <c r="A847" s="174" t="s">
        <v>2166</v>
      </c>
      <c r="B847" s="3" t="s">
        <v>2167</v>
      </c>
      <c r="C847" s="175">
        <v>23449.8</v>
      </c>
    </row>
    <row r="848" spans="1:3" x14ac:dyDescent="0.2">
      <c r="A848" s="174" t="s">
        <v>2168</v>
      </c>
      <c r="B848" s="3" t="s">
        <v>2169</v>
      </c>
      <c r="C848" s="175">
        <v>27005.590000000004</v>
      </c>
    </row>
    <row r="849" spans="1:3" x14ac:dyDescent="0.2">
      <c r="A849" s="174" t="s">
        <v>2170</v>
      </c>
      <c r="B849" s="3" t="s">
        <v>2171</v>
      </c>
      <c r="C849" s="175">
        <v>28000</v>
      </c>
    </row>
    <row r="850" spans="1:3" x14ac:dyDescent="0.2">
      <c r="A850" s="174" t="s">
        <v>2172</v>
      </c>
      <c r="B850" s="3" t="s">
        <v>2173</v>
      </c>
      <c r="C850" s="175">
        <v>18426.54</v>
      </c>
    </row>
    <row r="851" spans="1:3" x14ac:dyDescent="0.2">
      <c r="A851" s="174" t="s">
        <v>2174</v>
      </c>
      <c r="B851" s="3" t="s">
        <v>2175</v>
      </c>
      <c r="C851" s="175">
        <v>27639</v>
      </c>
    </row>
    <row r="852" spans="1:3" x14ac:dyDescent="0.2">
      <c r="A852" s="174" t="s">
        <v>2176</v>
      </c>
      <c r="B852" s="3" t="s">
        <v>2177</v>
      </c>
      <c r="C852" s="175">
        <v>47488.89</v>
      </c>
    </row>
    <row r="853" spans="1:3" x14ac:dyDescent="0.2">
      <c r="A853" s="174" t="s">
        <v>2178</v>
      </c>
      <c r="B853" s="3" t="s">
        <v>2179</v>
      </c>
      <c r="C853" s="175">
        <v>73704.48000000001</v>
      </c>
    </row>
    <row r="854" spans="1:3" x14ac:dyDescent="0.2">
      <c r="A854" s="174" t="s">
        <v>2180</v>
      </c>
      <c r="B854" s="3" t="s">
        <v>2181</v>
      </c>
      <c r="C854" s="175">
        <v>111679.72000000003</v>
      </c>
    </row>
    <row r="855" spans="1:3" x14ac:dyDescent="0.2">
      <c r="A855" s="174" t="s">
        <v>2182</v>
      </c>
      <c r="B855" s="3" t="s">
        <v>2183</v>
      </c>
      <c r="C855" s="175">
        <v>76906.8</v>
      </c>
    </row>
    <row r="856" spans="1:3" x14ac:dyDescent="0.2">
      <c r="A856" s="174" t="s">
        <v>2184</v>
      </c>
      <c r="B856" s="3" t="s">
        <v>2185</v>
      </c>
      <c r="C856" s="175">
        <v>248988.7</v>
      </c>
    </row>
    <row r="857" spans="1:3" x14ac:dyDescent="0.2">
      <c r="A857" s="174" t="s">
        <v>2186</v>
      </c>
      <c r="B857" s="3" t="s">
        <v>2187</v>
      </c>
      <c r="C857" s="175">
        <v>156668.09</v>
      </c>
    </row>
    <row r="858" spans="1:3" x14ac:dyDescent="0.2">
      <c r="A858" s="174" t="s">
        <v>2188</v>
      </c>
      <c r="B858" s="3" t="s">
        <v>2189</v>
      </c>
      <c r="C858" s="175">
        <v>-405.36</v>
      </c>
    </row>
    <row r="859" spans="1:3" x14ac:dyDescent="0.2">
      <c r="A859" s="174" t="s">
        <v>2190</v>
      </c>
      <c r="B859" s="3" t="s">
        <v>2191</v>
      </c>
      <c r="C859" s="175">
        <v>26043.960000000003</v>
      </c>
    </row>
    <row r="860" spans="1:3" x14ac:dyDescent="0.2">
      <c r="A860" s="174" t="s">
        <v>2192</v>
      </c>
      <c r="B860" s="3" t="s">
        <v>2193</v>
      </c>
      <c r="C860" s="175">
        <v>-1859.5</v>
      </c>
    </row>
    <row r="861" spans="1:3" x14ac:dyDescent="0.2">
      <c r="A861" s="174" t="s">
        <v>2194</v>
      </c>
      <c r="B861" s="3" t="s">
        <v>2195</v>
      </c>
      <c r="C861" s="175">
        <v>7422.5999999999995</v>
      </c>
    </row>
    <row r="862" spans="1:3" x14ac:dyDescent="0.2">
      <c r="A862" s="174" t="s">
        <v>2196</v>
      </c>
      <c r="B862" s="3" t="s">
        <v>2197</v>
      </c>
      <c r="C862" s="175">
        <v>264784.08999999979</v>
      </c>
    </row>
    <row r="863" spans="1:3" x14ac:dyDescent="0.2">
      <c r="A863" s="174" t="s">
        <v>2198</v>
      </c>
      <c r="B863" s="3" t="s">
        <v>2199</v>
      </c>
      <c r="C863" s="175">
        <v>-2.0000000000038654E-2</v>
      </c>
    </row>
    <row r="864" spans="1:3" x14ac:dyDescent="0.2">
      <c r="A864" s="174" t="s">
        <v>2200</v>
      </c>
      <c r="B864" s="3" t="s">
        <v>2201</v>
      </c>
      <c r="C864" s="175">
        <v>301537.15000000002</v>
      </c>
    </row>
    <row r="865" spans="1:3" x14ac:dyDescent="0.2">
      <c r="A865" s="174" t="s">
        <v>2202</v>
      </c>
      <c r="B865" s="3" t="s">
        <v>2203</v>
      </c>
      <c r="C865" s="175">
        <v>3720370.6199999987</v>
      </c>
    </row>
    <row r="866" spans="1:3" x14ac:dyDescent="0.2">
      <c r="A866" s="174" t="s">
        <v>2204</v>
      </c>
      <c r="B866" s="3" t="s">
        <v>2205</v>
      </c>
      <c r="C866" s="175">
        <v>44981.869999999988</v>
      </c>
    </row>
    <row r="867" spans="1:3" x14ac:dyDescent="0.2">
      <c r="A867" s="174" t="s">
        <v>2206</v>
      </c>
      <c r="B867" s="3" t="s">
        <v>2207</v>
      </c>
      <c r="C867" s="175">
        <v>-434.34000000000003</v>
      </c>
    </row>
    <row r="868" spans="1:3" x14ac:dyDescent="0.2">
      <c r="A868" s="174" t="s">
        <v>2208</v>
      </c>
      <c r="B868" s="3" t="s">
        <v>2209</v>
      </c>
      <c r="C868" s="175">
        <v>167054.62000000005</v>
      </c>
    </row>
    <row r="869" spans="1:3" x14ac:dyDescent="0.2">
      <c r="A869" s="174" t="s">
        <v>2210</v>
      </c>
      <c r="B869" s="3" t="s">
        <v>2211</v>
      </c>
      <c r="C869" s="175">
        <v>326525.92999999988</v>
      </c>
    </row>
    <row r="870" spans="1:3" x14ac:dyDescent="0.2">
      <c r="A870" s="174" t="s">
        <v>2212</v>
      </c>
      <c r="B870" s="3" t="s">
        <v>2213</v>
      </c>
      <c r="C870" s="175">
        <v>19490.759999999998</v>
      </c>
    </row>
    <row r="871" spans="1:3" x14ac:dyDescent="0.2">
      <c r="A871" s="174" t="s">
        <v>2214</v>
      </c>
      <c r="B871" s="3" t="s">
        <v>2215</v>
      </c>
      <c r="C871" s="175">
        <v>2274.48</v>
      </c>
    </row>
    <row r="872" spans="1:3" x14ac:dyDescent="0.2">
      <c r="A872" s="174" t="s">
        <v>2216</v>
      </c>
      <c r="B872" s="3" t="s">
        <v>2217</v>
      </c>
      <c r="C872" s="175">
        <v>213802.50999999998</v>
      </c>
    </row>
    <row r="873" spans="1:3" x14ac:dyDescent="0.2">
      <c r="A873" s="174" t="s">
        <v>2218</v>
      </c>
      <c r="B873" s="3" t="s">
        <v>2219</v>
      </c>
      <c r="C873" s="175">
        <v>230150.35000000006</v>
      </c>
    </row>
    <row r="874" spans="1:3" x14ac:dyDescent="0.2">
      <c r="A874" s="174" t="s">
        <v>2220</v>
      </c>
      <c r="B874" s="3" t="s">
        <v>2221</v>
      </c>
      <c r="C874" s="175">
        <v>77271.41</v>
      </c>
    </row>
    <row r="875" spans="1:3" x14ac:dyDescent="0.2">
      <c r="A875" s="174" t="s">
        <v>2222</v>
      </c>
      <c r="B875" s="3" t="s">
        <v>2223</v>
      </c>
      <c r="C875" s="175">
        <v>122775.70999999996</v>
      </c>
    </row>
    <row r="876" spans="1:3" x14ac:dyDescent="0.2">
      <c r="A876" s="174" t="s">
        <v>2224</v>
      </c>
      <c r="B876" s="3" t="s">
        <v>2225</v>
      </c>
      <c r="C876" s="175">
        <v>235513.57000000015</v>
      </c>
    </row>
    <row r="877" spans="1:3" x14ac:dyDescent="0.2">
      <c r="A877" s="174" t="s">
        <v>2226</v>
      </c>
      <c r="B877" s="3" t="s">
        <v>2227</v>
      </c>
      <c r="C877" s="175">
        <v>0</v>
      </c>
    </row>
    <row r="878" spans="1:3" x14ac:dyDescent="0.2">
      <c r="A878" s="174" t="s">
        <v>2228</v>
      </c>
      <c r="B878" s="3" t="s">
        <v>2229</v>
      </c>
      <c r="C878" s="175">
        <v>7267.7299999999987</v>
      </c>
    </row>
    <row r="879" spans="1:3" x14ac:dyDescent="0.2">
      <c r="A879" s="174" t="s">
        <v>2230</v>
      </c>
      <c r="B879" s="3" t="s">
        <v>2231</v>
      </c>
      <c r="C879" s="175">
        <v>-1065.7600000000002</v>
      </c>
    </row>
    <row r="880" spans="1:3" x14ac:dyDescent="0.2">
      <c r="A880" s="174" t="s">
        <v>2232</v>
      </c>
      <c r="B880" s="3" t="s">
        <v>2233</v>
      </c>
      <c r="C880" s="175">
        <v>9963.58</v>
      </c>
    </row>
    <row r="881" spans="1:3" x14ac:dyDescent="0.2">
      <c r="A881" s="174" t="s">
        <v>2234</v>
      </c>
      <c r="B881" s="3" t="s">
        <v>2235</v>
      </c>
      <c r="C881" s="175">
        <v>-2114.98</v>
      </c>
    </row>
    <row r="882" spans="1:3" x14ac:dyDescent="0.2">
      <c r="A882" s="174" t="s">
        <v>2236</v>
      </c>
      <c r="B882" s="3" t="s">
        <v>2237</v>
      </c>
      <c r="C882" s="175">
        <v>722.39999999999975</v>
      </c>
    </row>
    <row r="883" spans="1:3" x14ac:dyDescent="0.2">
      <c r="A883" s="174" t="s">
        <v>2238</v>
      </c>
      <c r="B883" s="3" t="s">
        <v>2239</v>
      </c>
      <c r="C883" s="175">
        <v>25327.130000000008</v>
      </c>
    </row>
    <row r="884" spans="1:3" x14ac:dyDescent="0.2">
      <c r="A884" s="174" t="s">
        <v>2240</v>
      </c>
      <c r="B884" s="3" t="s">
        <v>2241</v>
      </c>
      <c r="C884" s="175">
        <v>0</v>
      </c>
    </row>
    <row r="885" spans="1:3" x14ac:dyDescent="0.2">
      <c r="A885" s="174" t="s">
        <v>2242</v>
      </c>
      <c r="B885" s="3" t="s">
        <v>2243</v>
      </c>
      <c r="C885" s="175">
        <v>72.599999999999994</v>
      </c>
    </row>
    <row r="886" spans="1:3" x14ac:dyDescent="0.2">
      <c r="A886" s="174" t="s">
        <v>2244</v>
      </c>
      <c r="B886" s="3" t="s">
        <v>2245</v>
      </c>
      <c r="C886" s="175">
        <v>-12033.12</v>
      </c>
    </row>
    <row r="887" spans="1:3" x14ac:dyDescent="0.2">
      <c r="A887" s="174" t="s">
        <v>2246</v>
      </c>
      <c r="B887" s="3" t="s">
        <v>2247</v>
      </c>
      <c r="C887" s="175">
        <v>35697.749999999971</v>
      </c>
    </row>
    <row r="888" spans="1:3" x14ac:dyDescent="0.2">
      <c r="A888" s="174" t="s">
        <v>2248</v>
      </c>
      <c r="B888" s="3" t="s">
        <v>2249</v>
      </c>
      <c r="C888" s="175">
        <v>30748.539999999983</v>
      </c>
    </row>
    <row r="889" spans="1:3" x14ac:dyDescent="0.2">
      <c r="A889" s="174" t="s">
        <v>2250</v>
      </c>
      <c r="B889" s="3" t="s">
        <v>2251</v>
      </c>
      <c r="C889" s="175">
        <v>48400</v>
      </c>
    </row>
    <row r="890" spans="1:3" x14ac:dyDescent="0.2">
      <c r="A890" s="174" t="s">
        <v>2252</v>
      </c>
      <c r="B890" s="3" t="s">
        <v>2253</v>
      </c>
      <c r="C890" s="175">
        <v>-7168.17</v>
      </c>
    </row>
    <row r="891" spans="1:3" x14ac:dyDescent="0.2">
      <c r="A891" s="174" t="s">
        <v>2254</v>
      </c>
      <c r="B891" s="3" t="s">
        <v>2255</v>
      </c>
      <c r="C891" s="175">
        <v>11321.989999999998</v>
      </c>
    </row>
    <row r="892" spans="1:3" x14ac:dyDescent="0.2">
      <c r="A892" s="174" t="s">
        <v>2256</v>
      </c>
      <c r="B892" s="3" t="s">
        <v>2257</v>
      </c>
      <c r="C892" s="175">
        <v>-3866.8799999999992</v>
      </c>
    </row>
    <row r="893" spans="1:3" x14ac:dyDescent="0.2">
      <c r="A893" s="174" t="s">
        <v>2258</v>
      </c>
      <c r="B893" s="3" t="s">
        <v>2259</v>
      </c>
      <c r="C893" s="175">
        <v>50194.969999999987</v>
      </c>
    </row>
    <row r="894" spans="1:3" x14ac:dyDescent="0.2">
      <c r="A894" s="174" t="s">
        <v>2260</v>
      </c>
      <c r="B894" s="3" t="s">
        <v>2261</v>
      </c>
      <c r="C894" s="175">
        <v>100996.75999999997</v>
      </c>
    </row>
    <row r="895" spans="1:3" x14ac:dyDescent="0.2">
      <c r="A895" s="174" t="s">
        <v>2262</v>
      </c>
      <c r="B895" s="3" t="s">
        <v>2263</v>
      </c>
      <c r="C895" s="175">
        <v>410.97999999999593</v>
      </c>
    </row>
    <row r="896" spans="1:3" x14ac:dyDescent="0.2">
      <c r="A896" s="174" t="s">
        <v>2264</v>
      </c>
      <c r="B896" s="3" t="s">
        <v>2265</v>
      </c>
      <c r="C896" s="175">
        <v>4211.59</v>
      </c>
    </row>
    <row r="897" spans="1:3" x14ac:dyDescent="0.2">
      <c r="A897" s="174" t="s">
        <v>2266</v>
      </c>
      <c r="B897" s="3" t="s">
        <v>2267</v>
      </c>
      <c r="C897" s="175">
        <v>2610118.2900000005</v>
      </c>
    </row>
    <row r="898" spans="1:3" x14ac:dyDescent="0.2">
      <c r="A898" s="174" t="s">
        <v>2268</v>
      </c>
      <c r="B898" s="3" t="s">
        <v>2269</v>
      </c>
      <c r="C898" s="175">
        <v>647848.65000000014</v>
      </c>
    </row>
    <row r="899" spans="1:3" x14ac:dyDescent="0.2">
      <c r="A899" s="174" t="s">
        <v>2270</v>
      </c>
      <c r="B899" s="3" t="s">
        <v>2271</v>
      </c>
      <c r="C899" s="175">
        <v>284288.94000000012</v>
      </c>
    </row>
    <row r="900" spans="1:3" x14ac:dyDescent="0.2">
      <c r="A900" s="174" t="s">
        <v>2272</v>
      </c>
      <c r="B900" s="3" t="s">
        <v>2273</v>
      </c>
      <c r="C900" s="175">
        <v>249036.24000000002</v>
      </c>
    </row>
    <row r="901" spans="1:3" x14ac:dyDescent="0.2">
      <c r="A901" s="174" t="s">
        <v>2274</v>
      </c>
      <c r="B901" s="3" t="s">
        <v>2275</v>
      </c>
      <c r="C901" s="175">
        <v>101072.59000000001</v>
      </c>
    </row>
    <row r="902" spans="1:3" x14ac:dyDescent="0.2">
      <c r="A902" s="174" t="s">
        <v>2276</v>
      </c>
      <c r="B902" s="3" t="s">
        <v>2277</v>
      </c>
      <c r="C902" s="175">
        <v>81874.360000000015</v>
      </c>
    </row>
    <row r="903" spans="1:3" x14ac:dyDescent="0.2">
      <c r="A903" s="174" t="s">
        <v>2278</v>
      </c>
      <c r="B903" s="3" t="s">
        <v>2279</v>
      </c>
      <c r="C903" s="175">
        <v>8207.369999999999</v>
      </c>
    </row>
    <row r="904" spans="1:3" x14ac:dyDescent="0.2">
      <c r="A904" s="174" t="s">
        <v>2280</v>
      </c>
      <c r="B904" s="3" t="s">
        <v>2281</v>
      </c>
      <c r="C904" s="175">
        <v>2435852.3700000006</v>
      </c>
    </row>
    <row r="905" spans="1:3" x14ac:dyDescent="0.2">
      <c r="A905" s="174" t="s">
        <v>2282</v>
      </c>
      <c r="B905" s="3" t="s">
        <v>2283</v>
      </c>
      <c r="C905" s="175">
        <v>37577.520000000004</v>
      </c>
    </row>
    <row r="906" spans="1:3" x14ac:dyDescent="0.2">
      <c r="A906" s="174" t="s">
        <v>2284</v>
      </c>
      <c r="B906" s="3" t="s">
        <v>2285</v>
      </c>
      <c r="C906" s="175">
        <v>80055.799999999988</v>
      </c>
    </row>
    <row r="907" spans="1:3" x14ac:dyDescent="0.2">
      <c r="A907" s="174" t="s">
        <v>2286</v>
      </c>
      <c r="B907" s="3" t="s">
        <v>2287</v>
      </c>
      <c r="C907" s="175">
        <v>206484.43999999992</v>
      </c>
    </row>
    <row r="908" spans="1:3" x14ac:dyDescent="0.2">
      <c r="A908" s="174" t="s">
        <v>2288</v>
      </c>
      <c r="B908" s="3" t="s">
        <v>2289</v>
      </c>
      <c r="C908" s="175">
        <v>280531.28999999992</v>
      </c>
    </row>
    <row r="909" spans="1:3" x14ac:dyDescent="0.2">
      <c r="A909" s="174" t="s">
        <v>2290</v>
      </c>
      <c r="B909" s="3" t="s">
        <v>2291</v>
      </c>
      <c r="C909" s="175">
        <v>25775.600000000002</v>
      </c>
    </row>
    <row r="910" spans="1:3" x14ac:dyDescent="0.2">
      <c r="A910" s="174" t="s">
        <v>2292</v>
      </c>
      <c r="B910" s="3" t="s">
        <v>2293</v>
      </c>
      <c r="C910" s="175">
        <v>432957.08000000013</v>
      </c>
    </row>
    <row r="911" spans="1:3" x14ac:dyDescent="0.2">
      <c r="A911" s="174" t="s">
        <v>2294</v>
      </c>
      <c r="B911" s="3" t="s">
        <v>2295</v>
      </c>
      <c r="C911" s="175">
        <v>20432.870000000003</v>
      </c>
    </row>
    <row r="912" spans="1:3" x14ac:dyDescent="0.2">
      <c r="A912" s="174" t="s">
        <v>2296</v>
      </c>
      <c r="B912" s="3" t="s">
        <v>2297</v>
      </c>
      <c r="C912" s="175">
        <v>2053782.0699999998</v>
      </c>
    </row>
    <row r="913" spans="1:3" x14ac:dyDescent="0.2">
      <c r="A913" s="174" t="s">
        <v>2298</v>
      </c>
      <c r="B913" s="3" t="s">
        <v>2299</v>
      </c>
      <c r="C913" s="175">
        <v>5169640.5099999988</v>
      </c>
    </row>
    <row r="914" spans="1:3" x14ac:dyDescent="0.2">
      <c r="A914" s="174" t="s">
        <v>2300</v>
      </c>
      <c r="B914" s="3" t="s">
        <v>2301</v>
      </c>
      <c r="C914" s="175">
        <v>247047.78999999998</v>
      </c>
    </row>
    <row r="915" spans="1:3" x14ac:dyDescent="0.2">
      <c r="A915" s="174" t="s">
        <v>2302</v>
      </c>
      <c r="B915" s="3" t="s">
        <v>2303</v>
      </c>
      <c r="C915" s="175">
        <v>178738.49999999994</v>
      </c>
    </row>
    <row r="916" spans="1:3" x14ac:dyDescent="0.2">
      <c r="A916" s="174" t="s">
        <v>2304</v>
      </c>
      <c r="B916" s="3" t="s">
        <v>2305</v>
      </c>
      <c r="C916" s="175">
        <v>66877.430000000008</v>
      </c>
    </row>
    <row r="917" spans="1:3" x14ac:dyDescent="0.2">
      <c r="A917" s="174" t="s">
        <v>2306</v>
      </c>
      <c r="B917" s="3" t="s">
        <v>2307</v>
      </c>
      <c r="C917" s="175">
        <v>2380065.1900000009</v>
      </c>
    </row>
    <row r="918" spans="1:3" x14ac:dyDescent="0.2">
      <c r="A918" s="174" t="s">
        <v>2308</v>
      </c>
      <c r="B918" s="3" t="s">
        <v>2309</v>
      </c>
      <c r="C918" s="175">
        <v>5949178.7599999979</v>
      </c>
    </row>
    <row r="919" spans="1:3" x14ac:dyDescent="0.2">
      <c r="A919" s="174" t="s">
        <v>2310</v>
      </c>
      <c r="B919" s="3" t="s">
        <v>2311</v>
      </c>
      <c r="C919" s="175">
        <v>4664427.2300000004</v>
      </c>
    </row>
    <row r="920" spans="1:3" x14ac:dyDescent="0.2">
      <c r="A920" s="174" t="s">
        <v>2312</v>
      </c>
      <c r="B920" s="3" t="s">
        <v>2313</v>
      </c>
      <c r="C920" s="175">
        <v>64598.73000000001</v>
      </c>
    </row>
    <row r="921" spans="1:3" x14ac:dyDescent="0.2">
      <c r="A921" s="174" t="s">
        <v>2314</v>
      </c>
      <c r="B921" s="3" t="s">
        <v>2315</v>
      </c>
      <c r="C921" s="175">
        <v>8697.8300000000017</v>
      </c>
    </row>
    <row r="922" spans="1:3" x14ac:dyDescent="0.2">
      <c r="A922" s="174" t="s">
        <v>2316</v>
      </c>
      <c r="B922" s="3" t="s">
        <v>2317</v>
      </c>
      <c r="C922" s="175">
        <v>1843896.1700000002</v>
      </c>
    </row>
    <row r="923" spans="1:3" x14ac:dyDescent="0.2">
      <c r="A923" s="174" t="s">
        <v>2318</v>
      </c>
      <c r="B923" s="3" t="s">
        <v>2319</v>
      </c>
      <c r="C923" s="175">
        <v>28291.160000000018</v>
      </c>
    </row>
    <row r="924" spans="1:3" x14ac:dyDescent="0.2">
      <c r="A924" s="174" t="s">
        <v>2320</v>
      </c>
      <c r="B924" s="3" t="s">
        <v>2321</v>
      </c>
      <c r="C924" s="175">
        <v>1254850.4200000004</v>
      </c>
    </row>
    <row r="925" spans="1:3" x14ac:dyDescent="0.2">
      <c r="A925" s="174" t="s">
        <v>2322</v>
      </c>
      <c r="B925" s="3" t="s">
        <v>2323</v>
      </c>
      <c r="C925" s="175">
        <v>25360.25</v>
      </c>
    </row>
    <row r="926" spans="1:3" x14ac:dyDescent="0.2">
      <c r="A926" s="174" t="s">
        <v>2324</v>
      </c>
      <c r="B926" s="3" t="s">
        <v>2325</v>
      </c>
      <c r="C926" s="175">
        <v>5963652.0199999986</v>
      </c>
    </row>
    <row r="927" spans="1:3" x14ac:dyDescent="0.2">
      <c r="A927" s="174" t="s">
        <v>2326</v>
      </c>
      <c r="B927" s="3" t="s">
        <v>2327</v>
      </c>
      <c r="C927" s="175">
        <v>138937.65</v>
      </c>
    </row>
    <row r="928" spans="1:3" x14ac:dyDescent="0.2">
      <c r="A928" s="174" t="s">
        <v>2328</v>
      </c>
      <c r="B928" s="3" t="s">
        <v>2329</v>
      </c>
      <c r="C928" s="175">
        <v>621400.87000000011</v>
      </c>
    </row>
    <row r="929" spans="1:3" x14ac:dyDescent="0.2">
      <c r="A929" s="174" t="s">
        <v>2330</v>
      </c>
      <c r="B929" s="3" t="s">
        <v>2331</v>
      </c>
      <c r="C929" s="175">
        <v>1665280.5600000012</v>
      </c>
    </row>
    <row r="930" spans="1:3" x14ac:dyDescent="0.2">
      <c r="A930" s="174" t="s">
        <v>2332</v>
      </c>
      <c r="B930" s="3" t="s">
        <v>2333</v>
      </c>
      <c r="C930" s="175">
        <v>366563.54</v>
      </c>
    </row>
    <row r="931" spans="1:3" x14ac:dyDescent="0.2">
      <c r="A931" s="174" t="s">
        <v>2334</v>
      </c>
      <c r="B931" s="3" t="s">
        <v>2335</v>
      </c>
      <c r="C931" s="175">
        <v>524417.23000000021</v>
      </c>
    </row>
    <row r="932" spans="1:3" x14ac:dyDescent="0.2">
      <c r="A932" s="174" t="s">
        <v>2336</v>
      </c>
      <c r="B932" s="3" t="s">
        <v>2337</v>
      </c>
      <c r="C932" s="175">
        <v>917189.12000000023</v>
      </c>
    </row>
    <row r="933" spans="1:3" x14ac:dyDescent="0.2">
      <c r="A933" s="174" t="s">
        <v>2338</v>
      </c>
      <c r="B933" s="3" t="s">
        <v>2339</v>
      </c>
      <c r="C933" s="175">
        <v>0</v>
      </c>
    </row>
    <row r="934" spans="1:3" x14ac:dyDescent="0.2">
      <c r="A934" s="174" t="s">
        <v>2340</v>
      </c>
      <c r="B934" s="3" t="s">
        <v>2341</v>
      </c>
      <c r="C934" s="175">
        <v>-11179.579999999956</v>
      </c>
    </row>
    <row r="935" spans="1:3" x14ac:dyDescent="0.2">
      <c r="A935" s="174" t="s">
        <v>2342</v>
      </c>
      <c r="B935" s="3" t="s">
        <v>2343</v>
      </c>
      <c r="C935" s="175">
        <v>107766.38999999991</v>
      </c>
    </row>
    <row r="936" spans="1:3" x14ac:dyDescent="0.2">
      <c r="A936" s="174" t="s">
        <v>2344</v>
      </c>
      <c r="B936" s="3" t="s">
        <v>2345</v>
      </c>
      <c r="C936" s="175">
        <v>1438665.25</v>
      </c>
    </row>
    <row r="937" spans="1:3" x14ac:dyDescent="0.2">
      <c r="A937" s="174" t="s">
        <v>2346</v>
      </c>
      <c r="B937" s="3" t="s">
        <v>2347</v>
      </c>
      <c r="C937" s="175">
        <v>3238996.9199999948</v>
      </c>
    </row>
    <row r="938" spans="1:3" x14ac:dyDescent="0.2">
      <c r="A938" s="174" t="s">
        <v>2348</v>
      </c>
      <c r="B938" s="3" t="s">
        <v>2349</v>
      </c>
      <c r="C938" s="175">
        <v>621328.78</v>
      </c>
    </row>
    <row r="939" spans="1:3" x14ac:dyDescent="0.2">
      <c r="A939" s="174" t="s">
        <v>2350</v>
      </c>
      <c r="B939" s="3" t="s">
        <v>2351</v>
      </c>
      <c r="C939" s="175">
        <v>1041227.3700000006</v>
      </c>
    </row>
    <row r="940" spans="1:3" x14ac:dyDescent="0.2">
      <c r="A940" s="174" t="s">
        <v>2352</v>
      </c>
      <c r="B940" s="3" t="s">
        <v>2353</v>
      </c>
      <c r="C940" s="175">
        <v>319738.06000000029</v>
      </c>
    </row>
    <row r="941" spans="1:3" x14ac:dyDescent="0.2">
      <c r="A941" s="174" t="s">
        <v>2354</v>
      </c>
      <c r="B941" s="3" t="s">
        <v>2355</v>
      </c>
      <c r="C941" s="175">
        <v>60682.580000000009</v>
      </c>
    </row>
    <row r="942" spans="1:3" x14ac:dyDescent="0.2">
      <c r="A942" s="174" t="s">
        <v>2356</v>
      </c>
      <c r="B942" s="3" t="s">
        <v>2357</v>
      </c>
      <c r="C942" s="175">
        <v>4247405.160000002</v>
      </c>
    </row>
    <row r="943" spans="1:3" x14ac:dyDescent="0.2">
      <c r="A943" s="174" t="s">
        <v>2358</v>
      </c>
      <c r="B943" s="3" t="s">
        <v>2359</v>
      </c>
      <c r="C943" s="175">
        <v>2293722.5900000012</v>
      </c>
    </row>
    <row r="944" spans="1:3" x14ac:dyDescent="0.2">
      <c r="A944" s="174" t="s">
        <v>2360</v>
      </c>
      <c r="B944" s="3" t="s">
        <v>2361</v>
      </c>
      <c r="C944" s="175">
        <v>605356.8600000001</v>
      </c>
    </row>
    <row r="945" spans="1:3" x14ac:dyDescent="0.2">
      <c r="A945" s="174" t="s">
        <v>2362</v>
      </c>
      <c r="B945" s="3" t="s">
        <v>2363</v>
      </c>
      <c r="C945" s="175">
        <v>432718.51999999996</v>
      </c>
    </row>
    <row r="946" spans="1:3" x14ac:dyDescent="0.2">
      <c r="A946" s="174" t="s">
        <v>2364</v>
      </c>
      <c r="B946" s="3" t="s">
        <v>2365</v>
      </c>
      <c r="C946" s="175">
        <v>1541765.3900000001</v>
      </c>
    </row>
    <row r="947" spans="1:3" x14ac:dyDescent="0.2">
      <c r="A947" s="174" t="s">
        <v>2366</v>
      </c>
      <c r="B947" s="3" t="s">
        <v>2367</v>
      </c>
      <c r="C947" s="175">
        <v>953960.64000000095</v>
      </c>
    </row>
    <row r="948" spans="1:3" x14ac:dyDescent="0.2">
      <c r="A948" s="174" t="s">
        <v>2368</v>
      </c>
      <c r="B948" s="3" t="s">
        <v>2369</v>
      </c>
      <c r="C948" s="175">
        <v>630613.4600000002</v>
      </c>
    </row>
    <row r="949" spans="1:3" x14ac:dyDescent="0.2">
      <c r="A949" s="174" t="s">
        <v>2370</v>
      </c>
      <c r="B949" s="3" t="s">
        <v>2371</v>
      </c>
      <c r="C949" s="175">
        <v>796270.73999999929</v>
      </c>
    </row>
    <row r="950" spans="1:3" x14ac:dyDescent="0.2">
      <c r="A950" s="174" t="s">
        <v>2372</v>
      </c>
      <c r="B950" s="3" t="s">
        <v>2373</v>
      </c>
      <c r="C950" s="175">
        <v>2089200.9000000018</v>
      </c>
    </row>
    <row r="951" spans="1:3" x14ac:dyDescent="0.2">
      <c r="A951" s="174" t="s">
        <v>2374</v>
      </c>
      <c r="B951" s="3" t="s">
        <v>2375</v>
      </c>
      <c r="C951" s="175">
        <v>795630.60999999975</v>
      </c>
    </row>
    <row r="952" spans="1:3" x14ac:dyDescent="0.2">
      <c r="A952" s="174" t="s">
        <v>2376</v>
      </c>
      <c r="B952" s="3" t="s">
        <v>2377</v>
      </c>
      <c r="C952" s="175">
        <v>3483151.2799999979</v>
      </c>
    </row>
    <row r="953" spans="1:3" x14ac:dyDescent="0.2">
      <c r="A953" s="174" t="s">
        <v>2378</v>
      </c>
      <c r="B953" s="3" t="s">
        <v>2379</v>
      </c>
      <c r="C953" s="175">
        <v>1125709.1700000002</v>
      </c>
    </row>
    <row r="954" spans="1:3" x14ac:dyDescent="0.2">
      <c r="A954" s="174" t="s">
        <v>2380</v>
      </c>
      <c r="B954" s="3" t="s">
        <v>2381</v>
      </c>
      <c r="C954" s="175">
        <v>48798.68</v>
      </c>
    </row>
    <row r="955" spans="1:3" x14ac:dyDescent="0.2">
      <c r="A955" s="174" t="s">
        <v>2382</v>
      </c>
      <c r="B955" s="3" t="s">
        <v>2383</v>
      </c>
      <c r="C955" s="175">
        <v>987469.53999999934</v>
      </c>
    </row>
    <row r="956" spans="1:3" x14ac:dyDescent="0.2">
      <c r="A956" s="174" t="s">
        <v>2384</v>
      </c>
      <c r="B956" s="3" t="s">
        <v>2385</v>
      </c>
      <c r="C956" s="175">
        <v>117707.98999999999</v>
      </c>
    </row>
    <row r="957" spans="1:3" x14ac:dyDescent="0.2">
      <c r="A957" s="174" t="s">
        <v>2386</v>
      </c>
      <c r="B957" s="3" t="s">
        <v>2387</v>
      </c>
      <c r="C957" s="175">
        <v>976833.03000000049</v>
      </c>
    </row>
    <row r="958" spans="1:3" x14ac:dyDescent="0.2">
      <c r="A958" s="174" t="s">
        <v>2388</v>
      </c>
      <c r="B958" s="3" t="s">
        <v>2389</v>
      </c>
      <c r="C958" s="175">
        <v>5148203.4799999986</v>
      </c>
    </row>
    <row r="959" spans="1:3" x14ac:dyDescent="0.2">
      <c r="A959" s="174" t="s">
        <v>2390</v>
      </c>
      <c r="B959" s="3" t="s">
        <v>2391</v>
      </c>
      <c r="C959" s="175">
        <v>552733.81000000041</v>
      </c>
    </row>
    <row r="960" spans="1:3" x14ac:dyDescent="0.2">
      <c r="A960" s="174" t="s">
        <v>2392</v>
      </c>
      <c r="B960" s="3" t="s">
        <v>2393</v>
      </c>
      <c r="C960" s="175">
        <v>6478203.8599999985</v>
      </c>
    </row>
    <row r="961" spans="1:3" x14ac:dyDescent="0.2">
      <c r="A961" s="174" t="s">
        <v>2394</v>
      </c>
      <c r="B961" s="3" t="s">
        <v>2395</v>
      </c>
      <c r="C961" s="175">
        <v>8022</v>
      </c>
    </row>
    <row r="962" spans="1:3" x14ac:dyDescent="0.2">
      <c r="A962" s="174" t="s">
        <v>2396</v>
      </c>
      <c r="B962" s="3" t="s">
        <v>2397</v>
      </c>
      <c r="C962" s="175">
        <v>15807447.520000007</v>
      </c>
    </row>
    <row r="963" spans="1:3" x14ac:dyDescent="0.2">
      <c r="A963" s="174" t="s">
        <v>2398</v>
      </c>
      <c r="B963" s="3" t="s">
        <v>2399</v>
      </c>
      <c r="C963" s="175">
        <v>105857.15</v>
      </c>
    </row>
    <row r="964" spans="1:3" x14ac:dyDescent="0.2">
      <c r="A964" s="174" t="s">
        <v>2400</v>
      </c>
      <c r="B964" s="3" t="s">
        <v>2401</v>
      </c>
      <c r="C964" s="175">
        <v>264948.85000000003</v>
      </c>
    </row>
    <row r="965" spans="1:3" x14ac:dyDescent="0.2">
      <c r="A965" s="174" t="s">
        <v>2402</v>
      </c>
      <c r="B965" s="3" t="s">
        <v>2403</v>
      </c>
      <c r="C965" s="175">
        <v>20307.489999999994</v>
      </c>
    </row>
    <row r="966" spans="1:3" x14ac:dyDescent="0.2">
      <c r="A966" s="174" t="s">
        <v>2404</v>
      </c>
      <c r="B966" s="3" t="s">
        <v>2405</v>
      </c>
      <c r="C966" s="175">
        <v>32569.550000000007</v>
      </c>
    </row>
    <row r="967" spans="1:3" x14ac:dyDescent="0.2">
      <c r="A967" s="174" t="s">
        <v>2406</v>
      </c>
      <c r="B967" s="3" t="s">
        <v>2407</v>
      </c>
      <c r="C967" s="175">
        <v>56268.14</v>
      </c>
    </row>
    <row r="968" spans="1:3" x14ac:dyDescent="0.2">
      <c r="A968" s="174" t="s">
        <v>2408</v>
      </c>
      <c r="B968" s="3" t="s">
        <v>2409</v>
      </c>
      <c r="C968" s="175">
        <v>58482.129999999976</v>
      </c>
    </row>
    <row r="969" spans="1:3" x14ac:dyDescent="0.2">
      <c r="A969" s="174" t="s">
        <v>2410</v>
      </c>
      <c r="B969" s="3" t="s">
        <v>2411</v>
      </c>
      <c r="C969" s="175">
        <v>13303.969999999994</v>
      </c>
    </row>
    <row r="970" spans="1:3" x14ac:dyDescent="0.2">
      <c r="A970" s="174" t="s">
        <v>2412</v>
      </c>
      <c r="B970" s="3" t="s">
        <v>2413</v>
      </c>
      <c r="C970" s="175">
        <v>22933.350000000002</v>
      </c>
    </row>
    <row r="971" spans="1:3" x14ac:dyDescent="0.2">
      <c r="A971" s="174" t="s">
        <v>2414</v>
      </c>
      <c r="B971" s="3" t="s">
        <v>2415</v>
      </c>
      <c r="C971" s="175">
        <v>8093.829999999999</v>
      </c>
    </row>
    <row r="972" spans="1:3" x14ac:dyDescent="0.2">
      <c r="A972" s="174" t="s">
        <v>2416</v>
      </c>
      <c r="B972" s="3" t="s">
        <v>2417</v>
      </c>
      <c r="C972" s="175">
        <v>9019.84</v>
      </c>
    </row>
    <row r="973" spans="1:3" x14ac:dyDescent="0.2">
      <c r="A973" s="174" t="s">
        <v>2418</v>
      </c>
      <c r="B973" s="3" t="s">
        <v>2419</v>
      </c>
      <c r="C973" s="175">
        <v>219806.93</v>
      </c>
    </row>
    <row r="974" spans="1:3" x14ac:dyDescent="0.2">
      <c r="A974" s="174" t="s">
        <v>2420</v>
      </c>
      <c r="B974" s="3" t="s">
        <v>2421</v>
      </c>
      <c r="C974" s="175">
        <v>110457.21000000002</v>
      </c>
    </row>
    <row r="975" spans="1:3" x14ac:dyDescent="0.2">
      <c r="A975" s="174" t="s">
        <v>2422</v>
      </c>
      <c r="B975" s="3" t="s">
        <v>2423</v>
      </c>
      <c r="C975" s="175">
        <v>29563.759999999998</v>
      </c>
    </row>
    <row r="976" spans="1:3" x14ac:dyDescent="0.2">
      <c r="A976" s="174" t="s">
        <v>2424</v>
      </c>
      <c r="B976" s="3" t="s">
        <v>2425</v>
      </c>
      <c r="C976" s="175">
        <v>193553.1100000001</v>
      </c>
    </row>
    <row r="977" spans="1:3" x14ac:dyDescent="0.2">
      <c r="A977" s="174" t="s">
        <v>2426</v>
      </c>
      <c r="B977" s="3" t="s">
        <v>2427</v>
      </c>
      <c r="C977" s="175">
        <v>-1.0913936421275139E-11</v>
      </c>
    </row>
    <row r="978" spans="1:3" x14ac:dyDescent="0.2">
      <c r="A978" s="174" t="s">
        <v>2428</v>
      </c>
      <c r="B978" s="3" t="s">
        <v>2429</v>
      </c>
      <c r="C978" s="175">
        <v>78712.630000000019</v>
      </c>
    </row>
    <row r="979" spans="1:3" x14ac:dyDescent="0.2">
      <c r="A979" s="174" t="s">
        <v>2430</v>
      </c>
      <c r="B979" s="3" t="s">
        <v>2431</v>
      </c>
      <c r="C979" s="175">
        <v>62466.739999999991</v>
      </c>
    </row>
    <row r="980" spans="1:3" x14ac:dyDescent="0.2">
      <c r="A980" s="174" t="s">
        <v>2432</v>
      </c>
      <c r="B980" s="3" t="s">
        <v>2433</v>
      </c>
      <c r="C980" s="175">
        <v>57480.209999999977</v>
      </c>
    </row>
    <row r="981" spans="1:3" x14ac:dyDescent="0.2">
      <c r="A981" s="174" t="s">
        <v>2434</v>
      </c>
      <c r="B981" s="3" t="s">
        <v>2435</v>
      </c>
      <c r="C981" s="175">
        <v>49297.290000000008</v>
      </c>
    </row>
    <row r="982" spans="1:3" x14ac:dyDescent="0.2">
      <c r="A982" s="174" t="s">
        <v>2436</v>
      </c>
      <c r="B982" s="3" t="s">
        <v>2437</v>
      </c>
      <c r="C982" s="175">
        <v>85062.600000000049</v>
      </c>
    </row>
    <row r="983" spans="1:3" x14ac:dyDescent="0.2">
      <c r="A983" s="174" t="s">
        <v>2438</v>
      </c>
      <c r="B983" s="3" t="s">
        <v>2439</v>
      </c>
      <c r="C983" s="175">
        <v>172736.65</v>
      </c>
    </row>
    <row r="984" spans="1:3" x14ac:dyDescent="0.2">
      <c r="A984" s="174" t="s">
        <v>2440</v>
      </c>
      <c r="B984" s="3" t="s">
        <v>2441</v>
      </c>
      <c r="C984" s="175">
        <v>24076.899999999991</v>
      </c>
    </row>
    <row r="985" spans="1:3" x14ac:dyDescent="0.2">
      <c r="A985" s="174" t="s">
        <v>2442</v>
      </c>
      <c r="B985" s="3" t="s">
        <v>2443</v>
      </c>
      <c r="C985" s="175">
        <v>53913.220000000016</v>
      </c>
    </row>
    <row r="986" spans="1:3" x14ac:dyDescent="0.2">
      <c r="A986" s="174" t="s">
        <v>2444</v>
      </c>
      <c r="B986" s="3" t="s">
        <v>2445</v>
      </c>
      <c r="C986" s="175">
        <v>28324.73</v>
      </c>
    </row>
    <row r="987" spans="1:3" x14ac:dyDescent="0.2">
      <c r="A987" s="174" t="s">
        <v>2446</v>
      </c>
      <c r="B987" s="3" t="s">
        <v>2447</v>
      </c>
      <c r="C987" s="175">
        <v>13313.640000000001</v>
      </c>
    </row>
    <row r="988" spans="1:3" x14ac:dyDescent="0.2">
      <c r="A988" s="174" t="s">
        <v>2448</v>
      </c>
      <c r="B988" s="3" t="s">
        <v>2449</v>
      </c>
      <c r="C988" s="175">
        <v>493715.25000000012</v>
      </c>
    </row>
    <row r="989" spans="1:3" x14ac:dyDescent="0.2">
      <c r="A989" s="174" t="s">
        <v>2450</v>
      </c>
      <c r="B989" s="3" t="s">
        <v>2451</v>
      </c>
      <c r="C989" s="175">
        <v>8893.4699999999957</v>
      </c>
    </row>
    <row r="990" spans="1:3" x14ac:dyDescent="0.2">
      <c r="A990" s="174" t="s">
        <v>2452</v>
      </c>
      <c r="B990" s="3" t="s">
        <v>2453</v>
      </c>
      <c r="C990" s="175">
        <v>27410.460000000006</v>
      </c>
    </row>
    <row r="991" spans="1:3" x14ac:dyDescent="0.2">
      <c r="A991" s="174" t="s">
        <v>2454</v>
      </c>
      <c r="B991" s="3" t="s">
        <v>2455</v>
      </c>
      <c r="C991" s="175">
        <v>11424.34</v>
      </c>
    </row>
    <row r="992" spans="1:3" x14ac:dyDescent="0.2">
      <c r="A992" s="174" t="s">
        <v>2456</v>
      </c>
      <c r="B992" s="3" t="s">
        <v>2457</v>
      </c>
      <c r="C992" s="175">
        <v>254184.34999999998</v>
      </c>
    </row>
    <row r="993" spans="1:3" x14ac:dyDescent="0.2">
      <c r="A993" s="174" t="s">
        <v>2458</v>
      </c>
      <c r="B993" s="3" t="s">
        <v>2459</v>
      </c>
      <c r="C993" s="175">
        <v>16973.97</v>
      </c>
    </row>
    <row r="994" spans="1:3" x14ac:dyDescent="0.2">
      <c r="A994" s="174" t="s">
        <v>2460</v>
      </c>
      <c r="B994" s="3" t="s">
        <v>2461</v>
      </c>
      <c r="C994" s="175">
        <v>0</v>
      </c>
    </row>
    <row r="995" spans="1:3" x14ac:dyDescent="0.2">
      <c r="A995" s="174" t="s">
        <v>2462</v>
      </c>
      <c r="B995" s="3" t="s">
        <v>2463</v>
      </c>
      <c r="C995" s="175">
        <v>92791.400000000009</v>
      </c>
    </row>
    <row r="996" spans="1:3" x14ac:dyDescent="0.2">
      <c r="A996" s="174" t="s">
        <v>2464</v>
      </c>
      <c r="B996" s="3" t="s">
        <v>2465</v>
      </c>
      <c r="C996" s="175">
        <v>57147.68</v>
      </c>
    </row>
    <row r="997" spans="1:3" x14ac:dyDescent="0.2">
      <c r="A997" s="174" t="s">
        <v>2466</v>
      </c>
      <c r="B997" s="3" t="s">
        <v>2467</v>
      </c>
      <c r="C997" s="175">
        <v>5589.2900000000009</v>
      </c>
    </row>
    <row r="998" spans="1:3" x14ac:dyDescent="0.2">
      <c r="A998" s="174" t="s">
        <v>2468</v>
      </c>
      <c r="B998" s="3" t="s">
        <v>2469</v>
      </c>
      <c r="C998" s="175">
        <v>55534.879999999997</v>
      </c>
    </row>
    <row r="999" spans="1:3" x14ac:dyDescent="0.2">
      <c r="A999" s="174" t="s">
        <v>2470</v>
      </c>
      <c r="B999" s="3" t="s">
        <v>2471</v>
      </c>
      <c r="C999" s="175">
        <v>122241.53</v>
      </c>
    </row>
    <row r="1000" spans="1:3" x14ac:dyDescent="0.2">
      <c r="A1000" s="174" t="s">
        <v>2472</v>
      </c>
      <c r="B1000" s="3" t="s">
        <v>2473</v>
      </c>
      <c r="C1000" s="175">
        <v>20376.590000000011</v>
      </c>
    </row>
    <row r="1001" spans="1:3" x14ac:dyDescent="0.2">
      <c r="A1001" s="174" t="s">
        <v>2474</v>
      </c>
      <c r="B1001" s="3" t="s">
        <v>2475</v>
      </c>
      <c r="C1001" s="175">
        <v>73496.350000000006</v>
      </c>
    </row>
    <row r="1002" spans="1:3" x14ac:dyDescent="0.2">
      <c r="A1002" s="174" t="s">
        <v>2476</v>
      </c>
      <c r="B1002" s="3" t="s">
        <v>2477</v>
      </c>
      <c r="C1002" s="175">
        <v>26101.05</v>
      </c>
    </row>
    <row r="1003" spans="1:3" x14ac:dyDescent="0.2">
      <c r="A1003" s="174" t="s">
        <v>2478</v>
      </c>
      <c r="B1003" s="3" t="s">
        <v>2479</v>
      </c>
      <c r="C1003" s="175">
        <v>29767.309999999998</v>
      </c>
    </row>
    <row r="1004" spans="1:3" x14ac:dyDescent="0.2">
      <c r="A1004" s="174" t="s">
        <v>2480</v>
      </c>
      <c r="B1004" s="3" t="s">
        <v>2481</v>
      </c>
      <c r="C1004" s="175">
        <v>103440.27000000006</v>
      </c>
    </row>
    <row r="1005" spans="1:3" x14ac:dyDescent="0.2">
      <c r="A1005" s="174" t="s">
        <v>2482</v>
      </c>
      <c r="B1005" s="3" t="s">
        <v>2483</v>
      </c>
      <c r="C1005" s="175">
        <v>30542.350000000006</v>
      </c>
    </row>
    <row r="1006" spans="1:3" x14ac:dyDescent="0.2">
      <c r="A1006" s="174" t="s">
        <v>2484</v>
      </c>
      <c r="B1006" s="3" t="s">
        <v>2485</v>
      </c>
      <c r="C1006" s="175">
        <v>30056.070000000003</v>
      </c>
    </row>
    <row r="1007" spans="1:3" x14ac:dyDescent="0.2">
      <c r="A1007" s="174" t="s">
        <v>2486</v>
      </c>
      <c r="B1007" s="3" t="s">
        <v>2487</v>
      </c>
      <c r="C1007" s="175">
        <v>529462.69999999972</v>
      </c>
    </row>
    <row r="1008" spans="1:3" x14ac:dyDescent="0.2">
      <c r="A1008" s="174" t="s">
        <v>2488</v>
      </c>
      <c r="B1008" s="3" t="s">
        <v>2489</v>
      </c>
      <c r="C1008" s="175">
        <v>164543.59999999995</v>
      </c>
    </row>
    <row r="1009" spans="1:3" x14ac:dyDescent="0.2">
      <c r="A1009" s="174" t="s">
        <v>2490</v>
      </c>
      <c r="B1009" s="3" t="s">
        <v>2491</v>
      </c>
      <c r="C1009" s="175">
        <v>31316.14</v>
      </c>
    </row>
    <row r="1010" spans="1:3" x14ac:dyDescent="0.2">
      <c r="A1010" s="174" t="s">
        <v>2492</v>
      </c>
      <c r="B1010" s="3" t="s">
        <v>2493</v>
      </c>
      <c r="C1010" s="175">
        <v>37529.299999999988</v>
      </c>
    </row>
    <row r="1011" spans="1:3" x14ac:dyDescent="0.2">
      <c r="A1011" s="174" t="s">
        <v>2494</v>
      </c>
      <c r="B1011" s="3" t="s">
        <v>2495</v>
      </c>
      <c r="C1011" s="175">
        <v>66572.120000000024</v>
      </c>
    </row>
    <row r="1012" spans="1:3" x14ac:dyDescent="0.2">
      <c r="A1012" s="174" t="s">
        <v>2496</v>
      </c>
      <c r="B1012" s="3" t="s">
        <v>2497</v>
      </c>
      <c r="C1012" s="175">
        <v>85132.61</v>
      </c>
    </row>
    <row r="1013" spans="1:3" x14ac:dyDescent="0.2">
      <c r="A1013" s="174" t="s">
        <v>2498</v>
      </c>
      <c r="B1013" s="3" t="s">
        <v>2499</v>
      </c>
      <c r="C1013" s="175">
        <v>9670.1600000000035</v>
      </c>
    </row>
    <row r="1014" spans="1:3" x14ac:dyDescent="0.2">
      <c r="A1014" s="174" t="s">
        <v>2500</v>
      </c>
      <c r="B1014" s="3" t="s">
        <v>2501</v>
      </c>
      <c r="C1014" s="175">
        <v>66693.219999999987</v>
      </c>
    </row>
    <row r="1015" spans="1:3" x14ac:dyDescent="0.2">
      <c r="A1015" s="174" t="s">
        <v>2502</v>
      </c>
      <c r="B1015" s="3" t="s">
        <v>2503</v>
      </c>
      <c r="C1015" s="175">
        <v>55004.960000000014</v>
      </c>
    </row>
    <row r="1016" spans="1:3" x14ac:dyDescent="0.2">
      <c r="A1016" s="174" t="s">
        <v>2504</v>
      </c>
      <c r="B1016" s="3" t="s">
        <v>2505</v>
      </c>
      <c r="C1016" s="175">
        <v>19173.46</v>
      </c>
    </row>
    <row r="1017" spans="1:3" x14ac:dyDescent="0.2">
      <c r="A1017" s="174" t="s">
        <v>2506</v>
      </c>
      <c r="B1017" s="3" t="s">
        <v>2507</v>
      </c>
      <c r="C1017" s="175">
        <v>203578.94999999992</v>
      </c>
    </row>
    <row r="1018" spans="1:3" x14ac:dyDescent="0.2">
      <c r="A1018" s="174" t="s">
        <v>2508</v>
      </c>
      <c r="B1018" s="3" t="s">
        <v>2509</v>
      </c>
      <c r="C1018" s="175">
        <v>50199.380000000005</v>
      </c>
    </row>
    <row r="1019" spans="1:3" x14ac:dyDescent="0.2">
      <c r="A1019" s="174" t="s">
        <v>2510</v>
      </c>
      <c r="B1019" s="3" t="s">
        <v>2511</v>
      </c>
      <c r="C1019" s="175">
        <v>32980.369999999995</v>
      </c>
    </row>
    <row r="1020" spans="1:3" x14ac:dyDescent="0.2">
      <c r="A1020" s="174" t="s">
        <v>2512</v>
      </c>
      <c r="B1020" s="3" t="s">
        <v>2513</v>
      </c>
      <c r="C1020" s="175">
        <v>7142.25</v>
      </c>
    </row>
    <row r="1021" spans="1:3" x14ac:dyDescent="0.2">
      <c r="A1021" s="174" t="s">
        <v>2514</v>
      </c>
      <c r="B1021" s="3" t="s">
        <v>2515</v>
      </c>
      <c r="C1021" s="175">
        <v>11568.98</v>
      </c>
    </row>
    <row r="1022" spans="1:3" x14ac:dyDescent="0.2">
      <c r="A1022" s="174" t="s">
        <v>2516</v>
      </c>
      <c r="B1022" s="3" t="s">
        <v>2517</v>
      </c>
      <c r="C1022" s="175">
        <v>14173.240000000002</v>
      </c>
    </row>
    <row r="1023" spans="1:3" x14ac:dyDescent="0.2">
      <c r="A1023" s="174" t="s">
        <v>2518</v>
      </c>
      <c r="B1023" s="3" t="s">
        <v>2519</v>
      </c>
      <c r="C1023" s="175">
        <v>654126</v>
      </c>
    </row>
    <row r="1024" spans="1:3" x14ac:dyDescent="0.2">
      <c r="A1024" s="174" t="s">
        <v>2520</v>
      </c>
      <c r="B1024" s="3" t="s">
        <v>2521</v>
      </c>
      <c r="C1024" s="175">
        <v>154864.84999999992</v>
      </c>
    </row>
    <row r="1025" spans="1:3" x14ac:dyDescent="0.2">
      <c r="A1025" s="174" t="s">
        <v>2522</v>
      </c>
      <c r="B1025" s="3" t="s">
        <v>2523</v>
      </c>
      <c r="C1025" s="175">
        <v>24925.430000000008</v>
      </c>
    </row>
    <row r="1026" spans="1:3" x14ac:dyDescent="0.2">
      <c r="A1026" s="174" t="s">
        <v>2524</v>
      </c>
      <c r="B1026" s="3" t="s">
        <v>2525</v>
      </c>
      <c r="C1026" s="175">
        <v>1195595.3000000005</v>
      </c>
    </row>
    <row r="1027" spans="1:3" x14ac:dyDescent="0.2">
      <c r="A1027" s="174" t="s">
        <v>2526</v>
      </c>
      <c r="B1027" s="3" t="s">
        <v>2527</v>
      </c>
      <c r="C1027" s="175">
        <v>62496.600000000006</v>
      </c>
    </row>
    <row r="1028" spans="1:3" x14ac:dyDescent="0.2">
      <c r="A1028" s="174" t="s">
        <v>2528</v>
      </c>
      <c r="B1028" s="3" t="s">
        <v>2529</v>
      </c>
      <c r="C1028" s="175">
        <v>80825.22</v>
      </c>
    </row>
    <row r="1029" spans="1:3" x14ac:dyDescent="0.2">
      <c r="A1029" s="174" t="s">
        <v>2530</v>
      </c>
      <c r="B1029" s="3" t="s">
        <v>2531</v>
      </c>
      <c r="C1029" s="175">
        <v>26423.73000000001</v>
      </c>
    </row>
    <row r="1030" spans="1:3" x14ac:dyDescent="0.2">
      <c r="A1030" s="174" t="s">
        <v>2532</v>
      </c>
      <c r="B1030" s="3" t="s">
        <v>2533</v>
      </c>
      <c r="C1030" s="175">
        <v>112371.68000000002</v>
      </c>
    </row>
    <row r="1031" spans="1:3" x14ac:dyDescent="0.2">
      <c r="A1031" s="174" t="s">
        <v>2534</v>
      </c>
      <c r="B1031" s="3" t="s">
        <v>2535</v>
      </c>
      <c r="C1031" s="175">
        <v>79307.400000000023</v>
      </c>
    </row>
    <row r="1032" spans="1:3" x14ac:dyDescent="0.2">
      <c r="A1032" s="174" t="s">
        <v>2536</v>
      </c>
      <c r="B1032" s="3" t="s">
        <v>2537</v>
      </c>
      <c r="C1032" s="175">
        <v>162507.71999999994</v>
      </c>
    </row>
    <row r="1033" spans="1:3" x14ac:dyDescent="0.2">
      <c r="A1033" s="174" t="s">
        <v>2538</v>
      </c>
      <c r="B1033" s="3" t="s">
        <v>2539</v>
      </c>
      <c r="C1033" s="175">
        <v>44629.870000000024</v>
      </c>
    </row>
    <row r="1034" spans="1:3" x14ac:dyDescent="0.2">
      <c r="A1034" s="174" t="s">
        <v>2540</v>
      </c>
      <c r="B1034" s="3" t="s">
        <v>2541</v>
      </c>
      <c r="C1034" s="175">
        <v>219274.71999999997</v>
      </c>
    </row>
    <row r="1035" spans="1:3" x14ac:dyDescent="0.2">
      <c r="A1035" s="174" t="s">
        <v>2542</v>
      </c>
      <c r="B1035" s="3" t="s">
        <v>2543</v>
      </c>
      <c r="C1035" s="175">
        <v>201134.09999999992</v>
      </c>
    </row>
    <row r="1036" spans="1:3" x14ac:dyDescent="0.2">
      <c r="A1036" s="174" t="s">
        <v>2544</v>
      </c>
      <c r="B1036" s="3" t="s">
        <v>2545</v>
      </c>
      <c r="C1036" s="175">
        <v>106860.03999999998</v>
      </c>
    </row>
    <row r="1037" spans="1:3" x14ac:dyDescent="0.2">
      <c r="A1037" s="174" t="s">
        <v>2546</v>
      </c>
      <c r="B1037" s="3" t="s">
        <v>2547</v>
      </c>
      <c r="C1037" s="175">
        <v>103661.74000000002</v>
      </c>
    </row>
    <row r="1038" spans="1:3" x14ac:dyDescent="0.2">
      <c r="A1038" s="174" t="s">
        <v>2548</v>
      </c>
      <c r="B1038" s="3" t="s">
        <v>2549</v>
      </c>
      <c r="C1038" s="175">
        <v>104783.39000000006</v>
      </c>
    </row>
    <row r="1039" spans="1:3" x14ac:dyDescent="0.2">
      <c r="A1039" s="174" t="s">
        <v>2550</v>
      </c>
      <c r="B1039" s="3" t="s">
        <v>2551</v>
      </c>
      <c r="C1039" s="175">
        <v>12612.07</v>
      </c>
    </row>
    <row r="1040" spans="1:3" x14ac:dyDescent="0.2">
      <c r="A1040" s="174" t="s">
        <v>2552</v>
      </c>
      <c r="B1040" s="3" t="s">
        <v>2553</v>
      </c>
      <c r="C1040" s="175">
        <v>37415.230000000003</v>
      </c>
    </row>
    <row r="1041" spans="1:3" x14ac:dyDescent="0.2">
      <c r="A1041" s="174" t="s">
        <v>2554</v>
      </c>
      <c r="B1041" s="3" t="s">
        <v>2555</v>
      </c>
      <c r="C1041" s="175">
        <v>144420.07999999993</v>
      </c>
    </row>
    <row r="1042" spans="1:3" x14ac:dyDescent="0.2">
      <c r="A1042" s="174" t="s">
        <v>2556</v>
      </c>
      <c r="B1042" s="3" t="s">
        <v>2557</v>
      </c>
      <c r="C1042" s="175">
        <v>126823.65999999999</v>
      </c>
    </row>
    <row r="1043" spans="1:3" x14ac:dyDescent="0.2">
      <c r="A1043" s="174" t="s">
        <v>2558</v>
      </c>
      <c r="B1043" s="3" t="s">
        <v>2559</v>
      </c>
      <c r="C1043" s="175">
        <v>60995.599999999991</v>
      </c>
    </row>
    <row r="1044" spans="1:3" x14ac:dyDescent="0.2">
      <c r="A1044" s="174" t="s">
        <v>2560</v>
      </c>
      <c r="B1044" s="3" t="s">
        <v>2561</v>
      </c>
      <c r="C1044" s="175">
        <v>392540.9200000001</v>
      </c>
    </row>
    <row r="1045" spans="1:3" x14ac:dyDescent="0.2">
      <c r="A1045" s="174" t="s">
        <v>2562</v>
      </c>
      <c r="B1045" s="3" t="s">
        <v>2563</v>
      </c>
      <c r="C1045" s="175">
        <v>17213.21</v>
      </c>
    </row>
    <row r="1046" spans="1:3" x14ac:dyDescent="0.2">
      <c r="A1046" s="174" t="s">
        <v>2564</v>
      </c>
      <c r="B1046" s="3" t="s">
        <v>2565</v>
      </c>
      <c r="C1046" s="175">
        <v>54902.819999999992</v>
      </c>
    </row>
    <row r="1047" spans="1:3" x14ac:dyDescent="0.2">
      <c r="A1047" s="174" t="s">
        <v>2566</v>
      </c>
      <c r="B1047" s="3" t="s">
        <v>2567</v>
      </c>
      <c r="C1047" s="175">
        <v>42070.879999999983</v>
      </c>
    </row>
    <row r="1048" spans="1:3" x14ac:dyDescent="0.2">
      <c r="A1048" s="174" t="s">
        <v>2568</v>
      </c>
      <c r="B1048" s="3" t="s">
        <v>2569</v>
      </c>
      <c r="C1048" s="175">
        <v>377891.19999999966</v>
      </c>
    </row>
    <row r="1049" spans="1:3" x14ac:dyDescent="0.2">
      <c r="A1049" s="174" t="s">
        <v>2570</v>
      </c>
      <c r="B1049" s="3" t="s">
        <v>2571</v>
      </c>
      <c r="C1049" s="175">
        <v>52800</v>
      </c>
    </row>
    <row r="1050" spans="1:3" x14ac:dyDescent="0.2">
      <c r="A1050" s="174" t="s">
        <v>2572</v>
      </c>
      <c r="B1050" s="3" t="s">
        <v>2573</v>
      </c>
      <c r="C1050" s="175">
        <v>61287.039999999994</v>
      </c>
    </row>
    <row r="1051" spans="1:3" x14ac:dyDescent="0.2">
      <c r="A1051" s="174" t="s">
        <v>2574</v>
      </c>
      <c r="B1051" s="3" t="s">
        <v>2575</v>
      </c>
      <c r="C1051" s="175">
        <v>9112.0399999999991</v>
      </c>
    </row>
    <row r="1052" spans="1:3" x14ac:dyDescent="0.2">
      <c r="A1052" s="174" t="s">
        <v>2576</v>
      </c>
      <c r="B1052" s="3" t="s">
        <v>2577</v>
      </c>
      <c r="C1052" s="175">
        <v>20822.36</v>
      </c>
    </row>
    <row r="1053" spans="1:3" x14ac:dyDescent="0.2">
      <c r="A1053" s="174" t="s">
        <v>2578</v>
      </c>
      <c r="B1053" s="3" t="s">
        <v>2579</v>
      </c>
      <c r="C1053" s="175">
        <v>61082.609999999993</v>
      </c>
    </row>
    <row r="1054" spans="1:3" x14ac:dyDescent="0.2">
      <c r="A1054" s="174" t="s">
        <v>2580</v>
      </c>
      <c r="B1054" s="3" t="s">
        <v>2581</v>
      </c>
      <c r="C1054" s="175">
        <v>76838</v>
      </c>
    </row>
    <row r="1055" spans="1:3" x14ac:dyDescent="0.2">
      <c r="A1055" s="174" t="s">
        <v>2582</v>
      </c>
      <c r="B1055" s="3" t="s">
        <v>2583</v>
      </c>
      <c r="C1055" s="175">
        <v>62243.190000000031</v>
      </c>
    </row>
    <row r="1056" spans="1:3" x14ac:dyDescent="0.2">
      <c r="A1056" s="174" t="s">
        <v>2584</v>
      </c>
      <c r="B1056" s="3" t="s">
        <v>2585</v>
      </c>
      <c r="C1056" s="175">
        <v>45712.410000000011</v>
      </c>
    </row>
    <row r="1057" spans="1:3" x14ac:dyDescent="0.2">
      <c r="A1057" s="174" t="s">
        <v>2586</v>
      </c>
      <c r="B1057" s="3" t="s">
        <v>2587</v>
      </c>
      <c r="C1057" s="175">
        <v>129036.71999999993</v>
      </c>
    </row>
    <row r="1058" spans="1:3" x14ac:dyDescent="0.2">
      <c r="A1058" s="174" t="s">
        <v>2588</v>
      </c>
      <c r="B1058" s="3" t="s">
        <v>2589</v>
      </c>
      <c r="C1058" s="175">
        <v>26000.910000000003</v>
      </c>
    </row>
    <row r="1059" spans="1:3" x14ac:dyDescent="0.2">
      <c r="A1059" s="174" t="s">
        <v>2590</v>
      </c>
      <c r="B1059" s="3" t="s">
        <v>2591</v>
      </c>
      <c r="C1059" s="175">
        <v>24996.23000000001</v>
      </c>
    </row>
    <row r="1060" spans="1:3" x14ac:dyDescent="0.2">
      <c r="A1060" s="174" t="s">
        <v>2592</v>
      </c>
      <c r="B1060" s="3" t="s">
        <v>2593</v>
      </c>
      <c r="C1060" s="175">
        <v>169462.30999999997</v>
      </c>
    </row>
    <row r="1061" spans="1:3" x14ac:dyDescent="0.2">
      <c r="A1061" s="174" t="s">
        <v>2594</v>
      </c>
      <c r="B1061" s="3" t="s">
        <v>2595</v>
      </c>
      <c r="C1061" s="175">
        <v>2798.4</v>
      </c>
    </row>
    <row r="1062" spans="1:3" x14ac:dyDescent="0.2">
      <c r="A1062" s="174" t="s">
        <v>2596</v>
      </c>
      <c r="B1062" s="3" t="s">
        <v>2597</v>
      </c>
      <c r="C1062" s="175">
        <v>37315.119999999995</v>
      </c>
    </row>
    <row r="1063" spans="1:3" x14ac:dyDescent="0.2">
      <c r="A1063" s="174" t="s">
        <v>2598</v>
      </c>
      <c r="B1063" s="3" t="s">
        <v>2599</v>
      </c>
      <c r="C1063" s="175">
        <v>23281.380000000005</v>
      </c>
    </row>
    <row r="1064" spans="1:3" x14ac:dyDescent="0.2">
      <c r="A1064" s="174" t="s">
        <v>2600</v>
      </c>
      <c r="B1064" s="3" t="s">
        <v>2601</v>
      </c>
      <c r="C1064" s="175">
        <v>94370.829999999973</v>
      </c>
    </row>
    <row r="1065" spans="1:3" x14ac:dyDescent="0.2">
      <c r="A1065" s="174" t="s">
        <v>2602</v>
      </c>
      <c r="B1065" s="3" t="s">
        <v>2603</v>
      </c>
      <c r="C1065" s="175">
        <v>165153.07000000004</v>
      </c>
    </row>
    <row r="1066" spans="1:3" x14ac:dyDescent="0.2">
      <c r="A1066" s="174" t="s">
        <v>2604</v>
      </c>
      <c r="B1066" s="3" t="s">
        <v>2605</v>
      </c>
      <c r="C1066" s="175">
        <v>537322.44999999995</v>
      </c>
    </row>
    <row r="1067" spans="1:3" x14ac:dyDescent="0.2">
      <c r="A1067" s="174" t="s">
        <v>2606</v>
      </c>
      <c r="B1067" s="3" t="s">
        <v>2607</v>
      </c>
      <c r="C1067" s="175">
        <v>6665.11</v>
      </c>
    </row>
    <row r="1068" spans="1:3" x14ac:dyDescent="0.2">
      <c r="A1068" s="174" t="s">
        <v>2608</v>
      </c>
      <c r="B1068" s="3" t="s">
        <v>2609</v>
      </c>
      <c r="C1068" s="175">
        <v>4778.359999999996</v>
      </c>
    </row>
    <row r="1069" spans="1:3" x14ac:dyDescent="0.2">
      <c r="A1069" s="174" t="s">
        <v>2610</v>
      </c>
      <c r="B1069" s="3" t="s">
        <v>2611</v>
      </c>
      <c r="C1069" s="175">
        <v>167343.24000000005</v>
      </c>
    </row>
    <row r="1070" spans="1:3" x14ac:dyDescent="0.2">
      <c r="A1070" s="174" t="s">
        <v>2612</v>
      </c>
      <c r="B1070" s="3" t="s">
        <v>2613</v>
      </c>
      <c r="C1070" s="175">
        <v>25351.530000000013</v>
      </c>
    </row>
    <row r="1071" spans="1:3" x14ac:dyDescent="0.2">
      <c r="A1071" s="174" t="s">
        <v>2614</v>
      </c>
      <c r="B1071" s="3" t="s">
        <v>2615</v>
      </c>
      <c r="C1071" s="175">
        <v>124009.30000000002</v>
      </c>
    </row>
    <row r="1072" spans="1:3" x14ac:dyDescent="0.2">
      <c r="A1072" s="174" t="s">
        <v>2616</v>
      </c>
      <c r="B1072" s="3" t="s">
        <v>2617</v>
      </c>
      <c r="C1072" s="175">
        <v>79593.009999999995</v>
      </c>
    </row>
    <row r="1073" spans="1:3" x14ac:dyDescent="0.2">
      <c r="A1073" s="174" t="s">
        <v>2618</v>
      </c>
      <c r="B1073" s="3" t="s">
        <v>2619</v>
      </c>
      <c r="C1073" s="175">
        <v>141851.70000000001</v>
      </c>
    </row>
    <row r="1074" spans="1:3" x14ac:dyDescent="0.2">
      <c r="A1074" s="174" t="s">
        <v>2620</v>
      </c>
      <c r="B1074" s="3" t="s">
        <v>2621</v>
      </c>
      <c r="C1074" s="175">
        <v>73178.31</v>
      </c>
    </row>
    <row r="1075" spans="1:3" x14ac:dyDescent="0.2">
      <c r="A1075" s="174" t="s">
        <v>2622</v>
      </c>
      <c r="B1075" s="3" t="s">
        <v>2623</v>
      </c>
      <c r="C1075" s="175">
        <v>33472.239999999991</v>
      </c>
    </row>
    <row r="1076" spans="1:3" x14ac:dyDescent="0.2">
      <c r="A1076" s="174" t="s">
        <v>2624</v>
      </c>
      <c r="B1076" s="3" t="s">
        <v>2625</v>
      </c>
      <c r="C1076" s="175">
        <v>35156</v>
      </c>
    </row>
    <row r="1077" spans="1:3" x14ac:dyDescent="0.2">
      <c r="A1077" s="174" t="s">
        <v>2626</v>
      </c>
      <c r="B1077" s="3" t="s">
        <v>2627</v>
      </c>
      <c r="C1077" s="175">
        <v>4826.79</v>
      </c>
    </row>
    <row r="1078" spans="1:3" x14ac:dyDescent="0.2">
      <c r="A1078" s="174" t="s">
        <v>2628</v>
      </c>
      <c r="B1078" s="3" t="s">
        <v>2629</v>
      </c>
      <c r="C1078" s="175">
        <v>23563.8</v>
      </c>
    </row>
    <row r="1079" spans="1:3" x14ac:dyDescent="0.2">
      <c r="A1079" s="174" t="s">
        <v>2630</v>
      </c>
      <c r="B1079" s="3" t="s">
        <v>2631</v>
      </c>
      <c r="C1079" s="175">
        <v>2579.0699999999997</v>
      </c>
    </row>
    <row r="1080" spans="1:3" x14ac:dyDescent="0.2">
      <c r="A1080" s="174" t="s">
        <v>2632</v>
      </c>
      <c r="B1080" s="3" t="s">
        <v>2633</v>
      </c>
      <c r="C1080" s="175">
        <v>22000</v>
      </c>
    </row>
    <row r="1081" spans="1:3" x14ac:dyDescent="0.2">
      <c r="A1081" s="174" t="s">
        <v>2634</v>
      </c>
      <c r="B1081" s="3" t="s">
        <v>2635</v>
      </c>
      <c r="C1081" s="175">
        <v>9609.6200000000008</v>
      </c>
    </row>
    <row r="1082" spans="1:3" x14ac:dyDescent="0.2">
      <c r="A1082" s="174" t="s">
        <v>2636</v>
      </c>
      <c r="B1082" s="3" t="s">
        <v>2637</v>
      </c>
      <c r="C1082" s="175">
        <v>32660.61</v>
      </c>
    </row>
    <row r="1083" spans="1:3" x14ac:dyDescent="0.2">
      <c r="A1083" s="174" t="s">
        <v>2638</v>
      </c>
      <c r="B1083" s="3" t="s">
        <v>2639</v>
      </c>
      <c r="C1083" s="175">
        <v>282878.47000000003</v>
      </c>
    </row>
    <row r="1084" spans="1:3" x14ac:dyDescent="0.2">
      <c r="A1084" s="174" t="s">
        <v>2640</v>
      </c>
      <c r="B1084" s="3" t="s">
        <v>2641</v>
      </c>
      <c r="C1084" s="175">
        <v>163132.85</v>
      </c>
    </row>
    <row r="1085" spans="1:3" x14ac:dyDescent="0.2">
      <c r="A1085" s="174" t="s">
        <v>2642</v>
      </c>
      <c r="B1085" s="3" t="s">
        <v>2643</v>
      </c>
      <c r="C1085" s="175">
        <v>117790.51000000005</v>
      </c>
    </row>
    <row r="1086" spans="1:3" x14ac:dyDescent="0.2">
      <c r="A1086" s="174" t="s">
        <v>2644</v>
      </c>
      <c r="B1086" s="3" t="s">
        <v>2645</v>
      </c>
      <c r="C1086" s="175">
        <v>1761.4000000000003</v>
      </c>
    </row>
    <row r="1087" spans="1:3" x14ac:dyDescent="0.2">
      <c r="A1087" s="174" t="s">
        <v>2646</v>
      </c>
      <c r="B1087" s="3" t="s">
        <v>2647</v>
      </c>
      <c r="C1087" s="175">
        <v>84639.760000000009</v>
      </c>
    </row>
    <row r="1088" spans="1:3" x14ac:dyDescent="0.2">
      <c r="A1088" s="174" t="s">
        <v>2648</v>
      </c>
      <c r="B1088" s="3" t="s">
        <v>2649</v>
      </c>
      <c r="C1088" s="175">
        <v>115763.89</v>
      </c>
    </row>
    <row r="1089" spans="1:3" x14ac:dyDescent="0.2">
      <c r="A1089" s="174" t="s">
        <v>2650</v>
      </c>
      <c r="B1089" s="3" t="s">
        <v>2651</v>
      </c>
      <c r="C1089" s="175">
        <v>104337.26000000002</v>
      </c>
    </row>
    <row r="1090" spans="1:3" x14ac:dyDescent="0.2">
      <c r="A1090" s="174" t="s">
        <v>2652</v>
      </c>
      <c r="B1090" s="3" t="s">
        <v>2653</v>
      </c>
      <c r="C1090" s="175">
        <v>76472.209999999992</v>
      </c>
    </row>
    <row r="1091" spans="1:3" x14ac:dyDescent="0.2">
      <c r="A1091" s="174" t="s">
        <v>2654</v>
      </c>
      <c r="B1091" s="3" t="s">
        <v>2655</v>
      </c>
      <c r="C1091" s="175">
        <v>78368.520000000019</v>
      </c>
    </row>
    <row r="1092" spans="1:3" x14ac:dyDescent="0.2">
      <c r="A1092" s="174" t="s">
        <v>2656</v>
      </c>
      <c r="B1092" s="3" t="s">
        <v>2657</v>
      </c>
      <c r="C1092" s="175">
        <v>165600.98999999996</v>
      </c>
    </row>
    <row r="1093" spans="1:3" x14ac:dyDescent="0.2">
      <c r="A1093" s="174" t="s">
        <v>2658</v>
      </c>
      <c r="B1093" s="3" t="s">
        <v>2659</v>
      </c>
      <c r="C1093" s="175">
        <v>6.3664629124104977E-12</v>
      </c>
    </row>
    <row r="1094" spans="1:3" x14ac:dyDescent="0.2">
      <c r="A1094" s="174" t="s">
        <v>2660</v>
      </c>
      <c r="B1094" s="3" t="s">
        <v>2661</v>
      </c>
      <c r="C1094" s="175">
        <v>-7.1054273576010019E-15</v>
      </c>
    </row>
    <row r="1095" spans="1:3" x14ac:dyDescent="0.2">
      <c r="A1095" s="174" t="s">
        <v>2662</v>
      </c>
      <c r="B1095" s="3" t="s">
        <v>2663</v>
      </c>
      <c r="C1095" s="175">
        <v>-160.37000000001592</v>
      </c>
    </row>
    <row r="1096" spans="1:3" x14ac:dyDescent="0.2">
      <c r="A1096" s="174" t="s">
        <v>2664</v>
      </c>
      <c r="B1096" s="3" t="s">
        <v>2665</v>
      </c>
      <c r="C1096" s="175">
        <v>136815.53000000006</v>
      </c>
    </row>
    <row r="1097" spans="1:3" x14ac:dyDescent="0.2">
      <c r="A1097" s="174" t="s">
        <v>2666</v>
      </c>
      <c r="B1097" s="3" t="s">
        <v>2667</v>
      </c>
      <c r="C1097" s="175">
        <v>467.82000000000005</v>
      </c>
    </row>
    <row r="1098" spans="1:3" x14ac:dyDescent="0.2">
      <c r="A1098" s="174" t="s">
        <v>2668</v>
      </c>
      <c r="B1098" s="3" t="s">
        <v>2669</v>
      </c>
      <c r="C1098" s="175">
        <v>14476.45</v>
      </c>
    </row>
    <row r="1099" spans="1:3" x14ac:dyDescent="0.2">
      <c r="A1099" s="174" t="s">
        <v>2670</v>
      </c>
      <c r="B1099" s="3" t="s">
        <v>2671</v>
      </c>
      <c r="C1099" s="175">
        <v>63535.900000000038</v>
      </c>
    </row>
    <row r="1100" spans="1:3" x14ac:dyDescent="0.2">
      <c r="A1100" s="174" t="s">
        <v>2672</v>
      </c>
      <c r="B1100" s="3" t="s">
        <v>2673</v>
      </c>
      <c r="C1100" s="175">
        <v>457629.80999999982</v>
      </c>
    </row>
    <row r="1101" spans="1:3" x14ac:dyDescent="0.2">
      <c r="A1101" s="174" t="s">
        <v>2674</v>
      </c>
      <c r="B1101" s="3" t="s">
        <v>2675</v>
      </c>
      <c r="C1101" s="175">
        <v>202.5</v>
      </c>
    </row>
    <row r="1102" spans="1:3" x14ac:dyDescent="0.2">
      <c r="A1102" s="174" t="s">
        <v>2676</v>
      </c>
      <c r="B1102" s="3" t="s">
        <v>2677</v>
      </c>
      <c r="C1102" s="175">
        <v>12389.650000000005</v>
      </c>
    </row>
    <row r="1103" spans="1:3" x14ac:dyDescent="0.2">
      <c r="A1103" s="174" t="s">
        <v>2678</v>
      </c>
      <c r="B1103" s="3" t="s">
        <v>2679</v>
      </c>
      <c r="C1103" s="175">
        <v>66870.660000000018</v>
      </c>
    </row>
    <row r="1104" spans="1:3" x14ac:dyDescent="0.2">
      <c r="A1104" s="174" t="s">
        <v>2680</v>
      </c>
      <c r="B1104" s="3" t="s">
        <v>2681</v>
      </c>
      <c r="C1104" s="175">
        <v>0</v>
      </c>
    </row>
    <row r="1105" spans="1:3" x14ac:dyDescent="0.2">
      <c r="A1105" s="174" t="s">
        <v>2682</v>
      </c>
      <c r="B1105" s="3" t="s">
        <v>2683</v>
      </c>
      <c r="C1105" s="175">
        <v>3028.34</v>
      </c>
    </row>
    <row r="1106" spans="1:3" x14ac:dyDescent="0.2">
      <c r="A1106" s="174" t="s">
        <v>2684</v>
      </c>
      <c r="B1106" s="3" t="s">
        <v>2685</v>
      </c>
      <c r="C1106" s="175">
        <v>-1062.4099999999999</v>
      </c>
    </row>
    <row r="1107" spans="1:3" x14ac:dyDescent="0.2">
      <c r="A1107" s="174" t="s">
        <v>2686</v>
      </c>
      <c r="B1107" s="3" t="s">
        <v>2687</v>
      </c>
      <c r="C1107" s="175">
        <v>75496.940000000017</v>
      </c>
    </row>
    <row r="1108" spans="1:3" x14ac:dyDescent="0.2">
      <c r="A1108" s="174" t="s">
        <v>2688</v>
      </c>
      <c r="B1108" s="3" t="s">
        <v>2689</v>
      </c>
      <c r="C1108" s="175">
        <v>69.900000000000006</v>
      </c>
    </row>
    <row r="1109" spans="1:3" x14ac:dyDescent="0.2">
      <c r="A1109" s="174" t="s">
        <v>2690</v>
      </c>
      <c r="B1109" s="3" t="s">
        <v>2691</v>
      </c>
      <c r="C1109" s="175">
        <v>107375.25999999997</v>
      </c>
    </row>
    <row r="1110" spans="1:3" x14ac:dyDescent="0.2">
      <c r="A1110" s="174" t="s">
        <v>2692</v>
      </c>
      <c r="B1110" s="3" t="s">
        <v>2693</v>
      </c>
      <c r="C1110" s="175">
        <v>243344.05000000022</v>
      </c>
    </row>
    <row r="1111" spans="1:3" x14ac:dyDescent="0.2">
      <c r="A1111" s="174" t="s">
        <v>2694</v>
      </c>
      <c r="B1111" s="3" t="s">
        <v>2695</v>
      </c>
      <c r="C1111" s="175">
        <v>224695.04000000015</v>
      </c>
    </row>
    <row r="1112" spans="1:3" x14ac:dyDescent="0.2">
      <c r="A1112" s="174" t="s">
        <v>2696</v>
      </c>
      <c r="B1112" s="3" t="s">
        <v>2697</v>
      </c>
      <c r="C1112" s="175">
        <v>-1531.63</v>
      </c>
    </row>
    <row r="1113" spans="1:3" x14ac:dyDescent="0.2">
      <c r="A1113" s="174" t="s">
        <v>2698</v>
      </c>
      <c r="B1113" s="3" t="s">
        <v>2699</v>
      </c>
      <c r="C1113" s="175">
        <v>-20463.860000000008</v>
      </c>
    </row>
    <row r="1114" spans="1:3" x14ac:dyDescent="0.2">
      <c r="A1114" s="174" t="s">
        <v>2700</v>
      </c>
      <c r="B1114" s="3" t="s">
        <v>2701</v>
      </c>
      <c r="C1114" s="175">
        <v>288021.89000000007</v>
      </c>
    </row>
    <row r="1115" spans="1:3" x14ac:dyDescent="0.2">
      <c r="A1115" s="174" t="s">
        <v>2702</v>
      </c>
      <c r="B1115" s="3" t="s">
        <v>2703</v>
      </c>
      <c r="C1115" s="175">
        <v>5112.8300000000017</v>
      </c>
    </row>
    <row r="1116" spans="1:3" x14ac:dyDescent="0.2">
      <c r="A1116" s="174" t="s">
        <v>2704</v>
      </c>
      <c r="B1116" s="3" t="s">
        <v>2705</v>
      </c>
      <c r="C1116" s="175">
        <v>1395229.3499999987</v>
      </c>
    </row>
    <row r="1117" spans="1:3" x14ac:dyDescent="0.2">
      <c r="A1117" s="174" t="s">
        <v>2706</v>
      </c>
      <c r="B1117" s="3" t="s">
        <v>2707</v>
      </c>
      <c r="C1117" s="175">
        <v>0</v>
      </c>
    </row>
    <row r="1118" spans="1:3" x14ac:dyDescent="0.2">
      <c r="A1118" s="174" t="s">
        <v>2708</v>
      </c>
      <c r="B1118" s="3" t="s">
        <v>2709</v>
      </c>
      <c r="C1118" s="175">
        <v>2332.9900000000011</v>
      </c>
    </row>
    <row r="1119" spans="1:3" x14ac:dyDescent="0.2">
      <c r="A1119" s="174" t="s">
        <v>2710</v>
      </c>
      <c r="B1119" s="3" t="s">
        <v>2711</v>
      </c>
      <c r="C1119" s="175">
        <v>7045.159999999998</v>
      </c>
    </row>
    <row r="1120" spans="1:3" x14ac:dyDescent="0.2">
      <c r="A1120" s="174" t="s">
        <v>2712</v>
      </c>
      <c r="B1120" s="3" t="s">
        <v>2713</v>
      </c>
      <c r="C1120" s="175">
        <v>254922.17999999996</v>
      </c>
    </row>
    <row r="1121" spans="1:3" x14ac:dyDescent="0.2">
      <c r="A1121" s="174" t="s">
        <v>2714</v>
      </c>
      <c r="B1121" s="3" t="s">
        <v>2715</v>
      </c>
      <c r="C1121" s="175">
        <v>3426690.1000000015</v>
      </c>
    </row>
    <row r="1122" spans="1:3" x14ac:dyDescent="0.2">
      <c r="A1122" s="174" t="s">
        <v>2716</v>
      </c>
      <c r="B1122" s="3" t="s">
        <v>2717</v>
      </c>
      <c r="C1122" s="175">
        <v>-465399.67</v>
      </c>
    </row>
    <row r="1123" spans="1:3" x14ac:dyDescent="0.2">
      <c r="A1123" s="174" t="s">
        <v>2718</v>
      </c>
      <c r="B1123" s="3" t="s">
        <v>2719</v>
      </c>
      <c r="C1123" s="175">
        <v>2208445.8800000004</v>
      </c>
    </row>
    <row r="1124" spans="1:3" x14ac:dyDescent="0.2">
      <c r="A1124" s="174" t="s">
        <v>2720</v>
      </c>
      <c r="B1124" s="3" t="s">
        <v>2721</v>
      </c>
      <c r="C1124" s="175">
        <v>2236890.899999999</v>
      </c>
    </row>
    <row r="1125" spans="1:3" x14ac:dyDescent="0.2">
      <c r="A1125" s="174" t="s">
        <v>2722</v>
      </c>
      <c r="B1125" s="3" t="s">
        <v>2723</v>
      </c>
      <c r="C1125" s="175">
        <v>1740.29</v>
      </c>
    </row>
    <row r="1126" spans="1:3" x14ac:dyDescent="0.2">
      <c r="A1126" s="174" t="s">
        <v>2724</v>
      </c>
      <c r="B1126" s="3" t="s">
        <v>2725</v>
      </c>
      <c r="C1126" s="175">
        <v>743.24999999999989</v>
      </c>
    </row>
    <row r="1127" spans="1:3" x14ac:dyDescent="0.2">
      <c r="A1127" s="174" t="s">
        <v>2726</v>
      </c>
      <c r="B1127" s="3" t="s">
        <v>2727</v>
      </c>
      <c r="C1127" s="175">
        <v>413580.77000000014</v>
      </c>
    </row>
    <row r="1128" spans="1:3" x14ac:dyDescent="0.2">
      <c r="A1128" s="174" t="s">
        <v>2728</v>
      </c>
      <c r="B1128" s="3" t="s">
        <v>2729</v>
      </c>
      <c r="C1128" s="175">
        <v>3908.5199999999995</v>
      </c>
    </row>
    <row r="1129" spans="1:3" x14ac:dyDescent="0.2">
      <c r="A1129" s="174" t="s">
        <v>2730</v>
      </c>
      <c r="B1129" s="3" t="s">
        <v>2731</v>
      </c>
      <c r="C1129" s="175">
        <v>77031.459999999992</v>
      </c>
    </row>
    <row r="1130" spans="1:3" x14ac:dyDescent="0.2">
      <c r="A1130" s="174" t="s">
        <v>2732</v>
      </c>
      <c r="B1130" s="3" t="s">
        <v>2733</v>
      </c>
      <c r="C1130" s="175">
        <v>36435.94</v>
      </c>
    </row>
    <row r="1131" spans="1:3" x14ac:dyDescent="0.2">
      <c r="A1131" s="174" t="s">
        <v>2734</v>
      </c>
      <c r="B1131" s="3" t="s">
        <v>2735</v>
      </c>
      <c r="C1131" s="175">
        <v>11559.380000000001</v>
      </c>
    </row>
    <row r="1132" spans="1:3" x14ac:dyDescent="0.2">
      <c r="A1132" s="174" t="s">
        <v>2736</v>
      </c>
      <c r="B1132" s="3" t="s">
        <v>2737</v>
      </c>
      <c r="C1132" s="175">
        <v>113985.33</v>
      </c>
    </row>
    <row r="1133" spans="1:3" x14ac:dyDescent="0.2">
      <c r="A1133" s="174" t="s">
        <v>2738</v>
      </c>
      <c r="B1133" s="3" t="s">
        <v>2739</v>
      </c>
      <c r="C1133" s="175">
        <v>388.48999999999995</v>
      </c>
    </row>
    <row r="1134" spans="1:3" x14ac:dyDescent="0.2">
      <c r="A1134" s="174" t="s">
        <v>2740</v>
      </c>
      <c r="B1134" s="3" t="s">
        <v>2741</v>
      </c>
      <c r="C1134" s="175">
        <v>16990.189999999999</v>
      </c>
    </row>
    <row r="1135" spans="1:3" x14ac:dyDescent="0.2">
      <c r="A1135" s="174" t="s">
        <v>2742</v>
      </c>
      <c r="B1135" s="3" t="s">
        <v>2743</v>
      </c>
      <c r="C1135" s="175">
        <v>743.98000000000013</v>
      </c>
    </row>
    <row r="1136" spans="1:3" x14ac:dyDescent="0.2">
      <c r="A1136" s="174" t="s">
        <v>2744</v>
      </c>
      <c r="B1136" s="3" t="s">
        <v>2745</v>
      </c>
      <c r="C1136" s="175">
        <v>-4.8430592869408429E-11</v>
      </c>
    </row>
    <row r="1137" spans="1:3" x14ac:dyDescent="0.2">
      <c r="A1137" s="174" t="s">
        <v>2746</v>
      </c>
      <c r="B1137" s="3" t="s">
        <v>2747</v>
      </c>
      <c r="C1137" s="175">
        <v>210050.73</v>
      </c>
    </row>
    <row r="1138" spans="1:3" x14ac:dyDescent="0.2">
      <c r="A1138" s="174" t="s">
        <v>2748</v>
      </c>
      <c r="B1138" s="3" t="s">
        <v>2749</v>
      </c>
      <c r="C1138" s="175">
        <v>2230027.0100000012</v>
      </c>
    </row>
    <row r="1139" spans="1:3" x14ac:dyDescent="0.2">
      <c r="A1139" s="174" t="s">
        <v>2750</v>
      </c>
      <c r="B1139" s="3" t="s">
        <v>2751</v>
      </c>
      <c r="C1139" s="175">
        <v>256925.22</v>
      </c>
    </row>
    <row r="1140" spans="1:3" x14ac:dyDescent="0.2">
      <c r="A1140" s="174" t="s">
        <v>2752</v>
      </c>
      <c r="B1140" s="3" t="s">
        <v>2753</v>
      </c>
      <c r="C1140" s="175">
        <v>310718.65999999968</v>
      </c>
    </row>
    <row r="1141" spans="1:3" ht="13.5" thickBot="1" x14ac:dyDescent="0.25">
      <c r="C1141" s="176">
        <f>SUM(C6:C1140)</f>
        <v>470334680.70000118</v>
      </c>
    </row>
    <row r="1142" spans="1:3" ht="13.5" thickTop="1" x14ac:dyDescent="0.2"/>
  </sheetData>
  <mergeCells count="3">
    <mergeCell ref="A1:C1"/>
    <mergeCell ref="A2:C2"/>
    <mergeCell ref="A3:C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83"/>
  <sheetViews>
    <sheetView zoomScale="80" zoomScaleNormal="80" workbookViewId="0">
      <selection sqref="A1:N1"/>
    </sheetView>
  </sheetViews>
  <sheetFormatPr defaultRowHeight="12.75" x14ac:dyDescent="0.2"/>
  <cols>
    <col min="1" max="1" width="9.140625" style="3"/>
    <col min="2" max="2" width="39.140625" style="3" bestFit="1" customWidth="1"/>
    <col min="3" max="3" width="17.7109375" style="3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7.7109375" style="3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8.28515625" style="3" bestFit="1" customWidth="1"/>
    <col min="18" max="18" width="1.7109375" style="3" customWidth="1"/>
    <col min="19" max="19" width="17.7109375" style="3" bestFit="1" customWidth="1"/>
    <col min="20" max="20" width="2.85546875" style="3" customWidth="1"/>
    <col min="21" max="21" width="16.7109375" style="3" customWidth="1"/>
    <col min="22" max="22" width="17.140625" style="3" customWidth="1"/>
    <col min="23" max="23" width="17" style="3" bestFit="1" customWidth="1"/>
    <col min="24" max="16384" width="9.140625" style="3"/>
  </cols>
  <sheetData>
    <row r="1" spans="1:24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x14ac:dyDescent="0.2">
      <c r="A2" s="200" t="s">
        <v>2754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4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24" x14ac:dyDescent="0.2">
      <c r="A4" s="145"/>
      <c r="B4" s="145"/>
      <c r="C4" s="7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24" x14ac:dyDescent="0.2">
      <c r="A5" s="145"/>
      <c r="B5" s="145"/>
      <c r="C5" s="7"/>
      <c r="D5" s="145"/>
      <c r="E5" s="7"/>
      <c r="F5" s="145"/>
      <c r="G5" s="7" t="s">
        <v>2755</v>
      </c>
      <c r="H5" s="145"/>
      <c r="I5" s="7" t="s">
        <v>2755</v>
      </c>
      <c r="J5" s="145"/>
      <c r="K5" s="7" t="s">
        <v>2755</v>
      </c>
      <c r="L5" s="145"/>
      <c r="M5" s="7" t="s">
        <v>2755</v>
      </c>
      <c r="N5" s="145"/>
      <c r="O5" s="7" t="s">
        <v>2755</v>
      </c>
      <c r="P5" s="145"/>
      <c r="Q5" s="7" t="s">
        <v>2755</v>
      </c>
      <c r="R5" s="145"/>
      <c r="S5" s="7" t="s">
        <v>2755</v>
      </c>
      <c r="T5" s="145"/>
      <c r="U5" s="7"/>
    </row>
    <row r="6" spans="1:24" x14ac:dyDescent="0.2">
      <c r="C6" s="7" t="s">
        <v>2755</v>
      </c>
      <c r="D6" s="1"/>
      <c r="E6" s="7" t="s">
        <v>2755</v>
      </c>
      <c r="F6" s="1"/>
      <c r="G6" s="17" t="s">
        <v>2756</v>
      </c>
      <c r="H6" s="1"/>
      <c r="I6" s="7" t="s">
        <v>2757</v>
      </c>
      <c r="J6" s="1"/>
      <c r="K6" s="7" t="s">
        <v>2758</v>
      </c>
      <c r="L6" s="1"/>
      <c r="M6" s="7" t="s">
        <v>2759</v>
      </c>
      <c r="N6" s="1"/>
      <c r="O6" s="7" t="s">
        <v>2760</v>
      </c>
      <c r="P6" s="1"/>
      <c r="Q6" s="7" t="s">
        <v>2761</v>
      </c>
      <c r="R6" s="1"/>
      <c r="S6" s="7" t="s">
        <v>2762</v>
      </c>
      <c r="T6" s="1"/>
      <c r="U6" s="7"/>
    </row>
    <row r="7" spans="1:24" x14ac:dyDescent="0.2">
      <c r="A7" s="9"/>
      <c r="C7" s="11" t="s">
        <v>70</v>
      </c>
      <c r="D7" s="1"/>
      <c r="E7" s="11" t="s">
        <v>2763</v>
      </c>
      <c r="F7" s="1"/>
      <c r="G7" s="11" t="s">
        <v>2764</v>
      </c>
      <c r="H7" s="1"/>
      <c r="I7" s="11" t="s">
        <v>2765</v>
      </c>
      <c r="J7" s="1"/>
      <c r="K7" s="11" t="s">
        <v>2765</v>
      </c>
      <c r="L7" s="1"/>
      <c r="M7" s="11" t="s">
        <v>2766</v>
      </c>
      <c r="N7" s="1"/>
      <c r="O7" s="11" t="s">
        <v>2767</v>
      </c>
      <c r="P7" s="1"/>
      <c r="Q7" s="11" t="s">
        <v>2768</v>
      </c>
      <c r="R7" s="1"/>
      <c r="S7" s="11" t="s">
        <v>2769</v>
      </c>
      <c r="T7" s="1"/>
      <c r="U7" s="11" t="s">
        <v>2770</v>
      </c>
    </row>
    <row r="8" spans="1:24" x14ac:dyDescent="0.2">
      <c r="A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x14ac:dyDescent="0.2">
      <c r="A9" s="9" t="s">
        <v>2771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x14ac:dyDescent="0.2">
      <c r="B10" s="3" t="s">
        <v>14</v>
      </c>
      <c r="C10" s="14">
        <f>'Summary - Reserve - PG 2 (Reg)'!E10+'Summary - Reserve - PG 2 (Reg)'!E36+'Summary - Reserve - PG 2 (Reg)'!E52</f>
        <v>-9150467.7899999991</v>
      </c>
      <c r="D10" s="14"/>
      <c r="E10" s="14">
        <v>0</v>
      </c>
      <c r="F10" s="14"/>
      <c r="G10" s="14"/>
      <c r="H10" s="14"/>
      <c r="I10" s="14">
        <v>0</v>
      </c>
      <c r="J10" s="14"/>
      <c r="K10" s="14">
        <v>0</v>
      </c>
      <c r="L10" s="14"/>
      <c r="M10" s="14">
        <v>0</v>
      </c>
      <c r="N10" s="14"/>
      <c r="O10" s="14">
        <f>3182.71+907.81+907.81+907.81+907.81+907.81+956.58+1005.34+1005.34+1005.34+1549.22+2093.1</f>
        <v>15336.679999999998</v>
      </c>
      <c r="P10" s="14"/>
      <c r="Q10" s="14">
        <v>0</v>
      </c>
      <c r="R10" s="14"/>
      <c r="S10" s="14">
        <v>0</v>
      </c>
      <c r="T10" s="14"/>
      <c r="U10" s="14">
        <f>C10-E10+I10+K10+M10+O10+Q10+S10+G10</f>
        <v>-9135131.1099999994</v>
      </c>
      <c r="V10" s="14"/>
    </row>
    <row r="11" spans="1:24" x14ac:dyDescent="0.2">
      <c r="B11" s="3" t="s">
        <v>77</v>
      </c>
      <c r="C11" s="14">
        <f>'Summary - Reserve - PG 2 (Reg)'!E11</f>
        <v>0</v>
      </c>
      <c r="D11" s="14"/>
      <c r="E11" s="14">
        <v>0</v>
      </c>
      <c r="F11" s="14"/>
      <c r="G11" s="14">
        <f>-C11</f>
        <v>0</v>
      </c>
      <c r="H11" s="14"/>
      <c r="I11" s="14">
        <v>0</v>
      </c>
      <c r="J11" s="14"/>
      <c r="K11" s="14">
        <v>0</v>
      </c>
      <c r="L11" s="14"/>
      <c r="M11" s="14">
        <v>0</v>
      </c>
      <c r="N11" s="14"/>
      <c r="O11" s="14">
        <v>0</v>
      </c>
      <c r="P11" s="14"/>
      <c r="Q11" s="14">
        <v>0</v>
      </c>
      <c r="R11" s="14"/>
      <c r="S11" s="14">
        <v>0</v>
      </c>
      <c r="T11" s="14"/>
      <c r="U11" s="14">
        <f>C11-E11+I11+K11+M11+O11+Q11+S11+G11</f>
        <v>0</v>
      </c>
      <c r="V11" s="14"/>
    </row>
    <row r="12" spans="1:24" x14ac:dyDescent="0.2">
      <c r="B12" s="3" t="s">
        <v>54</v>
      </c>
      <c r="C12" s="14">
        <f>'Summary - Reserve - PG 2 (Reg)'!E31+'Summary - Reserve - PG 2 (Reg)'!E32+'Summary - Reserve - PG 2 (Reg)'!E48+'Summary - Reserve - PG 2 (Reg)'!E64</f>
        <v>0</v>
      </c>
      <c r="D12" s="14"/>
      <c r="E12" s="14">
        <v>0</v>
      </c>
      <c r="F12" s="14"/>
      <c r="G12" s="14"/>
      <c r="H12" s="14"/>
      <c r="I12" s="14">
        <v>0</v>
      </c>
      <c r="J12" s="14"/>
      <c r="K12" s="14">
        <v>0</v>
      </c>
      <c r="L12" s="14"/>
      <c r="M12" s="14">
        <v>0</v>
      </c>
      <c r="N12" s="14"/>
      <c r="O12" s="14">
        <v>0</v>
      </c>
      <c r="P12" s="14"/>
      <c r="Q12" s="14">
        <v>0</v>
      </c>
      <c r="R12" s="14"/>
      <c r="S12" s="14">
        <v>0</v>
      </c>
      <c r="T12" s="14"/>
      <c r="U12" s="14">
        <f>C12-E12+I12+K12+M12+O12+Q12+S12+G12</f>
        <v>0</v>
      </c>
      <c r="V12" s="14"/>
    </row>
    <row r="13" spans="1:24" x14ac:dyDescent="0.2">
      <c r="B13" s="3" t="s">
        <v>2772</v>
      </c>
      <c r="C13" s="20">
        <f>SUM(C10:C12)</f>
        <v>-9150467.7899999991</v>
      </c>
      <c r="D13" s="14"/>
      <c r="E13" s="20">
        <f>SUM(E10:E12)</f>
        <v>0</v>
      </c>
      <c r="F13" s="14"/>
      <c r="G13" s="20">
        <f>SUM(G10:G12)</f>
        <v>0</v>
      </c>
      <c r="H13" s="14"/>
      <c r="I13" s="20">
        <f>SUM(I10:I12)</f>
        <v>0</v>
      </c>
      <c r="J13" s="14"/>
      <c r="K13" s="20">
        <f>SUM(K10:K12)</f>
        <v>0</v>
      </c>
      <c r="L13" s="14"/>
      <c r="M13" s="20">
        <f>SUM(M10:M12)</f>
        <v>0</v>
      </c>
      <c r="N13" s="14"/>
      <c r="O13" s="20">
        <f>SUM(O10:O12)</f>
        <v>15336.679999999998</v>
      </c>
      <c r="P13" s="14"/>
      <c r="Q13" s="20">
        <f>SUM(Q10:Q12)</f>
        <v>0</v>
      </c>
      <c r="R13" s="14"/>
      <c r="S13" s="20">
        <f>SUM(S10:S12)</f>
        <v>0</v>
      </c>
      <c r="T13" s="14"/>
      <c r="U13" s="20">
        <f>SUM(U10:U12)</f>
        <v>-9135131.1099999994</v>
      </c>
      <c r="V13" s="14"/>
    </row>
    <row r="14" spans="1:24" x14ac:dyDescent="0.2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" t="s">
        <v>2773</v>
      </c>
      <c r="X14" s="3" t="s">
        <v>66</v>
      </c>
    </row>
    <row r="15" spans="1:24" x14ac:dyDescent="0.2">
      <c r="B15" s="3" t="s">
        <v>18</v>
      </c>
      <c r="C15" s="14">
        <f>'Summary - Reserve - PG 2 (Reg)'!E12+'Summary - Reserve - PG 2 (Reg)'!E37+'Summary - Reserve - PG 2 (Reg)'!E53</f>
        <v>-35780968.159999996</v>
      </c>
      <c r="D15" s="14"/>
      <c r="E15" s="14">
        <v>0</v>
      </c>
      <c r="F15" s="14"/>
      <c r="G15" s="14"/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4"/>
      <c r="S15" s="14">
        <v>0</v>
      </c>
      <c r="T15" s="14"/>
      <c r="U15" s="14">
        <f>C15-E15+I15+K15+M15+O15+Q15+S15+G15</f>
        <v>-35780968.159999996</v>
      </c>
      <c r="V15" s="14"/>
      <c r="W15" s="37">
        <f>U15</f>
        <v>-35780968.159999996</v>
      </c>
    </row>
    <row r="16" spans="1:24" x14ac:dyDescent="0.2">
      <c r="B16" s="3" t="s">
        <v>78</v>
      </c>
      <c r="C16" s="14">
        <f>'Summary - Reserve - PG 2 (Reg)'!E13</f>
        <v>-41530.18</v>
      </c>
      <c r="D16" s="14"/>
      <c r="E16" s="14">
        <v>0</v>
      </c>
      <c r="F16" s="14"/>
      <c r="G16" s="14">
        <f>-C16</f>
        <v>41530.18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0</v>
      </c>
      <c r="P16" s="14"/>
      <c r="Q16" s="14">
        <v>0</v>
      </c>
      <c r="R16" s="14"/>
      <c r="S16" s="14">
        <v>0</v>
      </c>
      <c r="T16" s="14"/>
      <c r="U16" s="14">
        <f t="shared" ref="U16:U25" si="0">C16-E16+I16+K16+M16+O16+Q16+S16+G16</f>
        <v>0</v>
      </c>
      <c r="V16" s="14"/>
      <c r="X16" s="37">
        <f>U16</f>
        <v>0</v>
      </c>
    </row>
    <row r="17" spans="2:24" x14ac:dyDescent="0.2">
      <c r="B17" s="3" t="s">
        <v>19</v>
      </c>
      <c r="C17" s="14">
        <f>'Summary - Reserve - PG 2 (Reg)'!E14+'Summary - Reserve - PG 2 (Reg)'!E38+'Summary - Reserve - PG 2 (Reg)'!E54</f>
        <v>-1561783.2300000002</v>
      </c>
      <c r="D17" s="14"/>
      <c r="E17" s="14">
        <v>0</v>
      </c>
      <c r="F17" s="14"/>
      <c r="G17" s="14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f>70202.52+30316.79+30428.69+30885.34+31255.71+31377.21+31659.5+31774.48+31774.48+31834.13+31954.67+32015.51</f>
        <v>415479.02999999997</v>
      </c>
      <c r="P17" s="14"/>
      <c r="Q17" s="14">
        <v>0</v>
      </c>
      <c r="R17" s="14"/>
      <c r="S17" s="14">
        <v>0</v>
      </c>
      <c r="T17" s="14"/>
      <c r="U17" s="14">
        <f>C17-E17+I17+K17+M17+O17+Q17+S17+G17</f>
        <v>-1146304.2000000002</v>
      </c>
      <c r="V17" s="14"/>
      <c r="W17" s="37">
        <f>U17</f>
        <v>-1146304.2000000002</v>
      </c>
    </row>
    <row r="18" spans="2:24" x14ac:dyDescent="0.2">
      <c r="B18" s="3" t="s">
        <v>20</v>
      </c>
      <c r="C18" s="14">
        <f>'Summary - Reserve - PG 2 (Reg)'!E15+'Summary - Reserve - PG 2 (Reg)'!E39+'Summary - Reserve - PG 2 (Reg)'!E55</f>
        <v>-3375647.01</v>
      </c>
      <c r="D18" s="14"/>
      <c r="E18" s="14">
        <v>0</v>
      </c>
      <c r="F18" s="14"/>
      <c r="G18" s="14"/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0</v>
      </c>
      <c r="P18" s="14"/>
      <c r="Q18" s="14">
        <v>0</v>
      </c>
      <c r="R18" s="14"/>
      <c r="S18" s="14">
        <v>0</v>
      </c>
      <c r="T18" s="14"/>
      <c r="U18" s="14">
        <f t="shared" si="0"/>
        <v>-3375647.01</v>
      </c>
      <c r="V18" s="14"/>
      <c r="W18" s="37">
        <f>U18</f>
        <v>-3375647.01</v>
      </c>
    </row>
    <row r="19" spans="2:24" x14ac:dyDescent="0.2">
      <c r="B19" s="3" t="s">
        <v>79</v>
      </c>
      <c r="C19" s="14">
        <f>'Summary - Reserve - PG 2 (Reg)'!E16</f>
        <v>-11692.49</v>
      </c>
      <c r="D19" s="14"/>
      <c r="E19" s="14">
        <v>0</v>
      </c>
      <c r="F19" s="14"/>
      <c r="G19" s="14">
        <f>-C19</f>
        <v>11692.49</v>
      </c>
      <c r="H19" s="14"/>
      <c r="I19" s="14">
        <v>0</v>
      </c>
      <c r="J19" s="14"/>
      <c r="K19" s="14">
        <v>0</v>
      </c>
      <c r="L19" s="14"/>
      <c r="M19" s="14">
        <v>0</v>
      </c>
      <c r="N19" s="14"/>
      <c r="O19" s="14">
        <v>0</v>
      </c>
      <c r="P19" s="14"/>
      <c r="Q19" s="14">
        <v>0</v>
      </c>
      <c r="R19" s="14"/>
      <c r="S19" s="14">
        <v>0</v>
      </c>
      <c r="T19" s="14"/>
      <c r="U19" s="14">
        <f t="shared" si="0"/>
        <v>0</v>
      </c>
      <c r="V19" s="14"/>
      <c r="X19" s="37">
        <f>U19</f>
        <v>0</v>
      </c>
    </row>
    <row r="20" spans="2:24" x14ac:dyDescent="0.2">
      <c r="B20" s="3" t="s">
        <v>22</v>
      </c>
      <c r="C20" s="14">
        <f>'Summary - Reserve - PG 2 (Reg)'!E17+'Summary - Reserve - PG 2 (Reg)'!E40+'Summary - Reserve - PG 2 (Reg)'!E56</f>
        <v>-15183537.34</v>
      </c>
      <c r="D20" s="14"/>
      <c r="E20" s="14">
        <v>0</v>
      </c>
      <c r="F20" s="14"/>
      <c r="G20" s="14"/>
      <c r="H20" s="14"/>
      <c r="I20" s="14">
        <v>0</v>
      </c>
      <c r="J20" s="14"/>
      <c r="K20" s="14">
        <v>0</v>
      </c>
      <c r="L20" s="14"/>
      <c r="M20" s="35">
        <f>20605.6+125829.64-96490.75+38074.47+38065.01+38065.54+38484.46+39677.35+39725.55+39745.44+39752.51+39757.21+39757.21</f>
        <v>441049.24000000005</v>
      </c>
      <c r="N20" s="14"/>
      <c r="O20" s="14">
        <v>0</v>
      </c>
      <c r="P20" s="14"/>
      <c r="Q20" s="14">
        <v>0</v>
      </c>
      <c r="R20" s="14"/>
      <c r="S20" s="14">
        <v>0</v>
      </c>
      <c r="T20" s="14"/>
      <c r="U20" s="14">
        <f t="shared" si="0"/>
        <v>-14742488.1</v>
      </c>
      <c r="V20" s="14"/>
      <c r="W20" s="37">
        <f>U20</f>
        <v>-14742488.1</v>
      </c>
    </row>
    <row r="21" spans="2:24" x14ac:dyDescent="0.2">
      <c r="B21" s="3" t="s">
        <v>80</v>
      </c>
      <c r="C21" s="14">
        <f>'Summary - Reserve - PG 2 (Reg)'!E18</f>
        <v>-4641.8</v>
      </c>
      <c r="D21" s="14"/>
      <c r="E21" s="14">
        <v>0</v>
      </c>
      <c r="F21" s="14"/>
      <c r="G21" s="14">
        <f>-C21</f>
        <v>4641.8</v>
      </c>
      <c r="H21" s="14"/>
      <c r="I21" s="14">
        <v>0</v>
      </c>
      <c r="J21" s="14"/>
      <c r="K21" s="14">
        <v>0</v>
      </c>
      <c r="L21" s="14"/>
      <c r="M21" s="14">
        <v>0</v>
      </c>
      <c r="N21" s="14"/>
      <c r="O21" s="14">
        <v>0</v>
      </c>
      <c r="P21" s="14"/>
      <c r="Q21" s="14">
        <v>0</v>
      </c>
      <c r="R21" s="14"/>
      <c r="S21" s="14">
        <v>0</v>
      </c>
      <c r="T21" s="14"/>
      <c r="U21" s="14">
        <f t="shared" si="0"/>
        <v>0</v>
      </c>
      <c r="V21" s="14"/>
      <c r="X21" s="37">
        <f>U21</f>
        <v>0</v>
      </c>
    </row>
    <row r="22" spans="2:24" x14ac:dyDescent="0.2">
      <c r="B22" s="3" t="s">
        <v>23</v>
      </c>
      <c r="C22" s="14">
        <f>'Summary - Reserve - PG 2 (Reg)'!E19+'Summary - Reserve - PG 2 (Reg)'!E41+'Summary - Reserve - PG 2 (Reg)'!E57</f>
        <v>-66302125.230000004</v>
      </c>
      <c r="D22" s="14"/>
      <c r="E22" s="14">
        <v>0</v>
      </c>
      <c r="F22" s="14"/>
      <c r="G22" s="14"/>
      <c r="H22" s="14"/>
      <c r="I22" s="14">
        <v>0</v>
      </c>
      <c r="J22" s="14"/>
      <c r="K22" s="14">
        <f>0</f>
        <v>0</v>
      </c>
      <c r="L22" s="14"/>
      <c r="M22" s="14">
        <v>0</v>
      </c>
      <c r="N22" s="14"/>
      <c r="O22" s="14">
        <v>0</v>
      </c>
      <c r="P22" s="14"/>
      <c r="Q22" s="14">
        <v>0</v>
      </c>
      <c r="R22" s="14"/>
      <c r="S22" s="14">
        <f>-'KY_Res by Plant Acct-P29 (Reg)'!D220</f>
        <v>0</v>
      </c>
      <c r="T22" s="14"/>
      <c r="U22" s="14">
        <f t="shared" si="0"/>
        <v>-66302125.230000004</v>
      </c>
      <c r="V22" s="14"/>
      <c r="W22" s="37">
        <f>U22</f>
        <v>-66302125.230000004</v>
      </c>
    </row>
    <row r="23" spans="2:24" x14ac:dyDescent="0.2">
      <c r="B23" s="3" t="s">
        <v>81</v>
      </c>
      <c r="C23" s="14">
        <f>'Summary - Reserve - PG 2 (Reg)'!E20</f>
        <v>-17008435.280000001</v>
      </c>
      <c r="D23" s="14"/>
      <c r="E23" s="14"/>
      <c r="F23" s="14"/>
      <c r="G23" s="14">
        <f>-C23</f>
        <v>17008435.280000001</v>
      </c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14"/>
      <c r="Q23" s="14">
        <v>0</v>
      </c>
      <c r="R23" s="14"/>
      <c r="S23" s="14">
        <v>0</v>
      </c>
      <c r="T23" s="14"/>
      <c r="U23" s="14">
        <f t="shared" si="0"/>
        <v>0</v>
      </c>
      <c r="V23" s="14"/>
      <c r="X23" s="37">
        <f>U23</f>
        <v>0</v>
      </c>
    </row>
    <row r="24" spans="2:24" x14ac:dyDescent="0.2">
      <c r="B24" s="3" t="s">
        <v>24</v>
      </c>
      <c r="C24" s="14">
        <f>'Summary - Reserve - PG 2 (Reg)'!E21+'Summary - Reserve - PG 2 (Reg)'!E42+'Summary - Reserve - PG 2 (Reg)'!E58</f>
        <v>-8810214.2300000004</v>
      </c>
      <c r="D24" s="14"/>
      <c r="E24" s="14">
        <v>0</v>
      </c>
      <c r="F24" s="14"/>
      <c r="G24" s="14"/>
      <c r="H24" s="14"/>
      <c r="I24" s="14">
        <v>0</v>
      </c>
      <c r="J24" s="14"/>
      <c r="K24" s="14">
        <v>0</v>
      </c>
      <c r="L24" s="14"/>
      <c r="M24" s="14">
        <v>0</v>
      </c>
      <c r="N24" s="14"/>
      <c r="O24" s="14">
        <v>0</v>
      </c>
      <c r="P24" s="14"/>
      <c r="Q24" s="14">
        <v>0</v>
      </c>
      <c r="R24" s="14"/>
      <c r="S24" s="14">
        <v>0</v>
      </c>
      <c r="T24" s="14"/>
      <c r="U24" s="14">
        <f t="shared" si="0"/>
        <v>-8810214.2300000004</v>
      </c>
      <c r="V24" s="14"/>
      <c r="W24" s="37">
        <f>U24</f>
        <v>-8810214.2300000004</v>
      </c>
    </row>
    <row r="25" spans="2:24" x14ac:dyDescent="0.2">
      <c r="B25" s="3" t="s">
        <v>82</v>
      </c>
      <c r="C25" s="14">
        <f>'Summary - Reserve - PG 2 (Reg)'!E22</f>
        <v>-12858.85</v>
      </c>
      <c r="D25" s="14"/>
      <c r="E25" s="14">
        <v>0</v>
      </c>
      <c r="F25" s="14"/>
      <c r="G25" s="14">
        <f>-C25</f>
        <v>12858.85</v>
      </c>
      <c r="H25" s="14"/>
      <c r="I25" s="14">
        <v>0</v>
      </c>
      <c r="J25" s="14"/>
      <c r="K25" s="14">
        <v>0</v>
      </c>
      <c r="L25" s="14"/>
      <c r="M25" s="14">
        <v>0</v>
      </c>
      <c r="N25" s="14"/>
      <c r="O25" s="14">
        <v>0</v>
      </c>
      <c r="P25" s="14"/>
      <c r="Q25" s="14">
        <v>0</v>
      </c>
      <c r="R25" s="14"/>
      <c r="S25" s="14">
        <v>0</v>
      </c>
      <c r="T25" s="14"/>
      <c r="U25" s="14">
        <f t="shared" si="0"/>
        <v>0</v>
      </c>
      <c r="V25" s="14"/>
      <c r="X25" s="37">
        <f>U25</f>
        <v>0</v>
      </c>
    </row>
    <row r="26" spans="2:24" x14ac:dyDescent="0.2">
      <c r="B26" s="3" t="s">
        <v>2774</v>
      </c>
      <c r="C26" s="20">
        <f>SUM(C15:C25)</f>
        <v>-148093433.79999998</v>
      </c>
      <c r="D26" s="14"/>
      <c r="E26" s="20">
        <f>SUM(E15:E25)</f>
        <v>0</v>
      </c>
      <c r="F26" s="14"/>
      <c r="G26" s="20">
        <f>SUM(G15:G25)</f>
        <v>17079158.600000001</v>
      </c>
      <c r="H26" s="14"/>
      <c r="I26" s="20">
        <f>SUM(I15:I25)</f>
        <v>0</v>
      </c>
      <c r="J26" s="14"/>
      <c r="K26" s="20">
        <f>SUM(K15:K25)</f>
        <v>0</v>
      </c>
      <c r="L26" s="14"/>
      <c r="M26" s="20">
        <f>SUM(M15:M25)</f>
        <v>441049.24000000005</v>
      </c>
      <c r="N26" s="14"/>
      <c r="O26" s="20">
        <f>SUM(O15:O25)</f>
        <v>415479.02999999997</v>
      </c>
      <c r="P26" s="14"/>
      <c r="Q26" s="20">
        <f>SUM(Q15:Q25)</f>
        <v>0</v>
      </c>
      <c r="R26" s="14"/>
      <c r="S26" s="20">
        <f>SUM(S15:S25)</f>
        <v>0</v>
      </c>
      <c r="T26" s="14"/>
      <c r="U26" s="20">
        <f>SUM(U15:U25)</f>
        <v>-130157746.93000001</v>
      </c>
      <c r="V26" s="14"/>
      <c r="W26" s="20">
        <f>SUM(W15:W25)</f>
        <v>-130157746.93000001</v>
      </c>
      <c r="X26" s="20">
        <f>SUM(X15:X25)</f>
        <v>0</v>
      </c>
    </row>
    <row r="27" spans="2:24" x14ac:dyDescent="0.2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4" x14ac:dyDescent="0.2">
      <c r="B28" s="3" t="s">
        <v>27</v>
      </c>
      <c r="C28" s="14">
        <f>'Summary - Reserve - PG 2 (Reg)'!E23+'Summary - Reserve - PG 2 (Reg)'!E43+'Summary - Reserve - PG 2 (Reg)'!E59</f>
        <v>-24454504.140000001</v>
      </c>
      <c r="D28" s="14"/>
      <c r="E28" s="14">
        <v>0</v>
      </c>
      <c r="F28" s="14"/>
      <c r="G28" s="14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14"/>
      <c r="Q28" s="14">
        <v>0</v>
      </c>
      <c r="R28" s="14"/>
      <c r="S28" s="14">
        <v>0</v>
      </c>
      <c r="T28" s="14"/>
      <c r="U28" s="14">
        <f t="shared" ref="U28:U35" si="1">C28-E28+I28+K28+M28+O28+Q28+S28+G28</f>
        <v>-24454504.140000001</v>
      </c>
      <c r="V28" s="14"/>
    </row>
    <row r="29" spans="2:24" x14ac:dyDescent="0.2">
      <c r="B29" s="3" t="s">
        <v>83</v>
      </c>
      <c r="C29" s="14">
        <f>'Summary - Reserve - PG 2 (Reg)'!E24</f>
        <v>-284389.57</v>
      </c>
      <c r="D29" s="14"/>
      <c r="E29" s="14">
        <v>0</v>
      </c>
      <c r="F29" s="14"/>
      <c r="G29" s="14">
        <f>-C29</f>
        <v>284389.57</v>
      </c>
      <c r="H29" s="14"/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14"/>
      <c r="Q29" s="14">
        <v>0</v>
      </c>
      <c r="R29" s="14"/>
      <c r="S29" s="14">
        <v>0</v>
      </c>
      <c r="T29" s="14"/>
      <c r="U29" s="14">
        <f t="shared" si="1"/>
        <v>0</v>
      </c>
      <c r="V29" s="14"/>
    </row>
    <row r="30" spans="2:24" x14ac:dyDescent="0.2">
      <c r="B30" s="3" t="s">
        <v>28</v>
      </c>
      <c r="C30" s="14">
        <f>'Summary - Reserve - PG 2 (Reg)'!E25+'Summary - Reserve - PG 2 (Reg)'!E44+'Summary - Reserve - PG 2 (Reg)'!E60</f>
        <v>-696940.72</v>
      </c>
      <c r="D30" s="14"/>
      <c r="E30" s="14">
        <v>0</v>
      </c>
      <c r="F30" s="14"/>
      <c r="G30" s="14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f>28420.3+26435+26435+26894.7+27354.45+27354.43+27354.45+27354.43+27661.2+29064.32+30273.06+30273.04</f>
        <v>334874.38</v>
      </c>
      <c r="P30" s="14"/>
      <c r="Q30" s="14">
        <v>0</v>
      </c>
      <c r="R30" s="14"/>
      <c r="S30" s="14">
        <v>0</v>
      </c>
      <c r="T30" s="14"/>
      <c r="U30" s="14">
        <f t="shared" si="1"/>
        <v>-362066.33999999997</v>
      </c>
      <c r="V30" s="14"/>
    </row>
    <row r="31" spans="2:24" x14ac:dyDescent="0.2">
      <c r="B31" s="3" t="s">
        <v>30</v>
      </c>
      <c r="C31" s="14">
        <f>'Summary - Reserve - PG 2 (Reg)'!E26+'Summary - Reserve - PG 2 (Reg)'!E45+'Summary - Reserve - PG 2 (Reg)'!E61</f>
        <v>-3310182.5000000005</v>
      </c>
      <c r="D31" s="14"/>
      <c r="E31" s="14">
        <v>0</v>
      </c>
      <c r="F31" s="14"/>
      <c r="G31" s="14"/>
      <c r="H31" s="14"/>
      <c r="I31" s="14">
        <v>0</v>
      </c>
      <c r="J31" s="14"/>
      <c r="K31" s="14">
        <v>0</v>
      </c>
      <c r="L31" s="14"/>
      <c r="M31" s="14">
        <v>0</v>
      </c>
      <c r="N31" s="14"/>
      <c r="O31" s="14">
        <v>0</v>
      </c>
      <c r="P31" s="14"/>
      <c r="Q31" s="14">
        <v>0</v>
      </c>
      <c r="R31" s="14"/>
      <c r="S31" s="14">
        <v>0</v>
      </c>
      <c r="T31" s="14"/>
      <c r="U31" s="14">
        <f t="shared" si="1"/>
        <v>-3310182.5000000005</v>
      </c>
      <c r="V31" s="14"/>
    </row>
    <row r="32" spans="2:24" x14ac:dyDescent="0.2">
      <c r="B32" s="3" t="s">
        <v>84</v>
      </c>
      <c r="C32" s="14">
        <f>'Summary - Reserve - PG 2 (Reg)'!E27</f>
        <v>-225974.57</v>
      </c>
      <c r="D32" s="14"/>
      <c r="E32" s="14">
        <v>0</v>
      </c>
      <c r="F32" s="14"/>
      <c r="G32" s="14">
        <f>-C32</f>
        <v>225974.57</v>
      </c>
      <c r="H32" s="14"/>
      <c r="I32" s="14">
        <v>0</v>
      </c>
      <c r="J32" s="14"/>
      <c r="K32" s="14">
        <v>0</v>
      </c>
      <c r="L32" s="14"/>
      <c r="M32" s="14">
        <v>0</v>
      </c>
      <c r="N32" s="14"/>
      <c r="O32" s="14">
        <v>0</v>
      </c>
      <c r="P32" s="14"/>
      <c r="Q32" s="14">
        <v>0</v>
      </c>
      <c r="R32" s="14"/>
      <c r="S32" s="14">
        <v>0</v>
      </c>
      <c r="T32" s="14"/>
      <c r="U32" s="14">
        <f t="shared" si="1"/>
        <v>0</v>
      </c>
      <c r="V32" s="14"/>
    </row>
    <row r="33" spans="1:22" x14ac:dyDescent="0.2">
      <c r="B33" s="3" t="s">
        <v>51</v>
      </c>
      <c r="C33" s="14">
        <f>'Summary - Reserve - PG 2 (Reg)'!E28+'Summary - Reserve - PG 2 (Reg)'!E46+'Summary - Reserve - PG 2 (Reg)'!E62</f>
        <v>0</v>
      </c>
      <c r="D33" s="14"/>
      <c r="E33" s="14">
        <v>0</v>
      </c>
      <c r="F33" s="14"/>
      <c r="G33" s="14"/>
      <c r="H33" s="14"/>
      <c r="I33" s="14">
        <v>0</v>
      </c>
      <c r="J33" s="14"/>
      <c r="K33" s="14">
        <v>0</v>
      </c>
      <c r="L33" s="14"/>
      <c r="M33" s="14">
        <v>0</v>
      </c>
      <c r="N33" s="14"/>
      <c r="O33" s="14">
        <v>0</v>
      </c>
      <c r="P33" s="14"/>
      <c r="Q33" s="14">
        <v>0</v>
      </c>
      <c r="R33" s="14"/>
      <c r="S33" s="14">
        <v>0</v>
      </c>
      <c r="T33" s="14"/>
      <c r="U33" s="14">
        <f t="shared" si="1"/>
        <v>0</v>
      </c>
      <c r="V33" s="14"/>
    </row>
    <row r="34" spans="1:22" x14ac:dyDescent="0.2">
      <c r="B34" s="3" t="s">
        <v>31</v>
      </c>
      <c r="C34" s="14">
        <f>'Summary - Reserve - PG 2 (Reg)'!E29+'Summary - Reserve - PG 2 (Reg)'!E47+'Summary - Reserve - PG 2 (Reg)'!E63</f>
        <v>-742386.22000000009</v>
      </c>
      <c r="D34" s="14"/>
      <c r="E34" s="14">
        <v>0</v>
      </c>
      <c r="F34" s="14"/>
      <c r="G34" s="14"/>
      <c r="H34" s="14"/>
      <c r="I34" s="14">
        <v>0</v>
      </c>
      <c r="J34" s="14"/>
      <c r="K34" s="14">
        <v>0</v>
      </c>
      <c r="L34" s="14"/>
      <c r="M34" s="14">
        <v>0</v>
      </c>
      <c r="N34" s="14"/>
      <c r="O34" s="14">
        <v>0</v>
      </c>
      <c r="P34" s="14"/>
      <c r="Q34" s="14">
        <v>0</v>
      </c>
      <c r="R34" s="14"/>
      <c r="S34" s="14">
        <v>0</v>
      </c>
      <c r="T34" s="14"/>
      <c r="U34" s="14">
        <f t="shared" si="1"/>
        <v>-742386.22000000009</v>
      </c>
      <c r="V34" s="14"/>
    </row>
    <row r="35" spans="1:22" x14ac:dyDescent="0.2">
      <c r="B35" s="3" t="s">
        <v>85</v>
      </c>
      <c r="C35" s="15">
        <f>+'Summary - Reserve - PG 2 (Reg)'!E30</f>
        <v>-73027.83</v>
      </c>
      <c r="D35" s="16"/>
      <c r="E35" s="15">
        <v>0</v>
      </c>
      <c r="F35" s="16"/>
      <c r="G35" s="14">
        <f>-C35</f>
        <v>73027.83</v>
      </c>
      <c r="H35" s="16"/>
      <c r="I35" s="14">
        <v>0</v>
      </c>
      <c r="J35" s="16"/>
      <c r="K35" s="15">
        <v>0</v>
      </c>
      <c r="L35" s="16"/>
      <c r="M35" s="15">
        <v>0</v>
      </c>
      <c r="N35" s="16"/>
      <c r="O35" s="15">
        <v>0</v>
      </c>
      <c r="P35" s="16"/>
      <c r="Q35" s="15">
        <v>0</v>
      </c>
      <c r="R35" s="16"/>
      <c r="S35" s="15">
        <v>0</v>
      </c>
      <c r="T35" s="16"/>
      <c r="U35" s="14">
        <f t="shared" si="1"/>
        <v>0</v>
      </c>
      <c r="V35" s="14"/>
    </row>
    <row r="36" spans="1:22" x14ac:dyDescent="0.2">
      <c r="B36" s="3" t="s">
        <v>2775</v>
      </c>
      <c r="C36" s="20">
        <f>SUM(C28:C35)</f>
        <v>-29787405.549999997</v>
      </c>
      <c r="D36" s="16"/>
      <c r="E36" s="20">
        <f>SUM(E28:E35)</f>
        <v>0</v>
      </c>
      <c r="F36" s="16"/>
      <c r="G36" s="20">
        <f>SUM(G28:G35)</f>
        <v>583391.97</v>
      </c>
      <c r="H36" s="16"/>
      <c r="I36" s="20">
        <f>SUM(I28:I35)</f>
        <v>0</v>
      </c>
      <c r="J36" s="16"/>
      <c r="K36" s="20">
        <f>SUM(K28:K35)</f>
        <v>0</v>
      </c>
      <c r="L36" s="16"/>
      <c r="M36" s="20">
        <f>SUM(M28:M35)</f>
        <v>0</v>
      </c>
      <c r="N36" s="16"/>
      <c r="O36" s="20">
        <f>SUM(O28:O35)</f>
        <v>334874.38</v>
      </c>
      <c r="P36" s="16"/>
      <c r="Q36" s="20">
        <f>SUM(Q28:Q35)</f>
        <v>0</v>
      </c>
      <c r="R36" s="16"/>
      <c r="S36" s="20">
        <f>SUM(S28:S35)</f>
        <v>0</v>
      </c>
      <c r="T36" s="16"/>
      <c r="U36" s="20">
        <f>SUM(U28:U35)</f>
        <v>-28869139.199999999</v>
      </c>
      <c r="V36" s="14"/>
    </row>
    <row r="37" spans="1:22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"/>
    </row>
    <row r="38" spans="1:22" ht="13.5" thickBot="1" x14ac:dyDescent="0.25">
      <c r="B38" s="18" t="s">
        <v>2776</v>
      </c>
      <c r="C38" s="39">
        <f>C36+C26+C13</f>
        <v>-187031307.13999996</v>
      </c>
      <c r="D38" s="16"/>
      <c r="E38" s="39">
        <f>E36+E26+E13</f>
        <v>0</v>
      </c>
      <c r="F38" s="16"/>
      <c r="G38" s="39">
        <f>G36+G26+G13</f>
        <v>17662550.57</v>
      </c>
      <c r="H38" s="16"/>
      <c r="I38" s="39">
        <f>I36+I26+I13</f>
        <v>0</v>
      </c>
      <c r="J38" s="16"/>
      <c r="K38" s="39">
        <f>K36+K26+K13</f>
        <v>0</v>
      </c>
      <c r="L38" s="16"/>
      <c r="M38" s="39">
        <f>M36+M26+M13</f>
        <v>441049.24000000005</v>
      </c>
      <c r="N38" s="16"/>
      <c r="O38" s="39">
        <f>O36+O26+O13</f>
        <v>765690.09</v>
      </c>
      <c r="P38" s="16"/>
      <c r="Q38" s="39">
        <f>Q36+Q26+Q13</f>
        <v>0</v>
      </c>
      <c r="R38" s="16"/>
      <c r="S38" s="39">
        <f>S36+S26+S13</f>
        <v>0</v>
      </c>
      <c r="T38" s="16"/>
      <c r="U38" s="39">
        <f>U36+U26+U13</f>
        <v>-168162017.24000001</v>
      </c>
      <c r="V38" s="14"/>
    </row>
    <row r="39" spans="1:22" ht="13.5" thickTop="1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2" x14ac:dyDescent="0.2">
      <c r="A40" s="9" t="s">
        <v>95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4"/>
    </row>
    <row r="41" spans="1:22" x14ac:dyDescent="0.2">
      <c r="B41" s="3" t="s">
        <v>13</v>
      </c>
      <c r="C41" s="16">
        <f>'Summary - Reserve - PG 2 (Reg)'!E82</f>
        <v>-14818571.390000001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f>S41+Q41+O41+M41+K41+I41+E41+C41</f>
        <v>-14818571.390000001</v>
      </c>
      <c r="V41" s="14"/>
    </row>
    <row r="42" spans="1:22" x14ac:dyDescent="0.2">
      <c r="B42" s="3" t="s">
        <v>17</v>
      </c>
      <c r="C42" s="16">
        <f>'Summary - Reserve - PG 2 (Reg)'!E83</f>
        <v>0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/>
      <c r="Q42" s="16">
        <v>0</v>
      </c>
      <c r="R42" s="16"/>
      <c r="S42" s="16">
        <v>0</v>
      </c>
      <c r="T42" s="16"/>
      <c r="U42" s="16">
        <f>S42+Q42+O42+M42+K42+I42+E42+C42</f>
        <v>0</v>
      </c>
      <c r="V42" s="14"/>
    </row>
    <row r="43" spans="1:22" x14ac:dyDescent="0.2">
      <c r="B43" s="3" t="s">
        <v>26</v>
      </c>
      <c r="C43" s="15">
        <f>'Summary - Reserve - PG 2 (Reg)'!E84</f>
        <v>-44.52</v>
      </c>
      <c r="D43" s="16"/>
      <c r="E43" s="15">
        <v>0</v>
      </c>
      <c r="F43" s="16"/>
      <c r="G43" s="16">
        <v>0</v>
      </c>
      <c r="H43" s="16"/>
      <c r="I43" s="15">
        <v>0</v>
      </c>
      <c r="J43" s="16"/>
      <c r="K43" s="15">
        <v>0</v>
      </c>
      <c r="L43" s="16"/>
      <c r="M43" s="15">
        <v>0</v>
      </c>
      <c r="N43" s="16"/>
      <c r="O43" s="15">
        <v>0</v>
      </c>
      <c r="P43" s="16"/>
      <c r="Q43" s="15">
        <v>0</v>
      </c>
      <c r="R43" s="16"/>
      <c r="S43" s="15">
        <v>0</v>
      </c>
      <c r="T43" s="16"/>
      <c r="U43" s="15">
        <f>S43+Q43+O43+M43+K43+I43+E43+C43</f>
        <v>-44.52</v>
      </c>
      <c r="V43" s="14"/>
    </row>
    <row r="44" spans="1:22" x14ac:dyDescent="0.2">
      <c r="B44" s="116"/>
      <c r="C44" s="16">
        <f>SUM(C41:C43)</f>
        <v>-14818615.91</v>
      </c>
      <c r="D44" s="16"/>
      <c r="E44" s="16">
        <f>SUM(E41:E43)</f>
        <v>0</v>
      </c>
      <c r="F44" s="16"/>
      <c r="G44" s="19">
        <f>SUM(G41:G43)</f>
        <v>0</v>
      </c>
      <c r="H44" s="16"/>
      <c r="I44" s="16">
        <f>SUM(I41:I43)</f>
        <v>0</v>
      </c>
      <c r="J44" s="16"/>
      <c r="K44" s="16">
        <f>SUM(K41:K43)</f>
        <v>0</v>
      </c>
      <c r="L44" s="16"/>
      <c r="M44" s="16">
        <f>SUM(M41:M43)</f>
        <v>0</v>
      </c>
      <c r="N44" s="16"/>
      <c r="O44" s="16">
        <f>SUM(O41:O43)</f>
        <v>0</v>
      </c>
      <c r="P44" s="16"/>
      <c r="Q44" s="16">
        <f>SUM(Q41:Q43)</f>
        <v>0</v>
      </c>
      <c r="R44" s="16"/>
      <c r="S44" s="16">
        <f>SUM(S41:S43)</f>
        <v>0</v>
      </c>
      <c r="T44" s="16"/>
      <c r="U44" s="16">
        <f>SUM(U41:U43)</f>
        <v>-14818615.91</v>
      </c>
      <c r="V44" s="14"/>
    </row>
    <row r="45" spans="1:22" x14ac:dyDescent="0.2">
      <c r="B45" s="1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4"/>
    </row>
    <row r="46" spans="1:22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3.5" thickBot="1" x14ac:dyDescent="0.25">
      <c r="B47" s="9" t="s">
        <v>2777</v>
      </c>
      <c r="C47" s="39">
        <f>C38+C44</f>
        <v>-201849923.04999995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39">
        <f>U38+U44</f>
        <v>-182980633.15000001</v>
      </c>
      <c r="V47" s="14"/>
    </row>
    <row r="48" spans="1:22" ht="13.5" thickTop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3:21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3:21" x14ac:dyDescent="0.2">
      <c r="C50" s="167" t="s">
        <v>2778</v>
      </c>
      <c r="D50" s="167"/>
      <c r="E50" s="167"/>
      <c r="F50" s="167"/>
      <c r="G50" s="167"/>
      <c r="H50" s="52"/>
      <c r="I50" s="52"/>
      <c r="J50" s="52"/>
      <c r="K50" s="167" t="s">
        <v>2779</v>
      </c>
      <c r="L50" s="167"/>
      <c r="M50" s="167"/>
      <c r="N50" s="52"/>
      <c r="O50" s="52"/>
      <c r="P50" s="52"/>
      <c r="Q50" s="52"/>
      <c r="R50" s="52"/>
      <c r="S50" s="52"/>
      <c r="T50" s="52"/>
    </row>
    <row r="51" spans="3:21" x14ac:dyDescent="0.2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37"/>
    </row>
    <row r="52" spans="3:21" x14ac:dyDescent="0.2">
      <c r="C52" s="52" t="s">
        <v>2780</v>
      </c>
      <c r="D52" s="52"/>
      <c r="E52" s="52" t="s">
        <v>2781</v>
      </c>
      <c r="F52" s="52"/>
      <c r="G52" s="52">
        <v>10224814.289999999</v>
      </c>
      <c r="H52" s="52"/>
      <c r="I52" s="52"/>
      <c r="J52" s="52"/>
      <c r="K52" s="52" t="s">
        <v>2780</v>
      </c>
      <c r="L52" s="52"/>
      <c r="M52" s="52" t="s">
        <v>2782</v>
      </c>
      <c r="N52" s="52"/>
      <c r="O52" s="52">
        <v>136460987.41999999</v>
      </c>
      <c r="P52" s="52"/>
      <c r="Q52" s="52"/>
      <c r="R52" s="52"/>
      <c r="S52" s="52"/>
      <c r="T52" s="52"/>
    </row>
    <row r="53" spans="3:21" x14ac:dyDescent="0.2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 t="s">
        <v>2783</v>
      </c>
      <c r="N53" s="52"/>
      <c r="O53" s="52">
        <v>0</v>
      </c>
      <c r="P53" s="52"/>
      <c r="Q53" s="52"/>
      <c r="R53" s="52"/>
      <c r="S53" s="52"/>
      <c r="T53" s="52"/>
    </row>
    <row r="54" spans="3:21" x14ac:dyDescent="0.2">
      <c r="C54" s="52"/>
      <c r="D54" s="52"/>
      <c r="E54" s="52"/>
      <c r="F54" s="52"/>
      <c r="G54" s="168">
        <f>SUM(G52:G53)</f>
        <v>10224814.289999999</v>
      </c>
      <c r="H54" s="52"/>
      <c r="I54" s="52"/>
      <c r="J54" s="52"/>
      <c r="K54" s="52"/>
      <c r="L54" s="52"/>
      <c r="M54" s="52"/>
      <c r="N54" s="52"/>
      <c r="O54" s="168">
        <f>SUM(O52:O53)</f>
        <v>136460987.41999999</v>
      </c>
      <c r="P54" s="52"/>
      <c r="Q54" s="52"/>
      <c r="R54" s="52"/>
      <c r="S54" s="52"/>
      <c r="T54" s="52"/>
    </row>
    <row r="55" spans="3:21" x14ac:dyDescent="0.2"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3:21" x14ac:dyDescent="0.2">
      <c r="C56" s="52" t="s">
        <v>2784</v>
      </c>
      <c r="D56" s="52"/>
      <c r="E56" s="52"/>
      <c r="F56" s="52"/>
      <c r="G56" s="52"/>
      <c r="H56" s="52"/>
      <c r="I56" s="52"/>
      <c r="J56" s="52"/>
      <c r="K56" s="52" t="s">
        <v>2784</v>
      </c>
      <c r="L56" s="52"/>
      <c r="M56" s="52"/>
      <c r="N56" s="52"/>
      <c r="O56" s="52"/>
      <c r="P56" s="52"/>
      <c r="Q56" s="52"/>
      <c r="R56" s="52"/>
      <c r="S56" s="52"/>
      <c r="T56" s="52"/>
    </row>
    <row r="57" spans="3:21" x14ac:dyDescent="0.2">
      <c r="C57" s="52"/>
      <c r="D57" s="52"/>
      <c r="E57" s="52" t="s">
        <v>2774</v>
      </c>
      <c r="F57" s="52"/>
      <c r="G57" s="52">
        <f>-U42</f>
        <v>0</v>
      </c>
      <c r="H57" s="52"/>
      <c r="I57" s="52"/>
      <c r="J57" s="52"/>
      <c r="K57" s="52"/>
      <c r="L57" s="52"/>
      <c r="M57" s="52" t="s">
        <v>2774</v>
      </c>
      <c r="N57" s="52"/>
      <c r="O57" s="52">
        <f>-U26</f>
        <v>130157746.93000001</v>
      </c>
      <c r="P57" s="52"/>
      <c r="Q57" s="52"/>
      <c r="R57" s="52"/>
      <c r="S57" s="52"/>
      <c r="T57" s="52"/>
    </row>
    <row r="58" spans="3:21" x14ac:dyDescent="0.2">
      <c r="C58" s="52"/>
      <c r="D58" s="52"/>
      <c r="E58" s="169" t="s">
        <v>2785</v>
      </c>
      <c r="F58" s="52"/>
      <c r="G58" s="52">
        <f>-U41*0.69</f>
        <v>10224814.259099999</v>
      </c>
      <c r="H58" s="52"/>
      <c r="I58" s="52"/>
      <c r="J58" s="52"/>
      <c r="K58" s="52" t="s">
        <v>2772</v>
      </c>
      <c r="L58" s="52"/>
      <c r="M58" s="52">
        <f>-U13</f>
        <v>9135131.1099999994</v>
      </c>
      <c r="P58" s="52"/>
      <c r="Q58" s="52"/>
      <c r="R58" s="52"/>
      <c r="S58" s="52"/>
      <c r="T58" s="52"/>
    </row>
    <row r="59" spans="3:21" x14ac:dyDescent="0.2">
      <c r="C59" s="52"/>
      <c r="D59" s="52"/>
      <c r="E59" s="52"/>
      <c r="F59" s="52"/>
      <c r="G59" s="168">
        <f>SUM(G57:G58)</f>
        <v>10224814.259099999</v>
      </c>
      <c r="H59" s="52"/>
      <c r="I59" s="52"/>
      <c r="J59" s="52"/>
      <c r="K59" s="3" t="s">
        <v>2786</v>
      </c>
      <c r="M59" s="37">
        <f>+'KY_Res by Plant Acct-P29 (Reg)'!D493</f>
        <v>0</v>
      </c>
      <c r="O59" s="37">
        <f>-M59</f>
        <v>0</v>
      </c>
      <c r="P59" s="52"/>
      <c r="Q59" s="52"/>
      <c r="R59" s="52"/>
      <c r="S59" s="52"/>
      <c r="T59" s="52"/>
    </row>
    <row r="60" spans="3:21" x14ac:dyDescent="0.2">
      <c r="C60" s="52"/>
      <c r="D60" s="52"/>
      <c r="E60" s="52"/>
      <c r="F60" s="52"/>
      <c r="G60" s="52"/>
      <c r="H60" s="52"/>
      <c r="I60" s="52"/>
      <c r="J60" s="52"/>
      <c r="K60" s="52" t="s">
        <v>2772</v>
      </c>
      <c r="M60" s="168">
        <f>+M58+M59</f>
        <v>9135131.1099999994</v>
      </c>
      <c r="P60" s="52"/>
      <c r="Q60" s="52"/>
      <c r="R60" s="52"/>
      <c r="S60" s="52"/>
      <c r="T60" s="52"/>
    </row>
    <row r="61" spans="3:21" ht="13.5" thickBot="1" x14ac:dyDescent="0.25">
      <c r="C61" s="52"/>
      <c r="D61" s="52"/>
      <c r="E61" s="52" t="s">
        <v>2787</v>
      </c>
      <c r="F61" s="52"/>
      <c r="G61" s="170">
        <f>G59-G54</f>
        <v>-3.0899999663233757E-2</v>
      </c>
      <c r="H61" s="52"/>
      <c r="I61" s="52"/>
      <c r="J61" s="52"/>
      <c r="K61" s="52" t="s">
        <v>2788</v>
      </c>
      <c r="L61" s="52"/>
      <c r="M61" s="171">
        <v>0.69</v>
      </c>
      <c r="O61" s="52">
        <f>ROUND(+M60*M61,2)</f>
        <v>6303240.4699999997</v>
      </c>
      <c r="P61" s="52"/>
      <c r="Q61" s="99"/>
      <c r="R61" s="52"/>
      <c r="S61" s="52"/>
      <c r="T61" s="52"/>
    </row>
    <row r="62" spans="3:21" ht="13.5" thickTop="1" x14ac:dyDescent="0.2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168">
        <f>SUM(O57:O61)</f>
        <v>136460987.40000001</v>
      </c>
      <c r="P62" s="52"/>
      <c r="Q62" s="99"/>
      <c r="R62" s="52"/>
      <c r="S62" s="52"/>
      <c r="T62" s="52"/>
    </row>
    <row r="63" spans="3:21" x14ac:dyDescent="0.2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3:21" ht="13.5" thickBot="1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 t="s">
        <v>2787</v>
      </c>
      <c r="N64" s="52"/>
      <c r="O64" s="170">
        <f>O62-O54</f>
        <v>-1.9999980926513672E-2</v>
      </c>
      <c r="P64" s="52"/>
      <c r="Q64" s="52"/>
      <c r="R64" s="52"/>
      <c r="S64" s="52"/>
      <c r="T64" s="52"/>
    </row>
    <row r="65" spans="3:20" ht="13.5" thickTop="1" x14ac:dyDescent="0.2">
      <c r="C65" s="169" t="s">
        <v>2789</v>
      </c>
      <c r="D65" s="52"/>
      <c r="E65" s="52" t="s">
        <v>2781</v>
      </c>
      <c r="F65" s="52"/>
      <c r="G65" s="52">
        <v>4593801.62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3:20" x14ac:dyDescent="0.2">
      <c r="C66" s="52"/>
      <c r="D66" s="52"/>
      <c r="E66" s="52"/>
      <c r="F66" s="52"/>
      <c r="G66" s="52"/>
      <c r="H66" s="52"/>
      <c r="I66" s="52"/>
      <c r="J66" s="52"/>
      <c r="K66" s="169" t="s">
        <v>2789</v>
      </c>
      <c r="L66" s="52"/>
      <c r="M66" s="52" t="s">
        <v>2782</v>
      </c>
      <c r="N66" s="52"/>
      <c r="O66" s="52">
        <v>31701029.84</v>
      </c>
      <c r="P66" s="52"/>
      <c r="Q66" s="52"/>
      <c r="R66" s="52"/>
      <c r="S66" s="52"/>
      <c r="T66" s="52"/>
    </row>
    <row r="67" spans="3:20" x14ac:dyDescent="0.2">
      <c r="C67" s="52"/>
      <c r="D67" s="52"/>
      <c r="E67" s="52"/>
      <c r="F67" s="52"/>
      <c r="G67" s="168">
        <f>SUM(G65:G66)</f>
        <v>4593801.62</v>
      </c>
      <c r="H67" s="52"/>
      <c r="I67" s="52"/>
      <c r="J67" s="52"/>
      <c r="K67" s="52"/>
      <c r="L67" s="52"/>
      <c r="M67" s="52" t="s">
        <v>2783</v>
      </c>
      <c r="N67" s="52"/>
      <c r="O67" s="52">
        <v>0</v>
      </c>
      <c r="P67" s="52"/>
      <c r="Q67" s="52"/>
      <c r="R67" s="52"/>
      <c r="S67" s="52"/>
      <c r="T67" s="52"/>
    </row>
    <row r="68" spans="3:20" x14ac:dyDescent="0.2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168">
        <f>SUM(O66:O67)</f>
        <v>31701029.84</v>
      </c>
      <c r="P68" s="52"/>
      <c r="Q68" s="52"/>
      <c r="R68" s="52"/>
      <c r="S68" s="52"/>
      <c r="T68" s="52"/>
    </row>
    <row r="69" spans="3:20" x14ac:dyDescent="0.2">
      <c r="C69" s="52" t="s">
        <v>2784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</row>
    <row r="70" spans="3:20" x14ac:dyDescent="0.2">
      <c r="C70" s="52"/>
      <c r="D70" s="52"/>
      <c r="E70" s="52" t="s">
        <v>2790</v>
      </c>
      <c r="F70" s="52"/>
      <c r="G70" s="52">
        <f>-U43</f>
        <v>44.52</v>
      </c>
      <c r="H70" s="52"/>
      <c r="I70" s="52"/>
      <c r="J70" s="52"/>
      <c r="K70" s="52" t="s">
        <v>2784</v>
      </c>
      <c r="L70" s="52"/>
      <c r="M70" s="52"/>
      <c r="N70" s="52"/>
      <c r="O70" s="52"/>
      <c r="P70" s="52"/>
      <c r="Q70" s="52"/>
      <c r="R70" s="52"/>
      <c r="S70" s="52"/>
      <c r="T70" s="52"/>
    </row>
    <row r="71" spans="3:20" x14ac:dyDescent="0.2">
      <c r="C71" s="52"/>
      <c r="D71" s="52"/>
      <c r="E71" s="169" t="s">
        <v>2791</v>
      </c>
      <c r="F71" s="52"/>
      <c r="G71" s="52">
        <f>-U41*0.31</f>
        <v>4593757.1309000002</v>
      </c>
      <c r="H71" s="52"/>
      <c r="I71" s="52"/>
      <c r="J71" s="52"/>
      <c r="K71" s="52"/>
      <c r="L71" s="52"/>
      <c r="M71" s="52" t="s">
        <v>2790</v>
      </c>
      <c r="N71" s="52"/>
      <c r="O71" s="52">
        <f>-U36</f>
        <v>28869139.199999999</v>
      </c>
      <c r="P71" s="52"/>
      <c r="Q71" s="52"/>
      <c r="R71" s="52"/>
      <c r="S71" s="52"/>
      <c r="T71" s="52"/>
    </row>
    <row r="72" spans="3:20" x14ac:dyDescent="0.2">
      <c r="C72" s="52"/>
      <c r="D72" s="52"/>
      <c r="E72" s="52"/>
      <c r="F72" s="52"/>
      <c r="G72" s="168">
        <f>SUM(G70:G71)</f>
        <v>4593801.6508999998</v>
      </c>
      <c r="H72" s="52"/>
      <c r="I72" s="52"/>
      <c r="J72" s="52"/>
      <c r="K72" s="52" t="s">
        <v>2772</v>
      </c>
      <c r="L72" s="52"/>
      <c r="M72" s="52">
        <f>-U13</f>
        <v>9135131.1099999994</v>
      </c>
      <c r="N72" s="52"/>
      <c r="O72" s="52"/>
      <c r="P72" s="52"/>
      <c r="Q72" s="52"/>
      <c r="R72" s="52"/>
      <c r="S72" s="52"/>
      <c r="T72" s="52"/>
    </row>
    <row r="73" spans="3:20" x14ac:dyDescent="0.2">
      <c r="C73" s="52"/>
      <c r="D73" s="52"/>
      <c r="E73" s="52"/>
      <c r="F73" s="52"/>
      <c r="G73" s="52"/>
      <c r="H73" s="52"/>
      <c r="I73" s="52"/>
      <c r="J73" s="52"/>
      <c r="K73" s="3" t="s">
        <v>2786</v>
      </c>
      <c r="M73" s="37">
        <f>+M59</f>
        <v>0</v>
      </c>
      <c r="N73" s="52"/>
      <c r="O73" s="52"/>
      <c r="P73" s="52"/>
      <c r="Q73" s="52"/>
      <c r="R73" s="52"/>
      <c r="S73" s="52"/>
      <c r="T73" s="52"/>
    </row>
    <row r="74" spans="3:20" ht="13.5" thickBot="1" x14ac:dyDescent="0.25">
      <c r="C74" s="52"/>
      <c r="D74" s="52"/>
      <c r="E74" s="52" t="s">
        <v>2787</v>
      </c>
      <c r="F74" s="52"/>
      <c r="G74" s="170">
        <f>G72-G67</f>
        <v>3.0899999663233757E-2</v>
      </c>
      <c r="H74" s="52"/>
      <c r="I74" s="52"/>
      <c r="J74" s="52"/>
      <c r="K74" s="52" t="s">
        <v>2772</v>
      </c>
      <c r="M74" s="168">
        <f>+M72+M73</f>
        <v>9135131.1099999994</v>
      </c>
      <c r="N74" s="52"/>
      <c r="O74" s="52"/>
      <c r="P74" s="52"/>
      <c r="Q74" s="99"/>
      <c r="R74" s="52"/>
      <c r="S74" s="52"/>
      <c r="T74" s="52"/>
    </row>
    <row r="75" spans="3:20" ht="13.5" thickTop="1" x14ac:dyDescent="0.2">
      <c r="C75" s="52"/>
      <c r="D75" s="52"/>
      <c r="E75" s="52"/>
      <c r="F75" s="52"/>
      <c r="G75" s="52"/>
      <c r="H75" s="52"/>
      <c r="I75" s="52"/>
      <c r="J75" s="52"/>
      <c r="K75" s="52" t="s">
        <v>2788</v>
      </c>
      <c r="L75" s="52"/>
      <c r="M75" s="171">
        <v>0.31</v>
      </c>
      <c r="N75" s="52"/>
      <c r="O75" s="52">
        <f>ROUND(+M74*M75,2)</f>
        <v>2831890.64</v>
      </c>
      <c r="P75" s="52"/>
      <c r="Q75" s="52"/>
      <c r="R75" s="52"/>
      <c r="S75" s="52"/>
      <c r="T75" s="52"/>
    </row>
    <row r="76" spans="3:20" x14ac:dyDescent="0.2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168">
        <f>SUM(O71:O75)</f>
        <v>31701029.84</v>
      </c>
      <c r="P76" s="52"/>
      <c r="Q76" s="52"/>
      <c r="R76" s="52"/>
      <c r="S76" s="52"/>
      <c r="T76" s="52"/>
    </row>
    <row r="77" spans="3:20" x14ac:dyDescent="0.2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</row>
    <row r="78" spans="3:20" ht="13.5" thickBot="1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 t="s">
        <v>2787</v>
      </c>
      <c r="N78" s="52"/>
      <c r="O78" s="170">
        <f>O76-O68</f>
        <v>0</v>
      </c>
      <c r="P78" s="52"/>
      <c r="Q78" s="52"/>
      <c r="R78" s="52"/>
      <c r="S78" s="52"/>
      <c r="T78" s="52"/>
    </row>
    <row r="79" spans="3:20" ht="13.5" thickTop="1" x14ac:dyDescent="0.2">
      <c r="C79" s="52"/>
      <c r="D79" s="52"/>
      <c r="E79" s="52"/>
      <c r="F79" s="52"/>
      <c r="G79" s="52"/>
      <c r="H79" s="52"/>
      <c r="I79" s="52"/>
      <c r="J79" s="52"/>
      <c r="P79" s="52"/>
      <c r="Q79" s="52"/>
      <c r="R79" s="52"/>
      <c r="S79" s="52"/>
      <c r="T79" s="52"/>
    </row>
    <row r="80" spans="3:20" x14ac:dyDescent="0.2">
      <c r="C80" s="52"/>
      <c r="D80" s="52"/>
      <c r="E80" s="52"/>
      <c r="F80" s="52"/>
      <c r="G80" s="52"/>
      <c r="H80" s="52"/>
      <c r="I80" s="52"/>
      <c r="J80" s="52"/>
      <c r="O80" s="52">
        <f>O64+O78</f>
        <v>-1.9999980926513672E-2</v>
      </c>
      <c r="P80" s="52"/>
      <c r="Q80" s="52"/>
      <c r="R80" s="52"/>
      <c r="S80" s="52"/>
      <c r="T80" s="52"/>
    </row>
    <row r="81" spans="3:20" x14ac:dyDescent="0.2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3:20" x14ac:dyDescent="0.2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3:20" x14ac:dyDescent="0.2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3:20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  <row r="85" spans="3:20" x14ac:dyDescent="0.2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3:20" x14ac:dyDescent="0.2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3:20" x14ac:dyDescent="0.2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</row>
    <row r="88" spans="3:20" x14ac:dyDescent="0.2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</row>
    <row r="89" spans="3:20" x14ac:dyDescent="0.2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</row>
    <row r="90" spans="3:20" x14ac:dyDescent="0.2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</row>
    <row r="91" spans="3:20" x14ac:dyDescent="0.2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</row>
    <row r="92" spans="3:20" x14ac:dyDescent="0.2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3:20" x14ac:dyDescent="0.2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</row>
    <row r="94" spans="3:20" x14ac:dyDescent="0.2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3:20" x14ac:dyDescent="0.2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</row>
    <row r="96" spans="3:20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</row>
    <row r="97" spans="3:20" x14ac:dyDescent="0.2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</row>
    <row r="98" spans="3:20" x14ac:dyDescent="0.2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</row>
    <row r="99" spans="3:20" x14ac:dyDescent="0.2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</row>
    <row r="100" spans="3:20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</row>
    <row r="101" spans="3:20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</row>
    <row r="102" spans="3:20" x14ac:dyDescent="0.2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3:20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3:20" x14ac:dyDescent="0.2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</row>
    <row r="105" spans="3:20" x14ac:dyDescent="0.2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06" spans="3:20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3:20" x14ac:dyDescent="0.2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</row>
    <row r="108" spans="3:20" x14ac:dyDescent="0.2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</row>
    <row r="109" spans="3:20" x14ac:dyDescent="0.2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</row>
    <row r="110" spans="3:20" x14ac:dyDescent="0.2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</row>
    <row r="111" spans="3:20" x14ac:dyDescent="0.2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</row>
    <row r="112" spans="3:20" x14ac:dyDescent="0.2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</row>
    <row r="113" spans="3:20" x14ac:dyDescent="0.2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</row>
    <row r="114" spans="3:20" x14ac:dyDescent="0.2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  <row r="115" spans="3:20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</row>
    <row r="116" spans="3:20" x14ac:dyDescent="0.2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</row>
    <row r="117" spans="3:20" x14ac:dyDescent="0.2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</row>
    <row r="118" spans="3:20" x14ac:dyDescent="0.2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</row>
    <row r="119" spans="3:20" x14ac:dyDescent="0.2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</row>
    <row r="120" spans="3:20" x14ac:dyDescent="0.2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</row>
    <row r="121" spans="3:20" x14ac:dyDescent="0.2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</row>
    <row r="122" spans="3:20" x14ac:dyDescent="0.2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</row>
    <row r="123" spans="3:20" x14ac:dyDescent="0.2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</row>
    <row r="124" spans="3:20" x14ac:dyDescent="0.2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</row>
    <row r="125" spans="3:20" x14ac:dyDescent="0.2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</row>
    <row r="126" spans="3:20" x14ac:dyDescent="0.2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</row>
    <row r="127" spans="3:20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</row>
    <row r="128" spans="3:20" x14ac:dyDescent="0.2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</row>
    <row r="129" spans="3:20" x14ac:dyDescent="0.2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</row>
    <row r="130" spans="3:20" x14ac:dyDescent="0.2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</row>
    <row r="131" spans="3:20" x14ac:dyDescent="0.2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</row>
    <row r="132" spans="3:20" x14ac:dyDescent="0.2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</row>
    <row r="133" spans="3:20" x14ac:dyDescent="0.2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</row>
    <row r="134" spans="3:20" x14ac:dyDescent="0.2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</row>
    <row r="135" spans="3:20" x14ac:dyDescent="0.2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</row>
    <row r="136" spans="3:20" x14ac:dyDescent="0.2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</row>
    <row r="137" spans="3:20" x14ac:dyDescent="0.2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</row>
    <row r="138" spans="3:20" x14ac:dyDescent="0.2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</row>
    <row r="139" spans="3:20" x14ac:dyDescent="0.2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</row>
    <row r="140" spans="3:20" x14ac:dyDescent="0.2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</row>
    <row r="141" spans="3:20" x14ac:dyDescent="0.2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</row>
    <row r="142" spans="3:20" x14ac:dyDescent="0.2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</row>
    <row r="143" spans="3:20" x14ac:dyDescent="0.2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</row>
    <row r="144" spans="3:20" x14ac:dyDescent="0.2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</row>
    <row r="145" spans="3:20" x14ac:dyDescent="0.2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</row>
    <row r="146" spans="3:20" x14ac:dyDescent="0.2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</row>
    <row r="147" spans="3:20" x14ac:dyDescent="0.2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</row>
    <row r="148" spans="3:20" x14ac:dyDescent="0.2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</row>
    <row r="149" spans="3:20" x14ac:dyDescent="0.2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</row>
    <row r="150" spans="3:20" x14ac:dyDescent="0.2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</row>
    <row r="151" spans="3:20" x14ac:dyDescent="0.2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</row>
    <row r="152" spans="3:20" x14ac:dyDescent="0.2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</row>
    <row r="153" spans="3:20" x14ac:dyDescent="0.2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</row>
    <row r="154" spans="3:20" x14ac:dyDescent="0.2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</row>
    <row r="155" spans="3:20" x14ac:dyDescent="0.2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</row>
    <row r="156" spans="3:20" x14ac:dyDescent="0.2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</row>
    <row r="157" spans="3:20" x14ac:dyDescent="0.2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</row>
    <row r="158" spans="3:20" x14ac:dyDescent="0.2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</row>
    <row r="159" spans="3:20" x14ac:dyDescent="0.2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</row>
    <row r="160" spans="3:20" x14ac:dyDescent="0.2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</row>
    <row r="161" spans="3:20" x14ac:dyDescent="0.2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</row>
    <row r="162" spans="3:20" x14ac:dyDescent="0.2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</row>
    <row r="163" spans="3:20" x14ac:dyDescent="0.2"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</row>
    <row r="164" spans="3:20" x14ac:dyDescent="0.2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</row>
    <row r="165" spans="3:20" x14ac:dyDescent="0.2"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</row>
    <row r="166" spans="3:20" x14ac:dyDescent="0.2"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</row>
    <row r="167" spans="3:20" x14ac:dyDescent="0.2"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</row>
    <row r="168" spans="3:20" x14ac:dyDescent="0.2"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</row>
    <row r="169" spans="3:20" x14ac:dyDescent="0.2"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</row>
    <row r="170" spans="3:20" x14ac:dyDescent="0.2"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</row>
    <row r="171" spans="3:20" x14ac:dyDescent="0.2"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</row>
    <row r="172" spans="3:20" x14ac:dyDescent="0.2"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</row>
    <row r="173" spans="3:20" x14ac:dyDescent="0.2"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</row>
    <row r="174" spans="3:20" x14ac:dyDescent="0.2"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</row>
    <row r="175" spans="3:20" x14ac:dyDescent="0.2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</row>
    <row r="176" spans="3:20" x14ac:dyDescent="0.2"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</row>
    <row r="177" spans="3:20" x14ac:dyDescent="0.2"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</row>
    <row r="178" spans="3:20" x14ac:dyDescent="0.2"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</row>
    <row r="179" spans="3:20" x14ac:dyDescent="0.2"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</row>
    <row r="180" spans="3:20" x14ac:dyDescent="0.2"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</row>
    <row r="181" spans="3:20" x14ac:dyDescent="0.2"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</row>
    <row r="182" spans="3:20" x14ac:dyDescent="0.2"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</row>
    <row r="183" spans="3:20" x14ac:dyDescent="0.2"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</row>
    <row r="184" spans="3:20" x14ac:dyDescent="0.2"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</row>
    <row r="185" spans="3:20" x14ac:dyDescent="0.2"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</row>
    <row r="186" spans="3:20" x14ac:dyDescent="0.2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</row>
    <row r="187" spans="3:20" x14ac:dyDescent="0.2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</row>
    <row r="188" spans="3:20" x14ac:dyDescent="0.2"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</row>
    <row r="189" spans="3:20" x14ac:dyDescent="0.2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</row>
    <row r="190" spans="3:20" x14ac:dyDescent="0.2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</row>
    <row r="191" spans="3:20" x14ac:dyDescent="0.2"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</row>
    <row r="192" spans="3:20" x14ac:dyDescent="0.2"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</row>
    <row r="193" spans="3:20" x14ac:dyDescent="0.2"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</row>
    <row r="194" spans="3:20" x14ac:dyDescent="0.2"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</row>
    <row r="195" spans="3:20" x14ac:dyDescent="0.2"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</row>
    <row r="196" spans="3:20" x14ac:dyDescent="0.2"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</row>
    <row r="197" spans="3:20" x14ac:dyDescent="0.2"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</row>
    <row r="198" spans="3:20" x14ac:dyDescent="0.2"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</row>
    <row r="199" spans="3:20" x14ac:dyDescent="0.2"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</row>
    <row r="200" spans="3:20" x14ac:dyDescent="0.2"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</row>
    <row r="201" spans="3:20" x14ac:dyDescent="0.2"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</row>
    <row r="202" spans="3:20" x14ac:dyDescent="0.2"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</row>
    <row r="203" spans="3:20" x14ac:dyDescent="0.2"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</row>
    <row r="204" spans="3:20" x14ac:dyDescent="0.2"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</row>
    <row r="205" spans="3:20" x14ac:dyDescent="0.2"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</row>
    <row r="206" spans="3:20" x14ac:dyDescent="0.2"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</row>
    <row r="207" spans="3:20" x14ac:dyDescent="0.2"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</row>
    <row r="208" spans="3:20" x14ac:dyDescent="0.2"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</row>
    <row r="209" spans="3:20" x14ac:dyDescent="0.2"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</row>
    <row r="210" spans="3:20" x14ac:dyDescent="0.2"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</row>
    <row r="211" spans="3:20" x14ac:dyDescent="0.2"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</row>
    <row r="212" spans="3:20" x14ac:dyDescent="0.2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</row>
    <row r="213" spans="3:20" x14ac:dyDescent="0.2"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</row>
    <row r="214" spans="3:20" x14ac:dyDescent="0.2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</row>
    <row r="215" spans="3:20" x14ac:dyDescent="0.2"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</row>
    <row r="216" spans="3:20" x14ac:dyDescent="0.2"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</row>
    <row r="217" spans="3:20" x14ac:dyDescent="0.2"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</row>
    <row r="218" spans="3:20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</row>
    <row r="219" spans="3:20" x14ac:dyDescent="0.2"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</row>
    <row r="220" spans="3:20" x14ac:dyDescent="0.2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</row>
    <row r="221" spans="3:20" x14ac:dyDescent="0.2"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</row>
    <row r="222" spans="3:20" x14ac:dyDescent="0.2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</row>
    <row r="223" spans="3:20" x14ac:dyDescent="0.2"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</row>
    <row r="224" spans="3:20" x14ac:dyDescent="0.2"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</row>
    <row r="225" spans="3:20" x14ac:dyDescent="0.2"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</row>
    <row r="226" spans="3:20" x14ac:dyDescent="0.2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</row>
    <row r="227" spans="3:20" x14ac:dyDescent="0.2"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</row>
    <row r="228" spans="3:20" x14ac:dyDescent="0.2"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</row>
    <row r="229" spans="3:20" x14ac:dyDescent="0.2"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</row>
    <row r="230" spans="3:20" x14ac:dyDescent="0.2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</row>
    <row r="231" spans="3:20" x14ac:dyDescent="0.2"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</row>
    <row r="232" spans="3:20" x14ac:dyDescent="0.2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</row>
    <row r="233" spans="3:20" x14ac:dyDescent="0.2"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</row>
    <row r="234" spans="3:20" x14ac:dyDescent="0.2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</row>
    <row r="235" spans="3:20" x14ac:dyDescent="0.2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</row>
    <row r="236" spans="3:20" x14ac:dyDescent="0.2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</row>
    <row r="237" spans="3:20" x14ac:dyDescent="0.2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</row>
    <row r="238" spans="3:20" x14ac:dyDescent="0.2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</row>
    <row r="239" spans="3:20" x14ac:dyDescent="0.2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</row>
    <row r="240" spans="3:20" x14ac:dyDescent="0.2"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</row>
    <row r="241" spans="3:20" x14ac:dyDescent="0.2"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</row>
    <row r="242" spans="3:20" x14ac:dyDescent="0.2"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</row>
    <row r="243" spans="3:20" x14ac:dyDescent="0.2"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</row>
    <row r="244" spans="3:20" x14ac:dyDescent="0.2"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</row>
    <row r="245" spans="3:20" x14ac:dyDescent="0.2"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</row>
    <row r="246" spans="3:20" x14ac:dyDescent="0.2"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</row>
    <row r="247" spans="3:20" x14ac:dyDescent="0.2"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</row>
    <row r="248" spans="3:20" x14ac:dyDescent="0.2"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</row>
    <row r="249" spans="3:20" x14ac:dyDescent="0.2"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</row>
    <row r="250" spans="3:20" x14ac:dyDescent="0.2"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</row>
    <row r="251" spans="3:20" x14ac:dyDescent="0.2"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</row>
    <row r="252" spans="3:20" x14ac:dyDescent="0.2"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</row>
    <row r="253" spans="3:20" x14ac:dyDescent="0.2"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</row>
    <row r="254" spans="3:20" x14ac:dyDescent="0.2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</row>
    <row r="255" spans="3:20" x14ac:dyDescent="0.2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</row>
    <row r="256" spans="3:20" x14ac:dyDescent="0.2"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</row>
    <row r="257" spans="3:20" x14ac:dyDescent="0.2"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</row>
    <row r="258" spans="3:20" x14ac:dyDescent="0.2"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</row>
    <row r="259" spans="3:20" x14ac:dyDescent="0.2"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</row>
    <row r="260" spans="3:20" x14ac:dyDescent="0.2"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</row>
    <row r="261" spans="3:20" x14ac:dyDescent="0.2"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</row>
    <row r="262" spans="3:20" x14ac:dyDescent="0.2"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</row>
    <row r="263" spans="3:20" x14ac:dyDescent="0.2"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</row>
    <row r="264" spans="3:20" x14ac:dyDescent="0.2"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</row>
    <row r="265" spans="3:20" x14ac:dyDescent="0.2"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</row>
    <row r="266" spans="3:20" x14ac:dyDescent="0.2"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</row>
    <row r="267" spans="3:20" x14ac:dyDescent="0.2"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</row>
    <row r="268" spans="3:20" x14ac:dyDescent="0.2"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</row>
    <row r="269" spans="3:20" x14ac:dyDescent="0.2"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</row>
    <row r="270" spans="3:20" x14ac:dyDescent="0.2"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</row>
    <row r="271" spans="3:20" x14ac:dyDescent="0.2"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</row>
    <row r="272" spans="3:20" x14ac:dyDescent="0.2"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</row>
    <row r="273" spans="3:20" x14ac:dyDescent="0.2"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</row>
    <row r="274" spans="3:20" x14ac:dyDescent="0.2"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</row>
    <row r="275" spans="3:20" x14ac:dyDescent="0.2"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</row>
    <row r="276" spans="3:20" x14ac:dyDescent="0.2"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</row>
    <row r="277" spans="3:20" x14ac:dyDescent="0.2"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</row>
    <row r="278" spans="3:20" x14ac:dyDescent="0.2"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</row>
    <row r="279" spans="3:20" x14ac:dyDescent="0.2"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</row>
    <row r="280" spans="3:20" x14ac:dyDescent="0.2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</row>
    <row r="281" spans="3:20" x14ac:dyDescent="0.2">
      <c r="K281" s="52"/>
      <c r="L281" s="52"/>
      <c r="M281" s="52"/>
      <c r="N281" s="52"/>
      <c r="O281" s="52"/>
    </row>
    <row r="282" spans="3:20" x14ac:dyDescent="0.2">
      <c r="K282" s="52"/>
      <c r="L282" s="52"/>
      <c r="M282" s="52"/>
      <c r="N282" s="52"/>
      <c r="O282" s="52"/>
    </row>
    <row r="283" spans="3:20" x14ac:dyDescent="0.2">
      <c r="K283" s="52"/>
      <c r="L283" s="52"/>
      <c r="M283" s="52"/>
      <c r="N283" s="52"/>
      <c r="O283" s="52"/>
    </row>
  </sheetData>
  <mergeCells count="3">
    <mergeCell ref="A1:S1"/>
    <mergeCell ref="A2:S2"/>
    <mergeCell ref="A3:S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61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6.7109375" style="3" customWidth="1"/>
    <col min="15" max="15" width="2.28515625" style="3" customWidth="1"/>
    <col min="16" max="16" width="23.140625" style="3" bestFit="1" customWidth="1"/>
    <col min="17" max="16384" width="9.140625" style="3"/>
  </cols>
  <sheetData>
    <row r="1" spans="1:16" s="130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0" customFormat="1" ht="15.75" x14ac:dyDescent="0.25">
      <c r="A2" s="210" t="s">
        <v>2792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6" spans="1:16" x14ac:dyDescent="0.2">
      <c r="B6" s="7" t="s">
        <v>3</v>
      </c>
      <c r="D6" s="136"/>
      <c r="F6" s="136"/>
      <c r="H6" s="7" t="s">
        <v>4</v>
      </c>
      <c r="J6" s="136"/>
      <c r="L6" s="7" t="s">
        <v>5</v>
      </c>
      <c r="P6" s="1" t="s">
        <v>2793</v>
      </c>
    </row>
    <row r="7" spans="1:16" x14ac:dyDescent="0.2">
      <c r="A7" s="9" t="s">
        <v>2794</v>
      </c>
      <c r="B7" s="11" t="s">
        <v>7</v>
      </c>
      <c r="D7" s="11" t="s">
        <v>8</v>
      </c>
      <c r="F7" s="11" t="s">
        <v>9</v>
      </c>
      <c r="H7" s="11" t="s">
        <v>10</v>
      </c>
      <c r="J7" s="11" t="s">
        <v>11</v>
      </c>
      <c r="L7" s="11" t="s">
        <v>7</v>
      </c>
      <c r="N7" s="11" t="s">
        <v>2795</v>
      </c>
      <c r="P7" s="11" t="s">
        <v>2796</v>
      </c>
    </row>
    <row r="8" spans="1:16" x14ac:dyDescent="0.2">
      <c r="A8" s="9" t="s">
        <v>2797</v>
      </c>
      <c r="B8" s="17"/>
      <c r="D8" s="17"/>
      <c r="F8" s="17"/>
      <c r="H8" s="17"/>
      <c r="J8" s="17"/>
      <c r="L8" s="17"/>
    </row>
    <row r="9" spans="1:16" x14ac:dyDescent="0.2">
      <c r="A9" s="9" t="s">
        <v>2798</v>
      </c>
    </row>
    <row r="10" spans="1:16" x14ac:dyDescent="0.2">
      <c r="A10" s="9" t="s">
        <v>2799</v>
      </c>
    </row>
    <row r="11" spans="1:16" x14ac:dyDescent="0.2">
      <c r="A11" s="3" t="s">
        <v>232</v>
      </c>
      <c r="B11" s="136">
        <f>'KY_Cost Plant Acct-Comm-P8(Reg)'!B11</f>
        <v>1564394.3699999999</v>
      </c>
      <c r="C11" s="136"/>
      <c r="D11" s="136">
        <f>'KY_Cost Plant Acct-Comm-P8(Reg)'!D11</f>
        <v>0</v>
      </c>
      <c r="E11" s="136"/>
      <c r="F11" s="136">
        <f>'KY_Cost Plant Acct-Comm-P8(Reg)'!F11</f>
        <v>0</v>
      </c>
      <c r="G11" s="136"/>
      <c r="H11" s="136">
        <f>'KY_Cost Plant Acct-Comm-P8(Reg)'!H11</f>
        <v>0</v>
      </c>
      <c r="I11" s="136"/>
      <c r="J11" s="136">
        <f t="shared" ref="J11:J40" si="0">H11+F11+D11</f>
        <v>0</v>
      </c>
      <c r="K11" s="136"/>
      <c r="L11" s="136">
        <f t="shared" ref="L11:L40" si="1">J11+B11</f>
        <v>1564394.3699999999</v>
      </c>
      <c r="M11" s="147"/>
      <c r="N11" s="37">
        <f>'KY_Res by Plant Acct-P29 (Reg)'!R478</f>
        <v>0</v>
      </c>
      <c r="P11" s="37">
        <f t="shared" ref="P11:P40" si="2">L11+N11</f>
        <v>1564394.3699999999</v>
      </c>
    </row>
    <row r="12" spans="1:16" x14ac:dyDescent="0.2">
      <c r="A12" s="3" t="s">
        <v>233</v>
      </c>
      <c r="B12" s="136">
        <f>'KY_Cost Plant Acct-Comm-P8(Reg)'!B12</f>
        <v>0</v>
      </c>
      <c r="C12" s="136"/>
      <c r="D12" s="136">
        <f>'KY_Cost Plant Acct-Comm-P8(Reg)'!D12</f>
        <v>0</v>
      </c>
      <c r="E12" s="136"/>
      <c r="F12" s="136">
        <f>'KY_Cost Plant Acct-Comm-P8(Reg)'!F12</f>
        <v>0</v>
      </c>
      <c r="G12" s="136"/>
      <c r="H12" s="136">
        <f>'KY_Cost Plant Acct-Comm-P8(Reg)'!H12</f>
        <v>0</v>
      </c>
      <c r="I12" s="136"/>
      <c r="J12" s="136">
        <f t="shared" si="0"/>
        <v>0</v>
      </c>
      <c r="K12" s="136"/>
      <c r="L12" s="136">
        <f t="shared" si="1"/>
        <v>0</v>
      </c>
      <c r="M12" s="147"/>
      <c r="N12" s="37">
        <f>'KY_Res by Plant Acct-P29 (Reg)'!R479</f>
        <v>0</v>
      </c>
      <c r="P12" s="37">
        <f t="shared" si="2"/>
        <v>0</v>
      </c>
    </row>
    <row r="13" spans="1:16" x14ac:dyDescent="0.2">
      <c r="A13" s="3" t="s">
        <v>234</v>
      </c>
      <c r="B13" s="136">
        <f>'KY_Cost Plant Acct-Comm-P8(Reg)'!B13+'KY_Cost Plant Acct-Comm-P8(Reg)'!B49</f>
        <v>67972036.310000002</v>
      </c>
      <c r="C13" s="136"/>
      <c r="D13" s="136">
        <f>'KY_Cost Plant Acct-Comm-P8(Reg)'!D13+'KY_Cost Plant Acct-Comm-P8(Reg)'!D49</f>
        <v>2081038.3399999999</v>
      </c>
      <c r="E13" s="136"/>
      <c r="F13" s="136">
        <f>'KY_Cost Plant Acct-Comm-P8(Reg)'!F13</f>
        <v>-870805.71</v>
      </c>
      <c r="G13" s="136"/>
      <c r="H13" s="136">
        <f>'KY_Cost Plant Acct-Comm-P8(Reg)'!H13</f>
        <v>0</v>
      </c>
      <c r="I13" s="136"/>
      <c r="J13" s="136">
        <f t="shared" si="0"/>
        <v>1210232.6299999999</v>
      </c>
      <c r="K13" s="136"/>
      <c r="L13" s="136">
        <f t="shared" si="1"/>
        <v>69182268.939999998</v>
      </c>
      <c r="M13" s="147"/>
      <c r="N13" s="37">
        <f>'KY_Res by Plant Acct-P29 (Reg)'!R483+'KY_Res by Plant Acct-P29 (Reg)'!R480+'KY_Res by Plant Acct-P29 (Reg)'!R484+'KY_Res by Plant Acct-P29 (Reg)'!R482+'KY_Res by Plant Acct-P29 (Reg)'!R481</f>
        <v>-28759129.610000003</v>
      </c>
      <c r="P13" s="37">
        <f t="shared" si="2"/>
        <v>40423139.329999998</v>
      </c>
    </row>
    <row r="14" spans="1:16" x14ac:dyDescent="0.2">
      <c r="A14" s="3" t="s">
        <v>235</v>
      </c>
      <c r="B14" s="136">
        <f>'KY_Cost Plant Acct-Comm-P8(Reg)'!B14+'KY_Cost Plant Acct-Comm-P8(Reg)'!B50</f>
        <v>412150.57</v>
      </c>
      <c r="C14" s="136"/>
      <c r="D14" s="136">
        <f>'KY_Cost Plant Acct-Comm-P8(Reg)'!D14+'KY_Cost Plant Acct-Comm-P8(Reg)'!D50</f>
        <v>0</v>
      </c>
      <c r="E14" s="136"/>
      <c r="F14" s="136">
        <f>'KY_Cost Plant Acct-Comm-P8(Reg)'!F14</f>
        <v>0</v>
      </c>
      <c r="G14" s="136"/>
      <c r="H14" s="136">
        <f>'KY_Cost Plant Acct-Comm-P8(Reg)'!H14</f>
        <v>0</v>
      </c>
      <c r="I14" s="136"/>
      <c r="J14" s="136">
        <f>H14+F14+D14</f>
        <v>0</v>
      </c>
      <c r="K14" s="136"/>
      <c r="L14" s="136">
        <f>J14+B14</f>
        <v>412150.57</v>
      </c>
      <c r="M14" s="147"/>
      <c r="N14" s="37">
        <f>'KY_Res by Plant Acct-P29 (Reg)'!R485</f>
        <v>226633.90000000029</v>
      </c>
      <c r="P14" s="37">
        <f t="shared" si="2"/>
        <v>638784.47000000032</v>
      </c>
    </row>
    <row r="15" spans="1:16" x14ac:dyDescent="0.2">
      <c r="A15" s="139" t="s">
        <v>236</v>
      </c>
      <c r="B15" s="136">
        <f>'KY_Cost Plant Acct-Comm-P8(Reg)'!B15</f>
        <v>9935031.3599999994</v>
      </c>
      <c r="C15" s="136"/>
      <c r="D15" s="136">
        <f>'KY_Cost Plant Acct-Comm-P8(Reg)'!D15+'KY_Cost Plant Acct-Comm-P8(Reg)'!D51</f>
        <v>16390</v>
      </c>
      <c r="E15" s="136"/>
      <c r="F15" s="136">
        <f>'KY_Cost Plant Acct-Comm-P8(Reg)'!F15+'KY_Cost Plant Acct-Comm-P8(Reg)'!F51</f>
        <v>-69403.289999999994</v>
      </c>
      <c r="G15" s="136"/>
      <c r="H15" s="136">
        <f>'KY_Cost Plant Acct-Comm-P8(Reg)'!H15+'KY_Cost Plant Acct-Comm-P8(Reg)'!H51</f>
        <v>0</v>
      </c>
      <c r="I15" s="136"/>
      <c r="J15" s="136">
        <f t="shared" si="0"/>
        <v>-53013.289999999994</v>
      </c>
      <c r="K15" s="136"/>
      <c r="L15" s="136">
        <f t="shared" si="1"/>
        <v>9882018.0700000003</v>
      </c>
      <c r="M15" s="147"/>
      <c r="N15" s="37">
        <f>'KY_Res by Plant Acct-P29 (Reg)'!R486</f>
        <v>-6903430.4399999995</v>
      </c>
      <c r="P15" s="37">
        <f t="shared" si="2"/>
        <v>2978587.6300000008</v>
      </c>
    </row>
    <row r="16" spans="1:16" x14ac:dyDescent="0.2">
      <c r="A16" s="3" t="s">
        <v>237</v>
      </c>
      <c r="B16" s="136">
        <f>'KY_Cost Plant Acct-Comm-P8(Reg)'!B16</f>
        <v>707482.03999999992</v>
      </c>
      <c r="C16" s="136"/>
      <c r="D16" s="136">
        <f>'KY_Cost Plant Acct-Comm-P8(Reg)'!D16+'KY_Cost Plant Acct-Comm-P8(Reg)'!D52</f>
        <v>0</v>
      </c>
      <c r="E16" s="136"/>
      <c r="F16" s="136">
        <f>'KY_Cost Plant Acct-Comm-P8(Reg)'!F16</f>
        <v>0</v>
      </c>
      <c r="G16" s="136"/>
      <c r="H16" s="136">
        <f>'KY_Cost Plant Acct-Comm-P8(Reg)'!H16</f>
        <v>0</v>
      </c>
      <c r="I16" s="136"/>
      <c r="J16" s="136">
        <f t="shared" si="0"/>
        <v>0</v>
      </c>
      <c r="K16" s="136"/>
      <c r="L16" s="136">
        <f t="shared" si="1"/>
        <v>707482.03999999992</v>
      </c>
      <c r="M16" s="147"/>
      <c r="N16" s="37">
        <f>'KY_Res by Plant Acct-P29 (Reg)'!R487</f>
        <v>-215328.31000000003</v>
      </c>
      <c r="P16" s="37">
        <f t="shared" si="2"/>
        <v>492153.72999999986</v>
      </c>
    </row>
    <row r="17" spans="1:16" x14ac:dyDescent="0.2">
      <c r="A17" s="3" t="s">
        <v>238</v>
      </c>
      <c r="B17" s="136">
        <f>'KY_Cost Plant Acct-Comm-P8(Reg)'!B17+'KY_Cost Plant Acct-Comm-P8(Reg)'!B53</f>
        <v>1101625.49</v>
      </c>
      <c r="C17" s="136"/>
      <c r="D17" s="136">
        <f>'KY_Cost Plant Acct-Comm-P8(Reg)'!D17+'KY_Cost Plant Acct-Comm-P8(Reg)'!D53</f>
        <v>0</v>
      </c>
      <c r="E17" s="136"/>
      <c r="F17" s="136">
        <f>'KY_Cost Plant Acct-Comm-P8(Reg)'!F17+'KY_Cost Plant Acct-Comm-P8(Reg)'!F53</f>
        <v>-1917.02</v>
      </c>
      <c r="G17" s="136"/>
      <c r="H17" s="136">
        <f>'KY_Cost Plant Acct-Comm-P8(Reg)'!H17+'KY_Cost Plant Acct-Comm-P8(Reg)'!H53</f>
        <v>0</v>
      </c>
      <c r="I17" s="136"/>
      <c r="J17" s="136">
        <f t="shared" si="0"/>
        <v>-1917.02</v>
      </c>
      <c r="K17" s="136"/>
      <c r="L17" s="136">
        <f t="shared" si="1"/>
        <v>1099708.47</v>
      </c>
      <c r="M17" s="147"/>
      <c r="N17" s="37">
        <f>'KY_Res by Plant Acct-P29 (Reg)'!R488</f>
        <v>-386838.10000000003</v>
      </c>
      <c r="P17" s="37">
        <f t="shared" si="2"/>
        <v>712870.36999999988</v>
      </c>
    </row>
    <row r="18" spans="1:16" x14ac:dyDescent="0.2">
      <c r="A18" s="3" t="s">
        <v>239</v>
      </c>
      <c r="B18" s="136">
        <f>'KY_Cost Plant Acct-Comm-P8(Reg)'!B18+'KY_Cost Plant Acct-Comm-P8(Reg)'!B54</f>
        <v>7231015.8099999996</v>
      </c>
      <c r="C18" s="136"/>
      <c r="D18" s="136">
        <f>'KY_Cost Plant Acct-Comm-P8(Reg)'!D18+'KY_Cost Plant Acct-Comm-P8(Reg)'!D54</f>
        <v>706911.14</v>
      </c>
      <c r="E18" s="136"/>
      <c r="F18" s="136">
        <f>'KY_Cost Plant Acct-Comm-P8(Reg)'!F18</f>
        <v>-248851.16</v>
      </c>
      <c r="G18" s="136"/>
      <c r="H18" s="136">
        <f>'KY_Cost Plant Acct-Comm-P8(Reg)'!H18</f>
        <v>0</v>
      </c>
      <c r="I18" s="136"/>
      <c r="J18" s="136">
        <f t="shared" si="0"/>
        <v>458059.98</v>
      </c>
      <c r="K18" s="136"/>
      <c r="L18" s="136">
        <f t="shared" si="1"/>
        <v>7689075.7899999991</v>
      </c>
      <c r="M18" s="147"/>
      <c r="N18" s="37">
        <f>'KY_Res by Plant Acct-P29 (Reg)'!R489</f>
        <v>-6703970.4399999985</v>
      </c>
      <c r="P18" s="37">
        <f t="shared" si="2"/>
        <v>985105.35000000056</v>
      </c>
    </row>
    <row r="19" spans="1:16" x14ac:dyDescent="0.2">
      <c r="A19" s="3" t="s">
        <v>240</v>
      </c>
      <c r="B19" s="136">
        <f>'KY_Cost Plant Acct-Comm-P8(Reg)'!B19+'KY_Cost Plant Acct-Comm-P8(Reg)'!B55</f>
        <v>1129323.5599999996</v>
      </c>
      <c r="C19" s="136"/>
      <c r="D19" s="136">
        <f>'KY_Cost Plant Acct-Comm-P8(Reg)'!D19+'KY_Cost Plant Acct-Comm-P8(Reg)'!D55</f>
        <v>196914.5</v>
      </c>
      <c r="E19" s="136"/>
      <c r="F19" s="136">
        <f>'KY_Cost Plant Acct-Comm-P8(Reg)'!F19</f>
        <v>0</v>
      </c>
      <c r="G19" s="136"/>
      <c r="H19" s="136">
        <f>'KY_Cost Plant Acct-Comm-P8(Reg)'!H19</f>
        <v>0</v>
      </c>
      <c r="I19" s="136"/>
      <c r="J19" s="136">
        <f t="shared" si="0"/>
        <v>196914.5</v>
      </c>
      <c r="K19" s="136"/>
      <c r="L19" s="136">
        <f t="shared" si="1"/>
        <v>1326238.0599999996</v>
      </c>
      <c r="M19" s="147"/>
      <c r="N19" s="37">
        <f>'KY_Res by Plant Acct-P29 (Reg)'!R490</f>
        <v>-424075.62000000029</v>
      </c>
      <c r="P19" s="37">
        <f t="shared" si="2"/>
        <v>902162.43999999925</v>
      </c>
    </row>
    <row r="20" spans="1:16" x14ac:dyDescent="0.2">
      <c r="A20" s="3" t="s">
        <v>241</v>
      </c>
      <c r="B20" s="136">
        <f>'KY_Cost Plant Acct-Comm-P8(Reg)'!B20+'KY_Cost Plant Acct-Comm-P8(Reg)'!B56</f>
        <v>22759178.549999997</v>
      </c>
      <c r="C20" s="136"/>
      <c r="D20" s="136">
        <f>'KY_Cost Plant Acct-Comm-P8(Reg)'!D20+'KY_Cost Plant Acct-Comm-P8(Reg)'!D56</f>
        <v>1039566.1399999997</v>
      </c>
      <c r="E20" s="136"/>
      <c r="F20" s="136">
        <f>'KY_Cost Plant Acct-Comm-P8(Reg)'!F20</f>
        <v>-4080319.3</v>
      </c>
      <c r="G20" s="136"/>
      <c r="H20" s="136">
        <f>'KY_Cost Plant Acct-Comm-P8(Reg)'!H20</f>
        <v>0</v>
      </c>
      <c r="I20" s="136"/>
      <c r="J20" s="136">
        <f t="shared" si="0"/>
        <v>-3040753.16</v>
      </c>
      <c r="K20" s="136"/>
      <c r="L20" s="136">
        <f t="shared" si="1"/>
        <v>19718425.389999997</v>
      </c>
      <c r="M20" s="147"/>
      <c r="N20" s="37">
        <f>'KY_Res by Plant Acct-P29 (Reg)'!R491</f>
        <v>-4716808.2399999993</v>
      </c>
      <c r="P20" s="37">
        <f t="shared" si="2"/>
        <v>15001617.149999999</v>
      </c>
    </row>
    <row r="21" spans="1:16" x14ac:dyDescent="0.2">
      <c r="A21" s="3" t="s">
        <v>242</v>
      </c>
      <c r="B21" s="136">
        <f>'KY_Cost Plant Acct-Comm-P8(Reg)'!B21+'KY_Cost Plant Acct-Comm-P8(Reg)'!B57</f>
        <v>5077812.879999999</v>
      </c>
      <c r="C21" s="136"/>
      <c r="D21" s="136">
        <f>'KY_Cost Plant Acct-Comm-P8(Reg)'!D21+'KY_Cost Plant Acct-Comm-P8(Reg)'!D57</f>
        <v>1670053.74</v>
      </c>
      <c r="E21" s="136"/>
      <c r="F21" s="136">
        <f>'KY_Cost Plant Acct-Comm-P8(Reg)'!F21</f>
        <v>-1005087.57</v>
      </c>
      <c r="G21" s="136"/>
      <c r="H21" s="136">
        <f>'KY_Cost Plant Acct-Comm-P8(Reg)'!H21</f>
        <v>0</v>
      </c>
      <c r="I21" s="136"/>
      <c r="J21" s="136">
        <f t="shared" si="0"/>
        <v>664966.17000000004</v>
      </c>
      <c r="K21" s="136"/>
      <c r="L21" s="136">
        <f t="shared" si="1"/>
        <v>5742779.0499999989</v>
      </c>
      <c r="M21" s="147"/>
      <c r="N21" s="37">
        <f>'KY_Res by Plant Acct-P29 (Reg)'!R492</f>
        <v>-2648222.19</v>
      </c>
      <c r="P21" s="37">
        <f t="shared" si="2"/>
        <v>3094556.8599999989</v>
      </c>
    </row>
    <row r="22" spans="1:16" x14ac:dyDescent="0.2">
      <c r="A22" s="21" t="s">
        <v>243</v>
      </c>
      <c r="B22" s="136">
        <f>'KY_Cost Plant Acct-Comm-P8(Reg)'!B22</f>
        <v>0</v>
      </c>
      <c r="C22" s="136"/>
      <c r="D22" s="136">
        <f>'KY_Cost Plant Acct-Comm-P8(Reg)'!D22</f>
        <v>0</v>
      </c>
      <c r="E22" s="136"/>
      <c r="F22" s="136">
        <f>'KY_Cost Plant Acct-Comm-P8(Reg)'!F22</f>
        <v>0</v>
      </c>
      <c r="G22" s="136"/>
      <c r="H22" s="136">
        <f>'KY_Cost Plant Acct-Comm-P8(Reg)'!H22</f>
        <v>0</v>
      </c>
      <c r="I22" s="136"/>
      <c r="J22" s="136">
        <f>H22+F22+D22</f>
        <v>0</v>
      </c>
      <c r="K22" s="136"/>
      <c r="L22" s="136">
        <f>J22+B22</f>
        <v>0</v>
      </c>
      <c r="M22" s="147"/>
      <c r="N22" s="37">
        <f>'KY_Res by Plant Acct-P29 (Reg)'!R493</f>
        <v>-1.4551915228366852E-11</v>
      </c>
      <c r="P22" s="37">
        <f>L22+N22</f>
        <v>-1.4551915228366852E-11</v>
      </c>
    </row>
    <row r="23" spans="1:16" x14ac:dyDescent="0.2">
      <c r="A23" s="3" t="s">
        <v>244</v>
      </c>
      <c r="B23" s="136">
        <f>'KY_Cost Plant Acct-Comm-P8(Reg)'!B23+'KY_Cost Plant Acct-Comm-P8(Reg)'!B58</f>
        <v>1205013.0399999996</v>
      </c>
      <c r="C23" s="136"/>
      <c r="D23" s="136">
        <f>'KY_Cost Plant Acct-Comm-P8(Reg)'!D23+'KY_Cost Plant Acct-Comm-P8(Reg)'!D58</f>
        <v>-289890.58</v>
      </c>
      <c r="E23" s="136"/>
      <c r="F23" s="136">
        <f>'KY_Cost Plant Acct-Comm-P8(Reg)'!F23</f>
        <v>0</v>
      </c>
      <c r="G23" s="136"/>
      <c r="H23" s="136">
        <f>'KY_Cost Plant Acct-Comm-P8(Reg)'!H23</f>
        <v>0</v>
      </c>
      <c r="I23" s="136"/>
      <c r="J23" s="136">
        <f t="shared" si="0"/>
        <v>-289890.58</v>
      </c>
      <c r="K23" s="136"/>
      <c r="L23" s="136">
        <f t="shared" si="1"/>
        <v>915122.4599999995</v>
      </c>
      <c r="M23" s="147"/>
      <c r="N23" s="37">
        <f>'KY_Res by Plant Acct-P29 (Reg)'!R494</f>
        <v>-785953.83000000007</v>
      </c>
      <c r="P23" s="37">
        <f t="shared" si="2"/>
        <v>129168.62999999942</v>
      </c>
    </row>
    <row r="24" spans="1:16" x14ac:dyDescent="0.2">
      <c r="A24" s="3" t="s">
        <v>245</v>
      </c>
      <c r="B24" s="136">
        <f>'KY_Cost Plant Acct-Comm-P8(Reg)'!B24+'KY_Cost Plant Acct-Comm-P8(Reg)'!B59</f>
        <v>20757.36</v>
      </c>
      <c r="C24" s="136"/>
      <c r="D24" s="136">
        <f>'KY_Cost Plant Acct-Comm-P8(Reg)'!D24</f>
        <v>0</v>
      </c>
      <c r="E24" s="136"/>
      <c r="F24" s="136">
        <f>'KY_Cost Plant Acct-Comm-P8(Reg)'!F24</f>
        <v>-20757.36</v>
      </c>
      <c r="G24" s="136"/>
      <c r="H24" s="136">
        <f>'KY_Cost Plant Acct-Comm-P8(Reg)'!H24</f>
        <v>0</v>
      </c>
      <c r="I24" s="136"/>
      <c r="J24" s="136">
        <f>H24+F24+D24</f>
        <v>-20757.36</v>
      </c>
      <c r="K24" s="136"/>
      <c r="L24" s="136">
        <f>J24+B24</f>
        <v>0</v>
      </c>
      <c r="M24" s="147"/>
      <c r="N24" s="37">
        <f>'KY_Res by Plant Acct-P29 (Reg)'!R495</f>
        <v>0</v>
      </c>
      <c r="P24" s="37">
        <f t="shared" si="2"/>
        <v>0</v>
      </c>
    </row>
    <row r="25" spans="1:16" x14ac:dyDescent="0.2">
      <c r="A25" s="3" t="s">
        <v>246</v>
      </c>
      <c r="B25" s="136">
        <f>'KY_Cost Plant Acct-Comm-P8(Reg)'!B25</f>
        <v>211576.31999999998</v>
      </c>
      <c r="C25" s="136"/>
      <c r="D25" s="136">
        <f>'KY_Cost Plant Acct-Comm-P8(Reg)'!D25</f>
        <v>0</v>
      </c>
      <c r="E25" s="136"/>
      <c r="F25" s="136">
        <f>'KY_Cost Plant Acct-Comm-P8(Reg)'!F25</f>
        <v>0</v>
      </c>
      <c r="G25" s="136"/>
      <c r="H25" s="136">
        <f>'KY_Cost Plant Acct-Comm-P8(Reg)'!H25</f>
        <v>0</v>
      </c>
      <c r="I25" s="136"/>
      <c r="J25" s="136">
        <f t="shared" si="0"/>
        <v>0</v>
      </c>
      <c r="K25" s="136"/>
      <c r="L25" s="136">
        <f t="shared" si="1"/>
        <v>211576.31999999998</v>
      </c>
      <c r="M25" s="147"/>
      <c r="N25" s="37">
        <f>'KY_Res by Plant Acct-P29 (Reg)'!R496</f>
        <v>-183953.92000000001</v>
      </c>
      <c r="P25" s="37">
        <f t="shared" si="2"/>
        <v>27622.399999999965</v>
      </c>
    </row>
    <row r="26" spans="1:16" x14ac:dyDescent="0.2">
      <c r="A26" s="3" t="s">
        <v>247</v>
      </c>
      <c r="B26" s="136">
        <f>'KY_Cost Plant Acct-Comm-P8(Reg)'!B26</f>
        <v>41842.69</v>
      </c>
      <c r="C26" s="136"/>
      <c r="D26" s="136">
        <f>'KY_Cost Plant Acct-Comm-P8(Reg)'!D26+'KY_Cost Plant Acct-Comm-P8(Reg)'!D59</f>
        <v>38564.449999999997</v>
      </c>
      <c r="E26" s="136"/>
      <c r="F26" s="136">
        <f>'KY_Cost Plant Acct-Comm-P8(Reg)'!F26</f>
        <v>-13783.47</v>
      </c>
      <c r="G26" s="136"/>
      <c r="H26" s="136">
        <f>'KY_Cost Plant Acct-Comm-P8(Reg)'!H26</f>
        <v>0</v>
      </c>
      <c r="I26" s="136"/>
      <c r="J26" s="136">
        <f t="shared" si="0"/>
        <v>24780.979999999996</v>
      </c>
      <c r="K26" s="136"/>
      <c r="L26" s="136">
        <f t="shared" si="1"/>
        <v>66623.67</v>
      </c>
      <c r="M26" s="147"/>
      <c r="N26" s="37">
        <f>'KY_Res by Plant Acct-P29 (Reg)'!R497</f>
        <v>3969.9799999999977</v>
      </c>
      <c r="P26" s="37">
        <f t="shared" si="2"/>
        <v>70593.649999999994</v>
      </c>
    </row>
    <row r="27" spans="1:16" x14ac:dyDescent="0.2">
      <c r="A27" s="3" t="s">
        <v>248</v>
      </c>
      <c r="B27" s="136">
        <f>'KY_Cost Plant Acct-Comm-P8(Reg)'!B27+'KY_Cost Plant Acct-Comm-P8(Reg)'!B60</f>
        <v>1471075.02</v>
      </c>
      <c r="C27" s="136"/>
      <c r="D27" s="136">
        <f>'KY_Cost Plant Acct-Comm-P8(Reg)'!D27+'KY_Cost Plant Acct-Comm-P8(Reg)'!D60</f>
        <v>0</v>
      </c>
      <c r="E27" s="136"/>
      <c r="F27" s="136">
        <f>'KY_Cost Plant Acct-Comm-P8(Reg)'!F27</f>
        <v>0</v>
      </c>
      <c r="G27" s="136"/>
      <c r="H27" s="136">
        <f>'KY_Cost Plant Acct-Comm-P8(Reg)'!H27</f>
        <v>0</v>
      </c>
      <c r="I27" s="136"/>
      <c r="J27" s="136">
        <f t="shared" si="0"/>
        <v>0</v>
      </c>
      <c r="K27" s="136"/>
      <c r="L27" s="136">
        <f t="shared" si="1"/>
        <v>1471075.02</v>
      </c>
      <c r="M27" s="147"/>
      <c r="N27" s="37">
        <f>'KY_Res by Plant Acct-P29 (Reg)'!R498</f>
        <v>-994944.28</v>
      </c>
      <c r="P27" s="37">
        <f t="shared" si="2"/>
        <v>476130.74</v>
      </c>
    </row>
    <row r="28" spans="1:16" x14ac:dyDescent="0.2">
      <c r="A28" s="3" t="s">
        <v>249</v>
      </c>
      <c r="B28" s="136">
        <f>'KY_Cost Plant Acct-Comm-P8(Reg)'!B28+'KY_Cost Plant Acct-Comm-P8(Reg)'!B61+'IN_Cost Plant Acct-Com-P10(Reg)'!B11</f>
        <v>4066539.1100000003</v>
      </c>
      <c r="C28" s="136"/>
      <c r="D28" s="136">
        <f>'KY_Cost Plant Acct-Comm-P8(Reg)'!D28+'KY_Cost Plant Acct-Comm-P8(Reg)'!D61+'IN_Cost Plant Acct-Com-P10(Reg)'!D11</f>
        <v>133516.44</v>
      </c>
      <c r="E28" s="136"/>
      <c r="F28" s="136">
        <f>'KY_Cost Plant Acct-Comm-P8(Reg)'!F28+'KY_Cost Plant Acct-Comm-P8(Reg)'!F61+'IN_Cost Plant Acct-Com-P10(Reg)'!F11</f>
        <v>0</v>
      </c>
      <c r="G28" s="136"/>
      <c r="H28" s="136">
        <f>'KY_Cost Plant Acct-Comm-P8(Reg)'!H28+'KY_Cost Plant Acct-Comm-P8(Reg)'!H61+'IN_Cost Plant Acct-Com-P10(Reg)'!H11</f>
        <v>0</v>
      </c>
      <c r="I28" s="136"/>
      <c r="J28" s="136">
        <f t="shared" si="0"/>
        <v>133516.44</v>
      </c>
      <c r="K28" s="136"/>
      <c r="L28" s="136">
        <f t="shared" si="1"/>
        <v>4200055.5500000007</v>
      </c>
      <c r="M28" s="147"/>
      <c r="N28" s="37">
        <f>'KY_Res by Plant Acct-P29 (Reg)'!R499</f>
        <v>-2399638.8899999997</v>
      </c>
      <c r="P28" s="37">
        <f t="shared" si="2"/>
        <v>1800416.6600000011</v>
      </c>
    </row>
    <row r="29" spans="1:16" x14ac:dyDescent="0.2">
      <c r="A29" s="3" t="s">
        <v>250</v>
      </c>
      <c r="B29" s="136">
        <f>'KY_Cost Plant Acct-Comm-P8(Reg)'!B29</f>
        <v>0</v>
      </c>
      <c r="C29" s="136"/>
      <c r="D29" s="136">
        <f>'KY_Cost Plant Acct-Comm-P8(Reg)'!D29</f>
        <v>0</v>
      </c>
      <c r="E29" s="136"/>
      <c r="F29" s="136">
        <f>'KY_Cost Plant Acct-Comm-P8(Reg)'!F29</f>
        <v>0</v>
      </c>
      <c r="G29" s="136"/>
      <c r="H29" s="136">
        <f>'KY_Cost Plant Acct-Comm-P8(Reg)'!H29</f>
        <v>0</v>
      </c>
      <c r="I29" s="136"/>
      <c r="J29" s="136">
        <f t="shared" si="0"/>
        <v>0</v>
      </c>
      <c r="K29" s="136"/>
      <c r="L29" s="136">
        <f t="shared" si="1"/>
        <v>0</v>
      </c>
      <c r="M29" s="147"/>
      <c r="N29" s="37">
        <f>'KY_Res by Plant Acct-P29 (Reg)'!R500</f>
        <v>1.8189894035458565E-12</v>
      </c>
      <c r="P29" s="37">
        <f t="shared" si="2"/>
        <v>1.8189894035458565E-12</v>
      </c>
    </row>
    <row r="30" spans="1:16" x14ac:dyDescent="0.2">
      <c r="A30" s="3" t="s">
        <v>2800</v>
      </c>
      <c r="B30" s="136">
        <f>'KY_Cost Plant Acct-Comm-P8(Reg)'!B30</f>
        <v>328439.13</v>
      </c>
      <c r="C30" s="136"/>
      <c r="D30" s="136">
        <f>'KY_Cost Plant Acct-Comm-P8(Reg)'!D30</f>
        <v>199130.06</v>
      </c>
      <c r="E30" s="136"/>
      <c r="F30" s="136">
        <f>'KY_Cost Plant Acct-Comm-P8(Reg)'!F30</f>
        <v>0</v>
      </c>
      <c r="G30" s="136"/>
      <c r="H30" s="136">
        <f>'KY_Cost Plant Acct-Comm-P8(Reg)'!H30</f>
        <v>0</v>
      </c>
      <c r="I30" s="136"/>
      <c r="J30" s="136">
        <f t="shared" si="0"/>
        <v>199130.06</v>
      </c>
      <c r="K30" s="136"/>
      <c r="L30" s="136">
        <f t="shared" si="1"/>
        <v>527569.18999999994</v>
      </c>
      <c r="M30" s="147"/>
      <c r="N30" s="37">
        <f>'KY_Res by Plant Acct-P29 (Reg)'!R501</f>
        <v>-300553.27</v>
      </c>
      <c r="P30" s="37">
        <f t="shared" si="2"/>
        <v>227015.91999999993</v>
      </c>
    </row>
    <row r="31" spans="1:16" x14ac:dyDescent="0.2">
      <c r="A31" s="3" t="s">
        <v>252</v>
      </c>
      <c r="B31" s="136">
        <f>'KY_Cost Plant Acct-Comm-P8(Reg)'!B31+'KY_Cost Plant Acct-Comm-P8(Reg)'!B62</f>
        <v>14147.08</v>
      </c>
      <c r="C31" s="136"/>
      <c r="D31" s="136">
        <f>'KY_Cost Plant Acct-Comm-P8(Reg)'!D31+'KY_Cost Plant Acct-Comm-P8(Reg)'!D62</f>
        <v>0</v>
      </c>
      <c r="E31" s="136">
        <f>'KY_Cost Plant Acct-Comm-P8(Reg)'!E31+'KY_Cost Plant Acct-Comm-P8(Reg)'!E62</f>
        <v>0</v>
      </c>
      <c r="F31" s="136">
        <f>'KY_Cost Plant Acct-Comm-P8(Reg)'!F31+'KY_Cost Plant Acct-Comm-P8(Reg)'!F62</f>
        <v>0</v>
      </c>
      <c r="G31" s="136">
        <f>'KY_Cost Plant Acct-Comm-P8(Reg)'!G31+'KY_Cost Plant Acct-Comm-P8(Reg)'!G62</f>
        <v>0</v>
      </c>
      <c r="H31" s="136">
        <f>'KY_Cost Plant Acct-Comm-P8(Reg)'!H31+'KY_Cost Plant Acct-Comm-P8(Reg)'!H62</f>
        <v>0</v>
      </c>
      <c r="I31" s="136">
        <f>'KY_Cost Plant Acct-Comm-P8(Reg)'!I31+'KY_Cost Plant Acct-Comm-P8(Reg)'!I62</f>
        <v>0</v>
      </c>
      <c r="J31" s="136">
        <f>'KY_Cost Plant Acct-Comm-P8(Reg)'!J31+'KY_Cost Plant Acct-Comm-P8(Reg)'!J62</f>
        <v>0</v>
      </c>
      <c r="K31" s="136">
        <f>'KY_Cost Plant Acct-Comm-P8(Reg)'!K31+'KY_Cost Plant Acct-Comm-P8(Reg)'!K62</f>
        <v>0</v>
      </c>
      <c r="L31" s="136">
        <f>'KY_Cost Plant Acct-Comm-P8(Reg)'!L31+'KY_Cost Plant Acct-Comm-P8(Reg)'!L62</f>
        <v>14147.08</v>
      </c>
      <c r="M31" s="136">
        <f>'KY_Cost Plant Acct-Comm-P8(Reg)'!M31+'KY_Cost Plant Acct-Comm-P8(Reg)'!M62</f>
        <v>0</v>
      </c>
      <c r="N31" s="37">
        <f>'KY_Res by Plant Acct-P29 (Reg)'!R502</f>
        <v>-14348.62</v>
      </c>
      <c r="O31" s="136">
        <f>'KY_Cost Plant Acct-Comm-P8(Reg)'!O31+'KY_Cost Plant Acct-Comm-P8(Reg)'!O62</f>
        <v>0</v>
      </c>
      <c r="P31" s="37">
        <f t="shared" si="2"/>
        <v>-201.54000000000087</v>
      </c>
    </row>
    <row r="32" spans="1:16" x14ac:dyDescent="0.2">
      <c r="A32" s="3" t="s">
        <v>253</v>
      </c>
      <c r="B32" s="136">
        <f>+'KY_Cost Plant Acct-Comm-P8(Reg)'!B32+'KY_Cost Plant Acct-Comm-P8(Reg)'!B63+'IN_Cost Plant Acct-Com-P10(Reg)'!B12+'IN_Cost Plant Acct-Com-P10(Reg)'!B21</f>
        <v>20913863.840000004</v>
      </c>
      <c r="C32" s="136"/>
      <c r="D32" s="136">
        <f>+'KY_Cost Plant Acct-Comm-P8(Reg)'!D32+'KY_Cost Plant Acct-Comm-P8(Reg)'!D63+'IN_Cost Plant Acct-Com-P10(Reg)'!D12+'IN_Cost Plant Acct-Com-P10(Reg)'!D21</f>
        <v>995757.29</v>
      </c>
      <c r="E32" s="136"/>
      <c r="F32" s="136">
        <f>+'KY_Cost Plant Acct-Comm-P8(Reg)'!F32+'KY_Cost Plant Acct-Comm-P8(Reg)'!F63+'IN_Cost Plant Acct-Com-P10(Reg)'!F12+'IN_Cost Plant Acct-Com-P10(Reg)'!F21</f>
        <v>-2103725.5299999998</v>
      </c>
      <c r="G32" s="136"/>
      <c r="H32" s="136">
        <f>+'KY_Cost Plant Acct-Comm-P8(Reg)'!H32+'KY_Cost Plant Acct-Comm-P8(Reg)'!H63+'IN_Cost Plant Acct-Com-P10(Reg)'!H12+'IN_Cost Plant Acct-Com-P10(Reg)'!H21</f>
        <v>0</v>
      </c>
      <c r="I32" s="136"/>
      <c r="J32" s="136">
        <f t="shared" si="0"/>
        <v>-1107968.2399999998</v>
      </c>
      <c r="K32" s="136"/>
      <c r="L32" s="136">
        <f t="shared" si="1"/>
        <v>19805895.600000005</v>
      </c>
      <c r="M32" s="147"/>
      <c r="N32" s="37">
        <f>'KY_Res by Plant Acct-P29 (Reg)'!R503+'IN_Res by Plant Acct-P30 (Reg)'!R43</f>
        <v>-15942879.160000002</v>
      </c>
      <c r="P32" s="37">
        <f t="shared" si="2"/>
        <v>3863016.4400000032</v>
      </c>
    </row>
    <row r="33" spans="1:16" x14ac:dyDescent="0.2">
      <c r="A33" s="3" t="s">
        <v>254</v>
      </c>
      <c r="B33" s="136">
        <f>'KY_Cost Plant Acct-Comm-P8(Reg)'!B33+'KY_Cost Plant Acct-Comm-P8(Reg)'!B64</f>
        <v>13953829.09</v>
      </c>
      <c r="C33" s="136"/>
      <c r="D33" s="136">
        <f>'KY_Cost Plant Acct-Comm-P8(Reg)'!D33+'KY_Cost Plant Acct-Comm-P8(Reg)'!D64</f>
        <v>339142.91999999993</v>
      </c>
      <c r="E33" s="136"/>
      <c r="F33" s="136">
        <f>'KY_Cost Plant Acct-Comm-P8(Reg)'!F33</f>
        <v>-6626.4</v>
      </c>
      <c r="G33" s="136"/>
      <c r="H33" s="136">
        <f>'KY_Cost Plant Acct-Comm-P8(Reg)'!H33</f>
        <v>0</v>
      </c>
      <c r="I33" s="136"/>
      <c r="J33" s="136">
        <f t="shared" si="0"/>
        <v>332516.5199999999</v>
      </c>
      <c r="K33" s="136"/>
      <c r="L33" s="136">
        <f t="shared" si="1"/>
        <v>14286345.609999999</v>
      </c>
      <c r="M33" s="147"/>
      <c r="N33" s="37">
        <f>'KY_Res by Plant Acct-P29 (Reg)'!R504</f>
        <v>-10431162.399999997</v>
      </c>
      <c r="P33" s="37">
        <f t="shared" si="2"/>
        <v>3855183.2100000028</v>
      </c>
    </row>
    <row r="34" spans="1:16" x14ac:dyDescent="0.2">
      <c r="A34" s="3" t="s">
        <v>255</v>
      </c>
      <c r="B34" s="136">
        <f>'KY_Cost Plant Acct-Comm-P8(Reg)'!B34</f>
        <v>0</v>
      </c>
      <c r="C34" s="136"/>
      <c r="D34" s="136">
        <f>'KY_Cost Plant Acct-Comm-P8(Reg)'!D34+'KY_Cost Plant Acct-Comm-P8(Reg)'!D65</f>
        <v>0</v>
      </c>
      <c r="E34" s="136"/>
      <c r="F34" s="136">
        <f>'KY_Cost Plant Acct-Comm-P8(Reg)'!F34</f>
        <v>0</v>
      </c>
      <c r="G34" s="136"/>
      <c r="H34" s="136">
        <f>'KY_Cost Plant Acct-Comm-P8(Reg)'!H34</f>
        <v>0</v>
      </c>
      <c r="I34" s="136"/>
      <c r="J34" s="136">
        <f t="shared" si="0"/>
        <v>0</v>
      </c>
      <c r="K34" s="136"/>
      <c r="L34" s="136">
        <f t="shared" si="1"/>
        <v>0</v>
      </c>
      <c r="M34" s="147"/>
      <c r="N34" s="37">
        <f>'KY_Res by Plant Acct-P29 (Reg)'!R505</f>
        <v>6.3446350603846291E-11</v>
      </c>
      <c r="P34" s="37">
        <f t="shared" si="2"/>
        <v>6.3446350603846291E-11</v>
      </c>
    </row>
    <row r="35" spans="1:16" x14ac:dyDescent="0.2">
      <c r="A35" s="3" t="s">
        <v>256</v>
      </c>
      <c r="B35" s="136">
        <f>'KY_Cost Plant Acct-Comm-P8(Reg)'!B35</f>
        <v>0</v>
      </c>
      <c r="C35" s="136"/>
      <c r="D35" s="136">
        <f>'KY_Cost Plant Acct-Comm-P8(Reg)'!D35</f>
        <v>0</v>
      </c>
      <c r="E35" s="136"/>
      <c r="F35" s="136">
        <f>'KY_Cost Plant Acct-Comm-P8(Reg)'!F35</f>
        <v>0</v>
      </c>
      <c r="G35" s="136"/>
      <c r="H35" s="136">
        <f>'KY_Cost Plant Acct-Comm-P8(Reg)'!H35</f>
        <v>0</v>
      </c>
      <c r="I35" s="136"/>
      <c r="J35" s="136">
        <f t="shared" si="0"/>
        <v>0</v>
      </c>
      <c r="K35" s="136"/>
      <c r="L35" s="136">
        <f t="shared" si="1"/>
        <v>0</v>
      </c>
      <c r="M35" s="147"/>
      <c r="N35" s="37">
        <f>'KY_Res by Plant Acct-P29 (Reg)'!R506</f>
        <v>0</v>
      </c>
      <c r="P35" s="37">
        <f t="shared" si="2"/>
        <v>0</v>
      </c>
    </row>
    <row r="36" spans="1:16" x14ac:dyDescent="0.2">
      <c r="A36" s="3" t="s">
        <v>257</v>
      </c>
      <c r="B36" s="136">
        <f>'KY_Cost Plant Acct-Comm-P8(Reg)'!B36</f>
        <v>83782.289999999994</v>
      </c>
      <c r="C36" s="136"/>
      <c r="D36" s="136">
        <f>'KY_Cost Plant Acct-Comm-P8(Reg)'!D36</f>
        <v>0</v>
      </c>
      <c r="E36" s="136"/>
      <c r="F36" s="136">
        <f>'KY_Cost Plant Acct-Comm-P8(Reg)'!F36</f>
        <v>0</v>
      </c>
      <c r="G36" s="136"/>
      <c r="H36" s="136">
        <f>'KY_Cost Plant Acct-Comm-P8(Reg)'!H36</f>
        <v>0</v>
      </c>
      <c r="I36" s="136"/>
      <c r="J36" s="136">
        <f t="shared" si="0"/>
        <v>0</v>
      </c>
      <c r="K36" s="136"/>
      <c r="L36" s="136">
        <f t="shared" si="1"/>
        <v>83782.289999999994</v>
      </c>
      <c r="M36" s="147"/>
      <c r="N36" s="37">
        <f>'KY_Res by Plant Acct-P29 (Reg)'!R522</f>
        <v>0</v>
      </c>
      <c r="P36" s="37">
        <f t="shared" si="2"/>
        <v>83782.289999999994</v>
      </c>
    </row>
    <row r="37" spans="1:16" x14ac:dyDescent="0.2">
      <c r="A37" s="3" t="s">
        <v>258</v>
      </c>
      <c r="B37" s="136">
        <f>'KY_Cost Plant Acct-Comm-P8(Reg)'!B37</f>
        <v>0</v>
      </c>
      <c r="C37" s="136"/>
      <c r="D37" s="136">
        <f>'KY_Cost Plant Acct-Comm-P8(Reg)'!D37</f>
        <v>0</v>
      </c>
      <c r="E37" s="136"/>
      <c r="F37" s="136">
        <f>'KY_Cost Plant Acct-Comm-P8(Reg)'!F37</f>
        <v>0</v>
      </c>
      <c r="G37" s="136"/>
      <c r="H37" s="136">
        <f>'KY_Cost Plant Acct-Comm-P8(Reg)'!H37</f>
        <v>0</v>
      </c>
      <c r="I37" s="136"/>
      <c r="J37" s="136">
        <f t="shared" si="0"/>
        <v>0</v>
      </c>
      <c r="K37" s="136"/>
      <c r="L37" s="136">
        <f t="shared" si="1"/>
        <v>0</v>
      </c>
      <c r="M37" s="147"/>
      <c r="N37" s="37">
        <f>'KY_Res by Plant Acct-P29 (Reg)'!R523</f>
        <v>0</v>
      </c>
      <c r="P37" s="37">
        <f t="shared" si="2"/>
        <v>0</v>
      </c>
    </row>
    <row r="38" spans="1:16" x14ac:dyDescent="0.2">
      <c r="A38" s="3" t="s">
        <v>259</v>
      </c>
      <c r="B38" s="136">
        <f>'KY_Cost Plant Acct-Comm-P8(Reg)'!B38+'KY_Cost Plant Acct-Comm-P8(Reg)'!B66</f>
        <v>54053330.599999994</v>
      </c>
      <c r="C38" s="136"/>
      <c r="D38" s="136">
        <f>'KY_Cost Plant Acct-Comm-P8(Reg)'!D38+'KY_Cost Plant Acct-Comm-P8(Reg)'!D66</f>
        <v>10945203.060000001</v>
      </c>
      <c r="E38" s="136"/>
      <c r="F38" s="136">
        <f>'KY_Cost Plant Acct-Comm-P8(Reg)'!F38</f>
        <v>-8008540.6900000004</v>
      </c>
      <c r="G38" s="136"/>
      <c r="H38" s="136">
        <f>'KY_Cost Plant Acct-Comm-P8(Reg)'!H38</f>
        <v>0</v>
      </c>
      <c r="I38" s="136"/>
      <c r="J38" s="136">
        <f t="shared" si="0"/>
        <v>2936662.37</v>
      </c>
      <c r="K38" s="136"/>
      <c r="L38" s="136">
        <f t="shared" si="1"/>
        <v>56989992.969999991</v>
      </c>
      <c r="M38" s="147"/>
      <c r="N38" s="37">
        <f>'KY_Res by Plant Acct-P29 (Reg)'!R524</f>
        <v>-19164980.100000001</v>
      </c>
      <c r="P38" s="37">
        <f t="shared" si="2"/>
        <v>37825012.86999999</v>
      </c>
    </row>
    <row r="39" spans="1:16" x14ac:dyDescent="0.2">
      <c r="A39" s="3" t="s">
        <v>260</v>
      </c>
      <c r="B39" s="136">
        <f>'KY_Cost Plant Acct-Comm-P8(Reg)'!B39+'KY_Cost Plant Acct-Comm-P8(Reg)'!B67</f>
        <v>45350035.249999993</v>
      </c>
      <c r="C39" s="136"/>
      <c r="D39" s="136">
        <f>'KY_Cost Plant Acct-Comm-P8(Reg)'!D39+'KY_Cost Plant Acct-Comm-P8(Reg)'!D67</f>
        <v>11352680.050000001</v>
      </c>
      <c r="E39" s="136"/>
      <c r="F39" s="136">
        <f>'KY_Cost Plant Acct-Comm-P8(Reg)'!F39</f>
        <v>0</v>
      </c>
      <c r="G39" s="136"/>
      <c r="H39" s="136">
        <f>'KY_Cost Plant Acct-Comm-P8(Reg)'!H39</f>
        <v>0</v>
      </c>
      <c r="I39" s="136"/>
      <c r="J39" s="136">
        <f t="shared" si="0"/>
        <v>11352680.050000001</v>
      </c>
      <c r="K39" s="136"/>
      <c r="L39" s="136">
        <f t="shared" si="1"/>
        <v>56702715.299999997</v>
      </c>
      <c r="M39" s="147"/>
      <c r="N39" s="37">
        <f>'KY_Res by Plant Acct-P29 (Reg)'!R525</f>
        <v>-39145769.660000004</v>
      </c>
      <c r="P39" s="37">
        <f t="shared" si="2"/>
        <v>17556945.639999993</v>
      </c>
    </row>
    <row r="40" spans="1:16" x14ac:dyDescent="0.2">
      <c r="A40" s="3" t="s">
        <v>261</v>
      </c>
      <c r="B40" s="151">
        <f>'KY_Cost Plant Acct-Comm-P8(Reg)'!B40</f>
        <v>0</v>
      </c>
      <c r="C40" s="133"/>
      <c r="D40" s="151">
        <f>'KY_Cost Plant Acct-Comm-P8(Reg)'!D40</f>
        <v>0</v>
      </c>
      <c r="E40" s="133"/>
      <c r="F40" s="151">
        <f>'KY_Cost Plant Acct-Comm-P8(Reg)'!F40</f>
        <v>0</v>
      </c>
      <c r="G40" s="133"/>
      <c r="H40" s="151">
        <f>'KY_Cost Plant Acct-Comm-P8(Reg)'!H40</f>
        <v>0</v>
      </c>
      <c r="I40" s="133"/>
      <c r="J40" s="151">
        <f t="shared" si="0"/>
        <v>0</v>
      </c>
      <c r="K40" s="133"/>
      <c r="L40" s="151">
        <f t="shared" si="1"/>
        <v>0</v>
      </c>
      <c r="M40" s="148"/>
      <c r="N40" s="134">
        <f>'KY_Res by Plant Acct-P29 (Reg)'!R526</f>
        <v>0</v>
      </c>
      <c r="P40" s="134">
        <f t="shared" si="2"/>
        <v>0</v>
      </c>
    </row>
    <row r="41" spans="1:16" x14ac:dyDescent="0.2">
      <c r="B41" s="133">
        <f>SUM(B11:B40)</f>
        <v>259604281.75999996</v>
      </c>
      <c r="C41" s="133"/>
      <c r="D41" s="133">
        <f>SUM(D11:D40)</f>
        <v>29424977.550000001</v>
      </c>
      <c r="E41" s="133"/>
      <c r="F41" s="133">
        <f>SUM(F11:F40)</f>
        <v>-16429817.5</v>
      </c>
      <c r="G41" s="133"/>
      <c r="H41" s="133">
        <f>SUM(H11:H40)</f>
        <v>0</v>
      </c>
      <c r="I41" s="133"/>
      <c r="J41" s="133">
        <f>SUM(J11:J40)</f>
        <v>12995160.050000001</v>
      </c>
      <c r="K41" s="133"/>
      <c r="L41" s="133">
        <f>SUM(L11:L40)</f>
        <v>272599441.81</v>
      </c>
      <c r="M41" s="148"/>
      <c r="N41" s="133">
        <f>SUM(N11:N40)</f>
        <v>-139891383.19999999</v>
      </c>
      <c r="P41" s="133">
        <f>SUM(P11:P40)</f>
        <v>132708058.60999998</v>
      </c>
    </row>
    <row r="42" spans="1:16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48"/>
    </row>
    <row r="43" spans="1:16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48"/>
    </row>
    <row r="44" spans="1:16" ht="13.5" thickBot="1" x14ac:dyDescent="0.25">
      <c r="A44" s="9" t="s">
        <v>2801</v>
      </c>
      <c r="B44" s="141">
        <f>B41</f>
        <v>259604281.75999996</v>
      </c>
      <c r="C44" s="148"/>
      <c r="D44" s="141">
        <f>D41</f>
        <v>29424977.550000001</v>
      </c>
      <c r="E44" s="148"/>
      <c r="F44" s="141">
        <f>F41</f>
        <v>-16429817.5</v>
      </c>
      <c r="G44" s="148"/>
      <c r="H44" s="141">
        <f>H41</f>
        <v>0</v>
      </c>
      <c r="I44" s="148"/>
      <c r="J44" s="141">
        <f>J41</f>
        <v>12995160.050000001</v>
      </c>
      <c r="K44" s="148"/>
      <c r="L44" s="141">
        <f>L41</f>
        <v>272599441.81</v>
      </c>
      <c r="M44" s="148"/>
      <c r="N44" s="141">
        <f>N41</f>
        <v>-139891383.19999999</v>
      </c>
      <c r="P44" s="141">
        <f>P41</f>
        <v>132708058.60999998</v>
      </c>
    </row>
    <row r="45" spans="1:16" ht="13.5" thickTop="1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48"/>
    </row>
    <row r="46" spans="1:16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48"/>
    </row>
    <row r="47" spans="1:16" x14ac:dyDescent="0.2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47"/>
    </row>
    <row r="48" spans="1:16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2:13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</row>
    <row r="50" spans="2:13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2:13" x14ac:dyDescent="0.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2:13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pans="2:13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2:13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2:13" x14ac:dyDescent="0.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2:13" x14ac:dyDescent="0.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  <row r="57" spans="2:13" x14ac:dyDescent="0.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2:13" x14ac:dyDescent="0.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2:13" x14ac:dyDescent="0.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2:13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2:13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2:13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2:13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2:13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2:13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2:13" x14ac:dyDescent="0.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2:13" x14ac:dyDescent="0.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2:13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2:13" x14ac:dyDescent="0.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  <row r="70" spans="2:13" x14ac:dyDescent="0.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</row>
    <row r="71" spans="2:13" x14ac:dyDescent="0.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2:13" x14ac:dyDescent="0.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</row>
    <row r="73" spans="2:13" x14ac:dyDescent="0.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2:13" x14ac:dyDescent="0.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2:13" x14ac:dyDescent="0.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2:13" x14ac:dyDescent="0.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</row>
    <row r="77" spans="2:13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</row>
    <row r="78" spans="2:13" x14ac:dyDescent="0.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</row>
    <row r="79" spans="2:13" x14ac:dyDescent="0.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2:13" x14ac:dyDescent="0.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2:13" x14ac:dyDescent="0.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2:13" x14ac:dyDescent="0.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2:13" x14ac:dyDescent="0.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2:13" x14ac:dyDescent="0.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2:13" x14ac:dyDescent="0.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2:13" x14ac:dyDescent="0.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2:13" x14ac:dyDescent="0.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</row>
    <row r="88" spans="2:13" x14ac:dyDescent="0.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2:13" x14ac:dyDescent="0.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2:13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2:13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2:13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2:13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2:13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2:13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2:13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2:13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2:13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2:13" x14ac:dyDescent="0.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2:13" x14ac:dyDescent="0.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2:13" x14ac:dyDescent="0.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2:13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2:13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2:13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2:13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</row>
    <row r="106" spans="2:13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</row>
    <row r="107" spans="2:13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</row>
    <row r="108" spans="2:13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  <row r="110" spans="2:13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</row>
    <row r="111" spans="2:13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2:13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</row>
    <row r="113" spans="2:13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</row>
    <row r="114" spans="2:13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</row>
    <row r="115" spans="2:13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</row>
    <row r="116" spans="2:13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</row>
    <row r="117" spans="2:13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</row>
    <row r="118" spans="2:13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</row>
    <row r="119" spans="2:13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</row>
    <row r="120" spans="2:13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</row>
    <row r="121" spans="2:13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</row>
    <row r="122" spans="2:13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</row>
    <row r="123" spans="2:13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</row>
    <row r="124" spans="2:13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</row>
    <row r="125" spans="2:13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</row>
    <row r="126" spans="2:13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</row>
    <row r="127" spans="2:13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</row>
    <row r="128" spans="2:13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</row>
    <row r="129" spans="2:13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</row>
    <row r="130" spans="2:13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2:13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</row>
    <row r="132" spans="2:13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</row>
    <row r="133" spans="2:13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</row>
    <row r="134" spans="2:13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</row>
    <row r="135" spans="2:13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2:13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2:13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2:13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</row>
    <row r="139" spans="2:13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</row>
    <row r="140" spans="2:13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</row>
    <row r="141" spans="2:13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2:13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2:13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</row>
    <row r="144" spans="2:13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</row>
    <row r="145" spans="2:13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</row>
    <row r="146" spans="2:13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</row>
    <row r="147" spans="2:13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2:13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2:13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</row>
    <row r="150" spans="2:13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</row>
    <row r="151" spans="2:13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</row>
    <row r="152" spans="2:13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</row>
    <row r="153" spans="2:13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</row>
    <row r="154" spans="2:13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</row>
    <row r="155" spans="2:13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</row>
    <row r="156" spans="2:13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</row>
    <row r="157" spans="2:13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</row>
    <row r="158" spans="2:13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2:13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</row>
    <row r="160" spans="2:13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</row>
    <row r="161" spans="2:13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17 to Response to US DOD-2 Question No. 7   
Page &amp;P of &amp;N
Garrett</oddFooter>
  </headerFooter>
  <rowBreaks count="1" manualBreakCount="1">
    <brk id="45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ADD6A9F-6559-43F7-9E8E-903CD08B3E93}"/>
</file>

<file path=customXml/itemProps2.xml><?xml version="1.0" encoding="utf-8"?>
<ds:datastoreItem xmlns:ds="http://schemas.openxmlformats.org/officeDocument/2006/customXml" ds:itemID="{1C543DD8-0DB6-4862-A552-4ED11EAC6F56}"/>
</file>

<file path=customXml/itemProps3.xml><?xml version="1.0" encoding="utf-8"?>
<ds:datastoreItem xmlns:ds="http://schemas.openxmlformats.org/officeDocument/2006/customXml" ds:itemID="{D686D838-18AE-4FA3-8BA6-67E449954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Summary - Cost - PG 1 (Reg)</vt:lpstr>
      <vt:lpstr>Summary - Reserve - PG 2 (Reg)</vt:lpstr>
      <vt:lpstr>RWIP BY ACCOUNT - PG 2A (Reg)</vt:lpstr>
      <vt:lpstr>Cash Flow Summary - PG 2B REG</vt:lpstr>
      <vt:lpstr>Transfer Detail PG 3 (Reg)</vt:lpstr>
      <vt:lpstr>Land &amp; Vehicle Retire P3A(Reg)</vt:lpstr>
      <vt:lpstr>CWIP Spend by Project P3B (Reg)</vt:lpstr>
      <vt:lpstr>Recon Depr Exp to IS P4 (Reg)</vt:lpstr>
      <vt:lpstr>Total Comm PIS_NBV-P5 (Reg)</vt:lpstr>
      <vt:lpstr>Tot Com PIS_COST SPLIT-P6 (Reg)</vt:lpstr>
      <vt:lpstr>KY_Total Comm PIS_NBV-P7 (Reg)</vt:lpstr>
      <vt:lpstr>KY_Cost Plant Acct-Comm-P8(Reg)</vt:lpstr>
      <vt:lpstr>IN_Total PIS_Comm_NBV-P9 (Reg)</vt:lpstr>
      <vt:lpstr>IN_Cost Plant Acct-Com-P10(Reg)</vt:lpstr>
      <vt:lpstr>Total Elec PIS_NBV-P11 (Reg)</vt:lpstr>
      <vt:lpstr>Tot Elec PIS Cost Split-P12(Reg</vt:lpstr>
      <vt:lpstr>KY_Total Elec PIS_NBV-P13 (Reg)</vt:lpstr>
      <vt:lpstr>KY_Cost Plant Acct-Elec-P14(Reg</vt:lpstr>
      <vt:lpstr>IN_Total PIS_Elec_NBV-P15 (Reg)</vt:lpstr>
      <vt:lpstr>IN_Cost Plant Acct-Elec-P16(Reg</vt:lpstr>
      <vt:lpstr>Total Gas PIS_NBV-P17 (Reg)</vt:lpstr>
      <vt:lpstr>Tot Gas PIS COST SPLIT-P18(Reg)</vt:lpstr>
      <vt:lpstr>KY_Total Gas PIS_NBV-P19(Reg)</vt:lpstr>
      <vt:lpstr>KY_Cost Plant Acct-Gas-P20(REG)</vt:lpstr>
      <vt:lpstr>IN_Total PIS_Gas_NBV-P21(Reg)</vt:lpstr>
      <vt:lpstr>IN_Cost Plant Acct-Gas-P22(Reg)</vt:lpstr>
      <vt:lpstr>Gas Stored NonRecov-KY P23(Reg)</vt:lpstr>
      <vt:lpstr>Gas Stored NonRecov-IN P24(Reg)</vt:lpstr>
      <vt:lpstr>Capital Leased Prop P25 (Reg)</vt:lpstr>
      <vt:lpstr>Plant Held Future Use P26 (Reg)</vt:lpstr>
      <vt:lpstr>Non Utility Property P27 (Reg)</vt:lpstr>
      <vt:lpstr>Plant Purch &amp; Sold P28 (Reg)</vt:lpstr>
      <vt:lpstr>KY_Res by Plant Acct-P29 (Reg)</vt:lpstr>
      <vt:lpstr>IN_Res by Plant Acct-P30 (Reg)</vt:lpstr>
      <vt:lpstr>Depr Study Summary Pg2</vt:lpstr>
      <vt:lpstr>Res by Plant Acct- Depr Study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2018-12-14T18:24:41Z</dcterms:created>
  <dcterms:modified xsi:type="dcterms:W3CDTF">2018-12-14T18:47:09Z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