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4235"/>
  </bookViews>
  <sheets>
    <sheet name="Summary - Cost - PG 1 (Reg)" sheetId="1" r:id="rId1"/>
    <sheet name="Summary - Reserve - PG 2 (Reg)" sheetId="2" r:id="rId2"/>
    <sheet name="RWIP BY ACCOUNT - PG 2A (Reg)" sheetId="3" r:id="rId3"/>
    <sheet name="Cash Flow Summary - PG 2B REG" sheetId="4" r:id="rId4"/>
    <sheet name="Transfer Detail PG 3 (Reg)" sheetId="5" r:id="rId5"/>
    <sheet name="Land &amp; Vehicle Retire P3A(Reg)" sheetId="6" r:id="rId6"/>
    <sheet name="CWIP Spend by Project P3B (Reg)" sheetId="7" r:id="rId7"/>
    <sheet name="Recon Depr Exp to IS P4 (Reg)" sheetId="8" r:id="rId8"/>
    <sheet name="Total Comm PIS_NBV-P5 (Reg)" sheetId="9" r:id="rId9"/>
    <sheet name="Tot Com PIS_COST SPLIT-P6 (Reg)" sheetId="10" r:id="rId10"/>
    <sheet name="KY_Total Comm PIS_NBV-P7 (Reg)" sheetId="11" r:id="rId11"/>
    <sheet name="KY_Cost Plant Acct-Comm-P8(Reg)" sheetId="12" r:id="rId12"/>
    <sheet name="IN_Total PIS_Comm_NBV-P9 (Reg)" sheetId="13" r:id="rId13"/>
    <sheet name="IN_Cost Plant Acct-Com-P10(Reg)" sheetId="14" r:id="rId14"/>
    <sheet name="Total Elec PIS_NBV-P11 (Reg)" sheetId="15" r:id="rId15"/>
    <sheet name="Tot Elec PIS Cost Split-P12(Reg" sheetId="16" r:id="rId16"/>
    <sheet name="KY_Total Elec PIS_NBV-P13 (Reg)" sheetId="17" r:id="rId17"/>
    <sheet name="KY_Cost Plant Acct-Elec-P14(Reg" sheetId="18" r:id="rId18"/>
    <sheet name="IN_Total PIS_Elec_NBV-P15 (Reg)" sheetId="19" r:id="rId19"/>
    <sheet name="IN_Cost Plant Acct-Elec-P16(Reg" sheetId="20" r:id="rId20"/>
    <sheet name="Total Gas PIS_NBV-P17 (Reg)" sheetId="21" r:id="rId21"/>
    <sheet name="Tot Gas PIS COST SPLIT-P18(Reg)" sheetId="22" r:id="rId22"/>
    <sheet name="KY_Total Gas PIS_NBV-P19(Reg)" sheetId="23" r:id="rId23"/>
    <sheet name="KY_Cost Plant Acct-Gas-P20(REG)" sheetId="24" r:id="rId24"/>
    <sheet name="IN_Total PIS_Gas_NBV-P21(Reg)" sheetId="25" r:id="rId25"/>
    <sheet name="IN_Cost Plant Acct-Gas-P22(Reg)" sheetId="26" r:id="rId26"/>
    <sheet name="Gas Stored NonRecov-KY P23(Reg)" sheetId="27" r:id="rId27"/>
    <sheet name="Gas Stored NonRecov-IN P24(Reg)" sheetId="28" r:id="rId28"/>
    <sheet name="Capital Leased Prop P25 (Reg)" sheetId="29" r:id="rId29"/>
    <sheet name="Plant Held Future Use P26 (Reg)" sheetId="30" r:id="rId30"/>
    <sheet name="Non Utility Property P27 (Reg)" sheetId="31" r:id="rId31"/>
    <sheet name="Plant Purch &amp; Sold P28 (Reg)" sheetId="32" r:id="rId32"/>
    <sheet name="KY_Res by Plant Acct-P29 (Reg)" sheetId="33" r:id="rId33"/>
    <sheet name="IN_Res by Plant Acct-P30 (Reg)" sheetId="34" r:id="rId34"/>
    <sheet name="Depr Study Summary Pg2" sheetId="35" r:id="rId35"/>
    <sheet name="Res by Plant Acct- Depr Study" sheetId="36" r:id="rId3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7" i="36" l="1"/>
  <c r="B507" i="36"/>
  <c r="J506" i="36"/>
  <c r="B506" i="36"/>
  <c r="J505" i="36"/>
  <c r="B505" i="36"/>
  <c r="J504" i="36"/>
  <c r="B504" i="36"/>
  <c r="J503" i="36"/>
  <c r="B503" i="36"/>
  <c r="J495" i="36"/>
  <c r="B495" i="36"/>
  <c r="J494" i="36"/>
  <c r="B494" i="36"/>
  <c r="J493" i="36"/>
  <c r="B493" i="36"/>
  <c r="J492" i="36"/>
  <c r="B492" i="36"/>
  <c r="J491" i="36"/>
  <c r="B491" i="36"/>
  <c r="J487" i="36"/>
  <c r="B487" i="36"/>
  <c r="J486" i="36"/>
  <c r="B486" i="36"/>
  <c r="J485" i="36"/>
  <c r="B485" i="36"/>
  <c r="J484" i="36"/>
  <c r="B484" i="36"/>
  <c r="J483" i="36"/>
  <c r="B483" i="36"/>
  <c r="J482" i="36"/>
  <c r="B482" i="36"/>
  <c r="J481" i="36"/>
  <c r="B481" i="36"/>
  <c r="J480" i="36"/>
  <c r="B480" i="36"/>
  <c r="J479" i="36"/>
  <c r="B479" i="36"/>
  <c r="J478" i="36"/>
  <c r="B478" i="36"/>
  <c r="J477" i="36"/>
  <c r="B477" i="36"/>
  <c r="J476" i="36"/>
  <c r="B476" i="36"/>
  <c r="J475" i="36"/>
  <c r="B475" i="36"/>
  <c r="J474" i="36"/>
  <c r="B474" i="36"/>
  <c r="J473" i="36"/>
  <c r="B473" i="36"/>
  <c r="J472" i="36"/>
  <c r="B472" i="36"/>
  <c r="J471" i="36"/>
  <c r="B471" i="36"/>
  <c r="J470" i="36"/>
  <c r="B470" i="36"/>
  <c r="J469" i="36"/>
  <c r="B469" i="36"/>
  <c r="J468" i="36"/>
  <c r="B468" i="36"/>
  <c r="J467" i="36"/>
  <c r="B467" i="36"/>
  <c r="J466" i="36"/>
  <c r="B466" i="36"/>
  <c r="J465" i="36"/>
  <c r="B465" i="36"/>
  <c r="J464" i="36"/>
  <c r="B464" i="36"/>
  <c r="J463" i="36"/>
  <c r="G463" i="36"/>
  <c r="B463" i="36"/>
  <c r="J462" i="36"/>
  <c r="G462" i="36"/>
  <c r="B462" i="36"/>
  <c r="J461" i="36"/>
  <c r="G461" i="36"/>
  <c r="B461" i="36"/>
  <c r="J460" i="36"/>
  <c r="B460" i="36"/>
  <c r="J459" i="36"/>
  <c r="B459" i="36"/>
  <c r="J452" i="36"/>
  <c r="J455" i="36" s="1"/>
  <c r="J451" i="36"/>
  <c r="B451" i="36"/>
  <c r="B452" i="36" s="1"/>
  <c r="B455" i="36" s="1"/>
  <c r="J443" i="36"/>
  <c r="B443" i="36"/>
  <c r="J442" i="36"/>
  <c r="B442" i="36"/>
  <c r="J441" i="36"/>
  <c r="J444" i="36" s="1"/>
  <c r="B441" i="36"/>
  <c r="J437" i="36"/>
  <c r="B437" i="36"/>
  <c r="J436" i="36"/>
  <c r="B436" i="36"/>
  <c r="J435" i="36"/>
  <c r="B435" i="36"/>
  <c r="J434" i="36"/>
  <c r="B434" i="36"/>
  <c r="J433" i="36"/>
  <c r="B433" i="36"/>
  <c r="J432" i="36"/>
  <c r="B432" i="36"/>
  <c r="J431" i="36"/>
  <c r="B431" i="36"/>
  <c r="J430" i="36"/>
  <c r="B430" i="36"/>
  <c r="J429" i="36"/>
  <c r="B429" i="36"/>
  <c r="J428" i="36"/>
  <c r="B428" i="36"/>
  <c r="J427" i="36"/>
  <c r="B427" i="36"/>
  <c r="J426" i="36"/>
  <c r="B426" i="36"/>
  <c r="J425" i="36"/>
  <c r="B425" i="36"/>
  <c r="J424" i="36"/>
  <c r="B424" i="36"/>
  <c r="J423" i="36"/>
  <c r="B423" i="36"/>
  <c r="J422" i="36"/>
  <c r="B422" i="36"/>
  <c r="J421" i="36"/>
  <c r="B421" i="36"/>
  <c r="J420" i="36"/>
  <c r="B420" i="36"/>
  <c r="J415" i="36"/>
  <c r="B415" i="36"/>
  <c r="J414" i="36"/>
  <c r="B414" i="36"/>
  <c r="J413" i="36"/>
  <c r="B413" i="36"/>
  <c r="J412" i="36"/>
  <c r="B412" i="36"/>
  <c r="J411" i="36"/>
  <c r="B411" i="36"/>
  <c r="J410" i="36"/>
  <c r="B410" i="36"/>
  <c r="J409" i="36"/>
  <c r="B409" i="36"/>
  <c r="J408" i="36"/>
  <c r="J416" i="36" s="1"/>
  <c r="B408" i="36"/>
  <c r="B416" i="36" s="1"/>
  <c r="J404" i="36"/>
  <c r="B404" i="36"/>
  <c r="J403" i="36"/>
  <c r="B403" i="36"/>
  <c r="J402" i="36"/>
  <c r="B402" i="36"/>
  <c r="J401" i="36"/>
  <c r="B401" i="36"/>
  <c r="J400" i="36"/>
  <c r="B400" i="36"/>
  <c r="J399" i="36"/>
  <c r="B399" i="36"/>
  <c r="J398" i="36"/>
  <c r="B398" i="36"/>
  <c r="J397" i="36"/>
  <c r="B397" i="36"/>
  <c r="J396" i="36"/>
  <c r="B396" i="36"/>
  <c r="J395" i="36"/>
  <c r="B395" i="36"/>
  <c r="J394" i="36"/>
  <c r="B394" i="36"/>
  <c r="J393" i="36"/>
  <c r="B393" i="36"/>
  <c r="J392" i="36"/>
  <c r="B392" i="36"/>
  <c r="J391" i="36"/>
  <c r="B391" i="36"/>
  <c r="J390" i="36"/>
  <c r="B390" i="36"/>
  <c r="J389" i="36"/>
  <c r="B389" i="36"/>
  <c r="J380" i="36"/>
  <c r="B380" i="36"/>
  <c r="J379" i="36"/>
  <c r="B379" i="36"/>
  <c r="J371" i="36"/>
  <c r="B371" i="36"/>
  <c r="J370" i="36"/>
  <c r="B370" i="36"/>
  <c r="J369" i="36"/>
  <c r="B369" i="36"/>
  <c r="J368" i="36"/>
  <c r="B368" i="36"/>
  <c r="J367" i="36"/>
  <c r="B367" i="36"/>
  <c r="J366" i="36"/>
  <c r="B366" i="36"/>
  <c r="J365" i="36"/>
  <c r="B365" i="36"/>
  <c r="O364" i="36"/>
  <c r="M364" i="36"/>
  <c r="K364" i="36"/>
  <c r="J364" i="36"/>
  <c r="I364" i="36"/>
  <c r="G364" i="36"/>
  <c r="E364" i="36"/>
  <c r="C364" i="36"/>
  <c r="B364" i="36"/>
  <c r="J363" i="36"/>
  <c r="B363" i="36"/>
  <c r="J362" i="36"/>
  <c r="B362" i="36"/>
  <c r="J361" i="36"/>
  <c r="B361" i="36"/>
  <c r="J360" i="36"/>
  <c r="B360" i="36"/>
  <c r="J359" i="36"/>
  <c r="B359" i="36"/>
  <c r="J358" i="36"/>
  <c r="B358" i="36"/>
  <c r="J357" i="36"/>
  <c r="B357" i="36"/>
  <c r="J356" i="36"/>
  <c r="B356" i="36"/>
  <c r="J355" i="36"/>
  <c r="B355" i="36"/>
  <c r="J354" i="36"/>
  <c r="B354" i="36"/>
  <c r="J350" i="36"/>
  <c r="B350" i="36"/>
  <c r="J349" i="36"/>
  <c r="B349" i="36"/>
  <c r="J347" i="36"/>
  <c r="B347" i="36"/>
  <c r="J346" i="36"/>
  <c r="B346" i="36"/>
  <c r="J345" i="36"/>
  <c r="B345" i="36"/>
  <c r="J344" i="36"/>
  <c r="B344" i="36"/>
  <c r="J343" i="36"/>
  <c r="B343" i="36"/>
  <c r="J342" i="36"/>
  <c r="B342" i="36"/>
  <c r="J341" i="36"/>
  <c r="B341" i="36"/>
  <c r="J340" i="36"/>
  <c r="B340" i="36"/>
  <c r="J339" i="36"/>
  <c r="B339" i="36"/>
  <c r="J338" i="36"/>
  <c r="B338" i="36"/>
  <c r="J337" i="36"/>
  <c r="B337" i="36"/>
  <c r="J336" i="36"/>
  <c r="B336" i="36"/>
  <c r="J335" i="36"/>
  <c r="B335" i="36"/>
  <c r="J334" i="36"/>
  <c r="B334" i="36"/>
  <c r="J333" i="36"/>
  <c r="B333" i="36"/>
  <c r="J332" i="36"/>
  <c r="B332" i="36"/>
  <c r="J331" i="36"/>
  <c r="B331" i="36"/>
  <c r="J330" i="36"/>
  <c r="B330" i="36"/>
  <c r="J329" i="36"/>
  <c r="B329" i="36"/>
  <c r="J328" i="36"/>
  <c r="J348" i="36" s="1"/>
  <c r="B328" i="36"/>
  <c r="J326" i="36"/>
  <c r="B326" i="36"/>
  <c r="J325" i="36"/>
  <c r="B325" i="36"/>
  <c r="J324" i="36"/>
  <c r="B324" i="36"/>
  <c r="J323" i="36"/>
  <c r="B323" i="36"/>
  <c r="J322" i="36"/>
  <c r="B322" i="36"/>
  <c r="J321" i="36"/>
  <c r="B321" i="36"/>
  <c r="J320" i="36"/>
  <c r="B320" i="36"/>
  <c r="J319" i="36"/>
  <c r="B319" i="36"/>
  <c r="B327" i="36" s="1"/>
  <c r="J317" i="36"/>
  <c r="B317" i="36"/>
  <c r="J316" i="36"/>
  <c r="B316" i="36"/>
  <c r="P315" i="36"/>
  <c r="O315" i="36"/>
  <c r="M315" i="36"/>
  <c r="K315" i="36"/>
  <c r="J315" i="36"/>
  <c r="I315" i="36"/>
  <c r="G315" i="36"/>
  <c r="B315" i="36"/>
  <c r="O314" i="36"/>
  <c r="M314" i="36"/>
  <c r="K314" i="36"/>
  <c r="J314" i="36"/>
  <c r="I314" i="36"/>
  <c r="G314" i="36"/>
  <c r="E314" i="36"/>
  <c r="C314" i="36"/>
  <c r="B314" i="36"/>
  <c r="J313" i="36"/>
  <c r="B313" i="36"/>
  <c r="J312" i="36"/>
  <c r="B312" i="36"/>
  <c r="J311" i="36"/>
  <c r="B311" i="36"/>
  <c r="J310" i="36"/>
  <c r="B310" i="36"/>
  <c r="J309" i="36"/>
  <c r="B309" i="36"/>
  <c r="J308" i="36"/>
  <c r="B308" i="36"/>
  <c r="J307" i="36"/>
  <c r="B307" i="36"/>
  <c r="J306" i="36"/>
  <c r="B306" i="36"/>
  <c r="J305" i="36"/>
  <c r="B305" i="36"/>
  <c r="J304" i="36"/>
  <c r="B304" i="36"/>
  <c r="J303" i="36"/>
  <c r="B303" i="36"/>
  <c r="J302" i="36"/>
  <c r="B302" i="36"/>
  <c r="J301" i="36"/>
  <c r="B301" i="36"/>
  <c r="J300" i="36"/>
  <c r="B300" i="36"/>
  <c r="J299" i="36"/>
  <c r="B299" i="36"/>
  <c r="J298" i="36"/>
  <c r="B298" i="36"/>
  <c r="J297" i="36"/>
  <c r="B297" i="36"/>
  <c r="J296" i="36"/>
  <c r="B296" i="36"/>
  <c r="J295" i="36"/>
  <c r="B295" i="36"/>
  <c r="J294" i="36"/>
  <c r="B294" i="36"/>
  <c r="J293" i="36"/>
  <c r="B293" i="36"/>
  <c r="J292" i="36"/>
  <c r="B292" i="36"/>
  <c r="J291" i="36"/>
  <c r="B291" i="36"/>
  <c r="J290" i="36"/>
  <c r="B290" i="36"/>
  <c r="J289" i="36"/>
  <c r="B289" i="36"/>
  <c r="J287" i="36"/>
  <c r="B287" i="36"/>
  <c r="J286" i="36"/>
  <c r="B286" i="36"/>
  <c r="J285" i="36"/>
  <c r="B285" i="36"/>
  <c r="J284" i="36"/>
  <c r="B284" i="36"/>
  <c r="J283" i="36"/>
  <c r="B283" i="36"/>
  <c r="J282" i="36"/>
  <c r="B282" i="36"/>
  <c r="J281" i="36"/>
  <c r="B281" i="36"/>
  <c r="J280" i="36"/>
  <c r="B280" i="36"/>
  <c r="J279" i="36"/>
  <c r="B279" i="36"/>
  <c r="J278" i="36"/>
  <c r="B278" i="36"/>
  <c r="J277" i="36"/>
  <c r="B277" i="36"/>
  <c r="J276" i="36"/>
  <c r="B276" i="36"/>
  <c r="J275" i="36"/>
  <c r="B275" i="36"/>
  <c r="J273" i="36"/>
  <c r="B273" i="36"/>
  <c r="J272" i="36"/>
  <c r="B272" i="36"/>
  <c r="B274" i="36" s="1"/>
  <c r="J270" i="36"/>
  <c r="B270" i="36"/>
  <c r="J269" i="36"/>
  <c r="B269" i="36"/>
  <c r="J268" i="36"/>
  <c r="B268" i="36"/>
  <c r="J267" i="36"/>
  <c r="B267" i="36"/>
  <c r="J266" i="36"/>
  <c r="B266" i="36"/>
  <c r="Q265" i="36"/>
  <c r="P265" i="36"/>
  <c r="O265" i="36"/>
  <c r="M265" i="36"/>
  <c r="L265" i="36"/>
  <c r="K265" i="36"/>
  <c r="J265" i="36"/>
  <c r="I265" i="36"/>
  <c r="G265" i="36"/>
  <c r="E265" i="36"/>
  <c r="C265" i="36"/>
  <c r="B265" i="36"/>
  <c r="J264" i="36"/>
  <c r="B264" i="36"/>
  <c r="J263" i="36"/>
  <c r="B263" i="36"/>
  <c r="J262" i="36"/>
  <c r="B262" i="36"/>
  <c r="J261" i="36"/>
  <c r="B261" i="36"/>
  <c r="J260" i="36"/>
  <c r="B260" i="36"/>
  <c r="J259" i="36"/>
  <c r="B259" i="36"/>
  <c r="J258" i="36"/>
  <c r="B258" i="36"/>
  <c r="J257" i="36"/>
  <c r="B257" i="36"/>
  <c r="J256" i="36"/>
  <c r="B256" i="36"/>
  <c r="J255" i="36"/>
  <c r="B255" i="36"/>
  <c r="J254" i="36"/>
  <c r="B254" i="36"/>
  <c r="J253" i="36"/>
  <c r="B253" i="36"/>
  <c r="J252" i="36"/>
  <c r="B252" i="36"/>
  <c r="J251" i="36"/>
  <c r="B251" i="36"/>
  <c r="J250" i="36"/>
  <c r="B250" i="36"/>
  <c r="J249" i="36"/>
  <c r="B249" i="36"/>
  <c r="J248" i="36"/>
  <c r="B248" i="36"/>
  <c r="J247" i="36"/>
  <c r="B247" i="36"/>
  <c r="J246" i="36"/>
  <c r="B246" i="36"/>
  <c r="J245" i="36"/>
  <c r="B245" i="36"/>
  <c r="J244" i="36"/>
  <c r="B244" i="36"/>
  <c r="J243" i="36"/>
  <c r="B243" i="36"/>
  <c r="J242" i="36"/>
  <c r="B242" i="36"/>
  <c r="J241" i="36"/>
  <c r="B241" i="36"/>
  <c r="J240" i="36"/>
  <c r="B240" i="36"/>
  <c r="J239" i="36"/>
  <c r="B239" i="36"/>
  <c r="J238" i="36"/>
  <c r="B238" i="36"/>
  <c r="J237" i="36"/>
  <c r="B237" i="36"/>
  <c r="J236" i="36"/>
  <c r="B236" i="36"/>
  <c r="J235" i="36"/>
  <c r="B235" i="36"/>
  <c r="J234" i="36"/>
  <c r="B234" i="36"/>
  <c r="J233" i="36"/>
  <c r="B233" i="36"/>
  <c r="J232" i="36"/>
  <c r="B232" i="36"/>
  <c r="J231" i="36"/>
  <c r="B231" i="36"/>
  <c r="J230" i="36"/>
  <c r="B230" i="36"/>
  <c r="J229" i="36"/>
  <c r="B229" i="36"/>
  <c r="J228" i="36"/>
  <c r="B228" i="36"/>
  <c r="J227" i="36"/>
  <c r="B227" i="36"/>
  <c r="J226" i="36"/>
  <c r="B226" i="36"/>
  <c r="J225" i="36"/>
  <c r="B225" i="36"/>
  <c r="J224" i="36"/>
  <c r="B224" i="36"/>
  <c r="J223" i="36"/>
  <c r="B223" i="36"/>
  <c r="J222" i="36"/>
  <c r="B222" i="36"/>
  <c r="J221" i="36"/>
  <c r="B221" i="36"/>
  <c r="J220" i="36"/>
  <c r="B220" i="36"/>
  <c r="J218" i="36"/>
  <c r="J219" i="36" s="1"/>
  <c r="B218" i="36"/>
  <c r="J217" i="36"/>
  <c r="B217" i="36"/>
  <c r="J216" i="36"/>
  <c r="B216" i="36"/>
  <c r="J214" i="36"/>
  <c r="B214" i="36"/>
  <c r="J213" i="36"/>
  <c r="B213" i="36"/>
  <c r="J212" i="36"/>
  <c r="B212" i="36"/>
  <c r="J211" i="36"/>
  <c r="B211" i="36"/>
  <c r="J210" i="36"/>
  <c r="B210" i="36"/>
  <c r="J209" i="36"/>
  <c r="B209" i="36"/>
  <c r="J208" i="36"/>
  <c r="B208" i="36"/>
  <c r="J207" i="36"/>
  <c r="B207" i="36"/>
  <c r="J205" i="36"/>
  <c r="B205" i="36"/>
  <c r="J204" i="36"/>
  <c r="B204" i="36"/>
  <c r="J203" i="36"/>
  <c r="B203" i="36"/>
  <c r="J202" i="36"/>
  <c r="B202" i="36"/>
  <c r="J201" i="36"/>
  <c r="B201" i="36"/>
  <c r="J200" i="36"/>
  <c r="B200" i="36"/>
  <c r="J199" i="36"/>
  <c r="B199" i="36"/>
  <c r="J198" i="36"/>
  <c r="B198" i="36"/>
  <c r="J197" i="36"/>
  <c r="B197" i="36"/>
  <c r="J196" i="36"/>
  <c r="B196" i="36"/>
  <c r="J195" i="36"/>
  <c r="B195" i="36"/>
  <c r="J194" i="36"/>
  <c r="B194" i="36"/>
  <c r="J193" i="36"/>
  <c r="B193" i="36"/>
  <c r="J192" i="36"/>
  <c r="B192" i="36"/>
  <c r="J191" i="36"/>
  <c r="B191" i="36"/>
  <c r="J190" i="36"/>
  <c r="B190" i="36"/>
  <c r="J189" i="36"/>
  <c r="B189" i="36"/>
  <c r="J188" i="36"/>
  <c r="B188" i="36"/>
  <c r="J187" i="36"/>
  <c r="B187" i="36"/>
  <c r="J186" i="36"/>
  <c r="B186" i="36"/>
  <c r="J185" i="36"/>
  <c r="B185" i="36"/>
  <c r="J184" i="36"/>
  <c r="B184" i="36"/>
  <c r="J183" i="36"/>
  <c r="B183" i="36"/>
  <c r="J182" i="36"/>
  <c r="B182" i="36"/>
  <c r="J181" i="36"/>
  <c r="B181" i="36"/>
  <c r="J180" i="36"/>
  <c r="B180" i="36"/>
  <c r="J179" i="36"/>
  <c r="B179" i="36"/>
  <c r="J178" i="36"/>
  <c r="B178" i="36"/>
  <c r="J177" i="36"/>
  <c r="B177" i="36"/>
  <c r="J176" i="36"/>
  <c r="B176" i="36"/>
  <c r="J175" i="36"/>
  <c r="B175" i="36"/>
  <c r="J174" i="36"/>
  <c r="B174" i="36"/>
  <c r="J173" i="36"/>
  <c r="B173" i="36"/>
  <c r="J172" i="36"/>
  <c r="B172" i="36"/>
  <c r="J171" i="36"/>
  <c r="B171" i="36"/>
  <c r="J170" i="36"/>
  <c r="B170" i="36"/>
  <c r="J168" i="36"/>
  <c r="B168" i="36"/>
  <c r="J167" i="36"/>
  <c r="J169" i="36" s="1"/>
  <c r="B167" i="36"/>
  <c r="J163" i="36"/>
  <c r="B163" i="36"/>
  <c r="J162" i="36"/>
  <c r="B162" i="36"/>
  <c r="J160" i="36"/>
  <c r="B160" i="36"/>
  <c r="J159" i="36"/>
  <c r="B159" i="36"/>
  <c r="J158" i="36"/>
  <c r="B158" i="36"/>
  <c r="J157" i="36"/>
  <c r="B157" i="36"/>
  <c r="J156" i="36"/>
  <c r="B156" i="36"/>
  <c r="J155" i="36"/>
  <c r="B155" i="36"/>
  <c r="J154" i="36"/>
  <c r="B154" i="36"/>
  <c r="J153" i="36"/>
  <c r="B153" i="36"/>
  <c r="J152" i="36"/>
  <c r="B152" i="36"/>
  <c r="J151" i="36"/>
  <c r="B151" i="36"/>
  <c r="J150" i="36"/>
  <c r="B150" i="36"/>
  <c r="J149" i="36"/>
  <c r="B149" i="36"/>
  <c r="J148" i="36"/>
  <c r="B148" i="36"/>
  <c r="J147" i="36"/>
  <c r="B147" i="36"/>
  <c r="O146" i="36"/>
  <c r="M146" i="36"/>
  <c r="K146" i="36"/>
  <c r="J146" i="36"/>
  <c r="I146" i="36"/>
  <c r="G146" i="36"/>
  <c r="E146" i="36"/>
  <c r="C146" i="36"/>
  <c r="B146" i="36"/>
  <c r="J144" i="36"/>
  <c r="B144" i="36"/>
  <c r="J143" i="36"/>
  <c r="B143" i="36"/>
  <c r="J142" i="36"/>
  <c r="B142" i="36"/>
  <c r="J141" i="36"/>
  <c r="B141" i="36"/>
  <c r="J140" i="36"/>
  <c r="B140" i="36"/>
  <c r="J139" i="36"/>
  <c r="B139" i="36"/>
  <c r="J138" i="36"/>
  <c r="B138" i="36"/>
  <c r="J137" i="36"/>
  <c r="B137" i="36"/>
  <c r="J136" i="36"/>
  <c r="B136" i="36"/>
  <c r="J135" i="36"/>
  <c r="B135" i="36"/>
  <c r="J134" i="36"/>
  <c r="B134" i="36"/>
  <c r="J133" i="36"/>
  <c r="B133" i="36"/>
  <c r="J132" i="36"/>
  <c r="B132" i="36"/>
  <c r="J131" i="36"/>
  <c r="B131" i="36"/>
  <c r="J130" i="36"/>
  <c r="B130" i="36"/>
  <c r="O129" i="36"/>
  <c r="M129" i="36"/>
  <c r="K129" i="36"/>
  <c r="J129" i="36"/>
  <c r="I129" i="36"/>
  <c r="G129" i="36"/>
  <c r="E129" i="36"/>
  <c r="C129" i="36"/>
  <c r="B129" i="36"/>
  <c r="J128" i="36"/>
  <c r="J145" i="36" s="1"/>
  <c r="B128" i="36"/>
  <c r="J126" i="36"/>
  <c r="B126" i="36"/>
  <c r="J125" i="36"/>
  <c r="B125" i="36"/>
  <c r="J124" i="36"/>
  <c r="B124" i="36"/>
  <c r="J123" i="36"/>
  <c r="B123" i="36"/>
  <c r="J122" i="36"/>
  <c r="B122" i="36"/>
  <c r="J121" i="36"/>
  <c r="B121" i="36"/>
  <c r="J120" i="36"/>
  <c r="B120" i="36"/>
  <c r="J119" i="36"/>
  <c r="B119" i="36"/>
  <c r="J118" i="36"/>
  <c r="B118" i="36"/>
  <c r="J117" i="36"/>
  <c r="B117" i="36"/>
  <c r="J116" i="36"/>
  <c r="B116" i="36"/>
  <c r="J115" i="36"/>
  <c r="B115" i="36"/>
  <c r="J114" i="36"/>
  <c r="B114" i="36"/>
  <c r="J113" i="36"/>
  <c r="B113" i="36"/>
  <c r="J112" i="36"/>
  <c r="B112" i="36"/>
  <c r="Q111" i="36"/>
  <c r="O111" i="36"/>
  <c r="M111" i="36"/>
  <c r="K111" i="36"/>
  <c r="J111" i="36"/>
  <c r="I111" i="36"/>
  <c r="G111" i="36"/>
  <c r="E111" i="36"/>
  <c r="C111" i="36"/>
  <c r="B111" i="36"/>
  <c r="J110" i="36"/>
  <c r="B110" i="36"/>
  <c r="O109" i="36"/>
  <c r="J108" i="36"/>
  <c r="B108" i="36"/>
  <c r="J107" i="36"/>
  <c r="B107" i="36"/>
  <c r="J106" i="36"/>
  <c r="B106" i="36"/>
  <c r="J105" i="36"/>
  <c r="B105" i="36"/>
  <c r="J104" i="36"/>
  <c r="B104" i="36"/>
  <c r="J103" i="36"/>
  <c r="B103" i="36"/>
  <c r="J102" i="36"/>
  <c r="B102" i="36"/>
  <c r="J101" i="36"/>
  <c r="B101" i="36"/>
  <c r="J100" i="36"/>
  <c r="B100" i="36"/>
  <c r="J99" i="36"/>
  <c r="B99" i="36"/>
  <c r="J98" i="36"/>
  <c r="B98" i="36"/>
  <c r="O97" i="36"/>
  <c r="M97" i="36"/>
  <c r="M109" i="36" s="1"/>
  <c r="K97" i="36"/>
  <c r="K109" i="36" s="1"/>
  <c r="J97" i="36"/>
  <c r="I97" i="36"/>
  <c r="I109" i="36" s="1"/>
  <c r="G97" i="36"/>
  <c r="G109" i="36" s="1"/>
  <c r="E97" i="36"/>
  <c r="E109" i="36" s="1"/>
  <c r="C97" i="36"/>
  <c r="B97" i="36"/>
  <c r="J95" i="36"/>
  <c r="B95" i="36"/>
  <c r="J94" i="36"/>
  <c r="B94" i="36"/>
  <c r="J93" i="36"/>
  <c r="B93" i="36"/>
  <c r="J92" i="36"/>
  <c r="B92" i="36"/>
  <c r="J91" i="36"/>
  <c r="B91" i="36"/>
  <c r="J90" i="36"/>
  <c r="B90" i="36"/>
  <c r="J89" i="36"/>
  <c r="B89" i="36"/>
  <c r="J88" i="36"/>
  <c r="B88" i="36"/>
  <c r="J87" i="36"/>
  <c r="B87" i="36"/>
  <c r="J86" i="36"/>
  <c r="B86" i="36"/>
  <c r="J85" i="36"/>
  <c r="B85" i="36"/>
  <c r="J84" i="36"/>
  <c r="B84" i="36"/>
  <c r="J83" i="36"/>
  <c r="B83" i="36"/>
  <c r="J82" i="36"/>
  <c r="B82" i="36"/>
  <c r="J81" i="36"/>
  <c r="B81" i="36"/>
  <c r="O80" i="36"/>
  <c r="M80" i="36"/>
  <c r="K80" i="36"/>
  <c r="J80" i="36"/>
  <c r="I80" i="36"/>
  <c r="G80" i="36"/>
  <c r="E80" i="36"/>
  <c r="C80" i="36"/>
  <c r="B80" i="36"/>
  <c r="O79" i="36"/>
  <c r="M79" i="36"/>
  <c r="K79" i="36"/>
  <c r="J79" i="36"/>
  <c r="I79" i="36"/>
  <c r="G79" i="36"/>
  <c r="E79" i="36"/>
  <c r="C79" i="36"/>
  <c r="B79" i="36"/>
  <c r="J78" i="36"/>
  <c r="B78" i="36"/>
  <c r="J76" i="36"/>
  <c r="B76" i="36"/>
  <c r="J75" i="36"/>
  <c r="B75" i="36"/>
  <c r="J74" i="36"/>
  <c r="B74" i="36"/>
  <c r="J73" i="36"/>
  <c r="B73" i="36"/>
  <c r="J72" i="36"/>
  <c r="B72" i="36"/>
  <c r="J71" i="36"/>
  <c r="B71" i="36"/>
  <c r="J70" i="36"/>
  <c r="B70" i="36"/>
  <c r="J69" i="36"/>
  <c r="B69" i="36"/>
  <c r="J68" i="36"/>
  <c r="B68" i="36"/>
  <c r="J67" i="36"/>
  <c r="B67" i="36"/>
  <c r="J66" i="36"/>
  <c r="B66" i="36"/>
  <c r="J65" i="36"/>
  <c r="B65" i="36"/>
  <c r="J64" i="36"/>
  <c r="B64" i="36"/>
  <c r="J63" i="36"/>
  <c r="B63" i="36"/>
  <c r="O62" i="36"/>
  <c r="M62" i="36"/>
  <c r="K62" i="36"/>
  <c r="J62" i="36"/>
  <c r="I62" i="36"/>
  <c r="G62" i="36"/>
  <c r="E62" i="36"/>
  <c r="B62" i="36"/>
  <c r="J61" i="36"/>
  <c r="B61" i="36"/>
  <c r="J59" i="36"/>
  <c r="B59" i="36"/>
  <c r="J58" i="36"/>
  <c r="B58" i="36"/>
  <c r="J54" i="36"/>
  <c r="B54" i="36"/>
  <c r="J53" i="36"/>
  <c r="B53" i="36"/>
  <c r="J52" i="36"/>
  <c r="B52" i="36"/>
  <c r="J51" i="36"/>
  <c r="B51" i="36"/>
  <c r="J50" i="36"/>
  <c r="B50" i="36"/>
  <c r="J49" i="36"/>
  <c r="B49" i="36"/>
  <c r="J48" i="36"/>
  <c r="B48" i="36"/>
  <c r="J47" i="36"/>
  <c r="B47" i="36"/>
  <c r="J46" i="36"/>
  <c r="B46" i="36"/>
  <c r="J45" i="36"/>
  <c r="B45" i="36"/>
  <c r="J44" i="36"/>
  <c r="B44" i="36"/>
  <c r="J43" i="36"/>
  <c r="B43" i="36"/>
  <c r="J39" i="36"/>
  <c r="B39" i="36"/>
  <c r="J38" i="36"/>
  <c r="B38" i="36"/>
  <c r="J37" i="36"/>
  <c r="B37" i="36"/>
  <c r="J36" i="36"/>
  <c r="B36" i="36"/>
  <c r="J35" i="36"/>
  <c r="B35" i="36"/>
  <c r="J34" i="36"/>
  <c r="B34" i="36"/>
  <c r="J33" i="36"/>
  <c r="B33" i="36"/>
  <c r="J32" i="36"/>
  <c r="B32" i="36"/>
  <c r="J28" i="36"/>
  <c r="B28" i="36"/>
  <c r="J27" i="36"/>
  <c r="B27" i="36"/>
  <c r="J26" i="36"/>
  <c r="B26" i="36"/>
  <c r="J25" i="36"/>
  <c r="B25" i="36"/>
  <c r="J24" i="36"/>
  <c r="B24" i="36"/>
  <c r="O23" i="36"/>
  <c r="M23" i="36"/>
  <c r="K23" i="36"/>
  <c r="J23" i="36"/>
  <c r="I23" i="36"/>
  <c r="G23" i="36"/>
  <c r="E23" i="36"/>
  <c r="B23" i="36"/>
  <c r="J22" i="36"/>
  <c r="B22" i="36"/>
  <c r="J21" i="36"/>
  <c r="B21" i="36"/>
  <c r="J20" i="36"/>
  <c r="B20" i="36"/>
  <c r="J19" i="36"/>
  <c r="B19" i="36"/>
  <c r="J18" i="36"/>
  <c r="B18" i="36"/>
  <c r="J17" i="36"/>
  <c r="B17" i="36"/>
  <c r="J16" i="36"/>
  <c r="B16" i="36"/>
  <c r="J15" i="36"/>
  <c r="B15" i="36"/>
  <c r="J14" i="36"/>
  <c r="B14" i="36"/>
  <c r="J13" i="36"/>
  <c r="B13" i="36"/>
  <c r="J12" i="36"/>
  <c r="B12" i="36"/>
  <c r="J11" i="36"/>
  <c r="B11" i="36"/>
  <c r="J10" i="36"/>
  <c r="B10" i="36"/>
  <c r="B29" i="36" s="1"/>
  <c r="M87" i="35"/>
  <c r="K87" i="35"/>
  <c r="C87" i="35"/>
  <c r="M86" i="35"/>
  <c r="K86" i="35"/>
  <c r="C86" i="35"/>
  <c r="M85" i="35"/>
  <c r="K85" i="35"/>
  <c r="C85" i="35"/>
  <c r="M84" i="35"/>
  <c r="K84" i="35"/>
  <c r="C84" i="35"/>
  <c r="I79" i="35"/>
  <c r="G79" i="35"/>
  <c r="S78" i="35"/>
  <c r="M78" i="35"/>
  <c r="I78" i="35"/>
  <c r="G78" i="35"/>
  <c r="E78" i="35"/>
  <c r="C78" i="35"/>
  <c r="Q77" i="35"/>
  <c r="I77" i="35"/>
  <c r="G77" i="35"/>
  <c r="E77" i="35"/>
  <c r="E79" i="35" s="1"/>
  <c r="C77" i="35"/>
  <c r="S76" i="35"/>
  <c r="K76" i="35"/>
  <c r="I76" i="35"/>
  <c r="G76" i="35"/>
  <c r="E76" i="35"/>
  <c r="C76" i="35"/>
  <c r="C79" i="35" s="1"/>
  <c r="M66" i="35"/>
  <c r="K66" i="35"/>
  <c r="C66" i="35"/>
  <c r="M65" i="35"/>
  <c r="K65" i="35"/>
  <c r="C65" i="35"/>
  <c r="M64" i="35"/>
  <c r="K64" i="35"/>
  <c r="C64" i="35"/>
  <c r="M63" i="35"/>
  <c r="K63" i="35"/>
  <c r="C63" i="35"/>
  <c r="M62" i="35"/>
  <c r="K62" i="35"/>
  <c r="C62" i="35"/>
  <c r="C72" i="35" s="1"/>
  <c r="M61" i="35"/>
  <c r="K61" i="35"/>
  <c r="C61" i="35"/>
  <c r="M60" i="35"/>
  <c r="K60" i="35"/>
  <c r="C60" i="35"/>
  <c r="M59" i="35"/>
  <c r="K59" i="35"/>
  <c r="C59" i="35"/>
  <c r="M58" i="35"/>
  <c r="K58" i="35"/>
  <c r="C58" i="35"/>
  <c r="M57" i="35"/>
  <c r="K57" i="35"/>
  <c r="C57" i="35"/>
  <c r="M56" i="35"/>
  <c r="K56" i="35"/>
  <c r="C56" i="35"/>
  <c r="M55" i="35"/>
  <c r="K55" i="35"/>
  <c r="C55" i="35"/>
  <c r="M54" i="35"/>
  <c r="K54" i="35"/>
  <c r="C54" i="35"/>
  <c r="M50" i="35"/>
  <c r="K50" i="35"/>
  <c r="C50" i="35"/>
  <c r="M49" i="35"/>
  <c r="K49" i="35"/>
  <c r="C49" i="35"/>
  <c r="M48" i="35"/>
  <c r="K48" i="35"/>
  <c r="C48" i="35"/>
  <c r="U47" i="35"/>
  <c r="M46" i="35"/>
  <c r="K46" i="35"/>
  <c r="C46" i="35"/>
  <c r="M45" i="35"/>
  <c r="K45" i="35"/>
  <c r="I45" i="35"/>
  <c r="C45" i="35"/>
  <c r="M44" i="35"/>
  <c r="K44" i="35"/>
  <c r="K72" i="35" s="1"/>
  <c r="C44" i="35"/>
  <c r="M43" i="35"/>
  <c r="K43" i="35"/>
  <c r="C43" i="35"/>
  <c r="U42" i="35"/>
  <c r="M41" i="35"/>
  <c r="K41" i="35"/>
  <c r="C41" i="35"/>
  <c r="M40" i="35"/>
  <c r="K40" i="35"/>
  <c r="C40" i="35"/>
  <c r="M39" i="35"/>
  <c r="K39" i="35"/>
  <c r="C39" i="35"/>
  <c r="M38" i="35"/>
  <c r="K38" i="35"/>
  <c r="C38" i="35"/>
  <c r="M37" i="35"/>
  <c r="K37" i="35"/>
  <c r="C37" i="35"/>
  <c r="M36" i="35"/>
  <c r="M51" i="35" s="1"/>
  <c r="K36" i="35"/>
  <c r="C36" i="35"/>
  <c r="M32" i="35"/>
  <c r="K32" i="35"/>
  <c r="C32" i="35"/>
  <c r="S31" i="35"/>
  <c r="Q31" i="35"/>
  <c r="O31" i="35"/>
  <c r="M31" i="35"/>
  <c r="K31" i="35"/>
  <c r="I31" i="35"/>
  <c r="G31" i="35"/>
  <c r="E31" i="35"/>
  <c r="C31" i="35"/>
  <c r="M30" i="35"/>
  <c r="K30" i="35"/>
  <c r="C30" i="35"/>
  <c r="M29" i="35"/>
  <c r="K29" i="35"/>
  <c r="C29" i="35"/>
  <c r="M28" i="35"/>
  <c r="K28" i="35"/>
  <c r="C28" i="35"/>
  <c r="M27" i="35"/>
  <c r="K27" i="35"/>
  <c r="C27" i="35"/>
  <c r="M26" i="35"/>
  <c r="K26" i="35"/>
  <c r="C26" i="35"/>
  <c r="M25" i="35"/>
  <c r="K25" i="35"/>
  <c r="C25" i="35"/>
  <c r="M24" i="35"/>
  <c r="K24" i="35"/>
  <c r="C24" i="35"/>
  <c r="M23" i="35"/>
  <c r="K23" i="35"/>
  <c r="C23" i="35"/>
  <c r="M22" i="35"/>
  <c r="K22" i="35"/>
  <c r="C22" i="35"/>
  <c r="M21" i="35"/>
  <c r="K21" i="35"/>
  <c r="C21" i="35"/>
  <c r="M20" i="35"/>
  <c r="K20" i="35"/>
  <c r="C20" i="35"/>
  <c r="M19" i="35"/>
  <c r="K19" i="35"/>
  <c r="C19" i="35"/>
  <c r="C33" i="35" s="1"/>
  <c r="M18" i="35"/>
  <c r="K18" i="35"/>
  <c r="C18" i="35"/>
  <c r="M17" i="35"/>
  <c r="K17" i="35"/>
  <c r="C17" i="35"/>
  <c r="M16" i="35"/>
  <c r="K16" i="35"/>
  <c r="C16" i="35"/>
  <c r="M15" i="35"/>
  <c r="K15" i="35"/>
  <c r="C15" i="35"/>
  <c r="M14" i="35"/>
  <c r="K14" i="35"/>
  <c r="C14" i="35"/>
  <c r="M13" i="35"/>
  <c r="K13" i="35"/>
  <c r="K33" i="35" s="1"/>
  <c r="C13" i="35"/>
  <c r="M12" i="35"/>
  <c r="K12" i="35"/>
  <c r="C12" i="35"/>
  <c r="M11" i="35"/>
  <c r="K11" i="35"/>
  <c r="C11" i="35"/>
  <c r="C70" i="35" s="1"/>
  <c r="M10" i="35"/>
  <c r="K10" i="35"/>
  <c r="C10" i="35"/>
  <c r="J46" i="34"/>
  <c r="B46" i="34"/>
  <c r="J39" i="34"/>
  <c r="B39" i="34"/>
  <c r="J36" i="34"/>
  <c r="B36" i="34"/>
  <c r="R34" i="34"/>
  <c r="J22" i="34"/>
  <c r="B22" i="34"/>
  <c r="B25" i="34" s="1"/>
  <c r="J11" i="34"/>
  <c r="B11" i="34"/>
  <c r="J511" i="33"/>
  <c r="J514" i="33" s="1"/>
  <c r="B511" i="33"/>
  <c r="B514" i="33" s="1"/>
  <c r="J499" i="33"/>
  <c r="B499" i="33"/>
  <c r="J491" i="33"/>
  <c r="B491" i="33"/>
  <c r="B502" i="33" s="1"/>
  <c r="J455" i="33"/>
  <c r="J458" i="33" s="1"/>
  <c r="B455" i="33"/>
  <c r="B458" i="33" s="1"/>
  <c r="J447" i="33"/>
  <c r="B447" i="33"/>
  <c r="J441" i="33"/>
  <c r="B441" i="33"/>
  <c r="J419" i="33"/>
  <c r="B419" i="33"/>
  <c r="J408" i="33"/>
  <c r="B408" i="33"/>
  <c r="J384" i="33"/>
  <c r="J386" i="33" s="1"/>
  <c r="B384" i="33"/>
  <c r="B386" i="33" s="1"/>
  <c r="J375" i="33"/>
  <c r="B375" i="33"/>
  <c r="J350" i="33"/>
  <c r="B350" i="33"/>
  <c r="J329" i="33"/>
  <c r="B329" i="33"/>
  <c r="J320" i="33"/>
  <c r="B320" i="33"/>
  <c r="J289" i="33"/>
  <c r="B289" i="33"/>
  <c r="J275" i="33"/>
  <c r="B275" i="33"/>
  <c r="J272" i="33"/>
  <c r="B272" i="33"/>
  <c r="J220" i="33"/>
  <c r="B220" i="33"/>
  <c r="J216" i="33"/>
  <c r="B216" i="33"/>
  <c r="J207" i="33"/>
  <c r="B207" i="33"/>
  <c r="J170" i="33"/>
  <c r="B170" i="33"/>
  <c r="J162" i="33"/>
  <c r="B162" i="33"/>
  <c r="J146" i="33"/>
  <c r="B146" i="33"/>
  <c r="J128" i="33"/>
  <c r="B128" i="33"/>
  <c r="J110" i="33"/>
  <c r="B110" i="33"/>
  <c r="J97" i="33"/>
  <c r="J165" i="33" s="1"/>
  <c r="B97" i="33"/>
  <c r="J78" i="33"/>
  <c r="B78" i="33"/>
  <c r="J56" i="33"/>
  <c r="B56" i="33"/>
  <c r="J41" i="33"/>
  <c r="B41" i="33"/>
  <c r="J30" i="33"/>
  <c r="B30" i="33"/>
  <c r="H12" i="32"/>
  <c r="F12" i="32"/>
  <c r="D12" i="32"/>
  <c r="B12" i="32"/>
  <c r="L11" i="32"/>
  <c r="L12" i="32" s="1"/>
  <c r="H11" i="32"/>
  <c r="J11" i="32" s="1"/>
  <c r="J12" i="32" s="1"/>
  <c r="D11" i="32"/>
  <c r="H15" i="31"/>
  <c r="F15" i="31"/>
  <c r="D15" i="31"/>
  <c r="B15" i="31"/>
  <c r="J14" i="31"/>
  <c r="L14" i="31" s="1"/>
  <c r="L13" i="31"/>
  <c r="J13" i="31"/>
  <c r="J12" i="31"/>
  <c r="L12" i="31" s="1"/>
  <c r="J11" i="31"/>
  <c r="L11" i="31" s="1"/>
  <c r="J10" i="31"/>
  <c r="L10" i="31" s="1"/>
  <c r="F33" i="30"/>
  <c r="D33" i="30"/>
  <c r="J31" i="30"/>
  <c r="H31" i="30"/>
  <c r="H33" i="30" s="1"/>
  <c r="F31" i="30"/>
  <c r="D31" i="30"/>
  <c r="B31" i="30"/>
  <c r="L30" i="30"/>
  <c r="L31" i="30" s="1"/>
  <c r="J30" i="30"/>
  <c r="J26" i="30"/>
  <c r="H26" i="30"/>
  <c r="F26" i="30"/>
  <c r="D26" i="30"/>
  <c r="B26" i="30"/>
  <c r="B33" i="30" s="1"/>
  <c r="L25" i="30"/>
  <c r="J25" i="30"/>
  <c r="J24" i="30"/>
  <c r="L24" i="30" s="1"/>
  <c r="L23" i="30"/>
  <c r="J23" i="30"/>
  <c r="J22" i="30"/>
  <c r="L22" i="30" s="1"/>
  <c r="L21" i="30"/>
  <c r="J21" i="30"/>
  <c r="J20" i="30"/>
  <c r="L20" i="30" s="1"/>
  <c r="L17" i="30"/>
  <c r="J17" i="30"/>
  <c r="H17" i="30"/>
  <c r="F17" i="30"/>
  <c r="D17" i="30"/>
  <c r="B17" i="30"/>
  <c r="L16" i="30"/>
  <c r="H13" i="30"/>
  <c r="F13" i="30"/>
  <c r="D13" i="30"/>
  <c r="B13" i="30"/>
  <c r="J12" i="30"/>
  <c r="L12" i="30" s="1"/>
  <c r="J11" i="30"/>
  <c r="L11" i="29"/>
  <c r="J11" i="29"/>
  <c r="H11" i="29"/>
  <c r="F11" i="29"/>
  <c r="D11" i="29"/>
  <c r="B11" i="29"/>
  <c r="L10" i="29"/>
  <c r="J10" i="29"/>
  <c r="H11" i="28"/>
  <c r="F11" i="28"/>
  <c r="D11" i="28"/>
  <c r="B11" i="28"/>
  <c r="J10" i="28"/>
  <c r="L11" i="27"/>
  <c r="J11" i="27"/>
  <c r="H11" i="27"/>
  <c r="F11" i="27"/>
  <c r="D11" i="27"/>
  <c r="B11" i="27"/>
  <c r="B35" i="26"/>
  <c r="B33" i="26"/>
  <c r="B22" i="26"/>
  <c r="B19" i="26"/>
  <c r="B18" i="25"/>
  <c r="N17" i="25"/>
  <c r="B17" i="25"/>
  <c r="B16" i="25"/>
  <c r="B15" i="25"/>
  <c r="B14" i="25"/>
  <c r="B13" i="25"/>
  <c r="B12" i="25"/>
  <c r="B11" i="25"/>
  <c r="B117" i="24"/>
  <c r="B113" i="24"/>
  <c r="B99" i="24"/>
  <c r="J96" i="24"/>
  <c r="L96" i="24" s="1"/>
  <c r="J95" i="24"/>
  <c r="L95" i="24" s="1"/>
  <c r="J92" i="24"/>
  <c r="B89" i="24"/>
  <c r="B69" i="24"/>
  <c r="B63" i="24"/>
  <c r="B42" i="24"/>
  <c r="B38" i="24"/>
  <c r="B72" i="24" s="1"/>
  <c r="B27" i="24"/>
  <c r="B68" i="23"/>
  <c r="B67" i="23"/>
  <c r="B66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63" i="23" s="1"/>
  <c r="B46" i="23"/>
  <c r="B45" i="23"/>
  <c r="B41" i="23"/>
  <c r="B42" i="23" s="1"/>
  <c r="B37" i="23"/>
  <c r="B36" i="23"/>
  <c r="B35" i="23"/>
  <c r="B34" i="23"/>
  <c r="B33" i="23"/>
  <c r="B32" i="23"/>
  <c r="B31" i="23"/>
  <c r="B30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27" i="23" s="1"/>
  <c r="H117" i="22"/>
  <c r="F117" i="22"/>
  <c r="B116" i="22"/>
  <c r="B117" i="22" s="1"/>
  <c r="B112" i="22"/>
  <c r="B111" i="22"/>
  <c r="B110" i="22"/>
  <c r="B109" i="22"/>
  <c r="B108" i="22"/>
  <c r="B56" i="21" s="1"/>
  <c r="B107" i="22"/>
  <c r="B106" i="22"/>
  <c r="B105" i="22"/>
  <c r="B104" i="22"/>
  <c r="B103" i="22"/>
  <c r="B48" i="21" s="1"/>
  <c r="B102" i="22"/>
  <c r="H99" i="22"/>
  <c r="F99" i="22"/>
  <c r="B98" i="22"/>
  <c r="B97" i="22"/>
  <c r="D96" i="22"/>
  <c r="J96" i="22" s="1"/>
  <c r="L96" i="22" s="1"/>
  <c r="B96" i="22"/>
  <c r="J95" i="22"/>
  <c r="L95" i="22" s="1"/>
  <c r="D95" i="22"/>
  <c r="B95" i="22"/>
  <c r="B94" i="22"/>
  <c r="B93" i="22"/>
  <c r="D92" i="22"/>
  <c r="B92" i="22"/>
  <c r="B99" i="22" s="1"/>
  <c r="B88" i="22"/>
  <c r="B87" i="22"/>
  <c r="B86" i="22"/>
  <c r="B85" i="22"/>
  <c r="B84" i="22"/>
  <c r="B83" i="22"/>
  <c r="B82" i="22"/>
  <c r="B81" i="22"/>
  <c r="B80" i="22"/>
  <c r="B79" i="22"/>
  <c r="B78" i="22"/>
  <c r="B77" i="22"/>
  <c r="B68" i="22"/>
  <c r="B67" i="22"/>
  <c r="B69" i="22" s="1"/>
  <c r="B66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63" i="22" s="1"/>
  <c r="B41" i="22"/>
  <c r="B42" i="22" s="1"/>
  <c r="D37" i="22"/>
  <c r="B37" i="22"/>
  <c r="B36" i="22"/>
  <c r="B35" i="22"/>
  <c r="B34" i="22"/>
  <c r="B33" i="22"/>
  <c r="B32" i="22"/>
  <c r="B31" i="22"/>
  <c r="B30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27" i="22" s="1"/>
  <c r="A3" i="22"/>
  <c r="B67" i="21"/>
  <c r="B66" i="21"/>
  <c r="B68" i="21" s="1"/>
  <c r="B65" i="21"/>
  <c r="B62" i="21"/>
  <c r="B61" i="21"/>
  <c r="B60" i="21"/>
  <c r="B59" i="21"/>
  <c r="B58" i="21"/>
  <c r="B57" i="21"/>
  <c r="B55" i="21"/>
  <c r="B54" i="21"/>
  <c r="B53" i="21"/>
  <c r="B52" i="21"/>
  <c r="B51" i="21"/>
  <c r="B50" i="21"/>
  <c r="B49" i="21"/>
  <c r="B47" i="21"/>
  <c r="B46" i="21"/>
  <c r="B45" i="21"/>
  <c r="B63" i="21" s="1"/>
  <c r="B41" i="21"/>
  <c r="B42" i="21" s="1"/>
  <c r="B37" i="21"/>
  <c r="B36" i="21"/>
  <c r="B35" i="21"/>
  <c r="B34" i="21"/>
  <c r="B33" i="21"/>
  <c r="B32" i="21"/>
  <c r="B31" i="21"/>
  <c r="B30" i="21"/>
  <c r="B38" i="21" s="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27" i="21" s="1"/>
  <c r="B41" i="20"/>
  <c r="B35" i="20"/>
  <c r="B27" i="20"/>
  <c r="B38" i="20" s="1"/>
  <c r="B18" i="20"/>
  <c r="B21" i="20" s="1"/>
  <c r="B21" i="19"/>
  <c r="B95" i="15" s="1"/>
  <c r="B20" i="19"/>
  <c r="B94" i="15" s="1"/>
  <c r="B19" i="19"/>
  <c r="B93" i="15" s="1"/>
  <c r="B18" i="19"/>
  <c r="B17" i="19"/>
  <c r="B89" i="15" s="1"/>
  <c r="B16" i="19"/>
  <c r="B88" i="15" s="1"/>
  <c r="B15" i="19"/>
  <c r="B11" i="19"/>
  <c r="B14" i="15" s="1"/>
  <c r="B161" i="18"/>
  <c r="B151" i="18"/>
  <c r="B143" i="18"/>
  <c r="B134" i="18"/>
  <c r="B126" i="18"/>
  <c r="B118" i="18"/>
  <c r="B99" i="18"/>
  <c r="B84" i="18"/>
  <c r="B68" i="18"/>
  <c r="B102" i="18" s="1"/>
  <c r="B56" i="18"/>
  <c r="B51" i="18"/>
  <c r="B40" i="18"/>
  <c r="B29" i="18"/>
  <c r="B99" i="17"/>
  <c r="B98" i="17"/>
  <c r="B97" i="17"/>
  <c r="B96" i="17"/>
  <c r="B95" i="17"/>
  <c r="B94" i="17"/>
  <c r="B93" i="17"/>
  <c r="I92" i="17"/>
  <c r="G92" i="17"/>
  <c r="E92" i="17"/>
  <c r="C92" i="17"/>
  <c r="B92" i="17"/>
  <c r="B91" i="17"/>
  <c r="B90" i="17"/>
  <c r="B89" i="17"/>
  <c r="B88" i="17"/>
  <c r="B87" i="17"/>
  <c r="B83" i="17"/>
  <c r="B82" i="17"/>
  <c r="G81" i="17"/>
  <c r="E81" i="17"/>
  <c r="B81" i="17"/>
  <c r="B80" i="17"/>
  <c r="B79" i="17"/>
  <c r="B78" i="17"/>
  <c r="B77" i="17"/>
  <c r="B76" i="17"/>
  <c r="B75" i="17"/>
  <c r="B74" i="17"/>
  <c r="B73" i="17"/>
  <c r="B72" i="17"/>
  <c r="B71" i="17"/>
  <c r="B67" i="17"/>
  <c r="B66" i="17"/>
  <c r="B65" i="17"/>
  <c r="B64" i="17"/>
  <c r="B63" i="17"/>
  <c r="B62" i="17"/>
  <c r="B61" i="17"/>
  <c r="G60" i="17"/>
  <c r="E60" i="17"/>
  <c r="B60" i="17"/>
  <c r="B59" i="17"/>
  <c r="B55" i="17"/>
  <c r="N54" i="17"/>
  <c r="B54" i="17"/>
  <c r="B50" i="17"/>
  <c r="B49" i="17"/>
  <c r="B48" i="17"/>
  <c r="B47" i="17"/>
  <c r="B46" i="17"/>
  <c r="B45" i="17"/>
  <c r="B44" i="17"/>
  <c r="B43" i="17"/>
  <c r="B39" i="17"/>
  <c r="B38" i="17"/>
  <c r="B37" i="17"/>
  <c r="G36" i="17"/>
  <c r="E36" i="17"/>
  <c r="B36" i="17"/>
  <c r="B35" i="17"/>
  <c r="B34" i="17"/>
  <c r="B33" i="17"/>
  <c r="B32" i="17"/>
  <c r="B28" i="17"/>
  <c r="B27" i="17"/>
  <c r="B26" i="17"/>
  <c r="B25" i="17"/>
  <c r="B24" i="17"/>
  <c r="I23" i="17"/>
  <c r="G23" i="17"/>
  <c r="E23" i="17"/>
  <c r="C23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61" i="16"/>
  <c r="B160" i="16"/>
  <c r="B159" i="16"/>
  <c r="I158" i="16"/>
  <c r="G158" i="16"/>
  <c r="E158" i="16"/>
  <c r="C158" i="16"/>
  <c r="B158" i="16"/>
  <c r="B157" i="16"/>
  <c r="B156" i="16"/>
  <c r="B162" i="16" s="1"/>
  <c r="B155" i="16"/>
  <c r="B151" i="16"/>
  <c r="B150" i="16"/>
  <c r="B149" i="16"/>
  <c r="B148" i="16"/>
  <c r="B147" i="16"/>
  <c r="B146" i="16"/>
  <c r="G143" i="16"/>
  <c r="E143" i="16"/>
  <c r="B143" i="16"/>
  <c r="G142" i="16"/>
  <c r="E142" i="16"/>
  <c r="B142" i="16"/>
  <c r="B141" i="16"/>
  <c r="B140" i="16"/>
  <c r="B139" i="16"/>
  <c r="G138" i="16"/>
  <c r="E138" i="16"/>
  <c r="B138" i="16"/>
  <c r="B134" i="16"/>
  <c r="B133" i="16"/>
  <c r="B132" i="16"/>
  <c r="B131" i="16"/>
  <c r="B135" i="16" s="1"/>
  <c r="B130" i="16"/>
  <c r="B126" i="16"/>
  <c r="B125" i="16"/>
  <c r="B124" i="16"/>
  <c r="B123" i="16"/>
  <c r="B127" i="16" s="1"/>
  <c r="B122" i="16"/>
  <c r="B118" i="16"/>
  <c r="B117" i="16"/>
  <c r="I116" i="16"/>
  <c r="G116" i="16"/>
  <c r="E116" i="16"/>
  <c r="C116" i="16"/>
  <c r="B116" i="16"/>
  <c r="B115" i="16"/>
  <c r="B114" i="16"/>
  <c r="B113" i="16"/>
  <c r="B112" i="16"/>
  <c r="B111" i="16"/>
  <c r="B110" i="16"/>
  <c r="B109" i="16"/>
  <c r="B119" i="16" s="1"/>
  <c r="B108" i="16"/>
  <c r="B107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67" i="16"/>
  <c r="B66" i="16"/>
  <c r="B65" i="16"/>
  <c r="B64" i="16"/>
  <c r="B63" i="16"/>
  <c r="B62" i="16"/>
  <c r="B61" i="16"/>
  <c r="B60" i="16"/>
  <c r="B59" i="16"/>
  <c r="B68" i="16" s="1"/>
  <c r="B55" i="16"/>
  <c r="B54" i="16"/>
  <c r="B56" i="16" s="1"/>
  <c r="B50" i="16"/>
  <c r="B49" i="16"/>
  <c r="B48" i="16"/>
  <c r="B47" i="16"/>
  <c r="B46" i="16"/>
  <c r="B45" i="16"/>
  <c r="B44" i="16"/>
  <c r="B43" i="16"/>
  <c r="B39" i="16"/>
  <c r="B38" i="16"/>
  <c r="B37" i="16"/>
  <c r="B36" i="16"/>
  <c r="B35" i="16"/>
  <c r="B34" i="16"/>
  <c r="B33" i="16"/>
  <c r="B32" i="16"/>
  <c r="B40" i="16" s="1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29" i="16" s="1"/>
  <c r="A3" i="16"/>
  <c r="B99" i="15"/>
  <c r="B98" i="15"/>
  <c r="B97" i="15"/>
  <c r="B96" i="15"/>
  <c r="I92" i="15"/>
  <c r="G92" i="15"/>
  <c r="E92" i="15"/>
  <c r="C92" i="15"/>
  <c r="B92" i="15"/>
  <c r="B91" i="15"/>
  <c r="B90" i="15"/>
  <c r="B83" i="15"/>
  <c r="B82" i="15"/>
  <c r="G81" i="15"/>
  <c r="E81" i="15"/>
  <c r="B81" i="15"/>
  <c r="B80" i="15"/>
  <c r="B79" i="15"/>
  <c r="B78" i="15"/>
  <c r="B77" i="15"/>
  <c r="B76" i="15"/>
  <c r="B75" i="15"/>
  <c r="B74" i="15"/>
  <c r="B73" i="15"/>
  <c r="B72" i="15"/>
  <c r="B71" i="15"/>
  <c r="B67" i="15"/>
  <c r="B66" i="15"/>
  <c r="G65" i="15"/>
  <c r="E65" i="15"/>
  <c r="B65" i="15"/>
  <c r="G64" i="15"/>
  <c r="E64" i="15"/>
  <c r="B64" i="15"/>
  <c r="G63" i="15"/>
  <c r="E63" i="15"/>
  <c r="B63" i="15"/>
  <c r="B62" i="15"/>
  <c r="B61" i="15"/>
  <c r="G60" i="15"/>
  <c r="E60" i="15"/>
  <c r="B60" i="15"/>
  <c r="B59" i="15"/>
  <c r="B55" i="15"/>
  <c r="N54" i="15"/>
  <c r="B54" i="15"/>
  <c r="B50" i="15"/>
  <c r="B49" i="15"/>
  <c r="B48" i="15"/>
  <c r="B47" i="15"/>
  <c r="B51" i="15" s="1"/>
  <c r="B46" i="15"/>
  <c r="B45" i="15"/>
  <c r="B44" i="15"/>
  <c r="B43" i="15"/>
  <c r="B39" i="15"/>
  <c r="B38" i="15"/>
  <c r="B37" i="15"/>
  <c r="B36" i="15"/>
  <c r="B35" i="15"/>
  <c r="B34" i="15"/>
  <c r="B33" i="15"/>
  <c r="B32" i="15"/>
  <c r="B28" i="15"/>
  <c r="B27" i="15"/>
  <c r="B26" i="15"/>
  <c r="B25" i="15"/>
  <c r="B24" i="15"/>
  <c r="G23" i="15"/>
  <c r="E23" i="15"/>
  <c r="C23" i="15"/>
  <c r="B23" i="15"/>
  <c r="B22" i="15"/>
  <c r="B21" i="15"/>
  <c r="B20" i="15"/>
  <c r="B19" i="15"/>
  <c r="B18" i="15"/>
  <c r="B17" i="15"/>
  <c r="B16" i="15"/>
  <c r="B15" i="15"/>
  <c r="B13" i="15"/>
  <c r="B12" i="15"/>
  <c r="B11" i="15"/>
  <c r="B29" i="15" s="1"/>
  <c r="B22" i="14"/>
  <c r="B24" i="14" s="1"/>
  <c r="B13" i="14"/>
  <c r="B16" i="14" s="1"/>
  <c r="B27" i="14" s="1"/>
  <c r="B12" i="13"/>
  <c r="B15" i="13" s="1"/>
  <c r="B11" i="13"/>
  <c r="N10" i="13"/>
  <c r="B10" i="13"/>
  <c r="B67" i="12"/>
  <c r="B70" i="12" s="1"/>
  <c r="B41" i="12"/>
  <c r="B44" i="12" s="1"/>
  <c r="B73" i="12" s="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41" i="11" s="1"/>
  <c r="B44" i="11" s="1"/>
  <c r="B12" i="11"/>
  <c r="B11" i="11"/>
  <c r="A3" i="11"/>
  <c r="J74" i="10"/>
  <c r="L74" i="10" s="1"/>
  <c r="B73" i="10"/>
  <c r="B72" i="10"/>
  <c r="L71" i="10"/>
  <c r="J71" i="10"/>
  <c r="L70" i="10"/>
  <c r="J70" i="10"/>
  <c r="L69" i="10"/>
  <c r="J69" i="10"/>
  <c r="B67" i="10"/>
  <c r="B66" i="10"/>
  <c r="J65" i="10"/>
  <c r="L65" i="10" s="1"/>
  <c r="J64" i="10"/>
  <c r="L64" i="10" s="1"/>
  <c r="J63" i="10"/>
  <c r="L63" i="10" s="1"/>
  <c r="B62" i="10"/>
  <c r="B61" i="10"/>
  <c r="L59" i="10"/>
  <c r="J59" i="10"/>
  <c r="B58" i="10"/>
  <c r="B57" i="10"/>
  <c r="B56" i="10"/>
  <c r="B55" i="10"/>
  <c r="B54" i="10"/>
  <c r="B53" i="10"/>
  <c r="B51" i="10"/>
  <c r="B50" i="10"/>
  <c r="B49" i="10"/>
  <c r="J48" i="10"/>
  <c r="L48" i="10" s="1"/>
  <c r="J47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1" i="10" s="1"/>
  <c r="B12" i="10"/>
  <c r="B11" i="10"/>
  <c r="A3" i="10"/>
  <c r="B40" i="9"/>
  <c r="B39" i="9"/>
  <c r="B38" i="9"/>
  <c r="B37" i="9"/>
  <c r="D140" i="4" s="1"/>
  <c r="D179" i="4" s="1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D132" i="4" s="1"/>
  <c r="B11" i="9"/>
  <c r="O68" i="8"/>
  <c r="G67" i="8"/>
  <c r="O54" i="8"/>
  <c r="G54" i="8"/>
  <c r="S44" i="8"/>
  <c r="Q44" i="8"/>
  <c r="O44" i="8"/>
  <c r="M44" i="8"/>
  <c r="K44" i="8"/>
  <c r="I44" i="8"/>
  <c r="G44" i="8"/>
  <c r="E44" i="8"/>
  <c r="M38" i="8"/>
  <c r="E38" i="8"/>
  <c r="S36" i="8"/>
  <c r="Q36" i="8"/>
  <c r="M36" i="8"/>
  <c r="K36" i="8"/>
  <c r="K38" i="8" s="1"/>
  <c r="I36" i="8"/>
  <c r="E36" i="8"/>
  <c r="O30" i="8"/>
  <c r="Q26" i="8"/>
  <c r="K26" i="8"/>
  <c r="I26" i="8"/>
  <c r="E26" i="8"/>
  <c r="K22" i="8"/>
  <c r="M20" i="8"/>
  <c r="M26" i="8" s="1"/>
  <c r="O17" i="8"/>
  <c r="O26" i="8" s="1"/>
  <c r="S13" i="8"/>
  <c r="Q13" i="8"/>
  <c r="O13" i="8"/>
  <c r="M13" i="8"/>
  <c r="K13" i="8"/>
  <c r="I13" i="8"/>
  <c r="E13" i="8"/>
  <c r="O10" i="8"/>
  <c r="C1019" i="7"/>
  <c r="H14" i="6"/>
  <c r="F14" i="6"/>
  <c r="D14" i="6"/>
  <c r="J11" i="6"/>
  <c r="L10" i="6"/>
  <c r="L9" i="6"/>
  <c r="AX594" i="5"/>
  <c r="AV594" i="5"/>
  <c r="AT594" i="5"/>
  <c r="AS594" i="5"/>
  <c r="AQ594" i="5"/>
  <c r="AO594" i="5"/>
  <c r="AM594" i="5"/>
  <c r="AK594" i="5"/>
  <c r="AI594" i="5"/>
  <c r="AG594" i="5"/>
  <c r="AE594" i="5"/>
  <c r="AC594" i="5"/>
  <c r="AA594" i="5"/>
  <c r="Y594" i="5"/>
  <c r="W594" i="5"/>
  <c r="U594" i="5"/>
  <c r="S594" i="5"/>
  <c r="Q594" i="5"/>
  <c r="O594" i="5"/>
  <c r="M594" i="5"/>
  <c r="K594" i="5"/>
  <c r="I594" i="5"/>
  <c r="G594" i="5"/>
  <c r="E594" i="5"/>
  <c r="C594" i="5"/>
  <c r="AZ593" i="5"/>
  <c r="AZ592" i="5"/>
  <c r="AZ591" i="5"/>
  <c r="AX586" i="5"/>
  <c r="AV586" i="5"/>
  <c r="AT586" i="5"/>
  <c r="AS586" i="5"/>
  <c r="AQ586" i="5"/>
  <c r="AO586" i="5"/>
  <c r="AM586" i="5"/>
  <c r="AK586" i="5"/>
  <c r="AI586" i="5"/>
  <c r="AG586" i="5"/>
  <c r="AE586" i="5"/>
  <c r="AC586" i="5"/>
  <c r="AA586" i="5"/>
  <c r="Y586" i="5"/>
  <c r="W586" i="5"/>
  <c r="U586" i="5"/>
  <c r="S586" i="5"/>
  <c r="Q586" i="5"/>
  <c r="O586" i="5"/>
  <c r="M586" i="5"/>
  <c r="K586" i="5"/>
  <c r="I586" i="5"/>
  <c r="G586" i="5"/>
  <c r="E586" i="5"/>
  <c r="C586" i="5"/>
  <c r="AZ585" i="5"/>
  <c r="AZ584" i="5"/>
  <c r="AZ583" i="5"/>
  <c r="AX579" i="5"/>
  <c r="AV579" i="5"/>
  <c r="AT579" i="5"/>
  <c r="AS579" i="5"/>
  <c r="AQ579" i="5"/>
  <c r="AO579" i="5"/>
  <c r="AM579" i="5"/>
  <c r="AK579" i="5"/>
  <c r="AI579" i="5"/>
  <c r="AG579" i="5"/>
  <c r="AE579" i="5"/>
  <c r="AC579" i="5"/>
  <c r="AA579" i="5"/>
  <c r="Y579" i="5"/>
  <c r="W579" i="5"/>
  <c r="U579" i="5"/>
  <c r="S579" i="5"/>
  <c r="Q579" i="5"/>
  <c r="O579" i="5"/>
  <c r="M579" i="5"/>
  <c r="K579" i="5"/>
  <c r="I579" i="5"/>
  <c r="G579" i="5"/>
  <c r="E579" i="5"/>
  <c r="C579" i="5"/>
  <c r="AX578" i="5"/>
  <c r="AV578" i="5"/>
  <c r="AT578" i="5"/>
  <c r="AS578" i="5"/>
  <c r="AQ578" i="5"/>
  <c r="AO578" i="5"/>
  <c r="AM578" i="5"/>
  <c r="AK578" i="5"/>
  <c r="AI578" i="5"/>
  <c r="AG578" i="5"/>
  <c r="AE578" i="5"/>
  <c r="AC578" i="5"/>
  <c r="AA578" i="5"/>
  <c r="Y578" i="5"/>
  <c r="W578" i="5"/>
  <c r="U578" i="5"/>
  <c r="S578" i="5"/>
  <c r="Q578" i="5"/>
  <c r="O578" i="5"/>
  <c r="M578" i="5"/>
  <c r="K578" i="5"/>
  <c r="I578" i="5"/>
  <c r="G578" i="5"/>
  <c r="E578" i="5"/>
  <c r="C578" i="5"/>
  <c r="AX577" i="5"/>
  <c r="AV577" i="5"/>
  <c r="AS577" i="5"/>
  <c r="AQ577" i="5"/>
  <c r="AO577" i="5"/>
  <c r="AM577" i="5"/>
  <c r="AK577" i="5"/>
  <c r="AI577" i="5"/>
  <c r="AG577" i="5"/>
  <c r="AE577" i="5"/>
  <c r="AC577" i="5"/>
  <c r="AA577" i="5"/>
  <c r="Y577" i="5"/>
  <c r="W577" i="5"/>
  <c r="U577" i="5"/>
  <c r="S577" i="5"/>
  <c r="Q577" i="5"/>
  <c r="O577" i="5"/>
  <c r="M577" i="5"/>
  <c r="K577" i="5"/>
  <c r="I577" i="5"/>
  <c r="G577" i="5"/>
  <c r="E577" i="5"/>
  <c r="C577" i="5"/>
  <c r="AX574" i="5"/>
  <c r="AV574" i="5"/>
  <c r="AT574" i="5"/>
  <c r="AS574" i="5"/>
  <c r="AQ574" i="5"/>
  <c r="AO574" i="5"/>
  <c r="AM574" i="5"/>
  <c r="AK574" i="5"/>
  <c r="AI574" i="5"/>
  <c r="AG574" i="5"/>
  <c r="AE574" i="5"/>
  <c r="AC574" i="5"/>
  <c r="AA574" i="5"/>
  <c r="Y574" i="5"/>
  <c r="W574" i="5"/>
  <c r="U574" i="5"/>
  <c r="S574" i="5"/>
  <c r="Q574" i="5"/>
  <c r="O574" i="5"/>
  <c r="M574" i="5"/>
  <c r="K574" i="5"/>
  <c r="I574" i="5"/>
  <c r="G574" i="5"/>
  <c r="E574" i="5"/>
  <c r="C574" i="5"/>
  <c r="AZ573" i="5"/>
  <c r="AZ572" i="5"/>
  <c r="AZ571" i="5"/>
  <c r="AZ570" i="5"/>
  <c r="AZ569" i="5"/>
  <c r="AZ568" i="5"/>
  <c r="AZ567" i="5"/>
  <c r="AZ566" i="5"/>
  <c r="AZ565" i="5"/>
  <c r="AZ564" i="5"/>
  <c r="AZ563" i="5"/>
  <c r="AZ562" i="5"/>
  <c r="AZ561" i="5"/>
  <c r="AX558" i="5"/>
  <c r="AV558" i="5"/>
  <c r="AT558" i="5"/>
  <c r="AS558" i="5"/>
  <c r="AQ558" i="5"/>
  <c r="AO558" i="5"/>
  <c r="AM558" i="5"/>
  <c r="AK558" i="5"/>
  <c r="AI558" i="5"/>
  <c r="AG558" i="5"/>
  <c r="AE558" i="5"/>
  <c r="AC558" i="5"/>
  <c r="AA558" i="5"/>
  <c r="Y558" i="5"/>
  <c r="W558" i="5"/>
  <c r="U558" i="5"/>
  <c r="S558" i="5"/>
  <c r="Q558" i="5"/>
  <c r="O558" i="5"/>
  <c r="M558" i="5"/>
  <c r="K558" i="5"/>
  <c r="I558" i="5"/>
  <c r="G558" i="5"/>
  <c r="E558" i="5"/>
  <c r="C558" i="5"/>
  <c r="AZ557" i="5"/>
  <c r="AZ556" i="5"/>
  <c r="AZ555" i="5"/>
  <c r="AZ554" i="5"/>
  <c r="AZ553" i="5"/>
  <c r="AZ552" i="5"/>
  <c r="AZ551" i="5"/>
  <c r="AZ550" i="5"/>
  <c r="AZ549" i="5"/>
  <c r="AZ548" i="5"/>
  <c r="AZ547" i="5"/>
  <c r="AZ546" i="5"/>
  <c r="AZ545" i="5"/>
  <c r="AX541" i="5"/>
  <c r="AV541" i="5"/>
  <c r="AS541" i="5"/>
  <c r="AQ541" i="5"/>
  <c r="AO541" i="5"/>
  <c r="AM541" i="5"/>
  <c r="AK541" i="5"/>
  <c r="AI541" i="5"/>
  <c r="AG541" i="5"/>
  <c r="AE541" i="5"/>
  <c r="AC541" i="5"/>
  <c r="AA541" i="5"/>
  <c r="Y541" i="5"/>
  <c r="W541" i="5"/>
  <c r="U541" i="5"/>
  <c r="S541" i="5"/>
  <c r="Q541" i="5"/>
  <c r="O541" i="5"/>
  <c r="M541" i="5"/>
  <c r="K541" i="5"/>
  <c r="I541" i="5"/>
  <c r="G541" i="5"/>
  <c r="E541" i="5"/>
  <c r="C541" i="5"/>
  <c r="AZ540" i="5"/>
  <c r="AZ539" i="5"/>
  <c r="AZ538" i="5"/>
  <c r="AZ537" i="5"/>
  <c r="AZ536" i="5"/>
  <c r="AZ535" i="5"/>
  <c r="AZ534" i="5"/>
  <c r="AZ533" i="5"/>
  <c r="AZ532" i="5"/>
  <c r="AZ531" i="5"/>
  <c r="AZ530" i="5"/>
  <c r="AZ529" i="5"/>
  <c r="AZ528" i="5"/>
  <c r="AZ527" i="5"/>
  <c r="AZ526" i="5"/>
  <c r="AZ525" i="5"/>
  <c r="AZ524" i="5"/>
  <c r="AZ523" i="5"/>
  <c r="AZ522" i="5"/>
  <c r="AZ521" i="5"/>
  <c r="AZ520" i="5"/>
  <c r="AZ519" i="5"/>
  <c r="AT518" i="5"/>
  <c r="BL508" i="5"/>
  <c r="BL507" i="5"/>
  <c r="AX506" i="5"/>
  <c r="AV506" i="5"/>
  <c r="AT506" i="5"/>
  <c r="AS506" i="5"/>
  <c r="AQ506" i="5"/>
  <c r="AO506" i="5"/>
  <c r="AM506" i="5"/>
  <c r="AK506" i="5"/>
  <c r="AI506" i="5"/>
  <c r="AG506" i="5"/>
  <c r="AE506" i="5"/>
  <c r="AC506" i="5"/>
  <c r="AA506" i="5"/>
  <c r="Y506" i="5"/>
  <c r="W506" i="5"/>
  <c r="U506" i="5"/>
  <c r="S506" i="5"/>
  <c r="Q506" i="5"/>
  <c r="O506" i="5"/>
  <c r="M506" i="5"/>
  <c r="K506" i="5"/>
  <c r="I506" i="5"/>
  <c r="G506" i="5"/>
  <c r="E506" i="5"/>
  <c r="C506" i="5"/>
  <c r="BH505" i="5"/>
  <c r="BF505" i="5"/>
  <c r="BD505" i="5"/>
  <c r="BB505" i="5"/>
  <c r="AZ505" i="5"/>
  <c r="BH504" i="5"/>
  <c r="BF504" i="5"/>
  <c r="BD504" i="5"/>
  <c r="BB504" i="5"/>
  <c r="AZ504" i="5"/>
  <c r="BH503" i="5"/>
  <c r="BF503" i="5"/>
  <c r="BD503" i="5"/>
  <c r="BB503" i="5"/>
  <c r="AZ503" i="5"/>
  <c r="BL502" i="5"/>
  <c r="BL501" i="5"/>
  <c r="BL500" i="5"/>
  <c r="BL499" i="5"/>
  <c r="BL498" i="5"/>
  <c r="BL496" i="5"/>
  <c r="AX495" i="5"/>
  <c r="AX497" i="5" s="1"/>
  <c r="AV495" i="5"/>
  <c r="AV497" i="5" s="1"/>
  <c r="AT495" i="5"/>
  <c r="AT497" i="5" s="1"/>
  <c r="AS495" i="5"/>
  <c r="AS497" i="5" s="1"/>
  <c r="AQ495" i="5"/>
  <c r="AQ497" i="5" s="1"/>
  <c r="AO495" i="5"/>
  <c r="AO497" i="5" s="1"/>
  <c r="AM495" i="5"/>
  <c r="AM497" i="5" s="1"/>
  <c r="AK495" i="5"/>
  <c r="AK497" i="5" s="1"/>
  <c r="AI495" i="5"/>
  <c r="AI497" i="5" s="1"/>
  <c r="AG495" i="5"/>
  <c r="AG497" i="5" s="1"/>
  <c r="AE495" i="5"/>
  <c r="AE497" i="5" s="1"/>
  <c r="AC495" i="5"/>
  <c r="AC497" i="5" s="1"/>
  <c r="AA495" i="5"/>
  <c r="AA497" i="5" s="1"/>
  <c r="Y495" i="5"/>
  <c r="Y497" i="5" s="1"/>
  <c r="W495" i="5"/>
  <c r="W497" i="5" s="1"/>
  <c r="U495" i="5"/>
  <c r="U497" i="5" s="1"/>
  <c r="S495" i="5"/>
  <c r="S497" i="5" s="1"/>
  <c r="Q495" i="5"/>
  <c r="Q497" i="5" s="1"/>
  <c r="O495" i="5"/>
  <c r="O497" i="5" s="1"/>
  <c r="M495" i="5"/>
  <c r="M497" i="5" s="1"/>
  <c r="K495" i="5"/>
  <c r="K497" i="5" s="1"/>
  <c r="I495" i="5"/>
  <c r="I497" i="5" s="1"/>
  <c r="G495" i="5"/>
  <c r="G497" i="5" s="1"/>
  <c r="E495" i="5"/>
  <c r="E497" i="5" s="1"/>
  <c r="C495" i="5"/>
  <c r="C497" i="5" s="1"/>
  <c r="BH494" i="5"/>
  <c r="BH495" i="5" s="1"/>
  <c r="BH497" i="5" s="1"/>
  <c r="BF494" i="5"/>
  <c r="BF495" i="5" s="1"/>
  <c r="BF497" i="5" s="1"/>
  <c r="BD494" i="5"/>
  <c r="BD495" i="5" s="1"/>
  <c r="BD497" i="5" s="1"/>
  <c r="BB494" i="5"/>
  <c r="BB495" i="5" s="1"/>
  <c r="BB497" i="5" s="1"/>
  <c r="AZ494" i="5"/>
  <c r="AZ495" i="5" s="1"/>
  <c r="BL493" i="5"/>
  <c r="BL492" i="5"/>
  <c r="BL491" i="5"/>
  <c r="BL490" i="5"/>
  <c r="BL488" i="5"/>
  <c r="AX487" i="5"/>
  <c r="AX489" i="5" s="1"/>
  <c r="AV487" i="5"/>
  <c r="AV489" i="5" s="1"/>
  <c r="AT487" i="5"/>
  <c r="AT489" i="5" s="1"/>
  <c r="AS487" i="5"/>
  <c r="AS489" i="5" s="1"/>
  <c r="AQ487" i="5"/>
  <c r="AQ489" i="5" s="1"/>
  <c r="AO487" i="5"/>
  <c r="AO489" i="5" s="1"/>
  <c r="AM487" i="5"/>
  <c r="AM489" i="5" s="1"/>
  <c r="AK487" i="5"/>
  <c r="AK489" i="5" s="1"/>
  <c r="AI487" i="5"/>
  <c r="AI489" i="5" s="1"/>
  <c r="AG487" i="5"/>
  <c r="AG489" i="5" s="1"/>
  <c r="AE487" i="5"/>
  <c r="AE489" i="5" s="1"/>
  <c r="AC487" i="5"/>
  <c r="AC489" i="5" s="1"/>
  <c r="AA487" i="5"/>
  <c r="AA489" i="5" s="1"/>
  <c r="Y487" i="5"/>
  <c r="Y489" i="5" s="1"/>
  <c r="W487" i="5"/>
  <c r="W489" i="5" s="1"/>
  <c r="U487" i="5"/>
  <c r="U489" i="5" s="1"/>
  <c r="S487" i="5"/>
  <c r="S489" i="5" s="1"/>
  <c r="Q487" i="5"/>
  <c r="Q489" i="5" s="1"/>
  <c r="O487" i="5"/>
  <c r="O489" i="5" s="1"/>
  <c r="M487" i="5"/>
  <c r="M489" i="5" s="1"/>
  <c r="K487" i="5"/>
  <c r="K489" i="5" s="1"/>
  <c r="I487" i="5"/>
  <c r="I489" i="5" s="1"/>
  <c r="G487" i="5"/>
  <c r="G489" i="5" s="1"/>
  <c r="E487" i="5"/>
  <c r="E489" i="5" s="1"/>
  <c r="C487" i="5"/>
  <c r="C489" i="5" s="1"/>
  <c r="BH486" i="5"/>
  <c r="BH487" i="5" s="1"/>
  <c r="BH489" i="5" s="1"/>
  <c r="BF486" i="5"/>
  <c r="BF487" i="5" s="1"/>
  <c r="BF489" i="5" s="1"/>
  <c r="BD486" i="5"/>
  <c r="BD487" i="5" s="1"/>
  <c r="BD489" i="5" s="1"/>
  <c r="BB486" i="5"/>
  <c r="BB487" i="5" s="1"/>
  <c r="BB489" i="5" s="1"/>
  <c r="AZ486" i="5"/>
  <c r="BL485" i="5"/>
  <c r="BL484" i="5"/>
  <c r="BL483" i="5"/>
  <c r="BL482" i="5"/>
  <c r="BL480" i="5"/>
  <c r="BL479" i="5"/>
  <c r="BL478" i="5"/>
  <c r="BL476" i="5"/>
  <c r="BL475" i="5"/>
  <c r="AX474" i="5"/>
  <c r="AV474" i="5"/>
  <c r="AT474" i="5"/>
  <c r="AS474" i="5"/>
  <c r="AQ474" i="5"/>
  <c r="AO474" i="5"/>
  <c r="AM474" i="5"/>
  <c r="AK474" i="5"/>
  <c r="AI474" i="5"/>
  <c r="AG474" i="5"/>
  <c r="AE474" i="5"/>
  <c r="AC474" i="5"/>
  <c r="AA474" i="5"/>
  <c r="Y474" i="5"/>
  <c r="W474" i="5"/>
  <c r="U474" i="5"/>
  <c r="S474" i="5"/>
  <c r="Q474" i="5"/>
  <c r="O474" i="5"/>
  <c r="M474" i="5"/>
  <c r="K474" i="5"/>
  <c r="I474" i="5"/>
  <c r="G474" i="5"/>
  <c r="E474" i="5"/>
  <c r="C474" i="5"/>
  <c r="BH473" i="5"/>
  <c r="BF473" i="5"/>
  <c r="BD473" i="5"/>
  <c r="BB473" i="5"/>
  <c r="AZ473" i="5"/>
  <c r="BH472" i="5"/>
  <c r="BF472" i="5"/>
  <c r="BD472" i="5"/>
  <c r="BB472" i="5"/>
  <c r="AZ472" i="5"/>
  <c r="BH471" i="5"/>
  <c r="BF471" i="5"/>
  <c r="BD471" i="5"/>
  <c r="BB471" i="5"/>
  <c r="AZ471" i="5"/>
  <c r="BL470" i="5"/>
  <c r="BL469" i="5"/>
  <c r="AX467" i="5"/>
  <c r="AV467" i="5"/>
  <c r="AT467" i="5"/>
  <c r="AS467" i="5"/>
  <c r="AQ467" i="5"/>
  <c r="AO467" i="5"/>
  <c r="AM467" i="5"/>
  <c r="AK467" i="5"/>
  <c r="AI467" i="5"/>
  <c r="AG467" i="5"/>
  <c r="AE467" i="5"/>
  <c r="AC467" i="5"/>
  <c r="AA467" i="5"/>
  <c r="Y467" i="5"/>
  <c r="W467" i="5"/>
  <c r="U467" i="5"/>
  <c r="S467" i="5"/>
  <c r="Q467" i="5"/>
  <c r="O467" i="5"/>
  <c r="M467" i="5"/>
  <c r="K467" i="5"/>
  <c r="I467" i="5"/>
  <c r="G467" i="5"/>
  <c r="E467" i="5"/>
  <c r="C467" i="5"/>
  <c r="BH466" i="5"/>
  <c r="BF466" i="5"/>
  <c r="BD466" i="5"/>
  <c r="BB466" i="5"/>
  <c r="AZ466" i="5"/>
  <c r="BH465" i="5"/>
  <c r="BF465" i="5"/>
  <c r="BD465" i="5"/>
  <c r="BB465" i="5"/>
  <c r="AZ465" i="5"/>
  <c r="BH464" i="5"/>
  <c r="BF464" i="5"/>
  <c r="BD464" i="5"/>
  <c r="BB464" i="5"/>
  <c r="AZ464" i="5"/>
  <c r="BH463" i="5"/>
  <c r="BF463" i="5"/>
  <c r="BD463" i="5"/>
  <c r="BB463" i="5"/>
  <c r="AZ463" i="5"/>
  <c r="BH462" i="5"/>
  <c r="BF462" i="5"/>
  <c r="BD462" i="5"/>
  <c r="BB462" i="5"/>
  <c r="AZ462" i="5"/>
  <c r="BH461" i="5"/>
  <c r="BF461" i="5"/>
  <c r="BD461" i="5"/>
  <c r="BB461" i="5"/>
  <c r="AZ461" i="5"/>
  <c r="BH460" i="5"/>
  <c r="BF460" i="5"/>
  <c r="BD460" i="5"/>
  <c r="BB460" i="5"/>
  <c r="AZ460" i="5"/>
  <c r="BH459" i="5"/>
  <c r="BF459" i="5"/>
  <c r="BD459" i="5"/>
  <c r="BB459" i="5"/>
  <c r="AZ459" i="5"/>
  <c r="BH458" i="5"/>
  <c r="BF458" i="5"/>
  <c r="BD458" i="5"/>
  <c r="BB458" i="5"/>
  <c r="AZ458" i="5"/>
  <c r="BH457" i="5"/>
  <c r="BF457" i="5"/>
  <c r="BD457" i="5"/>
  <c r="BB457" i="5"/>
  <c r="AZ457" i="5"/>
  <c r="AX456" i="5"/>
  <c r="AV456" i="5"/>
  <c r="AT456" i="5"/>
  <c r="AS456" i="5"/>
  <c r="AQ456" i="5"/>
  <c r="AO456" i="5"/>
  <c r="AM456" i="5"/>
  <c r="AK456" i="5"/>
  <c r="AI456" i="5"/>
  <c r="AG456" i="5"/>
  <c r="AE456" i="5"/>
  <c r="AC456" i="5"/>
  <c r="AA456" i="5"/>
  <c r="Y456" i="5"/>
  <c r="W456" i="5"/>
  <c r="U456" i="5"/>
  <c r="S456" i="5"/>
  <c r="Q456" i="5"/>
  <c r="O456" i="5"/>
  <c r="M456" i="5"/>
  <c r="K456" i="5"/>
  <c r="I456" i="5"/>
  <c r="G456" i="5"/>
  <c r="E456" i="5"/>
  <c r="C456" i="5"/>
  <c r="BH455" i="5"/>
  <c r="BF455" i="5"/>
  <c r="BD455" i="5"/>
  <c r="BB455" i="5"/>
  <c r="AZ455" i="5"/>
  <c r="BH454" i="5"/>
  <c r="BF454" i="5"/>
  <c r="BD454" i="5"/>
  <c r="BB454" i="5"/>
  <c r="AZ454" i="5"/>
  <c r="BH453" i="5"/>
  <c r="BF453" i="5"/>
  <c r="BD453" i="5"/>
  <c r="BB453" i="5"/>
  <c r="AZ453" i="5"/>
  <c r="AX452" i="5"/>
  <c r="AV452" i="5"/>
  <c r="AT452" i="5"/>
  <c r="AS452" i="5"/>
  <c r="AQ452" i="5"/>
  <c r="AO452" i="5"/>
  <c r="AM452" i="5"/>
  <c r="AK452" i="5"/>
  <c r="AI452" i="5"/>
  <c r="AG452" i="5"/>
  <c r="AE452" i="5"/>
  <c r="AC452" i="5"/>
  <c r="AA452" i="5"/>
  <c r="Y452" i="5"/>
  <c r="W452" i="5"/>
  <c r="U452" i="5"/>
  <c r="S452" i="5"/>
  <c r="Q452" i="5"/>
  <c r="O452" i="5"/>
  <c r="M452" i="5"/>
  <c r="K452" i="5"/>
  <c r="I452" i="5"/>
  <c r="G452" i="5"/>
  <c r="E452" i="5"/>
  <c r="C452" i="5"/>
  <c r="BH451" i="5"/>
  <c r="BF451" i="5"/>
  <c r="BD451" i="5"/>
  <c r="BB451" i="5"/>
  <c r="AZ451" i="5"/>
  <c r="BH450" i="5"/>
  <c r="BF450" i="5"/>
  <c r="BD450" i="5"/>
  <c r="BB450" i="5"/>
  <c r="AZ450" i="5"/>
  <c r="BH449" i="5"/>
  <c r="BF449" i="5"/>
  <c r="BD449" i="5"/>
  <c r="BB449" i="5"/>
  <c r="AZ449" i="5"/>
  <c r="AX448" i="5"/>
  <c r="AV448" i="5"/>
  <c r="AT448" i="5"/>
  <c r="AS448" i="5"/>
  <c r="AQ448" i="5"/>
  <c r="AO448" i="5"/>
  <c r="AM448" i="5"/>
  <c r="AK448" i="5"/>
  <c r="AI448" i="5"/>
  <c r="AG448" i="5"/>
  <c r="AE448" i="5"/>
  <c r="BB448" i="5" s="1"/>
  <c r="AC448" i="5"/>
  <c r="AA448" i="5"/>
  <c r="Y448" i="5"/>
  <c r="W448" i="5"/>
  <c r="U448" i="5"/>
  <c r="S448" i="5"/>
  <c r="Q448" i="5"/>
  <c r="O448" i="5"/>
  <c r="M448" i="5"/>
  <c r="K448" i="5"/>
  <c r="I448" i="5"/>
  <c r="G448" i="5"/>
  <c r="E448" i="5"/>
  <c r="C448" i="5"/>
  <c r="BH447" i="5"/>
  <c r="BF447" i="5"/>
  <c r="BD447" i="5"/>
  <c r="BB447" i="5"/>
  <c r="AZ447" i="5"/>
  <c r="BH446" i="5"/>
  <c r="BF446" i="5"/>
  <c r="BD446" i="5"/>
  <c r="BB446" i="5"/>
  <c r="AZ446" i="5"/>
  <c r="BL445" i="5"/>
  <c r="BL444" i="5"/>
  <c r="AX443" i="5"/>
  <c r="AV443" i="5"/>
  <c r="AT443" i="5"/>
  <c r="AS443" i="5"/>
  <c r="AQ443" i="5"/>
  <c r="AO443" i="5"/>
  <c r="AM443" i="5"/>
  <c r="AK443" i="5"/>
  <c r="AI443" i="5"/>
  <c r="AG443" i="5"/>
  <c r="AE443" i="5"/>
  <c r="AC443" i="5"/>
  <c r="AA443" i="5"/>
  <c r="Y443" i="5"/>
  <c r="W443" i="5"/>
  <c r="U443" i="5"/>
  <c r="S443" i="5"/>
  <c r="Q443" i="5"/>
  <c r="O443" i="5"/>
  <c r="M443" i="5"/>
  <c r="K443" i="5"/>
  <c r="I443" i="5"/>
  <c r="G443" i="5"/>
  <c r="E443" i="5"/>
  <c r="C443" i="5"/>
  <c r="BH442" i="5"/>
  <c r="BH443" i="5" s="1"/>
  <c r="BF442" i="5"/>
  <c r="BF443" i="5" s="1"/>
  <c r="BD442" i="5"/>
  <c r="BD443" i="5" s="1"/>
  <c r="BB442" i="5"/>
  <c r="BB443" i="5" s="1"/>
  <c r="AZ442" i="5"/>
  <c r="BL441" i="5"/>
  <c r="BL440" i="5"/>
  <c r="BH438" i="5"/>
  <c r="BF438" i="5"/>
  <c r="BD438" i="5"/>
  <c r="BB438" i="5"/>
  <c r="AZ438" i="5"/>
  <c r="AX437" i="5"/>
  <c r="AV437" i="5"/>
  <c r="AT437" i="5"/>
  <c r="AS437" i="5"/>
  <c r="AQ437" i="5"/>
  <c r="AO437" i="5"/>
  <c r="AM437" i="5"/>
  <c r="AK437" i="5"/>
  <c r="AI437" i="5"/>
  <c r="AG437" i="5"/>
  <c r="AE437" i="5"/>
  <c r="AC437" i="5"/>
  <c r="AA437" i="5"/>
  <c r="Y437" i="5"/>
  <c r="W437" i="5"/>
  <c r="U437" i="5"/>
  <c r="S437" i="5"/>
  <c r="Q437" i="5"/>
  <c r="O437" i="5"/>
  <c r="M437" i="5"/>
  <c r="K437" i="5"/>
  <c r="I437" i="5"/>
  <c r="G437" i="5"/>
  <c r="E437" i="5"/>
  <c r="C437" i="5"/>
  <c r="BH436" i="5"/>
  <c r="BF436" i="5"/>
  <c r="BD436" i="5"/>
  <c r="BB436" i="5"/>
  <c r="AZ436" i="5"/>
  <c r="BH435" i="5"/>
  <c r="BF435" i="5"/>
  <c r="BD435" i="5"/>
  <c r="BB435" i="5"/>
  <c r="AZ435" i="5"/>
  <c r="BH434" i="5"/>
  <c r="BF434" i="5"/>
  <c r="BD434" i="5"/>
  <c r="BB434" i="5"/>
  <c r="AZ434" i="5"/>
  <c r="BH433" i="5"/>
  <c r="BF433" i="5"/>
  <c r="BD433" i="5"/>
  <c r="BB433" i="5"/>
  <c r="AZ433" i="5"/>
  <c r="AX432" i="5"/>
  <c r="AV432" i="5"/>
  <c r="AT432" i="5"/>
  <c r="AS432" i="5"/>
  <c r="AQ432" i="5"/>
  <c r="AO432" i="5"/>
  <c r="AM432" i="5"/>
  <c r="AK432" i="5"/>
  <c r="AI432" i="5"/>
  <c r="AG432" i="5"/>
  <c r="AE432" i="5"/>
  <c r="AC432" i="5"/>
  <c r="AA432" i="5"/>
  <c r="Y432" i="5"/>
  <c r="W432" i="5"/>
  <c r="U432" i="5"/>
  <c r="S432" i="5"/>
  <c r="Q432" i="5"/>
  <c r="O432" i="5"/>
  <c r="M432" i="5"/>
  <c r="K432" i="5"/>
  <c r="I432" i="5"/>
  <c r="G432" i="5"/>
  <c r="E432" i="5"/>
  <c r="C432" i="5"/>
  <c r="BH431" i="5"/>
  <c r="BF431" i="5"/>
  <c r="BD431" i="5"/>
  <c r="BB431" i="5"/>
  <c r="AZ431" i="5"/>
  <c r="BH430" i="5"/>
  <c r="BF430" i="5"/>
  <c r="BD430" i="5"/>
  <c r="BB430" i="5"/>
  <c r="AZ430" i="5"/>
  <c r="BL429" i="5"/>
  <c r="BL428" i="5"/>
  <c r="AX426" i="5"/>
  <c r="AV426" i="5"/>
  <c r="AT426" i="5"/>
  <c r="AS426" i="5"/>
  <c r="AQ426" i="5"/>
  <c r="AO426" i="5"/>
  <c r="AM426" i="5"/>
  <c r="AK426" i="5"/>
  <c r="AI426" i="5"/>
  <c r="AG426" i="5"/>
  <c r="AE426" i="5"/>
  <c r="AC426" i="5"/>
  <c r="AA426" i="5"/>
  <c r="Y426" i="5"/>
  <c r="W426" i="5"/>
  <c r="U426" i="5"/>
  <c r="S426" i="5"/>
  <c r="Q426" i="5"/>
  <c r="O426" i="5"/>
  <c r="M426" i="5"/>
  <c r="K426" i="5"/>
  <c r="I426" i="5"/>
  <c r="G426" i="5"/>
  <c r="E426" i="5"/>
  <c r="C426" i="5"/>
  <c r="BH425" i="5"/>
  <c r="BF425" i="5"/>
  <c r="BD425" i="5"/>
  <c r="BB425" i="5"/>
  <c r="AZ425" i="5"/>
  <c r="BH424" i="5"/>
  <c r="BF424" i="5"/>
  <c r="BD424" i="5"/>
  <c r="BB424" i="5"/>
  <c r="AZ424" i="5"/>
  <c r="BH423" i="5"/>
  <c r="BF423" i="5"/>
  <c r="BD423" i="5"/>
  <c r="BB423" i="5"/>
  <c r="AZ423" i="5"/>
  <c r="BH422" i="5"/>
  <c r="BF422" i="5"/>
  <c r="BD422" i="5"/>
  <c r="BB422" i="5"/>
  <c r="AZ422" i="5"/>
  <c r="BH421" i="5"/>
  <c r="BF421" i="5"/>
  <c r="BD421" i="5"/>
  <c r="BB421" i="5"/>
  <c r="AZ421" i="5"/>
  <c r="BH420" i="5"/>
  <c r="BF420" i="5"/>
  <c r="BD420" i="5"/>
  <c r="BB420" i="5"/>
  <c r="AZ420" i="5"/>
  <c r="BH419" i="5"/>
  <c r="BF419" i="5"/>
  <c r="BD419" i="5"/>
  <c r="BB419" i="5"/>
  <c r="AZ419" i="5"/>
  <c r="BH418" i="5"/>
  <c r="BF418" i="5"/>
  <c r="BD418" i="5"/>
  <c r="BB418" i="5"/>
  <c r="AZ418" i="5"/>
  <c r="BH417" i="5"/>
  <c r="BF417" i="5"/>
  <c r="BD417" i="5"/>
  <c r="BB417" i="5"/>
  <c r="AZ417" i="5"/>
  <c r="BH416" i="5"/>
  <c r="BF416" i="5"/>
  <c r="BD416" i="5"/>
  <c r="BB416" i="5"/>
  <c r="AZ416" i="5"/>
  <c r="BH415" i="5"/>
  <c r="BF415" i="5"/>
  <c r="BD415" i="5"/>
  <c r="BB415" i="5"/>
  <c r="AZ415" i="5"/>
  <c r="BH414" i="5"/>
  <c r="BF414" i="5"/>
  <c r="BD414" i="5"/>
  <c r="BB414" i="5"/>
  <c r="AZ414" i="5"/>
  <c r="AX413" i="5"/>
  <c r="AV413" i="5"/>
  <c r="AT413" i="5"/>
  <c r="AS413" i="5"/>
  <c r="AQ413" i="5"/>
  <c r="AO413" i="5"/>
  <c r="AM413" i="5"/>
  <c r="AK413" i="5"/>
  <c r="AI413" i="5"/>
  <c r="AG413" i="5"/>
  <c r="AE413" i="5"/>
  <c r="AC413" i="5"/>
  <c r="AA413" i="5"/>
  <c r="Y413" i="5"/>
  <c r="W413" i="5"/>
  <c r="U413" i="5"/>
  <c r="S413" i="5"/>
  <c r="Q413" i="5"/>
  <c r="O413" i="5"/>
  <c r="M413" i="5"/>
  <c r="K413" i="5"/>
  <c r="I413" i="5"/>
  <c r="G413" i="5"/>
  <c r="E413" i="5"/>
  <c r="C413" i="5"/>
  <c r="BH412" i="5"/>
  <c r="BF412" i="5"/>
  <c r="BD412" i="5"/>
  <c r="BB412" i="5"/>
  <c r="AZ412" i="5"/>
  <c r="BH411" i="5"/>
  <c r="BF411" i="5"/>
  <c r="BD411" i="5"/>
  <c r="BB411" i="5"/>
  <c r="AZ411" i="5"/>
  <c r="AX410" i="5"/>
  <c r="AV410" i="5"/>
  <c r="AT410" i="5"/>
  <c r="AS410" i="5"/>
  <c r="AQ410" i="5"/>
  <c r="AO410" i="5"/>
  <c r="AM410" i="5"/>
  <c r="AK410" i="5"/>
  <c r="AI410" i="5"/>
  <c r="AG410" i="5"/>
  <c r="AE410" i="5"/>
  <c r="AC410" i="5"/>
  <c r="AA410" i="5"/>
  <c r="Y410" i="5"/>
  <c r="W410" i="5"/>
  <c r="U410" i="5"/>
  <c r="S410" i="5"/>
  <c r="Q410" i="5"/>
  <c r="O410" i="5"/>
  <c r="M410" i="5"/>
  <c r="K410" i="5"/>
  <c r="I410" i="5"/>
  <c r="G410" i="5"/>
  <c r="E410" i="5"/>
  <c r="C410" i="5"/>
  <c r="BH409" i="5"/>
  <c r="BF409" i="5"/>
  <c r="BD409" i="5"/>
  <c r="BB409" i="5"/>
  <c r="AZ409" i="5"/>
  <c r="BH408" i="5"/>
  <c r="BF408" i="5"/>
  <c r="BD408" i="5"/>
  <c r="BB408" i="5"/>
  <c r="AZ408" i="5"/>
  <c r="BL407" i="5"/>
  <c r="BL406" i="5"/>
  <c r="BL405" i="5"/>
  <c r="BL404" i="5"/>
  <c r="BL402" i="5"/>
  <c r="BL401" i="5"/>
  <c r="AX399" i="5"/>
  <c r="AV399" i="5"/>
  <c r="AT399" i="5"/>
  <c r="AS399" i="5"/>
  <c r="AQ399" i="5"/>
  <c r="AO399" i="5"/>
  <c r="AM399" i="5"/>
  <c r="AK399" i="5"/>
  <c r="AI399" i="5"/>
  <c r="AG399" i="5"/>
  <c r="AE399" i="5"/>
  <c r="AC399" i="5"/>
  <c r="AA399" i="5"/>
  <c r="Y399" i="5"/>
  <c r="W399" i="5"/>
  <c r="U399" i="5"/>
  <c r="S399" i="5"/>
  <c r="Q399" i="5"/>
  <c r="O399" i="5"/>
  <c r="M399" i="5"/>
  <c r="K399" i="5"/>
  <c r="I399" i="5"/>
  <c r="G399" i="5"/>
  <c r="E399" i="5"/>
  <c r="C399" i="5"/>
  <c r="BH398" i="5"/>
  <c r="BF398" i="5"/>
  <c r="BD398" i="5"/>
  <c r="BB398" i="5"/>
  <c r="AZ398" i="5"/>
  <c r="BH397" i="5"/>
  <c r="BF397" i="5"/>
  <c r="BD397" i="5"/>
  <c r="BB397" i="5"/>
  <c r="AZ397" i="5"/>
  <c r="BH396" i="5"/>
  <c r="BF396" i="5"/>
  <c r="BD396" i="5"/>
  <c r="BB396" i="5"/>
  <c r="AZ396" i="5"/>
  <c r="BH395" i="5"/>
  <c r="BF395" i="5"/>
  <c r="BD395" i="5"/>
  <c r="BB395" i="5"/>
  <c r="AZ395" i="5"/>
  <c r="BH394" i="5"/>
  <c r="BF394" i="5"/>
  <c r="BD394" i="5"/>
  <c r="BB394" i="5"/>
  <c r="AZ394" i="5"/>
  <c r="BH393" i="5"/>
  <c r="BF393" i="5"/>
  <c r="BD393" i="5"/>
  <c r="BB393" i="5"/>
  <c r="AZ393" i="5"/>
  <c r="BH392" i="5"/>
  <c r="BF392" i="5"/>
  <c r="BD392" i="5"/>
  <c r="BB392" i="5"/>
  <c r="AZ392" i="5"/>
  <c r="AX391" i="5"/>
  <c r="AV391" i="5"/>
  <c r="AT391" i="5"/>
  <c r="AS391" i="5"/>
  <c r="AQ391" i="5"/>
  <c r="AO391" i="5"/>
  <c r="AM391" i="5"/>
  <c r="AK391" i="5"/>
  <c r="AI391" i="5"/>
  <c r="AG391" i="5"/>
  <c r="AE391" i="5"/>
  <c r="AC391" i="5"/>
  <c r="AA391" i="5"/>
  <c r="Y391" i="5"/>
  <c r="W391" i="5"/>
  <c r="U391" i="5"/>
  <c r="S391" i="5"/>
  <c r="Q391" i="5"/>
  <c r="O391" i="5"/>
  <c r="M391" i="5"/>
  <c r="K391" i="5"/>
  <c r="I391" i="5"/>
  <c r="G391" i="5"/>
  <c r="E391" i="5"/>
  <c r="C391" i="5"/>
  <c r="BH390" i="5"/>
  <c r="BF390" i="5"/>
  <c r="BD390" i="5"/>
  <c r="BB390" i="5"/>
  <c r="AZ390" i="5"/>
  <c r="BH389" i="5"/>
  <c r="BF389" i="5"/>
  <c r="BD389" i="5"/>
  <c r="BB389" i="5"/>
  <c r="AZ389" i="5"/>
  <c r="BH388" i="5"/>
  <c r="BF388" i="5"/>
  <c r="BD388" i="5"/>
  <c r="BB388" i="5"/>
  <c r="AZ388" i="5"/>
  <c r="AX387" i="5"/>
  <c r="AV387" i="5"/>
  <c r="AT387" i="5"/>
  <c r="AS387" i="5"/>
  <c r="AS400" i="5" s="1"/>
  <c r="AQ387" i="5"/>
  <c r="AO387" i="5"/>
  <c r="AM387" i="5"/>
  <c r="AK387" i="5"/>
  <c r="AK400" i="5" s="1"/>
  <c r="AI387" i="5"/>
  <c r="AG387" i="5"/>
  <c r="AE387" i="5"/>
  <c r="AC387" i="5"/>
  <c r="AC400" i="5" s="1"/>
  <c r="AA387" i="5"/>
  <c r="Y387" i="5"/>
  <c r="W387" i="5"/>
  <c r="U387" i="5"/>
  <c r="U400" i="5" s="1"/>
  <c r="S387" i="5"/>
  <c r="Q387" i="5"/>
  <c r="O387" i="5"/>
  <c r="M387" i="5"/>
  <c r="M400" i="5" s="1"/>
  <c r="K387" i="5"/>
  <c r="I387" i="5"/>
  <c r="G387" i="5"/>
  <c r="E387" i="5"/>
  <c r="C387" i="5"/>
  <c r="BH386" i="5"/>
  <c r="BF386" i="5"/>
  <c r="BD386" i="5"/>
  <c r="BB386" i="5"/>
  <c r="AZ386" i="5"/>
  <c r="BH385" i="5"/>
  <c r="BF385" i="5"/>
  <c r="BD385" i="5"/>
  <c r="BB385" i="5"/>
  <c r="AZ385" i="5"/>
  <c r="BL384" i="5"/>
  <c r="BL383" i="5"/>
  <c r="BH381" i="5"/>
  <c r="BF381" i="5"/>
  <c r="BD381" i="5"/>
  <c r="BB381" i="5"/>
  <c r="AZ381" i="5"/>
  <c r="BH380" i="5"/>
  <c r="BF380" i="5"/>
  <c r="BD380" i="5"/>
  <c r="BB380" i="5"/>
  <c r="AZ380" i="5"/>
  <c r="AX379" i="5"/>
  <c r="AV379" i="5"/>
  <c r="AT379" i="5"/>
  <c r="AS379" i="5"/>
  <c r="AQ379" i="5"/>
  <c r="AO379" i="5"/>
  <c r="AM379" i="5"/>
  <c r="AK379" i="5"/>
  <c r="AI379" i="5"/>
  <c r="AG379" i="5"/>
  <c r="AE379" i="5"/>
  <c r="BB379" i="5" s="1"/>
  <c r="AC379" i="5"/>
  <c r="AA379" i="5"/>
  <c r="Y379" i="5"/>
  <c r="W379" i="5"/>
  <c r="U379" i="5"/>
  <c r="S379" i="5"/>
  <c r="Q379" i="5"/>
  <c r="O379" i="5"/>
  <c r="M379" i="5"/>
  <c r="K379" i="5"/>
  <c r="I379" i="5"/>
  <c r="G379" i="5"/>
  <c r="E379" i="5"/>
  <c r="C379" i="5"/>
  <c r="BH378" i="5"/>
  <c r="BF378" i="5"/>
  <c r="BD378" i="5"/>
  <c r="BB378" i="5"/>
  <c r="AZ378" i="5"/>
  <c r="BH377" i="5"/>
  <c r="BF377" i="5"/>
  <c r="BD377" i="5"/>
  <c r="BB377" i="5"/>
  <c r="AZ377" i="5"/>
  <c r="BH376" i="5"/>
  <c r="BF376" i="5"/>
  <c r="BD376" i="5"/>
  <c r="BB376" i="5"/>
  <c r="AZ376" i="5"/>
  <c r="AX375" i="5"/>
  <c r="AV375" i="5"/>
  <c r="AT375" i="5"/>
  <c r="AS375" i="5"/>
  <c r="AQ375" i="5"/>
  <c r="AO375" i="5"/>
  <c r="AM375" i="5"/>
  <c r="AK375" i="5"/>
  <c r="AI375" i="5"/>
  <c r="AG375" i="5"/>
  <c r="AE375" i="5"/>
  <c r="AC375" i="5"/>
  <c r="AA375" i="5"/>
  <c r="Y375" i="5"/>
  <c r="W375" i="5"/>
  <c r="U375" i="5"/>
  <c r="S375" i="5"/>
  <c r="Q375" i="5"/>
  <c r="O375" i="5"/>
  <c r="M375" i="5"/>
  <c r="K375" i="5"/>
  <c r="I375" i="5"/>
  <c r="G375" i="5"/>
  <c r="E375" i="5"/>
  <c r="C375" i="5"/>
  <c r="BH374" i="5"/>
  <c r="BF374" i="5"/>
  <c r="BD374" i="5"/>
  <c r="BB374" i="5"/>
  <c r="AZ374" i="5"/>
  <c r="BH373" i="5"/>
  <c r="BF373" i="5"/>
  <c r="BD373" i="5"/>
  <c r="BB373" i="5"/>
  <c r="AZ373" i="5"/>
  <c r="AX372" i="5"/>
  <c r="AV372" i="5"/>
  <c r="AT372" i="5"/>
  <c r="AS372" i="5"/>
  <c r="AQ372" i="5"/>
  <c r="AO372" i="5"/>
  <c r="AM372" i="5"/>
  <c r="AK372" i="5"/>
  <c r="AI372" i="5"/>
  <c r="AG372" i="5"/>
  <c r="AE372" i="5"/>
  <c r="AC372" i="5"/>
  <c r="AA372" i="5"/>
  <c r="Y372" i="5"/>
  <c r="W372" i="5"/>
  <c r="U372" i="5"/>
  <c r="S372" i="5"/>
  <c r="Q372" i="5"/>
  <c r="O372" i="5"/>
  <c r="M372" i="5"/>
  <c r="K372" i="5"/>
  <c r="I372" i="5"/>
  <c r="G372" i="5"/>
  <c r="E372" i="5"/>
  <c r="C372" i="5"/>
  <c r="BH371" i="5"/>
  <c r="BF371" i="5"/>
  <c r="BD371" i="5"/>
  <c r="BB371" i="5"/>
  <c r="AZ371" i="5"/>
  <c r="BH370" i="5"/>
  <c r="BF370" i="5"/>
  <c r="BD370" i="5"/>
  <c r="BB370" i="5"/>
  <c r="AZ370" i="5"/>
  <c r="AZ372" i="5" s="1"/>
  <c r="AX369" i="5"/>
  <c r="AV369" i="5"/>
  <c r="AT369" i="5"/>
  <c r="AS369" i="5"/>
  <c r="AQ369" i="5"/>
  <c r="AO369" i="5"/>
  <c r="AM369" i="5"/>
  <c r="AK369" i="5"/>
  <c r="AI369" i="5"/>
  <c r="AG369" i="5"/>
  <c r="AE369" i="5"/>
  <c r="AC369" i="5"/>
  <c r="AA369" i="5"/>
  <c r="Y369" i="5"/>
  <c r="W369" i="5"/>
  <c r="U369" i="5"/>
  <c r="S369" i="5"/>
  <c r="Q369" i="5"/>
  <c r="O369" i="5"/>
  <c r="M369" i="5"/>
  <c r="K369" i="5"/>
  <c r="I369" i="5"/>
  <c r="G369" i="5"/>
  <c r="E369" i="5"/>
  <c r="C369" i="5"/>
  <c r="BH368" i="5"/>
  <c r="BF368" i="5"/>
  <c r="BD368" i="5"/>
  <c r="BB368" i="5"/>
  <c r="AZ368" i="5"/>
  <c r="BH367" i="5"/>
  <c r="BF367" i="5"/>
  <c r="BD367" i="5"/>
  <c r="BB367" i="5"/>
  <c r="AZ367" i="5"/>
  <c r="BL366" i="5"/>
  <c r="BL365" i="5"/>
  <c r="AX363" i="5"/>
  <c r="AX364" i="5" s="1"/>
  <c r="AV363" i="5"/>
  <c r="AV364" i="5" s="1"/>
  <c r="AT363" i="5"/>
  <c r="AT364" i="5" s="1"/>
  <c r="AS363" i="5"/>
  <c r="AS364" i="5" s="1"/>
  <c r="AQ363" i="5"/>
  <c r="AQ364" i="5" s="1"/>
  <c r="AO363" i="5"/>
  <c r="AO364" i="5" s="1"/>
  <c r="AM363" i="5"/>
  <c r="AM364" i="5" s="1"/>
  <c r="AK363" i="5"/>
  <c r="AK364" i="5" s="1"/>
  <c r="AI363" i="5"/>
  <c r="AI364" i="5" s="1"/>
  <c r="AG363" i="5"/>
  <c r="AG364" i="5" s="1"/>
  <c r="AE363" i="5"/>
  <c r="AC363" i="5"/>
  <c r="AC364" i="5" s="1"/>
  <c r="AA363" i="5"/>
  <c r="AA364" i="5" s="1"/>
  <c r="Y363" i="5"/>
  <c r="Y364" i="5" s="1"/>
  <c r="W363" i="5"/>
  <c r="W364" i="5" s="1"/>
  <c r="U363" i="5"/>
  <c r="U364" i="5" s="1"/>
  <c r="S363" i="5"/>
  <c r="S364" i="5" s="1"/>
  <c r="Q363" i="5"/>
  <c r="Q364" i="5" s="1"/>
  <c r="O363" i="5"/>
  <c r="O364" i="5" s="1"/>
  <c r="M363" i="5"/>
  <c r="M364" i="5" s="1"/>
  <c r="K363" i="5"/>
  <c r="K364" i="5" s="1"/>
  <c r="I363" i="5"/>
  <c r="G363" i="5"/>
  <c r="E363" i="5"/>
  <c r="E364" i="5" s="1"/>
  <c r="C363" i="5"/>
  <c r="C364" i="5" s="1"/>
  <c r="BH362" i="5"/>
  <c r="BF362" i="5"/>
  <c r="BD362" i="5"/>
  <c r="BB362" i="5"/>
  <c r="AZ362" i="5"/>
  <c r="BH361" i="5"/>
  <c r="BF361" i="5"/>
  <c r="BD361" i="5"/>
  <c r="BB361" i="5"/>
  <c r="AZ361" i="5"/>
  <c r="BH360" i="5"/>
  <c r="BF360" i="5"/>
  <c r="BD360" i="5"/>
  <c r="BB360" i="5"/>
  <c r="AZ360" i="5"/>
  <c r="BH359" i="5"/>
  <c r="BF359" i="5"/>
  <c r="BD359" i="5"/>
  <c r="BB359" i="5"/>
  <c r="AZ359" i="5"/>
  <c r="BH358" i="5"/>
  <c r="BF358" i="5"/>
  <c r="BD358" i="5"/>
  <c r="BB358" i="5"/>
  <c r="AZ358" i="5"/>
  <c r="BH357" i="5"/>
  <c r="BF357" i="5"/>
  <c r="BD357" i="5"/>
  <c r="BB357" i="5"/>
  <c r="AZ357" i="5"/>
  <c r="BH356" i="5"/>
  <c r="BF356" i="5"/>
  <c r="BD356" i="5"/>
  <c r="BB356" i="5"/>
  <c r="AZ356" i="5"/>
  <c r="BH355" i="5"/>
  <c r="BF355" i="5"/>
  <c r="BD355" i="5"/>
  <c r="BB355" i="5"/>
  <c r="AZ355" i="5"/>
  <c r="BH354" i="5"/>
  <c r="BF354" i="5"/>
  <c r="BD354" i="5"/>
  <c r="BB354" i="5"/>
  <c r="AZ354" i="5"/>
  <c r="BL353" i="5"/>
  <c r="BL352" i="5"/>
  <c r="BG351" i="5"/>
  <c r="BE351" i="5"/>
  <c r="BC351" i="5"/>
  <c r="AX351" i="5"/>
  <c r="AV351" i="5"/>
  <c r="AT351" i="5"/>
  <c r="AS351" i="5"/>
  <c r="AQ351" i="5"/>
  <c r="AO351" i="5"/>
  <c r="AM351" i="5"/>
  <c r="AK351" i="5"/>
  <c r="AI351" i="5"/>
  <c r="AG351" i="5"/>
  <c r="AE351" i="5"/>
  <c r="AC351" i="5"/>
  <c r="AA351" i="5"/>
  <c r="Y351" i="5"/>
  <c r="W351" i="5"/>
  <c r="U351" i="5"/>
  <c r="S351" i="5"/>
  <c r="Q351" i="5"/>
  <c r="O351" i="5"/>
  <c r="M351" i="5"/>
  <c r="K351" i="5"/>
  <c r="I351" i="5"/>
  <c r="G351" i="5"/>
  <c r="E351" i="5"/>
  <c r="C351" i="5"/>
  <c r="BH350" i="5"/>
  <c r="BF350" i="5"/>
  <c r="BD350" i="5"/>
  <c r="BB350" i="5"/>
  <c r="AZ350" i="5"/>
  <c r="BH349" i="5"/>
  <c r="BF349" i="5"/>
  <c r="BD349" i="5"/>
  <c r="BB349" i="5"/>
  <c r="AZ349" i="5"/>
  <c r="BL348" i="5"/>
  <c r="BL347" i="5"/>
  <c r="AX346" i="5"/>
  <c r="AV346" i="5"/>
  <c r="AT346" i="5"/>
  <c r="AS346" i="5"/>
  <c r="AQ346" i="5"/>
  <c r="AO346" i="5"/>
  <c r="AM346" i="5"/>
  <c r="AK346" i="5"/>
  <c r="AI346" i="5"/>
  <c r="AG346" i="5"/>
  <c r="AE346" i="5"/>
  <c r="AC346" i="5"/>
  <c r="AA346" i="5"/>
  <c r="Y346" i="5"/>
  <c r="W346" i="5"/>
  <c r="U346" i="5"/>
  <c r="S346" i="5"/>
  <c r="Q346" i="5"/>
  <c r="O346" i="5"/>
  <c r="M346" i="5"/>
  <c r="K346" i="5"/>
  <c r="I346" i="5"/>
  <c r="G346" i="5"/>
  <c r="E346" i="5"/>
  <c r="C346" i="5"/>
  <c r="BH345" i="5"/>
  <c r="BF345" i="5"/>
  <c r="BD345" i="5"/>
  <c r="BB345" i="5"/>
  <c r="AZ345" i="5"/>
  <c r="BH344" i="5"/>
  <c r="BF344" i="5"/>
  <c r="BD344" i="5"/>
  <c r="BB344" i="5"/>
  <c r="AZ344" i="5"/>
  <c r="BH343" i="5"/>
  <c r="BF343" i="5"/>
  <c r="BD343" i="5"/>
  <c r="BB343" i="5"/>
  <c r="AZ343" i="5"/>
  <c r="BH342" i="5"/>
  <c r="BF342" i="5"/>
  <c r="BD342" i="5"/>
  <c r="BB342" i="5"/>
  <c r="AZ342" i="5"/>
  <c r="BH341" i="5"/>
  <c r="BF341" i="5"/>
  <c r="BD341" i="5"/>
  <c r="BB341" i="5"/>
  <c r="AZ341" i="5"/>
  <c r="BH340" i="5"/>
  <c r="BF340" i="5"/>
  <c r="BD340" i="5"/>
  <c r="BB340" i="5"/>
  <c r="AZ340" i="5"/>
  <c r="BH339" i="5"/>
  <c r="BF339" i="5"/>
  <c r="BD339" i="5"/>
  <c r="BB339" i="5"/>
  <c r="AZ339" i="5"/>
  <c r="BH338" i="5"/>
  <c r="BF338" i="5"/>
  <c r="BD338" i="5"/>
  <c r="BB338" i="5"/>
  <c r="AZ338" i="5"/>
  <c r="BL337" i="5"/>
  <c r="BL336" i="5"/>
  <c r="BH334" i="5"/>
  <c r="BF334" i="5"/>
  <c r="BD334" i="5"/>
  <c r="BB334" i="5"/>
  <c r="AZ334" i="5"/>
  <c r="AX333" i="5"/>
  <c r="AV333" i="5"/>
  <c r="AT333" i="5"/>
  <c r="AS333" i="5"/>
  <c r="AQ333" i="5"/>
  <c r="AO333" i="5"/>
  <c r="AM333" i="5"/>
  <c r="AK333" i="5"/>
  <c r="AI333" i="5"/>
  <c r="AG333" i="5"/>
  <c r="AE333" i="5"/>
  <c r="AC333" i="5"/>
  <c r="AA333" i="5"/>
  <c r="Y333" i="5"/>
  <c r="W333" i="5"/>
  <c r="U333" i="5"/>
  <c r="S333" i="5"/>
  <c r="Q333" i="5"/>
  <c r="O333" i="5"/>
  <c r="M333" i="5"/>
  <c r="K333" i="5"/>
  <c r="I333" i="5"/>
  <c r="G333" i="5"/>
  <c r="E333" i="5"/>
  <c r="C333" i="5"/>
  <c r="BH332" i="5"/>
  <c r="BF332" i="5"/>
  <c r="BD332" i="5"/>
  <c r="BB332" i="5"/>
  <c r="AZ332" i="5"/>
  <c r="BH331" i="5"/>
  <c r="BF331" i="5"/>
  <c r="BD331" i="5"/>
  <c r="BB331" i="5"/>
  <c r="AZ331" i="5"/>
  <c r="BH330" i="5"/>
  <c r="BF330" i="5"/>
  <c r="BD330" i="5"/>
  <c r="BB330" i="5"/>
  <c r="AZ330" i="5"/>
  <c r="BH329" i="5"/>
  <c r="BF329" i="5"/>
  <c r="BD329" i="5"/>
  <c r="BB329" i="5"/>
  <c r="AZ329" i="5"/>
  <c r="AX328" i="5"/>
  <c r="AV328" i="5"/>
  <c r="AT328" i="5"/>
  <c r="AS328" i="5"/>
  <c r="AQ328" i="5"/>
  <c r="AO328" i="5"/>
  <c r="AM328" i="5"/>
  <c r="AK328" i="5"/>
  <c r="AI328" i="5"/>
  <c r="AG328" i="5"/>
  <c r="AE328" i="5"/>
  <c r="AC328" i="5"/>
  <c r="AA328" i="5"/>
  <c r="Y328" i="5"/>
  <c r="W328" i="5"/>
  <c r="U328" i="5"/>
  <c r="S328" i="5"/>
  <c r="Q328" i="5"/>
  <c r="O328" i="5"/>
  <c r="M328" i="5"/>
  <c r="K328" i="5"/>
  <c r="I328" i="5"/>
  <c r="G328" i="5"/>
  <c r="E328" i="5"/>
  <c r="C328" i="5"/>
  <c r="BH327" i="5"/>
  <c r="BF327" i="5"/>
  <c r="BD327" i="5"/>
  <c r="BB327" i="5"/>
  <c r="AZ327" i="5"/>
  <c r="BH326" i="5"/>
  <c r="BF326" i="5"/>
  <c r="BD326" i="5"/>
  <c r="BB326" i="5"/>
  <c r="AZ326" i="5"/>
  <c r="BL325" i="5"/>
  <c r="BL324" i="5"/>
  <c r="AX322" i="5"/>
  <c r="AV322" i="5"/>
  <c r="AT322" i="5"/>
  <c r="AS322" i="5"/>
  <c r="AQ322" i="5"/>
  <c r="AO322" i="5"/>
  <c r="AM322" i="5"/>
  <c r="AK322" i="5"/>
  <c r="AI322" i="5"/>
  <c r="AG322" i="5"/>
  <c r="AE322" i="5"/>
  <c r="AC322" i="5"/>
  <c r="AA322" i="5"/>
  <c r="Y322" i="5"/>
  <c r="W322" i="5"/>
  <c r="U322" i="5"/>
  <c r="S322" i="5"/>
  <c r="Q322" i="5"/>
  <c r="O322" i="5"/>
  <c r="M322" i="5"/>
  <c r="K322" i="5"/>
  <c r="I322" i="5"/>
  <c r="G322" i="5"/>
  <c r="E322" i="5"/>
  <c r="C322" i="5"/>
  <c r="BH321" i="5"/>
  <c r="BF321" i="5"/>
  <c r="BD321" i="5"/>
  <c r="BB321" i="5"/>
  <c r="AZ321" i="5"/>
  <c r="BH320" i="5"/>
  <c r="BF320" i="5"/>
  <c r="BD320" i="5"/>
  <c r="BB320" i="5"/>
  <c r="AZ320" i="5"/>
  <c r="AX319" i="5"/>
  <c r="AV319" i="5"/>
  <c r="AT319" i="5"/>
  <c r="AS319" i="5"/>
  <c r="AQ319" i="5"/>
  <c r="AO319" i="5"/>
  <c r="AM319" i="5"/>
  <c r="AK319" i="5"/>
  <c r="AI319" i="5"/>
  <c r="AG319" i="5"/>
  <c r="AE319" i="5"/>
  <c r="AC319" i="5"/>
  <c r="AA319" i="5"/>
  <c r="Y319" i="5"/>
  <c r="W319" i="5"/>
  <c r="U319" i="5"/>
  <c r="S319" i="5"/>
  <c r="Q319" i="5"/>
  <c r="O319" i="5"/>
  <c r="M319" i="5"/>
  <c r="K319" i="5"/>
  <c r="I319" i="5"/>
  <c r="G319" i="5"/>
  <c r="E319" i="5"/>
  <c r="C319" i="5"/>
  <c r="BH318" i="5"/>
  <c r="BF318" i="5"/>
  <c r="BD318" i="5"/>
  <c r="BB318" i="5"/>
  <c r="AZ318" i="5"/>
  <c r="BH317" i="5"/>
  <c r="BF317" i="5"/>
  <c r="BD317" i="5"/>
  <c r="BB317" i="5"/>
  <c r="AZ317" i="5"/>
  <c r="BH316" i="5"/>
  <c r="BF316" i="5"/>
  <c r="BD316" i="5"/>
  <c r="BB316" i="5"/>
  <c r="AZ316" i="5"/>
  <c r="BH315" i="5"/>
  <c r="BF315" i="5"/>
  <c r="BD315" i="5"/>
  <c r="BB315" i="5"/>
  <c r="AZ315" i="5"/>
  <c r="AX314" i="5"/>
  <c r="AV314" i="5"/>
  <c r="AT314" i="5"/>
  <c r="AS314" i="5"/>
  <c r="AQ314" i="5"/>
  <c r="AO314" i="5"/>
  <c r="AM314" i="5"/>
  <c r="AK314" i="5"/>
  <c r="AI314" i="5"/>
  <c r="AG314" i="5"/>
  <c r="AE314" i="5"/>
  <c r="AC314" i="5"/>
  <c r="AA314" i="5"/>
  <c r="Y314" i="5"/>
  <c r="W314" i="5"/>
  <c r="U314" i="5"/>
  <c r="S314" i="5"/>
  <c r="Q314" i="5"/>
  <c r="O314" i="5"/>
  <c r="M314" i="5"/>
  <c r="K314" i="5"/>
  <c r="I314" i="5"/>
  <c r="G314" i="5"/>
  <c r="E314" i="5"/>
  <c r="C314" i="5"/>
  <c r="BH313" i="5"/>
  <c r="BF313" i="5"/>
  <c r="BD313" i="5"/>
  <c r="BB313" i="5"/>
  <c r="AZ313" i="5"/>
  <c r="BH312" i="5"/>
  <c r="BF312" i="5"/>
  <c r="BD312" i="5"/>
  <c r="BB312" i="5"/>
  <c r="AZ312" i="5"/>
  <c r="BH311" i="5"/>
  <c r="BF311" i="5"/>
  <c r="BD311" i="5"/>
  <c r="BB311" i="5"/>
  <c r="AZ311" i="5"/>
  <c r="BH310" i="5"/>
  <c r="BF310" i="5"/>
  <c r="BD310" i="5"/>
  <c r="BB310" i="5"/>
  <c r="AZ310" i="5"/>
  <c r="BH309" i="5"/>
  <c r="BF309" i="5"/>
  <c r="BD309" i="5"/>
  <c r="BB309" i="5"/>
  <c r="AZ309" i="5"/>
  <c r="BH308" i="5"/>
  <c r="BF308" i="5"/>
  <c r="BD308" i="5"/>
  <c r="BB308" i="5"/>
  <c r="AZ308" i="5"/>
  <c r="BH307" i="5"/>
  <c r="BF307" i="5"/>
  <c r="BD307" i="5"/>
  <c r="BB307" i="5"/>
  <c r="AZ307" i="5"/>
  <c r="BH306" i="5"/>
  <c r="BF306" i="5"/>
  <c r="BD306" i="5"/>
  <c r="BB306" i="5"/>
  <c r="AZ306" i="5"/>
  <c r="BH305" i="5"/>
  <c r="BF305" i="5"/>
  <c r="BD305" i="5"/>
  <c r="BB305" i="5"/>
  <c r="AZ305" i="5"/>
  <c r="AX304" i="5"/>
  <c r="AV304" i="5"/>
  <c r="AT304" i="5"/>
  <c r="AS304" i="5"/>
  <c r="AQ304" i="5"/>
  <c r="AO304" i="5"/>
  <c r="AM304" i="5"/>
  <c r="AK304" i="5"/>
  <c r="AI304" i="5"/>
  <c r="AG304" i="5"/>
  <c r="AE304" i="5"/>
  <c r="AC304" i="5"/>
  <c r="AA304" i="5"/>
  <c r="Y304" i="5"/>
  <c r="W304" i="5"/>
  <c r="U304" i="5"/>
  <c r="S304" i="5"/>
  <c r="Q304" i="5"/>
  <c r="O304" i="5"/>
  <c r="M304" i="5"/>
  <c r="K304" i="5"/>
  <c r="I304" i="5"/>
  <c r="G304" i="5"/>
  <c r="E304" i="5"/>
  <c r="C304" i="5"/>
  <c r="BH303" i="5"/>
  <c r="BF303" i="5"/>
  <c r="BD303" i="5"/>
  <c r="BB303" i="5"/>
  <c r="AZ303" i="5"/>
  <c r="BH302" i="5"/>
  <c r="BF302" i="5"/>
  <c r="BD302" i="5"/>
  <c r="BB302" i="5"/>
  <c r="AZ302" i="5"/>
  <c r="BL301" i="5"/>
  <c r="BL300" i="5"/>
  <c r="BL299" i="5"/>
  <c r="BL298" i="5"/>
  <c r="AX297" i="5"/>
  <c r="AV297" i="5"/>
  <c r="AT297" i="5"/>
  <c r="AS297" i="5"/>
  <c r="AQ297" i="5"/>
  <c r="AO297" i="5"/>
  <c r="AM297" i="5"/>
  <c r="AK297" i="5"/>
  <c r="AI297" i="5"/>
  <c r="AG297" i="5"/>
  <c r="AE297" i="5"/>
  <c r="AC297" i="5"/>
  <c r="AA297" i="5"/>
  <c r="Y297" i="5"/>
  <c r="W297" i="5"/>
  <c r="U297" i="5"/>
  <c r="S297" i="5"/>
  <c r="Q297" i="5"/>
  <c r="O297" i="5"/>
  <c r="M297" i="5"/>
  <c r="K297" i="5"/>
  <c r="I297" i="5"/>
  <c r="G297" i="5"/>
  <c r="E297" i="5"/>
  <c r="C297" i="5"/>
  <c r="BH296" i="5"/>
  <c r="BF296" i="5"/>
  <c r="BD296" i="5"/>
  <c r="BB296" i="5"/>
  <c r="AZ296" i="5"/>
  <c r="BH295" i="5"/>
  <c r="BF295" i="5"/>
  <c r="BD295" i="5"/>
  <c r="BB295" i="5"/>
  <c r="AZ295" i="5"/>
  <c r="BH294" i="5"/>
  <c r="BF294" i="5"/>
  <c r="BD294" i="5"/>
  <c r="BB294" i="5"/>
  <c r="AZ294" i="5"/>
  <c r="BH293" i="5"/>
  <c r="BF293" i="5"/>
  <c r="BD293" i="5"/>
  <c r="BB293" i="5"/>
  <c r="AZ293" i="5"/>
  <c r="BH292" i="5"/>
  <c r="BF292" i="5"/>
  <c r="BD292" i="5"/>
  <c r="BB292" i="5"/>
  <c r="AZ292" i="5"/>
  <c r="BH291" i="5"/>
  <c r="BF291" i="5"/>
  <c r="BD291" i="5"/>
  <c r="BB291" i="5"/>
  <c r="AZ291" i="5"/>
  <c r="BH290" i="5"/>
  <c r="BF290" i="5"/>
  <c r="BD290" i="5"/>
  <c r="BB290" i="5"/>
  <c r="AZ290" i="5"/>
  <c r="BH289" i="5"/>
  <c r="BF289" i="5"/>
  <c r="BD289" i="5"/>
  <c r="BB289" i="5"/>
  <c r="AZ289" i="5"/>
  <c r="BH288" i="5"/>
  <c r="BF288" i="5"/>
  <c r="BD288" i="5"/>
  <c r="BB288" i="5"/>
  <c r="AZ288" i="5"/>
  <c r="BH287" i="5"/>
  <c r="BF287" i="5"/>
  <c r="BD287" i="5"/>
  <c r="BB287" i="5"/>
  <c r="AZ287" i="5"/>
  <c r="BH286" i="5"/>
  <c r="BF286" i="5"/>
  <c r="BD286" i="5"/>
  <c r="BB286" i="5"/>
  <c r="AZ286" i="5"/>
  <c r="BH285" i="5"/>
  <c r="BF285" i="5"/>
  <c r="BD285" i="5"/>
  <c r="BB285" i="5"/>
  <c r="AZ285" i="5"/>
  <c r="BH284" i="5"/>
  <c r="BF284" i="5"/>
  <c r="BD284" i="5"/>
  <c r="BB284" i="5"/>
  <c r="AZ284" i="5"/>
  <c r="BH283" i="5"/>
  <c r="BF283" i="5"/>
  <c r="BD283" i="5"/>
  <c r="BB283" i="5"/>
  <c r="AZ283" i="5"/>
  <c r="BH282" i="5"/>
  <c r="BF282" i="5"/>
  <c r="BD282" i="5"/>
  <c r="BB282" i="5"/>
  <c r="AZ282" i="5"/>
  <c r="BH281" i="5"/>
  <c r="BF281" i="5"/>
  <c r="BD281" i="5"/>
  <c r="BB281" i="5"/>
  <c r="AZ281" i="5"/>
  <c r="BH280" i="5"/>
  <c r="BF280" i="5"/>
  <c r="BD280" i="5"/>
  <c r="BB280" i="5"/>
  <c r="AZ280" i="5"/>
  <c r="BH279" i="5"/>
  <c r="BF279" i="5"/>
  <c r="BD279" i="5"/>
  <c r="BB279" i="5"/>
  <c r="AZ279" i="5"/>
  <c r="BH278" i="5"/>
  <c r="BF278" i="5"/>
  <c r="BD278" i="5"/>
  <c r="BB278" i="5"/>
  <c r="AZ278" i="5"/>
  <c r="BH277" i="5"/>
  <c r="BF277" i="5"/>
  <c r="BD277" i="5"/>
  <c r="BB277" i="5"/>
  <c r="AZ277" i="5"/>
  <c r="BH276" i="5"/>
  <c r="BF276" i="5"/>
  <c r="BD276" i="5"/>
  <c r="BB276" i="5"/>
  <c r="AZ276" i="5"/>
  <c r="BH275" i="5"/>
  <c r="BF275" i="5"/>
  <c r="BD275" i="5"/>
  <c r="BB275" i="5"/>
  <c r="AZ275" i="5"/>
  <c r="BH274" i="5"/>
  <c r="BF274" i="5"/>
  <c r="BD274" i="5"/>
  <c r="BB274" i="5"/>
  <c r="AZ274" i="5"/>
  <c r="BH273" i="5"/>
  <c r="BF273" i="5"/>
  <c r="BD273" i="5"/>
  <c r="BB273" i="5"/>
  <c r="AZ273" i="5"/>
  <c r="BH272" i="5"/>
  <c r="BF272" i="5"/>
  <c r="BD272" i="5"/>
  <c r="BB272" i="5"/>
  <c r="AZ272" i="5"/>
  <c r="BH271" i="5"/>
  <c r="BF271" i="5"/>
  <c r="BD271" i="5"/>
  <c r="BB271" i="5"/>
  <c r="AZ271" i="5"/>
  <c r="BH270" i="5"/>
  <c r="BF270" i="5"/>
  <c r="BD270" i="5"/>
  <c r="BB270" i="5"/>
  <c r="AZ270" i="5"/>
  <c r="BH269" i="5"/>
  <c r="BF269" i="5"/>
  <c r="BD269" i="5"/>
  <c r="BB269" i="5"/>
  <c r="AZ269" i="5"/>
  <c r="BH268" i="5"/>
  <c r="BF268" i="5"/>
  <c r="BD268" i="5"/>
  <c r="BB268" i="5"/>
  <c r="AZ268" i="5"/>
  <c r="BH267" i="5"/>
  <c r="BF267" i="5"/>
  <c r="BD267" i="5"/>
  <c r="BB267" i="5"/>
  <c r="AZ267" i="5"/>
  <c r="BL266" i="5"/>
  <c r="BL265" i="5"/>
  <c r="BL264" i="5"/>
  <c r="BL263" i="5"/>
  <c r="BL262" i="5"/>
  <c r="BL261" i="5"/>
  <c r="BL259" i="5"/>
  <c r="AX258" i="5"/>
  <c r="AX260" i="5" s="1"/>
  <c r="AV258" i="5"/>
  <c r="AV260" i="5" s="1"/>
  <c r="AT258" i="5"/>
  <c r="AT260" i="5" s="1"/>
  <c r="AS258" i="5"/>
  <c r="AS260" i="5" s="1"/>
  <c r="AQ258" i="5"/>
  <c r="AQ260" i="5" s="1"/>
  <c r="AO258" i="5"/>
  <c r="AO260" i="5" s="1"/>
  <c r="AM258" i="5"/>
  <c r="AM260" i="5" s="1"/>
  <c r="AK258" i="5"/>
  <c r="AK260" i="5" s="1"/>
  <c r="AI258" i="5"/>
  <c r="AI260" i="5" s="1"/>
  <c r="AG258" i="5"/>
  <c r="AG260" i="5" s="1"/>
  <c r="AE258" i="5"/>
  <c r="AE260" i="5" s="1"/>
  <c r="AC258" i="5"/>
  <c r="AC260" i="5" s="1"/>
  <c r="AA258" i="5"/>
  <c r="AA260" i="5" s="1"/>
  <c r="Y258" i="5"/>
  <c r="Y260" i="5" s="1"/>
  <c r="W258" i="5"/>
  <c r="W260" i="5" s="1"/>
  <c r="U258" i="5"/>
  <c r="U260" i="5" s="1"/>
  <c r="S258" i="5"/>
  <c r="S260" i="5" s="1"/>
  <c r="Q258" i="5"/>
  <c r="Q260" i="5" s="1"/>
  <c r="O258" i="5"/>
  <c r="O260" i="5" s="1"/>
  <c r="M258" i="5"/>
  <c r="M260" i="5" s="1"/>
  <c r="K258" i="5"/>
  <c r="K260" i="5" s="1"/>
  <c r="I258" i="5"/>
  <c r="I260" i="5" s="1"/>
  <c r="G258" i="5"/>
  <c r="G260" i="5" s="1"/>
  <c r="E258" i="5"/>
  <c r="E260" i="5" s="1"/>
  <c r="C258" i="5"/>
  <c r="C260" i="5" s="1"/>
  <c r="BH257" i="5"/>
  <c r="BF257" i="5"/>
  <c r="BD257" i="5"/>
  <c r="BB257" i="5"/>
  <c r="AZ257" i="5"/>
  <c r="BH256" i="5"/>
  <c r="BF256" i="5"/>
  <c r="BD256" i="5"/>
  <c r="BB256" i="5"/>
  <c r="AZ256" i="5"/>
  <c r="BL255" i="5"/>
  <c r="BL254" i="5"/>
  <c r="BL252" i="5"/>
  <c r="AX251" i="5"/>
  <c r="AX253" i="5" s="1"/>
  <c r="AV251" i="5"/>
  <c r="AV253" i="5" s="1"/>
  <c r="AT251" i="5"/>
  <c r="AT253" i="5" s="1"/>
  <c r="AS251" i="5"/>
  <c r="AS253" i="5" s="1"/>
  <c r="AQ251" i="5"/>
  <c r="AQ253" i="5" s="1"/>
  <c r="AO251" i="5"/>
  <c r="AO253" i="5" s="1"/>
  <c r="AM251" i="5"/>
  <c r="AM253" i="5" s="1"/>
  <c r="AK251" i="5"/>
  <c r="AK253" i="5" s="1"/>
  <c r="AI251" i="5"/>
  <c r="AI253" i="5" s="1"/>
  <c r="AG251" i="5"/>
  <c r="AG253" i="5" s="1"/>
  <c r="AE251" i="5"/>
  <c r="AE253" i="5" s="1"/>
  <c r="AC251" i="5"/>
  <c r="AC253" i="5" s="1"/>
  <c r="AA251" i="5"/>
  <c r="AA253" i="5" s="1"/>
  <c r="Y251" i="5"/>
  <c r="Y253" i="5" s="1"/>
  <c r="W251" i="5"/>
  <c r="W253" i="5" s="1"/>
  <c r="U251" i="5"/>
  <c r="U253" i="5" s="1"/>
  <c r="S251" i="5"/>
  <c r="S253" i="5" s="1"/>
  <c r="Q251" i="5"/>
  <c r="Q253" i="5" s="1"/>
  <c r="O251" i="5"/>
  <c r="O253" i="5" s="1"/>
  <c r="M251" i="5"/>
  <c r="M253" i="5" s="1"/>
  <c r="K251" i="5"/>
  <c r="K253" i="5" s="1"/>
  <c r="I251" i="5"/>
  <c r="I253" i="5" s="1"/>
  <c r="G251" i="5"/>
  <c r="G253" i="5" s="1"/>
  <c r="E251" i="5"/>
  <c r="E253" i="5" s="1"/>
  <c r="C251" i="5"/>
  <c r="C253" i="5" s="1"/>
  <c r="BH250" i="5"/>
  <c r="BF250" i="5"/>
  <c r="BD250" i="5"/>
  <c r="BB250" i="5"/>
  <c r="AZ250" i="5"/>
  <c r="BH249" i="5"/>
  <c r="BF249" i="5"/>
  <c r="BD249" i="5"/>
  <c r="BB249" i="5"/>
  <c r="AZ249" i="5"/>
  <c r="BL248" i="5"/>
  <c r="BL247" i="5"/>
  <c r="BL246" i="5"/>
  <c r="BL245" i="5"/>
  <c r="AX242" i="5"/>
  <c r="AV242" i="5"/>
  <c r="AT242" i="5"/>
  <c r="AS242" i="5"/>
  <c r="AQ242" i="5"/>
  <c r="AO242" i="5"/>
  <c r="AM242" i="5"/>
  <c r="AK242" i="5"/>
  <c r="AI242" i="5"/>
  <c r="AG242" i="5"/>
  <c r="AE242" i="5"/>
  <c r="AC242" i="5"/>
  <c r="AA242" i="5"/>
  <c r="Y242" i="5"/>
  <c r="W242" i="5"/>
  <c r="U242" i="5"/>
  <c r="S242" i="5"/>
  <c r="Q242" i="5"/>
  <c r="O242" i="5"/>
  <c r="M242" i="5"/>
  <c r="K242" i="5"/>
  <c r="I242" i="5"/>
  <c r="G242" i="5"/>
  <c r="E242" i="5"/>
  <c r="C242" i="5"/>
  <c r="BH241" i="5"/>
  <c r="BH242" i="5" s="1"/>
  <c r="BF241" i="5"/>
  <c r="BF242" i="5" s="1"/>
  <c r="BD241" i="5"/>
  <c r="BD242" i="5" s="1"/>
  <c r="BB241" i="5"/>
  <c r="BB242" i="5" s="1"/>
  <c r="AZ241" i="5"/>
  <c r="AZ242" i="5" s="1"/>
  <c r="BL239" i="5"/>
  <c r="AX238" i="5"/>
  <c r="AX244" i="5" s="1"/>
  <c r="AV238" i="5"/>
  <c r="AV244" i="5" s="1"/>
  <c r="AT238" i="5"/>
  <c r="AT244" i="5" s="1"/>
  <c r="AS238" i="5"/>
  <c r="AS244" i="5" s="1"/>
  <c r="AQ238" i="5"/>
  <c r="AQ244" i="5" s="1"/>
  <c r="AO238" i="5"/>
  <c r="AO244" i="5" s="1"/>
  <c r="AM238" i="5"/>
  <c r="AM244" i="5" s="1"/>
  <c r="AK238" i="5"/>
  <c r="AK244" i="5" s="1"/>
  <c r="AI238" i="5"/>
  <c r="AI244" i="5" s="1"/>
  <c r="AG238" i="5"/>
  <c r="AG244" i="5" s="1"/>
  <c r="AE238" i="5"/>
  <c r="AE244" i="5" s="1"/>
  <c r="AC238" i="5"/>
  <c r="AC244" i="5" s="1"/>
  <c r="AA238" i="5"/>
  <c r="AA244" i="5" s="1"/>
  <c r="Y238" i="5"/>
  <c r="Y244" i="5" s="1"/>
  <c r="W238" i="5"/>
  <c r="W244" i="5" s="1"/>
  <c r="U238" i="5"/>
  <c r="S238" i="5"/>
  <c r="Q238" i="5"/>
  <c r="O238" i="5"/>
  <c r="M238" i="5"/>
  <c r="M244" i="5" s="1"/>
  <c r="K238" i="5"/>
  <c r="K244" i="5" s="1"/>
  <c r="I238" i="5"/>
  <c r="I244" i="5" s="1"/>
  <c r="G238" i="5"/>
  <c r="G244" i="5" s="1"/>
  <c r="E238" i="5"/>
  <c r="E244" i="5" s="1"/>
  <c r="C238" i="5"/>
  <c r="C244" i="5" s="1"/>
  <c r="BH237" i="5"/>
  <c r="BH238" i="5" s="1"/>
  <c r="BH244" i="5" s="1"/>
  <c r="BF237" i="5"/>
  <c r="BF238" i="5" s="1"/>
  <c r="BF244" i="5" s="1"/>
  <c r="BD237" i="5"/>
  <c r="BD238" i="5" s="1"/>
  <c r="BD244" i="5" s="1"/>
  <c r="BB237" i="5"/>
  <c r="BB238" i="5" s="1"/>
  <c r="BB244" i="5" s="1"/>
  <c r="AZ237" i="5"/>
  <c r="BL236" i="5"/>
  <c r="BL235" i="5"/>
  <c r="BL234" i="5"/>
  <c r="BL233" i="5"/>
  <c r="BL231" i="5"/>
  <c r="BL230" i="5"/>
  <c r="BL228" i="5"/>
  <c r="BL227" i="5"/>
  <c r="AX226" i="5"/>
  <c r="AV226" i="5"/>
  <c r="AT226" i="5"/>
  <c r="AS226" i="5"/>
  <c r="AQ226" i="5"/>
  <c r="AO226" i="5"/>
  <c r="AM226" i="5"/>
  <c r="AK226" i="5"/>
  <c r="AI226" i="5"/>
  <c r="AG226" i="5"/>
  <c r="AE226" i="5"/>
  <c r="AC226" i="5"/>
  <c r="AA226" i="5"/>
  <c r="Y226" i="5"/>
  <c r="W226" i="5"/>
  <c r="U226" i="5"/>
  <c r="S226" i="5"/>
  <c r="Q226" i="5"/>
  <c r="O226" i="5"/>
  <c r="M226" i="5"/>
  <c r="K226" i="5"/>
  <c r="I226" i="5"/>
  <c r="G226" i="5"/>
  <c r="E226" i="5"/>
  <c r="C226" i="5"/>
  <c r="BH225" i="5"/>
  <c r="BF225" i="5"/>
  <c r="BD225" i="5"/>
  <c r="BB225" i="5"/>
  <c r="AZ225" i="5"/>
  <c r="BH224" i="5"/>
  <c r="BF224" i="5"/>
  <c r="BD224" i="5"/>
  <c r="BB224" i="5"/>
  <c r="AZ224" i="5"/>
  <c r="BH223" i="5"/>
  <c r="BF223" i="5"/>
  <c r="BD223" i="5"/>
  <c r="BB223" i="5"/>
  <c r="AZ223" i="5"/>
  <c r="BL222" i="5"/>
  <c r="BL221" i="5"/>
  <c r="AX219" i="5"/>
  <c r="AV219" i="5"/>
  <c r="AT219" i="5"/>
  <c r="AS219" i="5"/>
  <c r="AQ219" i="5"/>
  <c r="AO219" i="5"/>
  <c r="AM219" i="5"/>
  <c r="AK219" i="5"/>
  <c r="AG219" i="5"/>
  <c r="AE219" i="5"/>
  <c r="BB219" i="5" s="1"/>
  <c r="AC219" i="5"/>
  <c r="AA219" i="5"/>
  <c r="Y219" i="5"/>
  <c r="W219" i="5"/>
  <c r="U219" i="5"/>
  <c r="S219" i="5"/>
  <c r="Q219" i="5"/>
  <c r="O219" i="5"/>
  <c r="M219" i="5"/>
  <c r="K219" i="5"/>
  <c r="I219" i="5"/>
  <c r="G219" i="5"/>
  <c r="E219" i="5"/>
  <c r="C219" i="5"/>
  <c r="BH218" i="5"/>
  <c r="BF218" i="5"/>
  <c r="BD218" i="5"/>
  <c r="BB218" i="5"/>
  <c r="AZ218" i="5"/>
  <c r="BH217" i="5"/>
  <c r="BF217" i="5"/>
  <c r="BD217" i="5"/>
  <c r="BB217" i="5"/>
  <c r="AZ217" i="5"/>
  <c r="BH216" i="5"/>
  <c r="BF216" i="5"/>
  <c r="BD216" i="5"/>
  <c r="BB216" i="5"/>
  <c r="AZ216" i="5"/>
  <c r="BH215" i="5"/>
  <c r="BF215" i="5"/>
  <c r="BD215" i="5"/>
  <c r="BB215" i="5"/>
  <c r="AZ215" i="5"/>
  <c r="BH214" i="5"/>
  <c r="BF214" i="5"/>
  <c r="BD214" i="5"/>
  <c r="BB214" i="5"/>
  <c r="AZ214" i="5"/>
  <c r="BH213" i="5"/>
  <c r="BF213" i="5"/>
  <c r="BD213" i="5"/>
  <c r="BB213" i="5"/>
  <c r="AZ213" i="5"/>
  <c r="BH212" i="5"/>
  <c r="BF212" i="5"/>
  <c r="BD212" i="5"/>
  <c r="BB212" i="5"/>
  <c r="AZ212" i="5"/>
  <c r="BH211" i="5"/>
  <c r="BF211" i="5"/>
  <c r="BD211" i="5"/>
  <c r="BB211" i="5"/>
  <c r="AZ211" i="5"/>
  <c r="BH210" i="5"/>
  <c r="BF210" i="5"/>
  <c r="BD210" i="5"/>
  <c r="BB210" i="5"/>
  <c r="AZ210" i="5"/>
  <c r="BH209" i="5"/>
  <c r="BF209" i="5"/>
  <c r="BD209" i="5"/>
  <c r="BB209" i="5"/>
  <c r="AZ209" i="5"/>
  <c r="AX208" i="5"/>
  <c r="AV208" i="5"/>
  <c r="AT208" i="5"/>
  <c r="AS208" i="5"/>
  <c r="AQ208" i="5"/>
  <c r="AO208" i="5"/>
  <c r="AM208" i="5"/>
  <c r="AK208" i="5"/>
  <c r="AI208" i="5"/>
  <c r="AG208" i="5"/>
  <c r="AE208" i="5"/>
  <c r="AC208" i="5"/>
  <c r="AA208" i="5"/>
  <c r="Y208" i="5"/>
  <c r="W208" i="5"/>
  <c r="U208" i="5"/>
  <c r="S208" i="5"/>
  <c r="Q208" i="5"/>
  <c r="O208" i="5"/>
  <c r="M208" i="5"/>
  <c r="K208" i="5"/>
  <c r="I208" i="5"/>
  <c r="G208" i="5"/>
  <c r="E208" i="5"/>
  <c r="C208" i="5"/>
  <c r="BH207" i="5"/>
  <c r="BF207" i="5"/>
  <c r="BD207" i="5"/>
  <c r="BB207" i="5"/>
  <c r="AZ207" i="5"/>
  <c r="BH206" i="5"/>
  <c r="BF206" i="5"/>
  <c r="BD206" i="5"/>
  <c r="BB206" i="5"/>
  <c r="AZ206" i="5"/>
  <c r="BH205" i="5"/>
  <c r="BF205" i="5"/>
  <c r="BD205" i="5"/>
  <c r="BB205" i="5"/>
  <c r="AZ205" i="5"/>
  <c r="AX204" i="5"/>
  <c r="AV204" i="5"/>
  <c r="AT204" i="5"/>
  <c r="AS204" i="5"/>
  <c r="AQ204" i="5"/>
  <c r="AO204" i="5"/>
  <c r="AM204" i="5"/>
  <c r="AK204" i="5"/>
  <c r="AI204" i="5"/>
  <c r="AG204" i="5"/>
  <c r="AE204" i="5"/>
  <c r="AC204" i="5"/>
  <c r="AA204" i="5"/>
  <c r="Y204" i="5"/>
  <c r="W204" i="5"/>
  <c r="U204" i="5"/>
  <c r="S204" i="5"/>
  <c r="Q204" i="5"/>
  <c r="O204" i="5"/>
  <c r="M204" i="5"/>
  <c r="K204" i="5"/>
  <c r="I204" i="5"/>
  <c r="G204" i="5"/>
  <c r="E204" i="5"/>
  <c r="C204" i="5"/>
  <c r="BH203" i="5"/>
  <c r="BF203" i="5"/>
  <c r="BD203" i="5"/>
  <c r="BB203" i="5"/>
  <c r="AZ203" i="5"/>
  <c r="BH202" i="5"/>
  <c r="BF202" i="5"/>
  <c r="BD202" i="5"/>
  <c r="BB202" i="5"/>
  <c r="AZ202" i="5"/>
  <c r="BH201" i="5"/>
  <c r="BF201" i="5"/>
  <c r="BD201" i="5"/>
  <c r="BB201" i="5"/>
  <c r="AZ201" i="5"/>
  <c r="AX200" i="5"/>
  <c r="AV200" i="5"/>
  <c r="AT200" i="5"/>
  <c r="AT220" i="5" s="1"/>
  <c r="AS200" i="5"/>
  <c r="AQ200" i="5"/>
  <c r="AO200" i="5"/>
  <c r="AM200" i="5"/>
  <c r="AK200" i="5"/>
  <c r="AI200" i="5"/>
  <c r="AG200" i="5"/>
  <c r="AE200" i="5"/>
  <c r="AC200" i="5"/>
  <c r="AA200" i="5"/>
  <c r="Y200" i="5"/>
  <c r="W200" i="5"/>
  <c r="U200" i="5"/>
  <c r="S200" i="5"/>
  <c r="Q200" i="5"/>
  <c r="O200" i="5"/>
  <c r="M200" i="5"/>
  <c r="K200" i="5"/>
  <c r="I200" i="5"/>
  <c r="G200" i="5"/>
  <c r="E200" i="5"/>
  <c r="C200" i="5"/>
  <c r="BH199" i="5"/>
  <c r="BF199" i="5"/>
  <c r="BD199" i="5"/>
  <c r="BB199" i="5"/>
  <c r="AZ199" i="5"/>
  <c r="BH198" i="5"/>
  <c r="BF198" i="5"/>
  <c r="BD198" i="5"/>
  <c r="BB198" i="5"/>
  <c r="AZ198" i="5"/>
  <c r="BL197" i="5"/>
  <c r="BL196" i="5"/>
  <c r="AX195" i="5"/>
  <c r="AV195" i="5"/>
  <c r="AT195" i="5"/>
  <c r="AS195" i="5"/>
  <c r="AQ195" i="5"/>
  <c r="AO195" i="5"/>
  <c r="AM195" i="5"/>
  <c r="AK195" i="5"/>
  <c r="AI195" i="5"/>
  <c r="AG195" i="5"/>
  <c r="AE195" i="5"/>
  <c r="AC195" i="5"/>
  <c r="AA195" i="5"/>
  <c r="Y195" i="5"/>
  <c r="W195" i="5"/>
  <c r="U195" i="5"/>
  <c r="S195" i="5"/>
  <c r="Q195" i="5"/>
  <c r="O195" i="5"/>
  <c r="M195" i="5"/>
  <c r="K195" i="5"/>
  <c r="I195" i="5"/>
  <c r="G195" i="5"/>
  <c r="E195" i="5"/>
  <c r="C195" i="5"/>
  <c r="BH194" i="5"/>
  <c r="BH195" i="5" s="1"/>
  <c r="BF194" i="5"/>
  <c r="BF195" i="5" s="1"/>
  <c r="BD194" i="5"/>
  <c r="BD195" i="5" s="1"/>
  <c r="BB194" i="5"/>
  <c r="AZ194" i="5"/>
  <c r="AZ195" i="5" s="1"/>
  <c r="BL193" i="5"/>
  <c r="BL192" i="5"/>
  <c r="BH190" i="5"/>
  <c r="BF190" i="5"/>
  <c r="BD190" i="5"/>
  <c r="BB190" i="5"/>
  <c r="AZ190" i="5"/>
  <c r="AX189" i="5"/>
  <c r="AV189" i="5"/>
  <c r="AT189" i="5"/>
  <c r="AS189" i="5"/>
  <c r="AQ189" i="5"/>
  <c r="AO189" i="5"/>
  <c r="AM189" i="5"/>
  <c r="AK189" i="5"/>
  <c r="AI189" i="5"/>
  <c r="AG189" i="5"/>
  <c r="AE189" i="5"/>
  <c r="AC189" i="5"/>
  <c r="AA189" i="5"/>
  <c r="Y189" i="5"/>
  <c r="W189" i="5"/>
  <c r="U189" i="5"/>
  <c r="S189" i="5"/>
  <c r="Q189" i="5"/>
  <c r="O189" i="5"/>
  <c r="M189" i="5"/>
  <c r="K189" i="5"/>
  <c r="I189" i="5"/>
  <c r="G189" i="5"/>
  <c r="E189" i="5"/>
  <c r="C189" i="5"/>
  <c r="BH188" i="5"/>
  <c r="BF188" i="5"/>
  <c r="BD188" i="5"/>
  <c r="BB188" i="5"/>
  <c r="AZ188" i="5"/>
  <c r="BH187" i="5"/>
  <c r="BF187" i="5"/>
  <c r="BD187" i="5"/>
  <c r="BB187" i="5"/>
  <c r="AZ187" i="5"/>
  <c r="BH186" i="5"/>
  <c r="BF186" i="5"/>
  <c r="BD186" i="5"/>
  <c r="BB186" i="5"/>
  <c r="AZ186" i="5"/>
  <c r="BH185" i="5"/>
  <c r="BF185" i="5"/>
  <c r="BD185" i="5"/>
  <c r="BB185" i="5"/>
  <c r="AZ185" i="5"/>
  <c r="AX184" i="5"/>
  <c r="AV184" i="5"/>
  <c r="AT184" i="5"/>
  <c r="AS184" i="5"/>
  <c r="AQ184" i="5"/>
  <c r="AO184" i="5"/>
  <c r="AM184" i="5"/>
  <c r="AK184" i="5"/>
  <c r="AI184" i="5"/>
  <c r="AG184" i="5"/>
  <c r="AE184" i="5"/>
  <c r="AC184" i="5"/>
  <c r="AA184" i="5"/>
  <c r="Y184" i="5"/>
  <c r="W184" i="5"/>
  <c r="U184" i="5"/>
  <c r="S184" i="5"/>
  <c r="Q184" i="5"/>
  <c r="O184" i="5"/>
  <c r="M184" i="5"/>
  <c r="K184" i="5"/>
  <c r="I184" i="5"/>
  <c r="G184" i="5"/>
  <c r="E184" i="5"/>
  <c r="C184" i="5"/>
  <c r="BH183" i="5"/>
  <c r="BF183" i="5"/>
  <c r="BD183" i="5"/>
  <c r="BB183" i="5"/>
  <c r="AZ183" i="5"/>
  <c r="BH182" i="5"/>
  <c r="BF182" i="5"/>
  <c r="BD182" i="5"/>
  <c r="BB182" i="5"/>
  <c r="AZ182" i="5"/>
  <c r="BH181" i="5"/>
  <c r="BF181" i="5"/>
  <c r="BD181" i="5"/>
  <c r="BB181" i="5"/>
  <c r="AZ181" i="5"/>
  <c r="BL180" i="5"/>
  <c r="BL179" i="5"/>
  <c r="AX177" i="5"/>
  <c r="AV177" i="5"/>
  <c r="AT177" i="5"/>
  <c r="AS177" i="5"/>
  <c r="AQ177" i="5"/>
  <c r="AO177" i="5"/>
  <c r="AM177" i="5"/>
  <c r="AK177" i="5"/>
  <c r="AI177" i="5"/>
  <c r="AH177" i="5"/>
  <c r="AG177" i="5"/>
  <c r="AE177" i="5"/>
  <c r="AC177" i="5"/>
  <c r="AA177" i="5"/>
  <c r="Y177" i="5"/>
  <c r="W177" i="5"/>
  <c r="U177" i="5"/>
  <c r="S177" i="5"/>
  <c r="Q177" i="5"/>
  <c r="O177" i="5"/>
  <c r="M177" i="5"/>
  <c r="K177" i="5"/>
  <c r="I177" i="5"/>
  <c r="G177" i="5"/>
  <c r="E177" i="5"/>
  <c r="C177" i="5"/>
  <c r="BH176" i="5"/>
  <c r="BF176" i="5"/>
  <c r="BD176" i="5"/>
  <c r="BB176" i="5"/>
  <c r="AZ176" i="5"/>
  <c r="BH175" i="5"/>
  <c r="BF175" i="5"/>
  <c r="BD175" i="5"/>
  <c r="BB175" i="5"/>
  <c r="AZ175" i="5"/>
  <c r="BH174" i="5"/>
  <c r="BF174" i="5"/>
  <c r="BD174" i="5"/>
  <c r="BB174" i="5"/>
  <c r="AZ174" i="5"/>
  <c r="BH173" i="5"/>
  <c r="BF173" i="5"/>
  <c r="BD173" i="5"/>
  <c r="BB173" i="5"/>
  <c r="AZ173" i="5"/>
  <c r="BH172" i="5"/>
  <c r="BF172" i="5"/>
  <c r="BD172" i="5"/>
  <c r="BB172" i="5"/>
  <c r="AZ172" i="5"/>
  <c r="BH171" i="5"/>
  <c r="BF171" i="5"/>
  <c r="BD171" i="5"/>
  <c r="BB171" i="5"/>
  <c r="AZ171" i="5"/>
  <c r="BH170" i="5"/>
  <c r="BF170" i="5"/>
  <c r="BD170" i="5"/>
  <c r="BB170" i="5"/>
  <c r="AZ170" i="5"/>
  <c r="BH169" i="5"/>
  <c r="BF169" i="5"/>
  <c r="BD169" i="5"/>
  <c r="BB169" i="5"/>
  <c r="AZ169" i="5"/>
  <c r="BH168" i="5"/>
  <c r="BF168" i="5"/>
  <c r="BD168" i="5"/>
  <c r="BB168" i="5"/>
  <c r="AZ168" i="5"/>
  <c r="BH167" i="5"/>
  <c r="BF167" i="5"/>
  <c r="BD167" i="5"/>
  <c r="BB167" i="5"/>
  <c r="AZ167" i="5"/>
  <c r="BH166" i="5"/>
  <c r="BF166" i="5"/>
  <c r="BD166" i="5"/>
  <c r="BB166" i="5"/>
  <c r="AZ166" i="5"/>
  <c r="BH165" i="5"/>
  <c r="BF165" i="5"/>
  <c r="BD165" i="5"/>
  <c r="BB165" i="5"/>
  <c r="AZ165" i="5"/>
  <c r="AX164" i="5"/>
  <c r="AV164" i="5"/>
  <c r="AT164" i="5"/>
  <c r="AS164" i="5"/>
  <c r="AQ164" i="5"/>
  <c r="AO164" i="5"/>
  <c r="AM164" i="5"/>
  <c r="AK164" i="5"/>
  <c r="AI164" i="5"/>
  <c r="AG164" i="5"/>
  <c r="AE164" i="5"/>
  <c r="AC164" i="5"/>
  <c r="AA164" i="5"/>
  <c r="Y164" i="5"/>
  <c r="W164" i="5"/>
  <c r="U164" i="5"/>
  <c r="S164" i="5"/>
  <c r="Q164" i="5"/>
  <c r="O164" i="5"/>
  <c r="M164" i="5"/>
  <c r="K164" i="5"/>
  <c r="I164" i="5"/>
  <c r="G164" i="5"/>
  <c r="E164" i="5"/>
  <c r="C164" i="5"/>
  <c r="BH163" i="5"/>
  <c r="BF163" i="5"/>
  <c r="BD163" i="5"/>
  <c r="BB163" i="5"/>
  <c r="AZ163" i="5"/>
  <c r="BH162" i="5"/>
  <c r="BF162" i="5"/>
  <c r="BD162" i="5"/>
  <c r="BB162" i="5"/>
  <c r="AZ162" i="5"/>
  <c r="AX161" i="5"/>
  <c r="AV161" i="5"/>
  <c r="AT161" i="5"/>
  <c r="AS161" i="5"/>
  <c r="AQ161" i="5"/>
  <c r="AO161" i="5"/>
  <c r="AM161" i="5"/>
  <c r="AK161" i="5"/>
  <c r="AI161" i="5"/>
  <c r="AG161" i="5"/>
  <c r="AE161" i="5"/>
  <c r="AC161" i="5"/>
  <c r="AA161" i="5"/>
  <c r="Y161" i="5"/>
  <c r="W161" i="5"/>
  <c r="U161" i="5"/>
  <c r="S161" i="5"/>
  <c r="Q161" i="5"/>
  <c r="O161" i="5"/>
  <c r="M161" i="5"/>
  <c r="K161" i="5"/>
  <c r="I161" i="5"/>
  <c r="G161" i="5"/>
  <c r="E161" i="5"/>
  <c r="C161" i="5"/>
  <c r="BH160" i="5"/>
  <c r="BF160" i="5"/>
  <c r="BD160" i="5"/>
  <c r="BB160" i="5"/>
  <c r="AZ160" i="5"/>
  <c r="BH159" i="5"/>
  <c r="BF159" i="5"/>
  <c r="BD159" i="5"/>
  <c r="BB159" i="5"/>
  <c r="AZ159" i="5"/>
  <c r="BL158" i="5"/>
  <c r="BL157" i="5"/>
  <c r="BL156" i="5"/>
  <c r="BL155" i="5"/>
  <c r="BL153" i="5"/>
  <c r="BL152" i="5"/>
  <c r="AX150" i="5"/>
  <c r="AV150" i="5"/>
  <c r="AT150" i="5"/>
  <c r="AS150" i="5"/>
  <c r="AQ150" i="5"/>
  <c r="AO150" i="5"/>
  <c r="AM150" i="5"/>
  <c r="AK150" i="5"/>
  <c r="AI150" i="5"/>
  <c r="AG150" i="5"/>
  <c r="AE150" i="5"/>
  <c r="AC150" i="5"/>
  <c r="AA150" i="5"/>
  <c r="Y150" i="5"/>
  <c r="W150" i="5"/>
  <c r="U150" i="5"/>
  <c r="S150" i="5"/>
  <c r="Q150" i="5"/>
  <c r="O150" i="5"/>
  <c r="M150" i="5"/>
  <c r="K150" i="5"/>
  <c r="I150" i="5"/>
  <c r="G150" i="5"/>
  <c r="E150" i="5"/>
  <c r="C150" i="5"/>
  <c r="BH149" i="5"/>
  <c r="BF149" i="5"/>
  <c r="BD149" i="5"/>
  <c r="BB149" i="5"/>
  <c r="AZ149" i="5"/>
  <c r="BH148" i="5"/>
  <c r="BF148" i="5"/>
  <c r="BD148" i="5"/>
  <c r="BB148" i="5"/>
  <c r="AZ148" i="5"/>
  <c r="BH147" i="5"/>
  <c r="BD147" i="5"/>
  <c r="BB147" i="5"/>
  <c r="S147" i="5"/>
  <c r="BF147" i="5" s="1"/>
  <c r="BH146" i="5"/>
  <c r="BD146" i="5"/>
  <c r="BB146" i="5"/>
  <c r="S146" i="5"/>
  <c r="BF146" i="5" s="1"/>
  <c r="BH145" i="5"/>
  <c r="BF145" i="5"/>
  <c r="BD145" i="5"/>
  <c r="BB145" i="5"/>
  <c r="AZ145" i="5"/>
  <c r="BH144" i="5"/>
  <c r="BF144" i="5"/>
  <c r="BD144" i="5"/>
  <c r="BB144" i="5"/>
  <c r="AZ144" i="5"/>
  <c r="BH143" i="5"/>
  <c r="BF143" i="5"/>
  <c r="BD143" i="5"/>
  <c r="BB143" i="5"/>
  <c r="AZ143" i="5"/>
  <c r="AX142" i="5"/>
  <c r="AV142" i="5"/>
  <c r="AT142" i="5"/>
  <c r="AS142" i="5"/>
  <c r="AQ142" i="5"/>
  <c r="AO142" i="5"/>
  <c r="AM142" i="5"/>
  <c r="AK142" i="5"/>
  <c r="AI142" i="5"/>
  <c r="AG142" i="5"/>
  <c r="AE142" i="5"/>
  <c r="AC142" i="5"/>
  <c r="AA142" i="5"/>
  <c r="Y142" i="5"/>
  <c r="W142" i="5"/>
  <c r="U142" i="5"/>
  <c r="Q142" i="5"/>
  <c r="O142" i="5"/>
  <c r="M142" i="5"/>
  <c r="K142" i="5"/>
  <c r="I142" i="5"/>
  <c r="G142" i="5"/>
  <c r="E142" i="5"/>
  <c r="C142" i="5"/>
  <c r="BH141" i="5"/>
  <c r="BF141" i="5"/>
  <c r="BD141" i="5"/>
  <c r="BB141" i="5"/>
  <c r="AZ141" i="5"/>
  <c r="BH140" i="5"/>
  <c r="BD140" i="5"/>
  <c r="BB140" i="5"/>
  <c r="S140" i="5"/>
  <c r="BF140" i="5" s="1"/>
  <c r="BH139" i="5"/>
  <c r="BF139" i="5"/>
  <c r="BD139" i="5"/>
  <c r="BB139" i="5"/>
  <c r="AZ139" i="5"/>
  <c r="AX138" i="5"/>
  <c r="AV138" i="5"/>
  <c r="AV151" i="5" s="1"/>
  <c r="AT138" i="5"/>
  <c r="AS138" i="5"/>
  <c r="AQ138" i="5"/>
  <c r="AO138" i="5"/>
  <c r="AM138" i="5"/>
  <c r="AK138" i="5"/>
  <c r="AI138" i="5"/>
  <c r="AG138" i="5"/>
  <c r="AE138" i="5"/>
  <c r="AC138" i="5"/>
  <c r="AC151" i="5" s="1"/>
  <c r="AA138" i="5"/>
  <c r="Y138" i="5"/>
  <c r="W138" i="5"/>
  <c r="U138" i="5"/>
  <c r="U151" i="5" s="1"/>
  <c r="S138" i="5"/>
  <c r="Q138" i="5"/>
  <c r="O138" i="5"/>
  <c r="M138" i="5"/>
  <c r="K138" i="5"/>
  <c r="I138" i="5"/>
  <c r="G138" i="5"/>
  <c r="E138" i="5"/>
  <c r="C138" i="5"/>
  <c r="BH137" i="5"/>
  <c r="BF137" i="5"/>
  <c r="BD137" i="5"/>
  <c r="BB137" i="5"/>
  <c r="AZ137" i="5"/>
  <c r="BH136" i="5"/>
  <c r="BF136" i="5"/>
  <c r="BD136" i="5"/>
  <c r="BB136" i="5"/>
  <c r="AZ136" i="5"/>
  <c r="BL135" i="5"/>
  <c r="BL134" i="5"/>
  <c r="BH132" i="5"/>
  <c r="BF132" i="5"/>
  <c r="BD132" i="5"/>
  <c r="BB132" i="5"/>
  <c r="AZ132" i="5"/>
  <c r="BH131" i="5"/>
  <c r="BF131" i="5"/>
  <c r="BD131" i="5"/>
  <c r="AQ131" i="5"/>
  <c r="BB131" i="5" s="1"/>
  <c r="BH130" i="5"/>
  <c r="BF130" i="5"/>
  <c r="BD130" i="5"/>
  <c r="BB130" i="5"/>
  <c r="AZ130" i="5"/>
  <c r="AX129" i="5"/>
  <c r="AV129" i="5"/>
  <c r="AT129" i="5"/>
  <c r="AS129" i="5"/>
  <c r="AQ129" i="5"/>
  <c r="AO129" i="5"/>
  <c r="AM129" i="5"/>
  <c r="AK129" i="5"/>
  <c r="AI129" i="5"/>
  <c r="AG129" i="5"/>
  <c r="AE129" i="5"/>
  <c r="AC129" i="5"/>
  <c r="AA129" i="5"/>
  <c r="Y129" i="5"/>
  <c r="W129" i="5"/>
  <c r="U129" i="5"/>
  <c r="S129" i="5"/>
  <c r="Q129" i="5"/>
  <c r="O129" i="5"/>
  <c r="M129" i="5"/>
  <c r="K129" i="5"/>
  <c r="I129" i="5"/>
  <c r="G129" i="5"/>
  <c r="E129" i="5"/>
  <c r="C129" i="5"/>
  <c r="BH128" i="5"/>
  <c r="BF128" i="5"/>
  <c r="BD128" i="5"/>
  <c r="BB128" i="5"/>
  <c r="AZ128" i="5"/>
  <c r="BH127" i="5"/>
  <c r="BF127" i="5"/>
  <c r="BD127" i="5"/>
  <c r="BB127" i="5"/>
  <c r="AZ127" i="5"/>
  <c r="BH126" i="5"/>
  <c r="BF126" i="5"/>
  <c r="BD126" i="5"/>
  <c r="BB126" i="5"/>
  <c r="AZ126" i="5"/>
  <c r="AX125" i="5"/>
  <c r="AV125" i="5"/>
  <c r="AT125" i="5"/>
  <c r="AS125" i="5"/>
  <c r="AQ125" i="5"/>
  <c r="AO125" i="5"/>
  <c r="AM125" i="5"/>
  <c r="AK125" i="5"/>
  <c r="AI125" i="5"/>
  <c r="AG125" i="5"/>
  <c r="AE125" i="5"/>
  <c r="AC125" i="5"/>
  <c r="AA125" i="5"/>
  <c r="Y125" i="5"/>
  <c r="W125" i="5"/>
  <c r="U125" i="5"/>
  <c r="S125" i="5"/>
  <c r="Q125" i="5"/>
  <c r="O125" i="5"/>
  <c r="M125" i="5"/>
  <c r="K125" i="5"/>
  <c r="I125" i="5"/>
  <c r="G125" i="5"/>
  <c r="E125" i="5"/>
  <c r="C125" i="5"/>
  <c r="BH124" i="5"/>
  <c r="BF124" i="5"/>
  <c r="BD124" i="5"/>
  <c r="BB124" i="5"/>
  <c r="AZ124" i="5"/>
  <c r="BH123" i="5"/>
  <c r="BF123" i="5"/>
  <c r="BD123" i="5"/>
  <c r="BB123" i="5"/>
  <c r="AZ123" i="5"/>
  <c r="AX122" i="5"/>
  <c r="AV122" i="5"/>
  <c r="AT122" i="5"/>
  <c r="AS122" i="5"/>
  <c r="AQ122" i="5"/>
  <c r="AO122" i="5"/>
  <c r="AM122" i="5"/>
  <c r="AK122" i="5"/>
  <c r="AI122" i="5"/>
  <c r="AG122" i="5"/>
  <c r="AE122" i="5"/>
  <c r="AC122" i="5"/>
  <c r="AA122" i="5"/>
  <c r="Y122" i="5"/>
  <c r="W122" i="5"/>
  <c r="U122" i="5"/>
  <c r="S122" i="5"/>
  <c r="Q122" i="5"/>
  <c r="O122" i="5"/>
  <c r="M122" i="5"/>
  <c r="K122" i="5"/>
  <c r="I122" i="5"/>
  <c r="G122" i="5"/>
  <c r="E122" i="5"/>
  <c r="C122" i="5"/>
  <c r="BH121" i="5"/>
  <c r="BF121" i="5"/>
  <c r="BD121" i="5"/>
  <c r="BB121" i="5"/>
  <c r="AZ121" i="5"/>
  <c r="BH120" i="5"/>
  <c r="BF120" i="5"/>
  <c r="BD120" i="5"/>
  <c r="BB120" i="5"/>
  <c r="AZ120" i="5"/>
  <c r="AX119" i="5"/>
  <c r="AV119" i="5"/>
  <c r="AT119" i="5"/>
  <c r="AS119" i="5"/>
  <c r="AQ119" i="5"/>
  <c r="AO119" i="5"/>
  <c r="AM119" i="5"/>
  <c r="AK119" i="5"/>
  <c r="AI119" i="5"/>
  <c r="AG119" i="5"/>
  <c r="AE119" i="5"/>
  <c r="AC119" i="5"/>
  <c r="AA119" i="5"/>
  <c r="Y119" i="5"/>
  <c r="W119" i="5"/>
  <c r="U119" i="5"/>
  <c r="S119" i="5"/>
  <c r="Q119" i="5"/>
  <c r="O119" i="5"/>
  <c r="M119" i="5"/>
  <c r="K119" i="5"/>
  <c r="I119" i="5"/>
  <c r="G119" i="5"/>
  <c r="E119" i="5"/>
  <c r="C119" i="5"/>
  <c r="BH118" i="5"/>
  <c r="BF118" i="5"/>
  <c r="BD118" i="5"/>
  <c r="BB118" i="5"/>
  <c r="AZ118" i="5"/>
  <c r="BH117" i="5"/>
  <c r="BF117" i="5"/>
  <c r="BD117" i="5"/>
  <c r="BB117" i="5"/>
  <c r="AZ117" i="5"/>
  <c r="BH116" i="5"/>
  <c r="BF116" i="5"/>
  <c r="BD116" i="5"/>
  <c r="BB116" i="5"/>
  <c r="AZ116" i="5"/>
  <c r="BL115" i="5"/>
  <c r="BL114" i="5"/>
  <c r="AZ112" i="5"/>
  <c r="AX112" i="5"/>
  <c r="AX113" i="5" s="1"/>
  <c r="AV112" i="5"/>
  <c r="AV113" i="5" s="1"/>
  <c r="AT112" i="5"/>
  <c r="AT113" i="5" s="1"/>
  <c r="AQ112" i="5"/>
  <c r="AQ113" i="5" s="1"/>
  <c r="AO112" i="5"/>
  <c r="AO113" i="5" s="1"/>
  <c r="AM112" i="5"/>
  <c r="AM113" i="5" s="1"/>
  <c r="AK112" i="5"/>
  <c r="AI112" i="5"/>
  <c r="AI113" i="5" s="1"/>
  <c r="AG112" i="5"/>
  <c r="AG113" i="5" s="1"/>
  <c r="AE112" i="5"/>
  <c r="AC112" i="5"/>
  <c r="AC113" i="5" s="1"/>
  <c r="AA112" i="5"/>
  <c r="AA113" i="5" s="1"/>
  <c r="Y112" i="5"/>
  <c r="Y113" i="5" s="1"/>
  <c r="W112" i="5"/>
  <c r="U112" i="5"/>
  <c r="U113" i="5" s="1"/>
  <c r="S112" i="5"/>
  <c r="S113" i="5" s="1"/>
  <c r="Q112" i="5"/>
  <c r="Q113" i="5" s="1"/>
  <c r="O112" i="5"/>
  <c r="O113" i="5" s="1"/>
  <c r="M112" i="5"/>
  <c r="M113" i="5" s="1"/>
  <c r="K112" i="5"/>
  <c r="K113" i="5" s="1"/>
  <c r="I112" i="5"/>
  <c r="I113" i="5" s="1"/>
  <c r="G112" i="5"/>
  <c r="G113" i="5" s="1"/>
  <c r="E112" i="5"/>
  <c r="E113" i="5" s="1"/>
  <c r="C112" i="5"/>
  <c r="C113" i="5" s="1"/>
  <c r="BH111" i="5"/>
  <c r="BF111" i="5"/>
  <c r="BD111" i="5"/>
  <c r="BB111" i="5"/>
  <c r="AZ111" i="5"/>
  <c r="BH110" i="5"/>
  <c r="BF110" i="5"/>
  <c r="BD110" i="5"/>
  <c r="BB110" i="5"/>
  <c r="AZ110" i="5"/>
  <c r="BH109" i="5"/>
  <c r="BF109" i="5"/>
  <c r="BD109" i="5"/>
  <c r="BB109" i="5"/>
  <c r="AZ109" i="5"/>
  <c r="BH108" i="5"/>
  <c r="BF108" i="5"/>
  <c r="BD108" i="5"/>
  <c r="BB108" i="5"/>
  <c r="AZ108" i="5"/>
  <c r="BH107" i="5"/>
  <c r="BF107" i="5"/>
  <c r="BD107" i="5"/>
  <c r="BB107" i="5"/>
  <c r="AZ107" i="5"/>
  <c r="BH106" i="5"/>
  <c r="BF106" i="5"/>
  <c r="BD106" i="5"/>
  <c r="BB106" i="5"/>
  <c r="AZ106" i="5"/>
  <c r="BH105" i="5"/>
  <c r="BF105" i="5"/>
  <c r="BD105" i="5"/>
  <c r="BB105" i="5"/>
  <c r="AZ105" i="5"/>
  <c r="BH104" i="5"/>
  <c r="BF104" i="5"/>
  <c r="BD104" i="5"/>
  <c r="BB104" i="5"/>
  <c r="AZ104" i="5"/>
  <c r="BH103" i="5"/>
  <c r="BF103" i="5"/>
  <c r="BD103" i="5"/>
  <c r="BB103" i="5"/>
  <c r="AZ103" i="5"/>
  <c r="BL102" i="5"/>
  <c r="BL101" i="5"/>
  <c r="AX100" i="5"/>
  <c r="AV100" i="5"/>
  <c r="AT100" i="5"/>
  <c r="AS100" i="5"/>
  <c r="AQ100" i="5"/>
  <c r="AO100" i="5"/>
  <c r="AM100" i="5"/>
  <c r="AK100" i="5"/>
  <c r="AI100" i="5"/>
  <c r="AG100" i="5"/>
  <c r="AE100" i="5"/>
  <c r="AC100" i="5"/>
  <c r="AA100" i="5"/>
  <c r="Y100" i="5"/>
  <c r="W100" i="5"/>
  <c r="U100" i="5"/>
  <c r="S100" i="5"/>
  <c r="Q100" i="5"/>
  <c r="O100" i="5"/>
  <c r="M100" i="5"/>
  <c r="K100" i="5"/>
  <c r="I100" i="5"/>
  <c r="G100" i="5"/>
  <c r="E100" i="5"/>
  <c r="C100" i="5"/>
  <c r="BH99" i="5"/>
  <c r="BF99" i="5"/>
  <c r="BD99" i="5"/>
  <c r="BB99" i="5"/>
  <c r="AZ99" i="5"/>
  <c r="BH98" i="5"/>
  <c r="BF98" i="5"/>
  <c r="BD98" i="5"/>
  <c r="BB98" i="5"/>
  <c r="AZ98" i="5"/>
  <c r="AZ100" i="5" s="1"/>
  <c r="BL97" i="5"/>
  <c r="BL96" i="5"/>
  <c r="AX95" i="5"/>
  <c r="AV95" i="5"/>
  <c r="AT95" i="5"/>
  <c r="AS95" i="5"/>
  <c r="AQ95" i="5"/>
  <c r="AO95" i="5"/>
  <c r="AM95" i="5"/>
  <c r="AK95" i="5"/>
  <c r="AI95" i="5"/>
  <c r="AG95" i="5"/>
  <c r="AE95" i="5"/>
  <c r="AC95" i="5"/>
  <c r="AA95" i="5"/>
  <c r="Y95" i="5"/>
  <c r="W95" i="5"/>
  <c r="U95" i="5"/>
  <c r="S95" i="5"/>
  <c r="Q95" i="5"/>
  <c r="O95" i="5"/>
  <c r="M95" i="5"/>
  <c r="K95" i="5"/>
  <c r="I95" i="5"/>
  <c r="G95" i="5"/>
  <c r="E95" i="5"/>
  <c r="C95" i="5"/>
  <c r="BH94" i="5"/>
  <c r="BF94" i="5"/>
  <c r="BD94" i="5"/>
  <c r="BB94" i="5"/>
  <c r="AZ94" i="5"/>
  <c r="BH93" i="5"/>
  <c r="BF93" i="5"/>
  <c r="BD93" i="5"/>
  <c r="BB93" i="5"/>
  <c r="AZ93" i="5"/>
  <c r="BH92" i="5"/>
  <c r="BF92" i="5"/>
  <c r="BD92" i="5"/>
  <c r="BB92" i="5"/>
  <c r="AZ92" i="5"/>
  <c r="BH91" i="5"/>
  <c r="BF91" i="5"/>
  <c r="BD91" i="5"/>
  <c r="BB91" i="5"/>
  <c r="AZ91" i="5"/>
  <c r="BH90" i="5"/>
  <c r="BF90" i="5"/>
  <c r="BD90" i="5"/>
  <c r="BB90" i="5"/>
  <c r="AZ90" i="5"/>
  <c r="BH89" i="5"/>
  <c r="BF89" i="5"/>
  <c r="BD89" i="5"/>
  <c r="BB89" i="5"/>
  <c r="AZ89" i="5"/>
  <c r="BH88" i="5"/>
  <c r="BF88" i="5"/>
  <c r="BD88" i="5"/>
  <c r="BB88" i="5"/>
  <c r="AZ88" i="5"/>
  <c r="BH87" i="5"/>
  <c r="BF87" i="5"/>
  <c r="BD87" i="5"/>
  <c r="BB87" i="5"/>
  <c r="AZ87" i="5"/>
  <c r="BL86" i="5"/>
  <c r="BL85" i="5"/>
  <c r="BH83" i="5"/>
  <c r="BF83" i="5"/>
  <c r="BD83" i="5"/>
  <c r="BB83" i="5"/>
  <c r="AZ83" i="5"/>
  <c r="AX82" i="5"/>
  <c r="AV82" i="5"/>
  <c r="AT82" i="5"/>
  <c r="AT84" i="5" s="1"/>
  <c r="AS82" i="5"/>
  <c r="AQ82" i="5"/>
  <c r="AO82" i="5"/>
  <c r="AM82" i="5"/>
  <c r="AK82" i="5"/>
  <c r="AK84" i="5" s="1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C82" i="5"/>
  <c r="BH81" i="5"/>
  <c r="BF81" i="5"/>
  <c r="BD81" i="5"/>
  <c r="BB81" i="5"/>
  <c r="AZ81" i="5"/>
  <c r="BH80" i="5"/>
  <c r="BF80" i="5"/>
  <c r="BD80" i="5"/>
  <c r="BB80" i="5"/>
  <c r="AZ80" i="5"/>
  <c r="BH79" i="5"/>
  <c r="BF79" i="5"/>
  <c r="BD79" i="5"/>
  <c r="BB79" i="5"/>
  <c r="AZ79" i="5"/>
  <c r="BH78" i="5"/>
  <c r="BF78" i="5"/>
  <c r="BD78" i="5"/>
  <c r="BB78" i="5"/>
  <c r="AZ78" i="5"/>
  <c r="AX77" i="5"/>
  <c r="AV77" i="5"/>
  <c r="AS77" i="5"/>
  <c r="AQ77" i="5"/>
  <c r="AO77" i="5"/>
  <c r="AM77" i="5"/>
  <c r="AI77" i="5"/>
  <c r="AG77" i="5"/>
  <c r="AE77" i="5"/>
  <c r="AC77" i="5"/>
  <c r="AA77" i="5"/>
  <c r="Y77" i="5"/>
  <c r="W77" i="5"/>
  <c r="U77" i="5"/>
  <c r="S77" i="5"/>
  <c r="Q77" i="5"/>
  <c r="O77" i="5"/>
  <c r="O84" i="5" s="1"/>
  <c r="M77" i="5"/>
  <c r="K77" i="5"/>
  <c r="I77" i="5"/>
  <c r="G77" i="5"/>
  <c r="G84" i="5" s="1"/>
  <c r="E77" i="5"/>
  <c r="C77" i="5"/>
  <c r="BH76" i="5"/>
  <c r="BF76" i="5"/>
  <c r="BD76" i="5"/>
  <c r="BB76" i="5"/>
  <c r="AZ76" i="5"/>
  <c r="BH75" i="5"/>
  <c r="BF75" i="5"/>
  <c r="BD75" i="5"/>
  <c r="BB75" i="5"/>
  <c r="AZ75" i="5"/>
  <c r="BH74" i="5"/>
  <c r="BF74" i="5"/>
  <c r="BD74" i="5"/>
  <c r="BB74" i="5"/>
  <c r="AZ74" i="5"/>
  <c r="BL73" i="5"/>
  <c r="BL72" i="5"/>
  <c r="AX70" i="5"/>
  <c r="AV70" i="5"/>
  <c r="AT70" i="5"/>
  <c r="AS70" i="5"/>
  <c r="AQ70" i="5"/>
  <c r="AO70" i="5"/>
  <c r="AM70" i="5"/>
  <c r="AK70" i="5"/>
  <c r="AI70" i="5"/>
  <c r="AG70" i="5"/>
  <c r="AE70" i="5"/>
  <c r="U70" i="5"/>
  <c r="S70" i="5"/>
  <c r="Q70" i="5"/>
  <c r="O70" i="5"/>
  <c r="M70" i="5"/>
  <c r="K70" i="5"/>
  <c r="I70" i="5"/>
  <c r="G70" i="5"/>
  <c r="E70" i="5"/>
  <c r="C70" i="5"/>
  <c r="BH69" i="5"/>
  <c r="BF69" i="5"/>
  <c r="BD69" i="5"/>
  <c r="BB69" i="5"/>
  <c r="AZ69" i="5"/>
  <c r="BH68" i="5"/>
  <c r="BF68" i="5"/>
  <c r="BD68" i="5"/>
  <c r="BB68" i="5"/>
  <c r="AZ68" i="5"/>
  <c r="AX67" i="5"/>
  <c r="AV67" i="5"/>
  <c r="AT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C67" i="5"/>
  <c r="BH66" i="5"/>
  <c r="BF66" i="5"/>
  <c r="BD66" i="5"/>
  <c r="BB66" i="5"/>
  <c r="AZ66" i="5"/>
  <c r="BH65" i="5"/>
  <c r="BF65" i="5"/>
  <c r="BD65" i="5"/>
  <c r="BB65" i="5"/>
  <c r="AZ65" i="5"/>
  <c r="BH64" i="5"/>
  <c r="BF64" i="5"/>
  <c r="BD64" i="5"/>
  <c r="BB64" i="5"/>
  <c r="AZ64" i="5"/>
  <c r="BH63" i="5"/>
  <c r="BF63" i="5"/>
  <c r="BD63" i="5"/>
  <c r="BB63" i="5"/>
  <c r="AZ63" i="5"/>
  <c r="AX62" i="5"/>
  <c r="AV62" i="5"/>
  <c r="AT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C62" i="5"/>
  <c r="BH61" i="5"/>
  <c r="BF61" i="5"/>
  <c r="BD61" i="5"/>
  <c r="BB61" i="5"/>
  <c r="AZ61" i="5"/>
  <c r="BH60" i="5"/>
  <c r="BF60" i="5"/>
  <c r="BD60" i="5"/>
  <c r="BB60" i="5"/>
  <c r="AZ60" i="5"/>
  <c r="BH59" i="5"/>
  <c r="BF59" i="5"/>
  <c r="BD59" i="5"/>
  <c r="BB59" i="5"/>
  <c r="AZ59" i="5"/>
  <c r="BH58" i="5"/>
  <c r="BF58" i="5"/>
  <c r="BD58" i="5"/>
  <c r="BB58" i="5"/>
  <c r="AZ58" i="5"/>
  <c r="BH57" i="5"/>
  <c r="BF57" i="5"/>
  <c r="BD57" i="5"/>
  <c r="BB57" i="5"/>
  <c r="AZ57" i="5"/>
  <c r="BH56" i="5"/>
  <c r="BF56" i="5"/>
  <c r="BD56" i="5"/>
  <c r="BB56" i="5"/>
  <c r="AZ56" i="5"/>
  <c r="BH55" i="5"/>
  <c r="BF55" i="5"/>
  <c r="BD55" i="5"/>
  <c r="BB55" i="5"/>
  <c r="AZ55" i="5"/>
  <c r="BH54" i="5"/>
  <c r="BD54" i="5"/>
  <c r="BB54" i="5"/>
  <c r="S54" i="5"/>
  <c r="BF54" i="5" s="1"/>
  <c r="BH53" i="5"/>
  <c r="BF53" i="5"/>
  <c r="BD53" i="5"/>
  <c r="BB53" i="5"/>
  <c r="AZ53" i="5"/>
  <c r="AX52" i="5"/>
  <c r="AV52" i="5"/>
  <c r="AT52" i="5"/>
  <c r="AS52" i="5"/>
  <c r="AQ52" i="5"/>
  <c r="AO52" i="5"/>
  <c r="AM52" i="5"/>
  <c r="AK52" i="5"/>
  <c r="AI52" i="5"/>
  <c r="AG52" i="5"/>
  <c r="AE52" i="5"/>
  <c r="AC52" i="5"/>
  <c r="AA52" i="5"/>
  <c r="Y52" i="5"/>
  <c r="W52" i="5"/>
  <c r="U52" i="5"/>
  <c r="S52" i="5"/>
  <c r="Q52" i="5"/>
  <c r="O52" i="5"/>
  <c r="M52" i="5"/>
  <c r="K52" i="5"/>
  <c r="I52" i="5"/>
  <c r="G52" i="5"/>
  <c r="E52" i="5"/>
  <c r="C52" i="5"/>
  <c r="BH51" i="5"/>
  <c r="BF51" i="5"/>
  <c r="BD51" i="5"/>
  <c r="BB51" i="5"/>
  <c r="AZ51" i="5"/>
  <c r="BH50" i="5"/>
  <c r="BF50" i="5"/>
  <c r="BD50" i="5"/>
  <c r="BB50" i="5"/>
  <c r="AZ50" i="5"/>
  <c r="BL49" i="5"/>
  <c r="BL48" i="5"/>
  <c r="BL47" i="5"/>
  <c r="BL46" i="5"/>
  <c r="AX45" i="5"/>
  <c r="AV45" i="5"/>
  <c r="AT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C45" i="5"/>
  <c r="BH44" i="5"/>
  <c r="BF44" i="5"/>
  <c r="BD44" i="5"/>
  <c r="BB44" i="5"/>
  <c r="AZ44" i="5"/>
  <c r="BH43" i="5"/>
  <c r="BF43" i="5"/>
  <c r="BD43" i="5"/>
  <c r="BB43" i="5"/>
  <c r="AZ43" i="5"/>
  <c r="BH42" i="5"/>
  <c r="BF42" i="5"/>
  <c r="BD42" i="5"/>
  <c r="BB42" i="5"/>
  <c r="AZ42" i="5"/>
  <c r="BH41" i="5"/>
  <c r="BF41" i="5"/>
  <c r="BD41" i="5"/>
  <c r="BB41" i="5"/>
  <c r="AZ41" i="5"/>
  <c r="BH40" i="5"/>
  <c r="BF40" i="5"/>
  <c r="BD40" i="5"/>
  <c r="BB40" i="5"/>
  <c r="AZ40" i="5"/>
  <c r="BH39" i="5"/>
  <c r="BF39" i="5"/>
  <c r="BD39" i="5"/>
  <c r="BB39" i="5"/>
  <c r="AZ39" i="5"/>
  <c r="BH38" i="5"/>
  <c r="BF38" i="5"/>
  <c r="BD38" i="5"/>
  <c r="BB38" i="5"/>
  <c r="AZ38" i="5"/>
  <c r="BH37" i="5"/>
  <c r="BF37" i="5"/>
  <c r="BD37" i="5"/>
  <c r="BB37" i="5"/>
  <c r="AZ37" i="5"/>
  <c r="BH36" i="5"/>
  <c r="BF36" i="5"/>
  <c r="BD36" i="5"/>
  <c r="BB36" i="5"/>
  <c r="AZ36" i="5"/>
  <c r="BH35" i="5"/>
  <c r="BF35" i="5"/>
  <c r="BD35" i="5"/>
  <c r="BB35" i="5"/>
  <c r="AZ35" i="5"/>
  <c r="BH34" i="5"/>
  <c r="BF34" i="5"/>
  <c r="BD34" i="5"/>
  <c r="BB34" i="5"/>
  <c r="AZ34" i="5"/>
  <c r="BH33" i="5"/>
  <c r="BF33" i="5"/>
  <c r="BD33" i="5"/>
  <c r="BB33" i="5"/>
  <c r="AZ33" i="5"/>
  <c r="BH32" i="5"/>
  <c r="BF32" i="5"/>
  <c r="BD32" i="5"/>
  <c r="BB32" i="5"/>
  <c r="AZ32" i="5"/>
  <c r="BH31" i="5"/>
  <c r="BF31" i="5"/>
  <c r="BD31" i="5"/>
  <c r="BB31" i="5"/>
  <c r="AZ31" i="5"/>
  <c r="BH30" i="5"/>
  <c r="BF30" i="5"/>
  <c r="BD30" i="5"/>
  <c r="BB30" i="5"/>
  <c r="AZ30" i="5"/>
  <c r="BH29" i="5"/>
  <c r="BF29" i="5"/>
  <c r="BD29" i="5"/>
  <c r="BB29" i="5"/>
  <c r="AZ29" i="5"/>
  <c r="BH28" i="5"/>
  <c r="BF28" i="5"/>
  <c r="BD28" i="5"/>
  <c r="BB28" i="5"/>
  <c r="AZ28" i="5"/>
  <c r="BH27" i="5"/>
  <c r="BF27" i="5"/>
  <c r="BD27" i="5"/>
  <c r="BB27" i="5"/>
  <c r="AZ27" i="5"/>
  <c r="BH26" i="5"/>
  <c r="BF26" i="5"/>
  <c r="BD26" i="5"/>
  <c r="BB26" i="5"/>
  <c r="AZ26" i="5"/>
  <c r="BH25" i="5"/>
  <c r="BF25" i="5"/>
  <c r="BD25" i="5"/>
  <c r="BB25" i="5"/>
  <c r="AZ25" i="5"/>
  <c r="BH24" i="5"/>
  <c r="BF24" i="5"/>
  <c r="BD24" i="5"/>
  <c r="BB24" i="5"/>
  <c r="AZ24" i="5"/>
  <c r="BH23" i="5"/>
  <c r="BF23" i="5"/>
  <c r="BD23" i="5"/>
  <c r="BB23" i="5"/>
  <c r="AZ23" i="5"/>
  <c r="BH22" i="5"/>
  <c r="BF22" i="5"/>
  <c r="BD22" i="5"/>
  <c r="BB22" i="5"/>
  <c r="AZ22" i="5"/>
  <c r="BH21" i="5"/>
  <c r="BF21" i="5"/>
  <c r="BD21" i="5"/>
  <c r="BB21" i="5"/>
  <c r="AZ21" i="5"/>
  <c r="BH20" i="5"/>
  <c r="BF20" i="5"/>
  <c r="BD20" i="5"/>
  <c r="BB20" i="5"/>
  <c r="AZ20" i="5"/>
  <c r="BH19" i="5"/>
  <c r="BF19" i="5"/>
  <c r="BD19" i="5"/>
  <c r="BB19" i="5"/>
  <c r="AZ19" i="5"/>
  <c r="BH18" i="5"/>
  <c r="BF18" i="5"/>
  <c r="BD18" i="5"/>
  <c r="BB18" i="5"/>
  <c r="AZ18" i="5"/>
  <c r="BH17" i="5"/>
  <c r="BF17" i="5"/>
  <c r="BD17" i="5"/>
  <c r="BB17" i="5"/>
  <c r="AZ17" i="5"/>
  <c r="BH16" i="5"/>
  <c r="BF16" i="5"/>
  <c r="BD16" i="5"/>
  <c r="BB16" i="5"/>
  <c r="AZ16" i="5"/>
  <c r="BH15" i="5"/>
  <c r="BF15" i="5"/>
  <c r="BD15" i="5"/>
  <c r="BB15" i="5"/>
  <c r="AZ15" i="5"/>
  <c r="T321" i="4"/>
  <c r="R321" i="4"/>
  <c r="P321" i="4"/>
  <c r="N321" i="4"/>
  <c r="J321" i="4"/>
  <c r="H321" i="4"/>
  <c r="D321" i="4"/>
  <c r="F320" i="4"/>
  <c r="V320" i="4" s="1"/>
  <c r="F319" i="4"/>
  <c r="V319" i="4" s="1"/>
  <c r="H315" i="4"/>
  <c r="T315" i="4"/>
  <c r="R315" i="4"/>
  <c r="P315" i="4"/>
  <c r="N315" i="4"/>
  <c r="L315" i="4"/>
  <c r="J315" i="4"/>
  <c r="F315" i="4"/>
  <c r="D315" i="4"/>
  <c r="T309" i="4"/>
  <c r="R309" i="4"/>
  <c r="P309" i="4"/>
  <c r="J309" i="4"/>
  <c r="H309" i="4"/>
  <c r="F309" i="4"/>
  <c r="D309" i="4"/>
  <c r="T308" i="4"/>
  <c r="R308" i="4"/>
  <c r="P308" i="4"/>
  <c r="N308" i="4"/>
  <c r="J308" i="4"/>
  <c r="H308" i="4"/>
  <c r="F308" i="4"/>
  <c r="F310" i="4" s="1"/>
  <c r="D308" i="4"/>
  <c r="T307" i="4"/>
  <c r="R307" i="4"/>
  <c r="P307" i="4"/>
  <c r="P310" i="4" s="1"/>
  <c r="N307" i="4"/>
  <c r="L307" i="4"/>
  <c r="J307" i="4"/>
  <c r="H307" i="4"/>
  <c r="H310" i="4" s="1"/>
  <c r="F307" i="4"/>
  <c r="D307" i="4"/>
  <c r="T304" i="4"/>
  <c r="R304" i="4"/>
  <c r="P304" i="4"/>
  <c r="N304" i="4"/>
  <c r="J304" i="4"/>
  <c r="H304" i="4"/>
  <c r="F304" i="4"/>
  <c r="D304" i="4"/>
  <c r="T303" i="4"/>
  <c r="R303" i="4"/>
  <c r="P303" i="4"/>
  <c r="N303" i="4"/>
  <c r="J303" i="4"/>
  <c r="H303" i="4"/>
  <c r="F303" i="4"/>
  <c r="D303" i="4"/>
  <c r="T302" i="4"/>
  <c r="T305" i="4" s="1"/>
  <c r="R302" i="4"/>
  <c r="R305" i="4" s="1"/>
  <c r="P302" i="4"/>
  <c r="P305" i="4" s="1"/>
  <c r="N302" i="4"/>
  <c r="J302" i="4"/>
  <c r="J305" i="4" s="1"/>
  <c r="H302" i="4"/>
  <c r="H305" i="4" s="1"/>
  <c r="F302" i="4"/>
  <c r="D302" i="4"/>
  <c r="D305" i="4" s="1"/>
  <c r="T298" i="4"/>
  <c r="R298" i="4"/>
  <c r="J298" i="4"/>
  <c r="H298" i="4"/>
  <c r="F298" i="4"/>
  <c r="D298" i="4"/>
  <c r="L297" i="4"/>
  <c r="H297" i="4"/>
  <c r="F297" i="4"/>
  <c r="D297" i="4"/>
  <c r="T296" i="4"/>
  <c r="R296" i="4"/>
  <c r="R299" i="4" s="1"/>
  <c r="L296" i="4"/>
  <c r="J296" i="4"/>
  <c r="H296" i="4"/>
  <c r="F296" i="4"/>
  <c r="D296" i="4"/>
  <c r="D299" i="4" s="1"/>
  <c r="N292" i="4"/>
  <c r="D292" i="4"/>
  <c r="N291" i="4"/>
  <c r="D291" i="4"/>
  <c r="N290" i="4"/>
  <c r="D290" i="4"/>
  <c r="N289" i="4"/>
  <c r="D289" i="4"/>
  <c r="N288" i="4"/>
  <c r="D288" i="4"/>
  <c r="N287" i="4"/>
  <c r="D287" i="4"/>
  <c r="N286" i="4"/>
  <c r="D286" i="4"/>
  <c r="N285" i="4"/>
  <c r="D285" i="4"/>
  <c r="N284" i="4"/>
  <c r="D284" i="4"/>
  <c r="N283" i="4"/>
  <c r="D283" i="4"/>
  <c r="N282" i="4"/>
  <c r="D282" i="4"/>
  <c r="N281" i="4"/>
  <c r="D281" i="4"/>
  <c r="N280" i="4"/>
  <c r="D280" i="4"/>
  <c r="N276" i="4"/>
  <c r="D276" i="4"/>
  <c r="N275" i="4"/>
  <c r="D275" i="4"/>
  <c r="N274" i="4"/>
  <c r="D274" i="4"/>
  <c r="N273" i="4"/>
  <c r="D273" i="4"/>
  <c r="N272" i="4"/>
  <c r="J272" i="4"/>
  <c r="D272" i="4"/>
  <c r="N271" i="4"/>
  <c r="D271" i="4"/>
  <c r="N270" i="4"/>
  <c r="D270" i="4"/>
  <c r="N269" i="4"/>
  <c r="D269" i="4"/>
  <c r="N268" i="4"/>
  <c r="D268" i="4"/>
  <c r="N267" i="4"/>
  <c r="D267" i="4"/>
  <c r="N266" i="4"/>
  <c r="D266" i="4"/>
  <c r="N265" i="4"/>
  <c r="D265" i="4"/>
  <c r="N264" i="4"/>
  <c r="D264" i="4"/>
  <c r="AG260" i="4"/>
  <c r="N253" i="4"/>
  <c r="D252" i="4"/>
  <c r="D241" i="4"/>
  <c r="P241" i="4"/>
  <c r="F241" i="4"/>
  <c r="R241" i="4"/>
  <c r="H241" i="4"/>
  <c r="V241" i="4"/>
  <c r="T241" i="4"/>
  <c r="N241" i="4"/>
  <c r="J241" i="4"/>
  <c r="N234" i="4"/>
  <c r="D234" i="4"/>
  <c r="N233" i="4"/>
  <c r="D233" i="4"/>
  <c r="N232" i="4"/>
  <c r="N235" i="4" s="1"/>
  <c r="D232" i="4"/>
  <c r="D235" i="4" s="1"/>
  <c r="N228" i="4"/>
  <c r="D228" i="4"/>
  <c r="D253" i="4" s="1"/>
  <c r="T227" i="4"/>
  <c r="T252" i="4" s="1"/>
  <c r="R227" i="4"/>
  <c r="R252" i="4" s="1"/>
  <c r="P227" i="4"/>
  <c r="P252" i="4" s="1"/>
  <c r="N227" i="4"/>
  <c r="N252" i="4" s="1"/>
  <c r="J227" i="4"/>
  <c r="J252" i="4" s="1"/>
  <c r="H227" i="4"/>
  <c r="H252" i="4" s="1"/>
  <c r="F227" i="4"/>
  <c r="F252" i="4" s="1"/>
  <c r="D227" i="4"/>
  <c r="N226" i="4"/>
  <c r="D226" i="4"/>
  <c r="N225" i="4"/>
  <c r="D225" i="4"/>
  <c r="N224" i="4"/>
  <c r="D224" i="4"/>
  <c r="N223" i="4"/>
  <c r="D223" i="4"/>
  <c r="N222" i="4"/>
  <c r="D222" i="4"/>
  <c r="N221" i="4"/>
  <c r="D221" i="4"/>
  <c r="N220" i="4"/>
  <c r="D220" i="4"/>
  <c r="N219" i="4"/>
  <c r="D219" i="4"/>
  <c r="N218" i="4"/>
  <c r="D218" i="4"/>
  <c r="N217" i="4"/>
  <c r="D217" i="4"/>
  <c r="N216" i="4"/>
  <c r="D216" i="4"/>
  <c r="N215" i="4"/>
  <c r="D215" i="4"/>
  <c r="N214" i="4"/>
  <c r="D214" i="4"/>
  <c r="N213" i="4"/>
  <c r="D213" i="4"/>
  <c r="N212" i="4"/>
  <c r="D212" i="4"/>
  <c r="N211" i="4"/>
  <c r="D211" i="4"/>
  <c r="N210" i="4"/>
  <c r="D210" i="4"/>
  <c r="N209" i="4"/>
  <c r="D209" i="4"/>
  <c r="N208" i="4"/>
  <c r="D208" i="4"/>
  <c r="N207" i="4"/>
  <c r="D207" i="4"/>
  <c r="N206" i="4"/>
  <c r="D206" i="4"/>
  <c r="N196" i="4"/>
  <c r="N254" i="4" s="1"/>
  <c r="D196" i="4"/>
  <c r="D254" i="4" s="1"/>
  <c r="N195" i="4"/>
  <c r="N251" i="4" s="1"/>
  <c r="D195" i="4"/>
  <c r="D251" i="4" s="1"/>
  <c r="N194" i="4"/>
  <c r="N250" i="4" s="1"/>
  <c r="D194" i="4"/>
  <c r="D250" i="4" s="1"/>
  <c r="N193" i="4"/>
  <c r="N249" i="4" s="1"/>
  <c r="D193" i="4"/>
  <c r="D249" i="4" s="1"/>
  <c r="N192" i="4"/>
  <c r="N248" i="4" s="1"/>
  <c r="D192" i="4"/>
  <c r="D248" i="4" s="1"/>
  <c r="N190" i="4"/>
  <c r="N247" i="4" s="1"/>
  <c r="D190" i="4"/>
  <c r="D247" i="4" s="1"/>
  <c r="N189" i="4"/>
  <c r="N246" i="4" s="1"/>
  <c r="D189" i="4"/>
  <c r="D246" i="4" s="1"/>
  <c r="N188" i="4"/>
  <c r="N245" i="4" s="1"/>
  <c r="D188" i="4"/>
  <c r="D245" i="4" s="1"/>
  <c r="N187" i="4"/>
  <c r="N244" i="4" s="1"/>
  <c r="D187" i="4"/>
  <c r="T181" i="4"/>
  <c r="R181" i="4"/>
  <c r="P181" i="4"/>
  <c r="T180" i="4"/>
  <c r="R180" i="4"/>
  <c r="P180" i="4"/>
  <c r="T179" i="4"/>
  <c r="R179" i="4"/>
  <c r="P179" i="4"/>
  <c r="T178" i="4"/>
  <c r="R178" i="4"/>
  <c r="P178" i="4"/>
  <c r="T177" i="4"/>
  <c r="R177" i="4"/>
  <c r="P177" i="4"/>
  <c r="T175" i="4"/>
  <c r="R175" i="4"/>
  <c r="P175" i="4"/>
  <c r="T174" i="4"/>
  <c r="R174" i="4"/>
  <c r="P174" i="4"/>
  <c r="T173" i="4"/>
  <c r="R173" i="4"/>
  <c r="P173" i="4"/>
  <c r="T172" i="4"/>
  <c r="R172" i="4"/>
  <c r="P172" i="4"/>
  <c r="D172" i="4"/>
  <c r="T171" i="4"/>
  <c r="R171" i="4"/>
  <c r="P171" i="4"/>
  <c r="D171" i="4"/>
  <c r="AD14" i="4"/>
  <c r="J163" i="4"/>
  <c r="H163" i="4"/>
  <c r="D163" i="4"/>
  <c r="H162" i="4"/>
  <c r="D162" i="4"/>
  <c r="J161" i="4"/>
  <c r="H161" i="4"/>
  <c r="D161" i="4"/>
  <c r="T146" i="4"/>
  <c r="R146" i="4"/>
  <c r="P146" i="4"/>
  <c r="D142" i="4"/>
  <c r="D181" i="4" s="1"/>
  <c r="D138" i="4"/>
  <c r="D177" i="4" s="1"/>
  <c r="D135" i="4"/>
  <c r="D174" i="4" s="1"/>
  <c r="D134" i="4"/>
  <c r="D173" i="4" s="1"/>
  <c r="D133" i="4"/>
  <c r="D124" i="4"/>
  <c r="D116" i="4"/>
  <c r="D115" i="4"/>
  <c r="J114" i="4"/>
  <c r="H114" i="4"/>
  <c r="F114" i="4"/>
  <c r="D114" i="4"/>
  <c r="D113" i="4"/>
  <c r="D112" i="4"/>
  <c r="D117" i="4" s="1"/>
  <c r="D108" i="4"/>
  <c r="D107" i="4"/>
  <c r="D106" i="4"/>
  <c r="J105" i="4"/>
  <c r="H105" i="4"/>
  <c r="F105" i="4"/>
  <c r="D105" i="4"/>
  <c r="D104" i="4"/>
  <c r="D103" i="4"/>
  <c r="D102" i="4"/>
  <c r="D98" i="4"/>
  <c r="D97" i="4"/>
  <c r="D99" i="4" s="1"/>
  <c r="D89" i="4"/>
  <c r="D88" i="4"/>
  <c r="V88" i="4" s="1"/>
  <c r="D87" i="4"/>
  <c r="H80" i="4"/>
  <c r="J79" i="4"/>
  <c r="J80" i="4" s="1"/>
  <c r="H79" i="4"/>
  <c r="F79" i="4"/>
  <c r="F80" i="4" s="1"/>
  <c r="D79" i="4"/>
  <c r="J76" i="4"/>
  <c r="J77" i="4" s="1"/>
  <c r="H76" i="4"/>
  <c r="H77" i="4" s="1"/>
  <c r="F76" i="4"/>
  <c r="F77" i="4" s="1"/>
  <c r="D76" i="4"/>
  <c r="D68" i="4"/>
  <c r="D69" i="4" s="1"/>
  <c r="D71" i="4" s="1"/>
  <c r="D60" i="4"/>
  <c r="D59" i="4"/>
  <c r="D58" i="4"/>
  <c r="D57" i="4"/>
  <c r="D56" i="4"/>
  <c r="D61" i="4" s="1"/>
  <c r="D52" i="4"/>
  <c r="D51" i="4"/>
  <c r="D50" i="4"/>
  <c r="D49" i="4"/>
  <c r="D48" i="4"/>
  <c r="D47" i="4"/>
  <c r="D46" i="4"/>
  <c r="D42" i="4"/>
  <c r="D41" i="4"/>
  <c r="D43" i="4" s="1"/>
  <c r="AO33" i="4"/>
  <c r="AR25" i="4"/>
  <c r="AO19" i="4"/>
  <c r="AN19" i="4"/>
  <c r="AT18" i="4"/>
  <c r="AU18" i="4" s="1"/>
  <c r="AK17" i="4"/>
  <c r="AB19" i="4"/>
  <c r="AR16" i="4"/>
  <c r="AM16" i="4"/>
  <c r="AL16" i="4"/>
  <c r="AK16" i="4"/>
  <c r="AI16" i="4"/>
  <c r="AF16" i="4"/>
  <c r="AD16" i="4"/>
  <c r="AC16" i="4"/>
  <c r="AB16" i="4"/>
  <c r="Z16" i="4"/>
  <c r="Y16" i="4"/>
  <c r="AR15" i="4"/>
  <c r="AP15" i="4"/>
  <c r="AO15" i="4"/>
  <c r="AM15" i="4"/>
  <c r="AL15" i="4"/>
  <c r="AK15" i="4"/>
  <c r="AJ15" i="4"/>
  <c r="AI15" i="4"/>
  <c r="AH15" i="4"/>
  <c r="AG15" i="4"/>
  <c r="AF15" i="4"/>
  <c r="AE15" i="4"/>
  <c r="AD15" i="4"/>
  <c r="AB15" i="4"/>
  <c r="Z15" i="4"/>
  <c r="Y15" i="4"/>
  <c r="AP14" i="4"/>
  <c r="AM14" i="4"/>
  <c r="AL14" i="4"/>
  <c r="AK14" i="4"/>
  <c r="AJ14" i="4"/>
  <c r="AI14" i="4"/>
  <c r="AH14" i="4"/>
  <c r="AG14" i="4"/>
  <c r="AF14" i="4"/>
  <c r="AE14" i="4"/>
  <c r="AB14" i="4"/>
  <c r="Z14" i="4"/>
  <c r="Y14" i="4"/>
  <c r="X14" i="4"/>
  <c r="AT13" i="4"/>
  <c r="AU13" i="4" s="1"/>
  <c r="AR12" i="4"/>
  <c r="AM12" i="4"/>
  <c r="AL12" i="4"/>
  <c r="AK12" i="4"/>
  <c r="AI12" i="4"/>
  <c r="AF12" i="4"/>
  <c r="AD12" i="4"/>
  <c r="AC12" i="4"/>
  <c r="AB12" i="4"/>
  <c r="Z12" i="4"/>
  <c r="Z17" i="4" s="1"/>
  <c r="AT17" i="4" s="1"/>
  <c r="AU17" i="4" s="1"/>
  <c r="Y12" i="4"/>
  <c r="AR11" i="4"/>
  <c r="AP11" i="4"/>
  <c r="AO11" i="4"/>
  <c r="AM11" i="4"/>
  <c r="AL11" i="4"/>
  <c r="AK11" i="4"/>
  <c r="AJ11" i="4"/>
  <c r="AI11" i="4"/>
  <c r="AH11" i="4"/>
  <c r="AG11" i="4"/>
  <c r="AF11" i="4"/>
  <c r="AE11" i="4"/>
  <c r="AD11" i="4"/>
  <c r="AB11" i="4"/>
  <c r="Z11" i="4"/>
  <c r="Y11" i="4"/>
  <c r="X11" i="4"/>
  <c r="AR10" i="4"/>
  <c r="AP10" i="4"/>
  <c r="AO10" i="4"/>
  <c r="AM10" i="4"/>
  <c r="AL10" i="4"/>
  <c r="AK10" i="4"/>
  <c r="AK21" i="4" s="1"/>
  <c r="AJ19" i="4"/>
  <c r="AI10" i="4"/>
  <c r="AH12" i="4"/>
  <c r="AF10" i="4"/>
  <c r="AD10" i="4"/>
  <c r="AB10" i="4"/>
  <c r="Z10" i="4"/>
  <c r="Y10" i="4"/>
  <c r="X10" i="4"/>
  <c r="E35" i="3"/>
  <c r="S34" i="3"/>
  <c r="O34" i="3"/>
  <c r="I34" i="3"/>
  <c r="G34" i="3"/>
  <c r="E34" i="3"/>
  <c r="C34" i="3"/>
  <c r="Q33" i="3"/>
  <c r="M33" i="3"/>
  <c r="G33" i="3"/>
  <c r="E33" i="3"/>
  <c r="C33" i="3"/>
  <c r="O32" i="3"/>
  <c r="O35" i="3" s="1"/>
  <c r="M32" i="3"/>
  <c r="K32" i="3"/>
  <c r="I32" i="3"/>
  <c r="G32" i="3"/>
  <c r="G35" i="3" s="1"/>
  <c r="E32" i="3"/>
  <c r="C32" i="3"/>
  <c r="C35" i="3" s="1"/>
  <c r="Q30" i="3"/>
  <c r="K30" i="3"/>
  <c r="G30" i="3"/>
  <c r="E30" i="3"/>
  <c r="Q29" i="3"/>
  <c r="U29" i="3" s="1"/>
  <c r="O29" i="3"/>
  <c r="M29" i="3"/>
  <c r="S28" i="3"/>
  <c r="Q28" i="3"/>
  <c r="O28" i="3"/>
  <c r="O33" i="3" s="1"/>
  <c r="M28" i="3"/>
  <c r="M30" i="3" s="1"/>
  <c r="I28" i="3"/>
  <c r="I30" i="3" s="1"/>
  <c r="S27" i="3"/>
  <c r="Q27" i="3"/>
  <c r="Q32" i="3" s="1"/>
  <c r="O27" i="3"/>
  <c r="O30" i="3" s="1"/>
  <c r="M27" i="3"/>
  <c r="S25" i="3"/>
  <c r="Q25" i="3"/>
  <c r="O25" i="3"/>
  <c r="I25" i="3"/>
  <c r="G25" i="3"/>
  <c r="E25" i="3"/>
  <c r="O24" i="3"/>
  <c r="M24" i="3"/>
  <c r="K24" i="3"/>
  <c r="L309" i="4" s="1"/>
  <c r="O23" i="3"/>
  <c r="K23" i="3"/>
  <c r="L308" i="4" s="1"/>
  <c r="U22" i="3"/>
  <c r="S20" i="3"/>
  <c r="Q20" i="3"/>
  <c r="O20" i="3"/>
  <c r="M20" i="3"/>
  <c r="K20" i="3"/>
  <c r="I20" i="3"/>
  <c r="G20" i="3"/>
  <c r="E20" i="3"/>
  <c r="C20" i="3"/>
  <c r="U19" i="3"/>
  <c r="V304" i="4" s="1"/>
  <c r="U18" i="3"/>
  <c r="V303" i="4" s="1"/>
  <c r="U17" i="3"/>
  <c r="G14" i="3"/>
  <c r="E14" i="3"/>
  <c r="S13" i="3"/>
  <c r="M13" i="3"/>
  <c r="K13" i="3"/>
  <c r="I13" i="3"/>
  <c r="C13" i="3"/>
  <c r="O12" i="3"/>
  <c r="C12" i="3"/>
  <c r="S11" i="3"/>
  <c r="M11" i="3"/>
  <c r="K11" i="3"/>
  <c r="I11" i="3"/>
  <c r="C11" i="3"/>
  <c r="S111" i="2"/>
  <c r="S110" i="2"/>
  <c r="M85" i="2"/>
  <c r="K85" i="2"/>
  <c r="C85" i="2"/>
  <c r="O77" i="2"/>
  <c r="M77" i="2"/>
  <c r="I77" i="2"/>
  <c r="G77" i="2"/>
  <c r="E77" i="2"/>
  <c r="C77" i="2"/>
  <c r="Q76" i="2"/>
  <c r="O76" i="2"/>
  <c r="M76" i="2"/>
  <c r="N298" i="4" s="1"/>
  <c r="K76" i="2"/>
  <c r="K78" i="35" s="1"/>
  <c r="S75" i="2"/>
  <c r="Q75" i="2"/>
  <c r="R297" i="4" s="1"/>
  <c r="O75" i="2"/>
  <c r="O77" i="35" s="1"/>
  <c r="M75" i="2"/>
  <c r="M77" i="35" s="1"/>
  <c r="K75" i="2"/>
  <c r="I75" i="2"/>
  <c r="J297" i="4" s="1"/>
  <c r="Q74" i="2"/>
  <c r="O74" i="2"/>
  <c r="M74" i="2"/>
  <c r="M76" i="35" s="1"/>
  <c r="M70" i="2"/>
  <c r="K70" i="2"/>
  <c r="C70" i="2"/>
  <c r="M69" i="2"/>
  <c r="M71" i="2" s="1"/>
  <c r="M79" i="2" s="1"/>
  <c r="M88" i="2" s="1"/>
  <c r="K69" i="2"/>
  <c r="M68" i="2"/>
  <c r="K68" i="2"/>
  <c r="K71" i="2" s="1"/>
  <c r="C68" i="2"/>
  <c r="M65" i="2"/>
  <c r="K65" i="2"/>
  <c r="C65" i="2"/>
  <c r="M49" i="2"/>
  <c r="K49" i="2"/>
  <c r="C49" i="2"/>
  <c r="M33" i="2"/>
  <c r="K33" i="2"/>
  <c r="U31" i="2"/>
  <c r="C19" i="2"/>
  <c r="C33" i="2" s="1"/>
  <c r="A3" i="2"/>
  <c r="J123" i="1"/>
  <c r="J162" i="4" s="1"/>
  <c r="H123" i="1"/>
  <c r="D123" i="1"/>
  <c r="F122" i="1"/>
  <c r="N121" i="1"/>
  <c r="F121" i="1"/>
  <c r="L121" i="1" s="1"/>
  <c r="L120" i="1"/>
  <c r="N120" i="1" s="1"/>
  <c r="F120" i="1"/>
  <c r="F161" i="4" s="1"/>
  <c r="D114" i="1"/>
  <c r="D151" i="4" s="1"/>
  <c r="D112" i="1"/>
  <c r="D104" i="1"/>
  <c r="D106" i="1" s="1"/>
  <c r="D97" i="1"/>
  <c r="L94" i="1"/>
  <c r="N94" i="1" s="1"/>
  <c r="D89" i="1"/>
  <c r="L85" i="1"/>
  <c r="N85" i="1" s="1"/>
  <c r="D79" i="1"/>
  <c r="D99" i="1" s="1"/>
  <c r="D69" i="1"/>
  <c r="D68" i="1"/>
  <c r="D70" i="1" s="1"/>
  <c r="D72" i="1" s="1"/>
  <c r="D67" i="1"/>
  <c r="D64" i="1"/>
  <c r="N63" i="1"/>
  <c r="L63" i="1"/>
  <c r="D59" i="1"/>
  <c r="N57" i="1"/>
  <c r="L49" i="1"/>
  <c r="L51" i="1" s="1"/>
  <c r="J49" i="1"/>
  <c r="H49" i="1"/>
  <c r="H51" i="1" s="1"/>
  <c r="F49" i="1"/>
  <c r="D49" i="1"/>
  <c r="D51" i="1" s="1"/>
  <c r="L48" i="1"/>
  <c r="N48" i="1" s="1"/>
  <c r="N49" i="1" s="1"/>
  <c r="N51" i="1" s="1"/>
  <c r="J48" i="1"/>
  <c r="N46" i="1"/>
  <c r="L46" i="1"/>
  <c r="J46" i="1"/>
  <c r="H46" i="1"/>
  <c r="F46" i="1"/>
  <c r="F51" i="1" s="1"/>
  <c r="D46" i="1"/>
  <c r="N45" i="1"/>
  <c r="L45" i="1"/>
  <c r="D40" i="1"/>
  <c r="D38" i="1"/>
  <c r="D30" i="1"/>
  <c r="D32" i="1" s="1"/>
  <c r="D22" i="1"/>
  <c r="D12" i="1"/>
  <c r="A3" i="35"/>
  <c r="Q84" i="5" l="1"/>
  <c r="AZ131" i="5"/>
  <c r="AZ314" i="5"/>
  <c r="BJ99" i="5"/>
  <c r="BL99" i="5" s="1"/>
  <c r="AI133" i="5"/>
  <c r="BH129" i="5"/>
  <c r="BB138" i="5"/>
  <c r="BH208" i="5"/>
  <c r="BF251" i="5"/>
  <c r="BF253" i="5" s="1"/>
  <c r="AZ328" i="5"/>
  <c r="BJ431" i="5"/>
  <c r="BL431" i="5" s="1"/>
  <c r="AM468" i="5"/>
  <c r="BJ462" i="5"/>
  <c r="BD467" i="5"/>
  <c r="BD322" i="5"/>
  <c r="AS151" i="5"/>
  <c r="AZ147" i="5"/>
  <c r="AV84" i="5"/>
  <c r="W151" i="5"/>
  <c r="AM151" i="5"/>
  <c r="BJ381" i="5"/>
  <c r="BL381" i="5" s="1"/>
  <c r="S468" i="5"/>
  <c r="AO71" i="5"/>
  <c r="BJ89" i="5"/>
  <c r="AZ95" i="5"/>
  <c r="BF125" i="5"/>
  <c r="G151" i="5"/>
  <c r="M191" i="5"/>
  <c r="U191" i="5"/>
  <c r="AC191" i="5"/>
  <c r="AS191" i="5"/>
  <c r="M335" i="5"/>
  <c r="AG439" i="5"/>
  <c r="BH474" i="5"/>
  <c r="BB62" i="5"/>
  <c r="E84" i="5"/>
  <c r="M84" i="5"/>
  <c r="U84" i="5"/>
  <c r="AC84" i="5"/>
  <c r="BB125" i="5"/>
  <c r="BB304" i="5"/>
  <c r="BJ320" i="5"/>
  <c r="BL320" i="5" s="1"/>
  <c r="BJ394" i="5"/>
  <c r="BL394" i="5" s="1"/>
  <c r="BJ398" i="5"/>
  <c r="BL398" i="5" s="1"/>
  <c r="C400" i="5"/>
  <c r="BJ450" i="5"/>
  <c r="BL450" i="5" s="1"/>
  <c r="I468" i="5"/>
  <c r="Q468" i="5"/>
  <c r="AG468" i="5"/>
  <c r="AV468" i="5"/>
  <c r="BB77" i="5"/>
  <c r="BH122" i="5"/>
  <c r="BF138" i="5"/>
  <c r="BJ145" i="5"/>
  <c r="BL145" i="5" s="1"/>
  <c r="Q191" i="5"/>
  <c r="AO191" i="5"/>
  <c r="BD258" i="5"/>
  <c r="BD260" i="5" s="1"/>
  <c r="BB258" i="5"/>
  <c r="BB260" i="5" s="1"/>
  <c r="BB319" i="5"/>
  <c r="K323" i="5"/>
  <c r="Q335" i="5"/>
  <c r="Y335" i="5"/>
  <c r="AG335" i="5"/>
  <c r="AO335" i="5"/>
  <c r="AV335" i="5"/>
  <c r="BD351" i="5"/>
  <c r="BB391" i="5"/>
  <c r="AC427" i="5"/>
  <c r="E439" i="5"/>
  <c r="M439" i="5"/>
  <c r="U439" i="5"/>
  <c r="AC439" i="5"/>
  <c r="AK439" i="5"/>
  <c r="AS439" i="5"/>
  <c r="BB452" i="5"/>
  <c r="S400" i="5"/>
  <c r="AI400" i="5"/>
  <c r="BD45" i="5"/>
  <c r="BJ22" i="5"/>
  <c r="BL22" i="5" s="1"/>
  <c r="BJ26" i="5"/>
  <c r="BL26" i="5" s="1"/>
  <c r="BJ30" i="5"/>
  <c r="BL30" i="5" s="1"/>
  <c r="BJ38" i="5"/>
  <c r="BL38" i="5" s="1"/>
  <c r="BJ42" i="5"/>
  <c r="BL42" i="5" s="1"/>
  <c r="AZ54" i="5"/>
  <c r="BJ63" i="5"/>
  <c r="BF67" i="5"/>
  <c r="BJ69" i="5"/>
  <c r="BL69" i="5" s="1"/>
  <c r="S71" i="5"/>
  <c r="AI71" i="5"/>
  <c r="AM84" i="5"/>
  <c r="BF100" i="5"/>
  <c r="BJ118" i="5"/>
  <c r="AZ140" i="5"/>
  <c r="AZ146" i="5"/>
  <c r="M151" i="5"/>
  <c r="G178" i="5"/>
  <c r="O178" i="5"/>
  <c r="W178" i="5"/>
  <c r="M178" i="5"/>
  <c r="BD164" i="5"/>
  <c r="AC178" i="5"/>
  <c r="AS178" i="5"/>
  <c r="E191" i="5"/>
  <c r="AK191" i="5"/>
  <c r="BH251" i="5"/>
  <c r="BH253" i="5" s="1"/>
  <c r="BJ315" i="5"/>
  <c r="BL315" i="5" s="1"/>
  <c r="BB351" i="5"/>
  <c r="AZ351" i="5"/>
  <c r="BJ360" i="5"/>
  <c r="BL360" i="5" s="1"/>
  <c r="BJ374" i="5"/>
  <c r="BL374" i="5" s="1"/>
  <c r="AA382" i="5"/>
  <c r="AX382" i="5"/>
  <c r="BD379" i="5"/>
  <c r="BJ389" i="5"/>
  <c r="BL389" i="5" s="1"/>
  <c r="BH391" i="5"/>
  <c r="BD391" i="5"/>
  <c r="BJ412" i="5"/>
  <c r="E427" i="5"/>
  <c r="M427" i="5"/>
  <c r="AK427" i="5"/>
  <c r="AS427" i="5"/>
  <c r="AZ448" i="5"/>
  <c r="BD448" i="5"/>
  <c r="BF506" i="5"/>
  <c r="BJ505" i="5"/>
  <c r="G580" i="5"/>
  <c r="G588" i="5" s="1"/>
  <c r="G597" i="5" s="1"/>
  <c r="O580" i="5"/>
  <c r="O588" i="5" s="1"/>
  <c r="O597" i="5" s="1"/>
  <c r="W580" i="5"/>
  <c r="W588" i="5" s="1"/>
  <c r="W597" i="5" s="1"/>
  <c r="AE580" i="5"/>
  <c r="AE588" i="5" s="1"/>
  <c r="AE597" i="5" s="1"/>
  <c r="AM580" i="5"/>
  <c r="AM588" i="5" s="1"/>
  <c r="AM597" i="5" s="1"/>
  <c r="AV580" i="5"/>
  <c r="AV588" i="5" s="1"/>
  <c r="AV597" i="5" s="1"/>
  <c r="K400" i="5"/>
  <c r="BB52" i="5"/>
  <c r="C133" i="5"/>
  <c r="K133" i="5"/>
  <c r="AQ133" i="5"/>
  <c r="AX133" i="5"/>
  <c r="S142" i="5"/>
  <c r="BF142" i="5" s="1"/>
  <c r="BJ210" i="5"/>
  <c r="BL210" i="5" s="1"/>
  <c r="U244" i="5"/>
  <c r="Q244" i="5"/>
  <c r="BJ270" i="5"/>
  <c r="BL270" i="5" s="1"/>
  <c r="BJ274" i="5"/>
  <c r="BL274" i="5" s="1"/>
  <c r="BJ278" i="5"/>
  <c r="BJ282" i="5"/>
  <c r="BL282" i="5" s="1"/>
  <c r="BJ286" i="5"/>
  <c r="BL286" i="5" s="1"/>
  <c r="BJ290" i="5"/>
  <c r="BL290" i="5" s="1"/>
  <c r="BJ294" i="5"/>
  <c r="BJ306" i="5"/>
  <c r="BL306" i="5" s="1"/>
  <c r="BJ310" i="5"/>
  <c r="BL310" i="5" s="1"/>
  <c r="BD346" i="5"/>
  <c r="BJ340" i="5"/>
  <c r="BJ367" i="5"/>
  <c r="I382" i="5"/>
  <c r="BB372" i="5"/>
  <c r="BB382" i="5" s="1"/>
  <c r="BH379" i="5"/>
  <c r="BB410" i="5"/>
  <c r="W427" i="5"/>
  <c r="BH448" i="5"/>
  <c r="I580" i="5"/>
  <c r="I588" i="5" s="1"/>
  <c r="I597" i="5" s="1"/>
  <c r="Q580" i="5"/>
  <c r="Q588" i="5" s="1"/>
  <c r="Q597" i="5" s="1"/>
  <c r="Y580" i="5"/>
  <c r="Y588" i="5" s="1"/>
  <c r="Y597" i="5" s="1"/>
  <c r="AG580" i="5"/>
  <c r="AG588" i="5" s="1"/>
  <c r="AG597" i="5" s="1"/>
  <c r="AO580" i="5"/>
  <c r="AO588" i="5" s="1"/>
  <c r="AO597" i="5" s="1"/>
  <c r="AA400" i="5"/>
  <c r="AQ400" i="5"/>
  <c r="AX400" i="5"/>
  <c r="Q71" i="5"/>
  <c r="Y71" i="5"/>
  <c r="AV71" i="5"/>
  <c r="AQ84" i="5"/>
  <c r="AX84" i="5"/>
  <c r="BJ104" i="5"/>
  <c r="BL104" i="5" s="1"/>
  <c r="BJ108" i="5"/>
  <c r="BL108" i="5" s="1"/>
  <c r="BH112" i="5"/>
  <c r="BJ126" i="5"/>
  <c r="AZ129" i="5"/>
  <c r="BB129" i="5"/>
  <c r="BJ172" i="5"/>
  <c r="BL172" i="5" s="1"/>
  <c r="BJ176" i="5"/>
  <c r="BL176" i="5" s="1"/>
  <c r="C178" i="5"/>
  <c r="K178" i="5"/>
  <c r="S178" i="5"/>
  <c r="AA178" i="5"/>
  <c r="BD184" i="5"/>
  <c r="BB200" i="5"/>
  <c r="BJ203" i="5"/>
  <c r="BL203" i="5" s="1"/>
  <c r="AI220" i="5"/>
  <c r="BJ205" i="5"/>
  <c r="BD208" i="5"/>
  <c r="BB208" i="5"/>
  <c r="BB226" i="5"/>
  <c r="G323" i="5"/>
  <c r="W323" i="5"/>
  <c r="AM323" i="5"/>
  <c r="AZ333" i="5"/>
  <c r="BH372" i="5"/>
  <c r="BH399" i="5"/>
  <c r="BH410" i="5"/>
  <c r="I439" i="5"/>
  <c r="Q439" i="5"/>
  <c r="Y439" i="5"/>
  <c r="AO439" i="5"/>
  <c r="AV439" i="5"/>
  <c r="BF437" i="5"/>
  <c r="S439" i="5"/>
  <c r="AA439" i="5"/>
  <c r="AI439" i="5"/>
  <c r="AQ439" i="5"/>
  <c r="AX439" i="5"/>
  <c r="BD474" i="5"/>
  <c r="H82" i="4"/>
  <c r="D229" i="4"/>
  <c r="F299" i="4"/>
  <c r="V321" i="4"/>
  <c r="N305" i="4"/>
  <c r="N76" i="4"/>
  <c r="N77" i="4" s="1"/>
  <c r="N105" i="4"/>
  <c r="J164" i="4"/>
  <c r="J167" i="4" s="1"/>
  <c r="AN167" i="4" s="1"/>
  <c r="AN14" i="4" s="1"/>
  <c r="H299" i="4"/>
  <c r="F305" i="4"/>
  <c r="L310" i="4"/>
  <c r="N229" i="4"/>
  <c r="N293" i="4"/>
  <c r="T310" i="4"/>
  <c r="AB21" i="4"/>
  <c r="P182" i="4"/>
  <c r="AL21" i="4"/>
  <c r="AK113" i="5"/>
  <c r="BJ31" i="5"/>
  <c r="BL31" i="5" s="1"/>
  <c r="BJ94" i="5"/>
  <c r="BL94" i="5" s="1"/>
  <c r="BJ109" i="5"/>
  <c r="BL109" i="5" s="1"/>
  <c r="BF119" i="5"/>
  <c r="BJ121" i="5"/>
  <c r="BL121" i="5" s="1"/>
  <c r="AT133" i="5"/>
  <c r="BF129" i="5"/>
  <c r="AG133" i="5"/>
  <c r="BJ132" i="5"/>
  <c r="E151" i="5"/>
  <c r="AK151" i="5"/>
  <c r="BF164" i="5"/>
  <c r="BJ165" i="5"/>
  <c r="BL165" i="5" s="1"/>
  <c r="BJ169" i="5"/>
  <c r="BL169" i="5" s="1"/>
  <c r="AI178" i="5"/>
  <c r="AQ178" i="5"/>
  <c r="AX178" i="5"/>
  <c r="K439" i="5"/>
  <c r="BD437" i="5"/>
  <c r="C439" i="5"/>
  <c r="BJ15" i="5"/>
  <c r="BL15" i="5" s="1"/>
  <c r="BJ23" i="5"/>
  <c r="BL23" i="5" s="1"/>
  <c r="BJ39" i="5"/>
  <c r="BL39" i="5" s="1"/>
  <c r="AE84" i="5"/>
  <c r="BJ56" i="5"/>
  <c r="BL56" i="5" s="1"/>
  <c r="BJ60" i="5"/>
  <c r="BL60" i="5" s="1"/>
  <c r="BH62" i="5"/>
  <c r="BH67" i="5"/>
  <c r="BB70" i="5"/>
  <c r="BJ75" i="5"/>
  <c r="BL75" i="5" s="1"/>
  <c r="BH77" i="5"/>
  <c r="BJ79" i="5"/>
  <c r="W84" i="5"/>
  <c r="BB82" i="5"/>
  <c r="BB84" i="5" s="1"/>
  <c r="BH95" i="5"/>
  <c r="BJ91" i="5"/>
  <c r="BL91" i="5" s="1"/>
  <c r="BJ116" i="5"/>
  <c r="BL116" i="5" s="1"/>
  <c r="BD119" i="5"/>
  <c r="BB119" i="5"/>
  <c r="BF122" i="5"/>
  <c r="BJ123" i="5"/>
  <c r="BL123" i="5" s="1"/>
  <c r="BJ128" i="5"/>
  <c r="BL128" i="5" s="1"/>
  <c r="BH138" i="5"/>
  <c r="BJ140" i="5"/>
  <c r="BJ146" i="5"/>
  <c r="BL146" i="5" s="1"/>
  <c r="BD161" i="5"/>
  <c r="I191" i="5"/>
  <c r="Y191" i="5"/>
  <c r="AG191" i="5"/>
  <c r="AV191" i="5"/>
  <c r="BH189" i="5"/>
  <c r="AK580" i="5"/>
  <c r="AK588" i="5" s="1"/>
  <c r="AK597" i="5" s="1"/>
  <c r="BB45" i="5"/>
  <c r="BJ25" i="5"/>
  <c r="BL25" i="5" s="1"/>
  <c r="BJ33" i="5"/>
  <c r="BL33" i="5" s="1"/>
  <c r="BJ41" i="5"/>
  <c r="BL41" i="5" s="1"/>
  <c r="BJ51" i="5"/>
  <c r="BL51" i="5" s="1"/>
  <c r="BD52" i="5"/>
  <c r="AQ71" i="5"/>
  <c r="BJ57" i="5"/>
  <c r="BL57" i="5" s="1"/>
  <c r="AZ62" i="5"/>
  <c r="K71" i="5"/>
  <c r="AX71" i="5"/>
  <c r="BJ66" i="5"/>
  <c r="BH70" i="5"/>
  <c r="AG71" i="5"/>
  <c r="I71" i="5"/>
  <c r="BJ76" i="5"/>
  <c r="BL76" i="5" s="1"/>
  <c r="BF77" i="5"/>
  <c r="AS84" i="5"/>
  <c r="AO84" i="5"/>
  <c r="BB100" i="5"/>
  <c r="BJ103" i="5"/>
  <c r="BL103" i="5" s="1"/>
  <c r="BD112" i="5"/>
  <c r="BD113" i="5" s="1"/>
  <c r="BJ111" i="5"/>
  <c r="S133" i="5"/>
  <c r="AE133" i="5"/>
  <c r="BJ137" i="5"/>
  <c r="BL137" i="5" s="1"/>
  <c r="BD138" i="5"/>
  <c r="I151" i="5"/>
  <c r="AG151" i="5"/>
  <c r="AO151" i="5"/>
  <c r="BJ183" i="5"/>
  <c r="BF184" i="5"/>
  <c r="BJ188" i="5"/>
  <c r="BL188" i="5" s="1"/>
  <c r="BJ198" i="5"/>
  <c r="BL198" i="5" s="1"/>
  <c r="BJ206" i="5"/>
  <c r="BL206" i="5" s="1"/>
  <c r="O244" i="5"/>
  <c r="BD251" i="5"/>
  <c r="BD253" i="5" s="1"/>
  <c r="E335" i="5"/>
  <c r="U335" i="5"/>
  <c r="AC335" i="5"/>
  <c r="AK335" i="5"/>
  <c r="AS335" i="5"/>
  <c r="BJ330" i="5"/>
  <c r="BL330" i="5" s="1"/>
  <c r="BF346" i="5"/>
  <c r="BJ341" i="5"/>
  <c r="BL341" i="5" s="1"/>
  <c r="BJ345" i="5"/>
  <c r="BL345" i="5" s="1"/>
  <c r="E400" i="5"/>
  <c r="BJ446" i="5"/>
  <c r="BL446" i="5" s="1"/>
  <c r="BD452" i="5"/>
  <c r="BJ453" i="5"/>
  <c r="BL453" i="5" s="1"/>
  <c r="BJ459" i="5"/>
  <c r="AC580" i="5"/>
  <c r="AC588" i="5" s="1"/>
  <c r="AC597" i="5" s="1"/>
  <c r="BJ148" i="5"/>
  <c r="BL148" i="5" s="1"/>
  <c r="Q151" i="5"/>
  <c r="Y151" i="5"/>
  <c r="BH150" i="5"/>
  <c r="BJ160" i="5"/>
  <c r="BB164" i="5"/>
  <c r="BJ166" i="5"/>
  <c r="BL166" i="5" s="1"/>
  <c r="BJ170" i="5"/>
  <c r="BJ174" i="5"/>
  <c r="BL174" i="5" s="1"/>
  <c r="BB204" i="5"/>
  <c r="BJ207" i="5"/>
  <c r="BL207" i="5" s="1"/>
  <c r="BJ212" i="5"/>
  <c r="BL212" i="5" s="1"/>
  <c r="BJ216" i="5"/>
  <c r="AZ219" i="5"/>
  <c r="BD219" i="5"/>
  <c r="BJ20" i="5"/>
  <c r="BJ24" i="5"/>
  <c r="BL24" i="5" s="1"/>
  <c r="BJ28" i="5"/>
  <c r="BL28" i="5" s="1"/>
  <c r="BJ36" i="5"/>
  <c r="BL36" i="5" s="1"/>
  <c r="BJ40" i="5"/>
  <c r="BJ44" i="5"/>
  <c r="BL44" i="5" s="1"/>
  <c r="BH52" i="5"/>
  <c r="BJ59" i="5"/>
  <c r="BL59" i="5" s="1"/>
  <c r="BJ64" i="5"/>
  <c r="BL64" i="5" s="1"/>
  <c r="BD67" i="5"/>
  <c r="W71" i="5"/>
  <c r="BB67" i="5"/>
  <c r="AZ77" i="5"/>
  <c r="BJ80" i="5"/>
  <c r="BL80" i="5" s="1"/>
  <c r="BH82" i="5"/>
  <c r="BH84" i="5" s="1"/>
  <c r="Y84" i="5"/>
  <c r="AG84" i="5"/>
  <c r="I84" i="5"/>
  <c r="BJ92" i="5"/>
  <c r="BL92" i="5" s="1"/>
  <c r="BJ98" i="5"/>
  <c r="BJ100" i="5" s="1"/>
  <c r="BL100" i="5" s="1"/>
  <c r="BH100" i="5"/>
  <c r="BJ106" i="5"/>
  <c r="BL106" i="5" s="1"/>
  <c r="AZ119" i="5"/>
  <c r="BH119" i="5"/>
  <c r="O133" i="5"/>
  <c r="BB122" i="5"/>
  <c r="BJ124" i="5"/>
  <c r="BL124" i="5" s="1"/>
  <c r="AA133" i="5"/>
  <c r="BJ130" i="5"/>
  <c r="BL140" i="5"/>
  <c r="AZ150" i="5"/>
  <c r="BF161" i="5"/>
  <c r="BJ162" i="5"/>
  <c r="BJ167" i="5"/>
  <c r="BL167" i="5" s="1"/>
  <c r="BJ171" i="5"/>
  <c r="BL171" i="5" s="1"/>
  <c r="I178" i="5"/>
  <c r="Q178" i="5"/>
  <c r="Y178" i="5"/>
  <c r="AG178" i="5"/>
  <c r="AM178" i="5"/>
  <c r="AT178" i="5"/>
  <c r="BJ181" i="5"/>
  <c r="BB184" i="5"/>
  <c r="BJ186" i="5"/>
  <c r="BL186" i="5" s="1"/>
  <c r="O191" i="5"/>
  <c r="W191" i="5"/>
  <c r="AE191" i="5"/>
  <c r="AM191" i="5"/>
  <c r="AT191" i="5"/>
  <c r="AT229" i="5" s="1"/>
  <c r="BJ194" i="5"/>
  <c r="BB195" i="5"/>
  <c r="BF200" i="5"/>
  <c r="U220" i="5"/>
  <c r="AC220" i="5"/>
  <c r="AK220" i="5"/>
  <c r="BJ202" i="5"/>
  <c r="BL202" i="5" s="1"/>
  <c r="AZ204" i="5"/>
  <c r="Q220" i="5"/>
  <c r="Y220" i="5"/>
  <c r="Y229" i="5" s="1"/>
  <c r="BD204" i="5"/>
  <c r="AV220" i="5"/>
  <c r="BD226" i="5"/>
  <c r="BJ241" i="5"/>
  <c r="BJ242" i="5" s="1"/>
  <c r="BB251" i="5"/>
  <c r="BB253" i="5" s="1"/>
  <c r="BJ280" i="5"/>
  <c r="BL280" i="5" s="1"/>
  <c r="BJ284" i="5"/>
  <c r="BL284" i="5" s="1"/>
  <c r="BH304" i="5"/>
  <c r="BD304" i="5"/>
  <c r="BJ308" i="5"/>
  <c r="BL308" i="5" s="1"/>
  <c r="BJ312" i="5"/>
  <c r="BL312" i="5" s="1"/>
  <c r="BF314" i="5"/>
  <c r="Y323" i="5"/>
  <c r="AV323" i="5"/>
  <c r="BH319" i="5"/>
  <c r="E323" i="5"/>
  <c r="M323" i="5"/>
  <c r="U323" i="5"/>
  <c r="AC323" i="5"/>
  <c r="AK323" i="5"/>
  <c r="AS323" i="5"/>
  <c r="BD328" i="5"/>
  <c r="W335" i="5"/>
  <c r="BB328" i="5"/>
  <c r="AM335" i="5"/>
  <c r="BJ331" i="5"/>
  <c r="BF351" i="5"/>
  <c r="BJ354" i="5"/>
  <c r="BL354" i="5" s="1"/>
  <c r="BJ370" i="5"/>
  <c r="BL370" i="5" s="1"/>
  <c r="BD372" i="5"/>
  <c r="AO382" i="5"/>
  <c r="BJ415" i="5"/>
  <c r="BL415" i="5" s="1"/>
  <c r="BJ419" i="5"/>
  <c r="BL419" i="5" s="1"/>
  <c r="BJ423" i="5"/>
  <c r="BJ472" i="5"/>
  <c r="BL472" i="5" s="1"/>
  <c r="AZ594" i="5"/>
  <c r="BJ214" i="5"/>
  <c r="BL214" i="5" s="1"/>
  <c r="BJ218" i="5"/>
  <c r="BL218" i="5" s="1"/>
  <c r="BH219" i="5"/>
  <c r="BF226" i="5"/>
  <c r="BJ225" i="5"/>
  <c r="BJ250" i="5"/>
  <c r="BL250" i="5" s="1"/>
  <c r="BJ269" i="5"/>
  <c r="BJ273" i="5"/>
  <c r="BL273" i="5" s="1"/>
  <c r="BJ277" i="5"/>
  <c r="BJ289" i="5"/>
  <c r="BJ293" i="5"/>
  <c r="BL293" i="5" s="1"/>
  <c r="BJ303" i="5"/>
  <c r="BL303" i="5" s="1"/>
  <c r="BJ305" i="5"/>
  <c r="BL305" i="5" s="1"/>
  <c r="BJ313" i="5"/>
  <c r="BL313" i="5" s="1"/>
  <c r="BJ318" i="5"/>
  <c r="BL318" i="5" s="1"/>
  <c r="BF319" i="5"/>
  <c r="BJ319" i="5" s="1"/>
  <c r="BD319" i="5"/>
  <c r="AZ322" i="5"/>
  <c r="BJ339" i="5"/>
  <c r="BL339" i="5" s="1"/>
  <c r="BJ359" i="5"/>
  <c r="BL359" i="5" s="1"/>
  <c r="AM382" i="5"/>
  <c r="Y468" i="5"/>
  <c r="AO468" i="5"/>
  <c r="E580" i="5"/>
  <c r="E588" i="5" s="1"/>
  <c r="E597" i="5" s="1"/>
  <c r="U580" i="5"/>
  <c r="U588" i="5" s="1"/>
  <c r="U597" i="5" s="1"/>
  <c r="BF258" i="5"/>
  <c r="BF260" i="5" s="1"/>
  <c r="AZ297" i="5"/>
  <c r="BJ275" i="5"/>
  <c r="BL275" i="5" s="1"/>
  <c r="BJ279" i="5"/>
  <c r="BL279" i="5" s="1"/>
  <c r="BJ287" i="5"/>
  <c r="BL287" i="5" s="1"/>
  <c r="BJ291" i="5"/>
  <c r="BL291" i="5" s="1"/>
  <c r="BJ295" i="5"/>
  <c r="BL295" i="5" s="1"/>
  <c r="O323" i="5"/>
  <c r="BB314" i="5"/>
  <c r="AT323" i="5"/>
  <c r="BJ316" i="5"/>
  <c r="BL316" i="5" s="1"/>
  <c r="AI323" i="5"/>
  <c r="BJ326" i="5"/>
  <c r="BL326" i="5" s="1"/>
  <c r="BJ332" i="5"/>
  <c r="BL332" i="5" s="1"/>
  <c r="BB346" i="5"/>
  <c r="BF369" i="5"/>
  <c r="BH369" i="5"/>
  <c r="BJ371" i="5"/>
  <c r="BL371" i="5" s="1"/>
  <c r="AZ375" i="5"/>
  <c r="BB375" i="5"/>
  <c r="BJ378" i="5"/>
  <c r="BL378" i="5" s="1"/>
  <c r="C382" i="5"/>
  <c r="K382" i="5"/>
  <c r="S382" i="5"/>
  <c r="AI382" i="5"/>
  <c r="AQ382" i="5"/>
  <c r="BD387" i="5"/>
  <c r="BB387" i="5"/>
  <c r="BJ409" i="5"/>
  <c r="BF410" i="5"/>
  <c r="BD410" i="5"/>
  <c r="BD413" i="5"/>
  <c r="BB413" i="5"/>
  <c r="AT427" i="5"/>
  <c r="BJ420" i="5"/>
  <c r="BL420" i="5" s="1"/>
  <c r="I427" i="5"/>
  <c r="Q427" i="5"/>
  <c r="Y427" i="5"/>
  <c r="AG427" i="5"/>
  <c r="AG477" i="5" s="1"/>
  <c r="AO427" i="5"/>
  <c r="AV427" i="5"/>
  <c r="AV477" i="5" s="1"/>
  <c r="BD432" i="5"/>
  <c r="BD439" i="5" s="1"/>
  <c r="BB432" i="5"/>
  <c r="BJ434" i="5"/>
  <c r="BL434" i="5" s="1"/>
  <c r="BH452" i="5"/>
  <c r="BJ460" i="5"/>
  <c r="BL460" i="5" s="1"/>
  <c r="BJ464" i="5"/>
  <c r="BL464" i="5" s="1"/>
  <c r="O468" i="5"/>
  <c r="AT468" i="5"/>
  <c r="BJ473" i="5"/>
  <c r="BL473" i="5" s="1"/>
  <c r="BB506" i="5"/>
  <c r="AZ558" i="5"/>
  <c r="BJ358" i="5"/>
  <c r="BL358" i="5" s="1"/>
  <c r="BJ362" i="5"/>
  <c r="BL362" i="5" s="1"/>
  <c r="O382" i="5"/>
  <c r="BB369" i="5"/>
  <c r="BJ373" i="5"/>
  <c r="BH375" i="5"/>
  <c r="BH382" i="5" s="1"/>
  <c r="Y382" i="5"/>
  <c r="BJ385" i="5"/>
  <c r="BL385" i="5" s="1"/>
  <c r="BJ396" i="5"/>
  <c r="BL396" i="5" s="1"/>
  <c r="O400" i="5"/>
  <c r="BB399" i="5"/>
  <c r="BB400" i="5" s="1"/>
  <c r="AT400" i="5"/>
  <c r="U427" i="5"/>
  <c r="BJ417" i="5"/>
  <c r="BL417" i="5" s="1"/>
  <c r="BJ421" i="5"/>
  <c r="BL421" i="5" s="1"/>
  <c r="BJ425" i="5"/>
  <c r="BL425" i="5" s="1"/>
  <c r="C427" i="5"/>
  <c r="K427" i="5"/>
  <c r="S427" i="5"/>
  <c r="S477" i="5" s="1"/>
  <c r="AA427" i="5"/>
  <c r="AI427" i="5"/>
  <c r="AQ427" i="5"/>
  <c r="BH426" i="5"/>
  <c r="BH432" i="5"/>
  <c r="BJ449" i="5"/>
  <c r="BL449" i="5" s="1"/>
  <c r="BJ455" i="5"/>
  <c r="BL455" i="5" s="1"/>
  <c r="BF456" i="5"/>
  <c r="BD456" i="5"/>
  <c r="AI468" i="5"/>
  <c r="AI477" i="5" s="1"/>
  <c r="AX468" i="5"/>
  <c r="BD506" i="5"/>
  <c r="M580" i="5"/>
  <c r="M588" i="5" s="1"/>
  <c r="M597" i="5" s="1"/>
  <c r="AS580" i="5"/>
  <c r="AS588" i="5" s="1"/>
  <c r="AS597" i="5" s="1"/>
  <c r="AZ579" i="5"/>
  <c r="S580" i="5"/>
  <c r="S588" i="5" s="1"/>
  <c r="S597" i="5" s="1"/>
  <c r="AX580" i="5"/>
  <c r="AX588" i="5" s="1"/>
  <c r="AX597" i="5" s="1"/>
  <c r="AZ586" i="5"/>
  <c r="J502" i="33"/>
  <c r="J109" i="36"/>
  <c r="J161" i="36"/>
  <c r="B348" i="36"/>
  <c r="B444" i="36"/>
  <c r="B165" i="33"/>
  <c r="B161" i="36"/>
  <c r="B219" i="36"/>
  <c r="J327" i="36"/>
  <c r="J381" i="36"/>
  <c r="J383" i="36" s="1"/>
  <c r="J438" i="36"/>
  <c r="J508" i="36"/>
  <c r="J511" i="36" s="1"/>
  <c r="A3" i="3"/>
  <c r="Z21" i="4"/>
  <c r="AH21" i="4"/>
  <c r="A3" i="9"/>
  <c r="A3" i="26"/>
  <c r="A3" i="28"/>
  <c r="A3" i="32"/>
  <c r="A3" i="33"/>
  <c r="A3" i="13"/>
  <c r="A3" i="17"/>
  <c r="A3" i="19"/>
  <c r="A3" i="24"/>
  <c r="A3" i="27"/>
  <c r="V313" i="4"/>
  <c r="A3" i="5"/>
  <c r="A3" i="12"/>
  <c r="A3" i="14"/>
  <c r="A3" i="20"/>
  <c r="A3" i="23"/>
  <c r="A3" i="25"/>
  <c r="H41" i="4"/>
  <c r="H12" i="1"/>
  <c r="H46" i="4"/>
  <c r="H22" i="1"/>
  <c r="J48" i="4"/>
  <c r="J49" i="4"/>
  <c r="J57" i="4"/>
  <c r="J59" i="4"/>
  <c r="J116" i="4"/>
  <c r="H124" i="4"/>
  <c r="H125" i="4" s="1"/>
  <c r="H127" i="4" s="1"/>
  <c r="H104" i="1"/>
  <c r="H106" i="1" s="1"/>
  <c r="L111" i="1"/>
  <c r="F112" i="1"/>
  <c r="F114" i="1" s="1"/>
  <c r="G14" i="35"/>
  <c r="H210" i="4"/>
  <c r="G17" i="35"/>
  <c r="H213" i="4"/>
  <c r="P220" i="4"/>
  <c r="O24" i="35"/>
  <c r="C34" i="8"/>
  <c r="U34" i="8" s="1"/>
  <c r="F225" i="4"/>
  <c r="E29" i="35"/>
  <c r="H228" i="4"/>
  <c r="H253" i="4" s="1"/>
  <c r="G32" i="35"/>
  <c r="O39" i="35"/>
  <c r="P267" i="4"/>
  <c r="O43" i="35"/>
  <c r="P270" i="4"/>
  <c r="F272" i="4"/>
  <c r="E45" i="35"/>
  <c r="S50" i="35"/>
  <c r="T276" i="4"/>
  <c r="U48" i="2"/>
  <c r="H281" i="4"/>
  <c r="G55" i="35"/>
  <c r="G69" i="2"/>
  <c r="G58" i="35"/>
  <c r="H284" i="4"/>
  <c r="I61" i="35"/>
  <c r="J287" i="4"/>
  <c r="I70" i="2"/>
  <c r="S62" i="35"/>
  <c r="T288" i="4"/>
  <c r="U60" i="2"/>
  <c r="O86" i="35"/>
  <c r="P234" i="4"/>
  <c r="D15" i="10"/>
  <c r="D15" i="9"/>
  <c r="D15" i="11"/>
  <c r="F32" i="11"/>
  <c r="F32" i="9"/>
  <c r="F32" i="10"/>
  <c r="F57" i="10"/>
  <c r="D67" i="10"/>
  <c r="J67" i="10" s="1"/>
  <c r="L67" i="10" s="1"/>
  <c r="H22" i="14"/>
  <c r="H24" i="14" s="1"/>
  <c r="D27" i="15"/>
  <c r="D27" i="16"/>
  <c r="D27" i="17"/>
  <c r="D37" i="15"/>
  <c r="D37" i="17"/>
  <c r="D37" i="16"/>
  <c r="F62" i="17"/>
  <c r="F62" i="15"/>
  <c r="F62" i="16"/>
  <c r="D81" i="17"/>
  <c r="D81" i="16"/>
  <c r="D81" i="15"/>
  <c r="F115" i="16"/>
  <c r="D18" i="19"/>
  <c r="D50" i="23"/>
  <c r="D50" i="22"/>
  <c r="D50" i="21" s="1"/>
  <c r="F135" i="4" s="1"/>
  <c r="F174" i="4" s="1"/>
  <c r="D56" i="23"/>
  <c r="D56" i="22"/>
  <c r="P13" i="36"/>
  <c r="H24" i="36"/>
  <c r="L39" i="36"/>
  <c r="F65" i="36"/>
  <c r="R77" i="33"/>
  <c r="D76" i="36"/>
  <c r="L84" i="36"/>
  <c r="L97" i="36"/>
  <c r="L110" i="33"/>
  <c r="H108" i="36"/>
  <c r="F129" i="36"/>
  <c r="D140" i="36"/>
  <c r="R141" i="33"/>
  <c r="L148" i="36"/>
  <c r="F159" i="36"/>
  <c r="F171" i="36"/>
  <c r="D182" i="36"/>
  <c r="R183" i="33"/>
  <c r="H187" i="36"/>
  <c r="P272" i="33"/>
  <c r="P220" i="36"/>
  <c r="L242" i="36"/>
  <c r="F264" i="36"/>
  <c r="L295" i="36"/>
  <c r="L316" i="36"/>
  <c r="D333" i="36"/>
  <c r="R335" i="33"/>
  <c r="P360" i="36"/>
  <c r="P380" i="36"/>
  <c r="T195" i="4"/>
  <c r="F431" i="36"/>
  <c r="D462" i="36"/>
  <c r="R465" i="33"/>
  <c r="D484" i="36"/>
  <c r="R487" i="33"/>
  <c r="J22" i="1"/>
  <c r="J46" i="4"/>
  <c r="L62" i="1"/>
  <c r="F64" i="1"/>
  <c r="F137" i="4" s="1"/>
  <c r="F176" i="4" s="1"/>
  <c r="H97" i="4"/>
  <c r="H79" i="1"/>
  <c r="F102" i="4"/>
  <c r="L82" i="1"/>
  <c r="F89" i="1"/>
  <c r="H104" i="4"/>
  <c r="L88" i="1"/>
  <c r="N88" i="1" s="1"/>
  <c r="F108" i="4"/>
  <c r="S14" i="35"/>
  <c r="T210" i="4"/>
  <c r="U14" i="2"/>
  <c r="T213" i="4"/>
  <c r="S17" i="35"/>
  <c r="U17" i="2"/>
  <c r="Q21" i="35"/>
  <c r="R217" i="4"/>
  <c r="Q24" i="35"/>
  <c r="R220" i="4"/>
  <c r="S27" i="35"/>
  <c r="U27" i="2"/>
  <c r="T223" i="4"/>
  <c r="S30" i="35"/>
  <c r="T226" i="4"/>
  <c r="U30" i="2"/>
  <c r="G38" i="35"/>
  <c r="H266" i="4"/>
  <c r="S43" i="35"/>
  <c r="T270" i="4"/>
  <c r="U42" i="2"/>
  <c r="O49" i="35"/>
  <c r="P275" i="4"/>
  <c r="S55" i="35"/>
  <c r="T281" i="4"/>
  <c r="S69" i="2"/>
  <c r="U53" i="2"/>
  <c r="S58" i="35"/>
  <c r="T284" i="4"/>
  <c r="U56" i="2"/>
  <c r="I63" i="35"/>
  <c r="J289" i="4"/>
  <c r="E84" i="35"/>
  <c r="C41" i="8"/>
  <c r="F232" i="4"/>
  <c r="E85" i="2"/>
  <c r="F13" i="11"/>
  <c r="F13" i="9"/>
  <c r="F13" i="10"/>
  <c r="D19" i="10"/>
  <c r="D19" i="9"/>
  <c r="D19" i="11"/>
  <c r="F30" i="11"/>
  <c r="F30" i="9"/>
  <c r="F30" i="10"/>
  <c r="F36" i="11"/>
  <c r="F36" i="9"/>
  <c r="F36" i="10"/>
  <c r="J63" i="12"/>
  <c r="L63" i="12" s="1"/>
  <c r="D11" i="17"/>
  <c r="D11" i="16"/>
  <c r="D11" i="15"/>
  <c r="D29" i="18"/>
  <c r="F22" i="17"/>
  <c r="F22" i="16"/>
  <c r="F22" i="15"/>
  <c r="J39" i="18"/>
  <c r="L39" i="18" s="1"/>
  <c r="H39" i="17"/>
  <c r="H39" i="16"/>
  <c r="H39" i="15"/>
  <c r="J62" i="18"/>
  <c r="L62" i="18" s="1"/>
  <c r="H62" i="17"/>
  <c r="H62" i="15"/>
  <c r="H62" i="16"/>
  <c r="J81" i="18"/>
  <c r="L81" i="18" s="1"/>
  <c r="H81" i="17"/>
  <c r="H81" i="15"/>
  <c r="H81" i="16"/>
  <c r="D95" i="17"/>
  <c r="D94" i="16"/>
  <c r="H123" i="16"/>
  <c r="H151" i="18"/>
  <c r="H146" i="16"/>
  <c r="D19" i="19"/>
  <c r="D93" i="15" s="1"/>
  <c r="F23" i="22"/>
  <c r="F23" i="23"/>
  <c r="F23" i="21"/>
  <c r="J46" i="24"/>
  <c r="L46" i="24" s="1"/>
  <c r="H46" i="23"/>
  <c r="H46" i="22"/>
  <c r="D86" i="22"/>
  <c r="J86" i="22" s="1"/>
  <c r="L86" i="22" s="1"/>
  <c r="D97" i="22"/>
  <c r="J97" i="22" s="1"/>
  <c r="L97" i="22" s="1"/>
  <c r="N14" i="36"/>
  <c r="H25" i="36"/>
  <c r="H45" i="36"/>
  <c r="L67" i="36"/>
  <c r="P99" i="36"/>
  <c r="P117" i="36"/>
  <c r="L131" i="36"/>
  <c r="H142" i="36"/>
  <c r="H160" i="36"/>
  <c r="R178" i="33"/>
  <c r="D177" i="36"/>
  <c r="F220" i="33"/>
  <c r="F217" i="36"/>
  <c r="F221" i="36"/>
  <c r="H264" i="36"/>
  <c r="D281" i="36"/>
  <c r="R282" i="33"/>
  <c r="L307" i="36"/>
  <c r="L347" i="36"/>
  <c r="D393" i="36"/>
  <c r="R396" i="33"/>
  <c r="H190" i="4"/>
  <c r="H247" i="4" s="1"/>
  <c r="F425" i="36"/>
  <c r="D442" i="36"/>
  <c r="R445" i="33"/>
  <c r="D474" i="36"/>
  <c r="M59" i="8"/>
  <c r="R477" i="33"/>
  <c r="L46" i="34"/>
  <c r="F51" i="4"/>
  <c r="L20" i="1"/>
  <c r="N20" i="1" s="1"/>
  <c r="L28" i="1"/>
  <c r="N28" i="1" s="1"/>
  <c r="F59" i="4"/>
  <c r="F67" i="1"/>
  <c r="F59" i="1"/>
  <c r="L56" i="1"/>
  <c r="F87" i="4"/>
  <c r="J89" i="4"/>
  <c r="J69" i="1"/>
  <c r="H89" i="1"/>
  <c r="H102" i="4"/>
  <c r="J103" i="4"/>
  <c r="J104" i="4"/>
  <c r="F106" i="4"/>
  <c r="L86" i="1"/>
  <c r="N86" i="1" s="1"/>
  <c r="H107" i="4"/>
  <c r="H108" i="4"/>
  <c r="H97" i="1"/>
  <c r="H112" i="4"/>
  <c r="H113" i="4"/>
  <c r="L96" i="1"/>
  <c r="N96" i="1" s="1"/>
  <c r="F116" i="4"/>
  <c r="G10" i="35"/>
  <c r="H206" i="4"/>
  <c r="G33" i="2"/>
  <c r="C11" i="8"/>
  <c r="F207" i="4"/>
  <c r="E11" i="35"/>
  <c r="G12" i="35"/>
  <c r="H208" i="4"/>
  <c r="I13" i="35"/>
  <c r="J209" i="4"/>
  <c r="O16" i="35"/>
  <c r="P212" i="4"/>
  <c r="G19" i="35"/>
  <c r="H215" i="4"/>
  <c r="Q20" i="35"/>
  <c r="R216" i="4"/>
  <c r="G22" i="35"/>
  <c r="H218" i="4"/>
  <c r="S23" i="35"/>
  <c r="T219" i="4"/>
  <c r="U23" i="2"/>
  <c r="G25" i="35"/>
  <c r="H221" i="4"/>
  <c r="S26" i="35"/>
  <c r="U26" i="2"/>
  <c r="T222" i="4"/>
  <c r="I28" i="35"/>
  <c r="J224" i="4"/>
  <c r="S29" i="35"/>
  <c r="T225" i="4"/>
  <c r="U29" i="2"/>
  <c r="G37" i="35"/>
  <c r="H265" i="4"/>
  <c r="S38" i="35"/>
  <c r="T266" i="4"/>
  <c r="U38" i="2"/>
  <c r="G40" i="35"/>
  <c r="H268" i="4"/>
  <c r="S41" i="35"/>
  <c r="T269" i="4"/>
  <c r="U41" i="2"/>
  <c r="I44" i="35"/>
  <c r="J271" i="4"/>
  <c r="O48" i="35"/>
  <c r="P274" i="4"/>
  <c r="F276" i="4"/>
  <c r="E50" i="35"/>
  <c r="O54" i="35"/>
  <c r="O68" i="2"/>
  <c r="P280" i="4"/>
  <c r="O65" i="2"/>
  <c r="P283" i="4"/>
  <c r="O57" i="35"/>
  <c r="E59" i="35"/>
  <c r="F285" i="4"/>
  <c r="O60" i="35"/>
  <c r="P286" i="4"/>
  <c r="E62" i="35"/>
  <c r="F288" i="4"/>
  <c r="R289" i="4"/>
  <c r="Q63" i="35"/>
  <c r="E65" i="35"/>
  <c r="F291" i="4"/>
  <c r="Q66" i="35"/>
  <c r="R292" i="4"/>
  <c r="H232" i="4"/>
  <c r="G85" i="2"/>
  <c r="G84" i="35"/>
  <c r="S85" i="35"/>
  <c r="U83" i="2"/>
  <c r="T233" i="4"/>
  <c r="H16" i="10"/>
  <c r="J16" i="12"/>
  <c r="L16" i="12" s="1"/>
  <c r="H16" i="9"/>
  <c r="H16" i="11"/>
  <c r="H19" i="11"/>
  <c r="J19" i="12"/>
  <c r="L19" i="12" s="1"/>
  <c r="H19" i="10"/>
  <c r="H19" i="9"/>
  <c r="F22" i="11"/>
  <c r="F22" i="9"/>
  <c r="F22" i="10"/>
  <c r="D25" i="10"/>
  <c r="D25" i="9"/>
  <c r="D25" i="11"/>
  <c r="J33" i="12"/>
  <c r="L33" i="12" s="1"/>
  <c r="H33" i="11"/>
  <c r="H33" i="10"/>
  <c r="H33" i="9"/>
  <c r="H36" i="10"/>
  <c r="J36" i="12"/>
  <c r="L36" i="12" s="1"/>
  <c r="H36" i="9"/>
  <c r="H36" i="11"/>
  <c r="H39" i="11"/>
  <c r="H39" i="10"/>
  <c r="H39" i="9"/>
  <c r="J39" i="12"/>
  <c r="L39" i="12" s="1"/>
  <c r="D53" i="10"/>
  <c r="J61" i="12"/>
  <c r="L61" i="12" s="1"/>
  <c r="H62" i="10"/>
  <c r="J64" i="12"/>
  <c r="L64" i="12" s="1"/>
  <c r="J18" i="18"/>
  <c r="L18" i="18" s="1"/>
  <c r="H18" i="15"/>
  <c r="H18" i="16"/>
  <c r="H18" i="17"/>
  <c r="D24" i="16"/>
  <c r="F34" i="17"/>
  <c r="F34" i="16"/>
  <c r="F34" i="15"/>
  <c r="F59" i="16"/>
  <c r="F59" i="15"/>
  <c r="F68" i="18"/>
  <c r="F59" i="17"/>
  <c r="F78" i="15"/>
  <c r="F78" i="17"/>
  <c r="F78" i="16"/>
  <c r="F112" i="16"/>
  <c r="J117" i="18"/>
  <c r="L117" i="18" s="1"/>
  <c r="D118" i="16"/>
  <c r="F125" i="16"/>
  <c r="J129" i="18"/>
  <c r="D130" i="16"/>
  <c r="D134" i="18"/>
  <c r="F156" i="16"/>
  <c r="D15" i="19"/>
  <c r="D87" i="15" s="1"/>
  <c r="D18" i="20"/>
  <c r="D21" i="20" s="1"/>
  <c r="D27" i="20"/>
  <c r="D11" i="19"/>
  <c r="D159" i="16"/>
  <c r="H18" i="21"/>
  <c r="J18" i="24"/>
  <c r="L18" i="24" s="1"/>
  <c r="H18" i="23"/>
  <c r="H18" i="22"/>
  <c r="F24" i="21"/>
  <c r="F24" i="22"/>
  <c r="F24" i="23"/>
  <c r="D30" i="23"/>
  <c r="D30" i="21"/>
  <c r="D30" i="22"/>
  <c r="D38" i="24"/>
  <c r="H47" i="22"/>
  <c r="J47" i="24"/>
  <c r="L47" i="24" s="1"/>
  <c r="H47" i="23"/>
  <c r="D53" i="23"/>
  <c r="D53" i="22"/>
  <c r="J106" i="24"/>
  <c r="L106" i="24" s="1"/>
  <c r="H106" i="22"/>
  <c r="D18" i="25"/>
  <c r="J18" i="26"/>
  <c r="F16" i="36"/>
  <c r="P21" i="36"/>
  <c r="R28" i="33"/>
  <c r="D27" i="36"/>
  <c r="N36" i="36"/>
  <c r="F47" i="36"/>
  <c r="N52" i="36"/>
  <c r="H62" i="36"/>
  <c r="R69" i="33"/>
  <c r="D68" i="36"/>
  <c r="H73" i="36"/>
  <c r="P81" i="36"/>
  <c r="F87" i="36"/>
  <c r="N92" i="36"/>
  <c r="F100" i="36"/>
  <c r="L105" i="36"/>
  <c r="R115" i="33"/>
  <c r="D114" i="36"/>
  <c r="H119" i="36"/>
  <c r="D125" i="36"/>
  <c r="R126" i="33"/>
  <c r="D132" i="36"/>
  <c r="R133" i="33"/>
  <c r="H137" i="36"/>
  <c r="N142" i="36"/>
  <c r="F151" i="36"/>
  <c r="N156" i="36"/>
  <c r="D174" i="36"/>
  <c r="R175" i="33"/>
  <c r="H179" i="36"/>
  <c r="N184" i="36"/>
  <c r="F191" i="36"/>
  <c r="L199" i="36"/>
  <c r="H226" i="36"/>
  <c r="P247" i="36"/>
  <c r="P269" i="36"/>
  <c r="F275" i="36"/>
  <c r="F289" i="33"/>
  <c r="D286" i="36"/>
  <c r="R287" i="33"/>
  <c r="D290" i="36"/>
  <c r="R291" i="33"/>
  <c r="N310" i="36"/>
  <c r="D324" i="36"/>
  <c r="R326" i="33"/>
  <c r="H338" i="36"/>
  <c r="F356" i="36"/>
  <c r="R369" i="33"/>
  <c r="D366" i="36"/>
  <c r="F393" i="36"/>
  <c r="D404" i="36"/>
  <c r="R407" i="33"/>
  <c r="N409" i="36"/>
  <c r="N425" i="36"/>
  <c r="R190" i="4"/>
  <c r="R247" i="4" s="1"/>
  <c r="L436" i="36"/>
  <c r="P467" i="36"/>
  <c r="L478" i="36"/>
  <c r="L507" i="36"/>
  <c r="H42" i="4"/>
  <c r="H47" i="4"/>
  <c r="J50" i="4"/>
  <c r="H30" i="1"/>
  <c r="H56" i="4"/>
  <c r="J58" i="4"/>
  <c r="J68" i="4"/>
  <c r="J69" i="4" s="1"/>
  <c r="J71" i="4" s="1"/>
  <c r="J38" i="1"/>
  <c r="J40" i="1" s="1"/>
  <c r="L77" i="1"/>
  <c r="F79" i="1"/>
  <c r="F97" i="4"/>
  <c r="F98" i="4"/>
  <c r="L78" i="1"/>
  <c r="N78" i="1" s="1"/>
  <c r="J115" i="4"/>
  <c r="S10" i="35"/>
  <c r="S33" i="2"/>
  <c r="T206" i="4"/>
  <c r="U10" i="2"/>
  <c r="Q11" i="35"/>
  <c r="R207" i="4"/>
  <c r="Q12" i="35"/>
  <c r="R208" i="4"/>
  <c r="Q15" i="35"/>
  <c r="R211" i="4"/>
  <c r="S18" i="35"/>
  <c r="T214" i="4"/>
  <c r="U18" i="2"/>
  <c r="O21" i="35"/>
  <c r="P217" i="4"/>
  <c r="E26" i="35"/>
  <c r="C31" i="8"/>
  <c r="U31" i="8" s="1"/>
  <c r="F222" i="4"/>
  <c r="O27" i="35"/>
  <c r="P223" i="4"/>
  <c r="R226" i="4"/>
  <c r="Q30" i="35"/>
  <c r="O36" i="35"/>
  <c r="P264" i="4"/>
  <c r="O49" i="2"/>
  <c r="E41" i="35"/>
  <c r="F269" i="4"/>
  <c r="S46" i="35"/>
  <c r="T273" i="4"/>
  <c r="U45" i="2"/>
  <c r="H275" i="4"/>
  <c r="G49" i="35"/>
  <c r="S56" i="35"/>
  <c r="U54" i="2"/>
  <c r="T282" i="4"/>
  <c r="S59" i="35"/>
  <c r="T285" i="4"/>
  <c r="U57" i="2"/>
  <c r="I64" i="35"/>
  <c r="J290" i="4"/>
  <c r="F12" i="11"/>
  <c r="F12" i="9"/>
  <c r="H132" i="4" s="1"/>
  <c r="F12" i="10"/>
  <c r="D18" i="10"/>
  <c r="D18" i="11"/>
  <c r="D18" i="9"/>
  <c r="F29" i="11"/>
  <c r="F29" i="9"/>
  <c r="F29" i="10"/>
  <c r="D35" i="10"/>
  <c r="D35" i="9"/>
  <c r="D35" i="11"/>
  <c r="F21" i="17"/>
  <c r="F21" i="16"/>
  <c r="F21" i="15"/>
  <c r="J48" i="18"/>
  <c r="L48" i="18" s="1"/>
  <c r="H48" i="16"/>
  <c r="H48" i="17"/>
  <c r="H48" i="15"/>
  <c r="F75" i="16"/>
  <c r="F75" i="15"/>
  <c r="F75" i="17"/>
  <c r="F88" i="17"/>
  <c r="F88" i="16"/>
  <c r="F88" i="15"/>
  <c r="F126" i="18"/>
  <c r="F122" i="16"/>
  <c r="F21" i="22"/>
  <c r="F21" i="23"/>
  <c r="F21" i="21"/>
  <c r="H67" i="21"/>
  <c r="H68" i="23"/>
  <c r="J68" i="24"/>
  <c r="H68" i="22"/>
  <c r="J110" i="24"/>
  <c r="L110" i="24" s="1"/>
  <c r="D14" i="25"/>
  <c r="J14" i="26"/>
  <c r="L14" i="26" s="1"/>
  <c r="R19" i="33"/>
  <c r="D19" i="36"/>
  <c r="P33" i="36"/>
  <c r="H44" i="36"/>
  <c r="L70" i="36"/>
  <c r="P89" i="36"/>
  <c r="F95" i="36"/>
  <c r="H111" i="36"/>
  <c r="F122" i="36"/>
  <c r="L134" i="36"/>
  <c r="P153" i="36"/>
  <c r="N168" i="36"/>
  <c r="L176" i="36"/>
  <c r="P194" i="36"/>
  <c r="L209" i="36"/>
  <c r="H216" i="36"/>
  <c r="N231" i="36"/>
  <c r="F253" i="36"/>
  <c r="L280" i="36"/>
  <c r="H306" i="36"/>
  <c r="D344" i="36"/>
  <c r="R346" i="33"/>
  <c r="F349" i="36"/>
  <c r="H371" i="36"/>
  <c r="P398" i="36"/>
  <c r="H420" i="36"/>
  <c r="H441" i="33"/>
  <c r="F473" i="36"/>
  <c r="H493" i="36"/>
  <c r="J41" i="4"/>
  <c r="J12" i="1"/>
  <c r="H89" i="4"/>
  <c r="H69" i="1"/>
  <c r="J98" i="4"/>
  <c r="L83" i="1"/>
  <c r="N83" i="1" s="1"/>
  <c r="F103" i="4"/>
  <c r="L93" i="1"/>
  <c r="N93" i="1" s="1"/>
  <c r="F113" i="4"/>
  <c r="J112" i="1"/>
  <c r="J114" i="1" s="1"/>
  <c r="G13" i="35"/>
  <c r="H209" i="4"/>
  <c r="G16" i="35"/>
  <c r="H212" i="4"/>
  <c r="C23" i="8"/>
  <c r="E20" i="35"/>
  <c r="F216" i="4"/>
  <c r="G23" i="35"/>
  <c r="H219" i="4"/>
  <c r="H222" i="4"/>
  <c r="G26" i="35"/>
  <c r="G29" i="35"/>
  <c r="H225" i="4"/>
  <c r="S32" i="35"/>
  <c r="U32" i="2"/>
  <c r="T228" i="4"/>
  <c r="Q36" i="35"/>
  <c r="R264" i="4"/>
  <c r="Q49" i="2"/>
  <c r="R267" i="4"/>
  <c r="Q39" i="35"/>
  <c r="G41" i="35"/>
  <c r="H269" i="4"/>
  <c r="G45" i="35"/>
  <c r="H272" i="4"/>
  <c r="G54" i="35"/>
  <c r="H280" i="4"/>
  <c r="G68" i="2"/>
  <c r="G65" i="2"/>
  <c r="I57" i="35"/>
  <c r="J283" i="4"/>
  <c r="I60" i="35"/>
  <c r="J286" i="4"/>
  <c r="O66" i="35"/>
  <c r="P292" i="4"/>
  <c r="O85" i="35"/>
  <c r="P233" i="4"/>
  <c r="F16" i="11"/>
  <c r="F16" i="9"/>
  <c r="F16" i="10"/>
  <c r="F33" i="11"/>
  <c r="F33" i="9"/>
  <c r="F33" i="10"/>
  <c r="F67" i="12"/>
  <c r="F70" i="12" s="1"/>
  <c r="J60" i="12"/>
  <c r="L60" i="12" s="1"/>
  <c r="F72" i="10"/>
  <c r="D28" i="15"/>
  <c r="D28" i="17"/>
  <c r="D28" i="16"/>
  <c r="J88" i="18"/>
  <c r="L88" i="18" s="1"/>
  <c r="H88" i="17"/>
  <c r="H88" i="16"/>
  <c r="H88" i="15"/>
  <c r="F116" i="16"/>
  <c r="H142" i="16"/>
  <c r="F17" i="22"/>
  <c r="F17" i="23"/>
  <c r="F17" i="21"/>
  <c r="D52" i="23"/>
  <c r="D52" i="22"/>
  <c r="D52" i="21" s="1"/>
  <c r="D104" i="22"/>
  <c r="F17" i="25"/>
  <c r="D20" i="36"/>
  <c r="R20" i="36" s="1"/>
  <c r="R20" i="33"/>
  <c r="H36" i="36"/>
  <c r="D51" i="36"/>
  <c r="R52" i="33"/>
  <c r="D62" i="36"/>
  <c r="R63" i="33"/>
  <c r="N85" i="36"/>
  <c r="H105" i="36"/>
  <c r="R105" i="36" s="1"/>
  <c r="H112" i="36"/>
  <c r="F123" i="36"/>
  <c r="N149" i="36"/>
  <c r="P163" i="36"/>
  <c r="H171" i="36"/>
  <c r="H182" i="36"/>
  <c r="D188" i="36"/>
  <c r="R189" i="33"/>
  <c r="H195" i="36"/>
  <c r="N212" i="36"/>
  <c r="P231" i="36"/>
  <c r="P253" i="36"/>
  <c r="H296" i="36"/>
  <c r="L317" i="36"/>
  <c r="D363" i="36"/>
  <c r="R366" i="33"/>
  <c r="H436" i="36"/>
  <c r="F463" i="36"/>
  <c r="N505" i="36"/>
  <c r="F50" i="4"/>
  <c r="L19" i="1"/>
  <c r="N19" i="1" s="1"/>
  <c r="F52" i="4"/>
  <c r="L21" i="1"/>
  <c r="N21" i="1" s="1"/>
  <c r="F60" i="4"/>
  <c r="L29" i="1"/>
  <c r="N29" i="1" s="1"/>
  <c r="H68" i="1"/>
  <c r="H88" i="4"/>
  <c r="J64" i="1"/>
  <c r="J137" i="4" s="1"/>
  <c r="J176" i="4" s="1"/>
  <c r="F12" i="1"/>
  <c r="L10" i="1"/>
  <c r="F41" i="4"/>
  <c r="F42" i="4"/>
  <c r="L11" i="1"/>
  <c r="N11" i="1" s="1"/>
  <c r="F46" i="4"/>
  <c r="L15" i="1"/>
  <c r="F22" i="1"/>
  <c r="L16" i="1"/>
  <c r="N16" i="1" s="1"/>
  <c r="F47" i="4"/>
  <c r="F48" i="4"/>
  <c r="L17" i="1"/>
  <c r="N17" i="1" s="1"/>
  <c r="H49" i="4"/>
  <c r="H50" i="4"/>
  <c r="H51" i="4"/>
  <c r="J52" i="4"/>
  <c r="F56" i="4"/>
  <c r="F30" i="1"/>
  <c r="L25" i="1"/>
  <c r="F57" i="4"/>
  <c r="L26" i="1"/>
  <c r="N26" i="1" s="1"/>
  <c r="H58" i="4"/>
  <c r="H59" i="4"/>
  <c r="H60" i="4"/>
  <c r="F68" i="4"/>
  <c r="L37" i="1"/>
  <c r="F38" i="1"/>
  <c r="F40" i="1" s="1"/>
  <c r="J87" i="4"/>
  <c r="J59" i="1"/>
  <c r="J67" i="1"/>
  <c r="J88" i="4"/>
  <c r="J68" i="1"/>
  <c r="J106" i="4"/>
  <c r="J107" i="4"/>
  <c r="J108" i="4"/>
  <c r="J112" i="4"/>
  <c r="J97" i="1"/>
  <c r="J113" i="4"/>
  <c r="H115" i="4"/>
  <c r="H116" i="4"/>
  <c r="F124" i="4"/>
  <c r="F104" i="1"/>
  <c r="F106" i="1" s="1"/>
  <c r="L103" i="1"/>
  <c r="I10" i="35"/>
  <c r="J206" i="4"/>
  <c r="I33" i="2"/>
  <c r="O11" i="35"/>
  <c r="P207" i="4"/>
  <c r="P208" i="4"/>
  <c r="O12" i="35"/>
  <c r="O15" i="35"/>
  <c r="P211" i="4"/>
  <c r="E17" i="35"/>
  <c r="F213" i="4"/>
  <c r="C20" i="8"/>
  <c r="U20" i="8" s="1"/>
  <c r="W20" i="8" s="1"/>
  <c r="O18" i="35"/>
  <c r="P214" i="4"/>
  <c r="I19" i="35"/>
  <c r="J215" i="4"/>
  <c r="I22" i="35"/>
  <c r="J218" i="4"/>
  <c r="O25" i="35"/>
  <c r="P221" i="4"/>
  <c r="O28" i="35"/>
  <c r="P224" i="4"/>
  <c r="C35" i="8"/>
  <c r="E30" i="35"/>
  <c r="F226" i="4"/>
  <c r="E32" i="35"/>
  <c r="F228" i="4"/>
  <c r="F253" i="4" s="1"/>
  <c r="C12" i="8"/>
  <c r="U12" i="8" s="1"/>
  <c r="I37" i="35"/>
  <c r="J265" i="4"/>
  <c r="O40" i="35"/>
  <c r="P268" i="4"/>
  <c r="O44" i="35"/>
  <c r="P271" i="4"/>
  <c r="G46" i="35"/>
  <c r="H273" i="4"/>
  <c r="Q48" i="35"/>
  <c r="R274" i="4"/>
  <c r="G50" i="35"/>
  <c r="H276" i="4"/>
  <c r="E55" i="35"/>
  <c r="F281" i="4"/>
  <c r="E69" i="2"/>
  <c r="O56" i="35"/>
  <c r="P282" i="4"/>
  <c r="E58" i="35"/>
  <c r="F284" i="4"/>
  <c r="R285" i="4"/>
  <c r="Q59" i="35"/>
  <c r="E61" i="35"/>
  <c r="E70" i="2"/>
  <c r="F287" i="4"/>
  <c r="Q62" i="35"/>
  <c r="R288" i="4"/>
  <c r="G64" i="35"/>
  <c r="H290" i="4"/>
  <c r="Q65" i="35"/>
  <c r="R291" i="4"/>
  <c r="S84" i="35"/>
  <c r="S85" i="2"/>
  <c r="U82" i="2"/>
  <c r="T232" i="4"/>
  <c r="I86" i="35"/>
  <c r="J234" i="4"/>
  <c r="J17" i="12"/>
  <c r="L17" i="12" s="1"/>
  <c r="H17" i="11"/>
  <c r="H17" i="9"/>
  <c r="H17" i="10"/>
  <c r="H20" i="10"/>
  <c r="H20" i="9"/>
  <c r="J20" i="12"/>
  <c r="L20" i="12" s="1"/>
  <c r="H20" i="11"/>
  <c r="H23" i="11"/>
  <c r="H23" i="10"/>
  <c r="H23" i="9"/>
  <c r="J23" i="12"/>
  <c r="L23" i="12" s="1"/>
  <c r="D26" i="10"/>
  <c r="D26" i="11"/>
  <c r="D26" i="9"/>
  <c r="D29" i="10"/>
  <c r="D29" i="9"/>
  <c r="D29" i="11"/>
  <c r="J37" i="12"/>
  <c r="L37" i="12" s="1"/>
  <c r="H37" i="11"/>
  <c r="H37" i="10"/>
  <c r="H37" i="9"/>
  <c r="H40" i="10"/>
  <c r="H40" i="9"/>
  <c r="H40" i="11"/>
  <c r="J40" i="12"/>
  <c r="L40" i="12" s="1"/>
  <c r="J53" i="12"/>
  <c r="L53" i="12" s="1"/>
  <c r="H53" i="10"/>
  <c r="F56" i="10"/>
  <c r="D60" i="10"/>
  <c r="J60" i="10" s="1"/>
  <c r="L60" i="10" s="1"/>
  <c r="D66" i="10"/>
  <c r="F25" i="17"/>
  <c r="F25" i="16"/>
  <c r="F25" i="15"/>
  <c r="H65" i="17"/>
  <c r="J65" i="18"/>
  <c r="L65" i="18" s="1"/>
  <c r="H65" i="15"/>
  <c r="H65" i="16"/>
  <c r="H78" i="17"/>
  <c r="J78" i="18"/>
  <c r="L78" i="18" s="1"/>
  <c r="H78" i="16"/>
  <c r="H78" i="15"/>
  <c r="J91" i="18"/>
  <c r="L91" i="18" s="1"/>
  <c r="H91" i="17"/>
  <c r="H91" i="16"/>
  <c r="H91" i="15"/>
  <c r="D98" i="17"/>
  <c r="D97" i="16"/>
  <c r="D98" i="15"/>
  <c r="F113" i="16"/>
  <c r="F126" i="16"/>
  <c r="H132" i="16"/>
  <c r="H133" i="16"/>
  <c r="J148" i="18"/>
  <c r="L148" i="18" s="1"/>
  <c r="D149" i="16"/>
  <c r="F16" i="19"/>
  <c r="J32" i="20"/>
  <c r="L32" i="20" s="1"/>
  <c r="H159" i="16"/>
  <c r="F20" i="21"/>
  <c r="F20" i="23"/>
  <c r="F20" i="22"/>
  <c r="D31" i="23"/>
  <c r="D31" i="21"/>
  <c r="D31" i="22"/>
  <c r="D49" i="23"/>
  <c r="D49" i="22"/>
  <c r="D49" i="21" s="1"/>
  <c r="J60" i="24"/>
  <c r="L60" i="24" s="1"/>
  <c r="H60" i="22"/>
  <c r="H60" i="23"/>
  <c r="H66" i="21"/>
  <c r="J67" i="24"/>
  <c r="L67" i="24" s="1"/>
  <c r="H67" i="23"/>
  <c r="H67" i="22"/>
  <c r="D108" i="22"/>
  <c r="P11" i="36"/>
  <c r="F17" i="36"/>
  <c r="F28" i="36"/>
  <c r="R28" i="36" s="1"/>
  <c r="L33" i="36"/>
  <c r="F48" i="36"/>
  <c r="L53" i="36"/>
  <c r="H70" i="36"/>
  <c r="N75" i="36"/>
  <c r="P82" i="36"/>
  <c r="D88" i="36"/>
  <c r="R89" i="33"/>
  <c r="N93" i="36"/>
  <c r="F110" i="33"/>
  <c r="F97" i="36"/>
  <c r="L102" i="36"/>
  <c r="P107" i="36"/>
  <c r="F115" i="36"/>
  <c r="L120" i="36"/>
  <c r="D126" i="36"/>
  <c r="R127" i="33"/>
  <c r="H134" i="36"/>
  <c r="N139" i="36"/>
  <c r="P146" i="36"/>
  <c r="R146" i="36" s="1"/>
  <c r="P162" i="33"/>
  <c r="D152" i="36"/>
  <c r="R153" i="33"/>
  <c r="N157" i="36"/>
  <c r="F168" i="36"/>
  <c r="F174" i="36"/>
  <c r="L179" i="36"/>
  <c r="D185" i="36"/>
  <c r="R186" i="33"/>
  <c r="L191" i="36"/>
  <c r="N200" i="36"/>
  <c r="F207" i="36"/>
  <c r="F216" i="33"/>
  <c r="L226" i="36"/>
  <c r="L237" i="36"/>
  <c r="F248" i="36"/>
  <c r="R260" i="33"/>
  <c r="D259" i="36"/>
  <c r="F270" i="36"/>
  <c r="F273" i="36"/>
  <c r="H275" i="36"/>
  <c r="H289" i="33"/>
  <c r="H286" i="36"/>
  <c r="D291" i="36"/>
  <c r="R292" i="33"/>
  <c r="D302" i="36"/>
  <c r="R303" i="33"/>
  <c r="P311" i="36"/>
  <c r="H326" i="36"/>
  <c r="H331" i="36"/>
  <c r="F342" i="36"/>
  <c r="N358" i="36"/>
  <c r="H368" i="36"/>
  <c r="L379" i="36"/>
  <c r="L384" i="33"/>
  <c r="L386" i="33" s="1"/>
  <c r="H398" i="36"/>
  <c r="H413" i="36"/>
  <c r="N430" i="36"/>
  <c r="P468" i="36"/>
  <c r="L479" i="36"/>
  <c r="P22" i="34"/>
  <c r="O10" i="35"/>
  <c r="O33" i="2"/>
  <c r="P206" i="4"/>
  <c r="I11" i="35"/>
  <c r="J207" i="4"/>
  <c r="F208" i="4"/>
  <c r="E12" i="35"/>
  <c r="C15" i="8"/>
  <c r="S12" i="35"/>
  <c r="U12" i="2"/>
  <c r="T208" i="4"/>
  <c r="Q13" i="35"/>
  <c r="R209" i="4"/>
  <c r="I14" i="35"/>
  <c r="J210" i="4"/>
  <c r="E15" i="35"/>
  <c r="C18" i="8"/>
  <c r="U18" i="8" s="1"/>
  <c r="W18" i="8" s="1"/>
  <c r="F211" i="4"/>
  <c r="Q16" i="35"/>
  <c r="R212" i="4"/>
  <c r="J213" i="4"/>
  <c r="I17" i="35"/>
  <c r="H214" i="4"/>
  <c r="G18" i="35"/>
  <c r="O19" i="35"/>
  <c r="P215" i="4"/>
  <c r="I20" i="35"/>
  <c r="J216" i="4"/>
  <c r="C24" i="8"/>
  <c r="U24" i="8" s="1"/>
  <c r="W24" i="8" s="1"/>
  <c r="E21" i="35"/>
  <c r="F217" i="4"/>
  <c r="S21" i="35"/>
  <c r="T217" i="4"/>
  <c r="U21" i="2"/>
  <c r="Q22" i="35"/>
  <c r="R218" i="4"/>
  <c r="I23" i="35"/>
  <c r="J219" i="4"/>
  <c r="E24" i="35"/>
  <c r="C29" i="8"/>
  <c r="F220" i="4"/>
  <c r="R221" i="4"/>
  <c r="Q25" i="35"/>
  <c r="I26" i="35"/>
  <c r="J222" i="4"/>
  <c r="G27" i="35"/>
  <c r="H223" i="4"/>
  <c r="Q28" i="35"/>
  <c r="R224" i="4"/>
  <c r="O29" i="35"/>
  <c r="P225" i="4"/>
  <c r="G30" i="35"/>
  <c r="H226" i="4"/>
  <c r="I32" i="35"/>
  <c r="J228" i="4"/>
  <c r="F264" i="4"/>
  <c r="E36" i="35"/>
  <c r="E49" i="2"/>
  <c r="S36" i="35"/>
  <c r="S49" i="2"/>
  <c r="U36" i="2"/>
  <c r="T264" i="4"/>
  <c r="Q37" i="35"/>
  <c r="R265" i="4"/>
  <c r="I38" i="35"/>
  <c r="J266" i="4"/>
  <c r="E39" i="35"/>
  <c r="F267" i="4"/>
  <c r="Q40" i="35"/>
  <c r="R268" i="4"/>
  <c r="I41" i="35"/>
  <c r="J269" i="4"/>
  <c r="G43" i="35"/>
  <c r="H270" i="4"/>
  <c r="Q44" i="35"/>
  <c r="R271" i="4"/>
  <c r="Q45" i="35"/>
  <c r="R272" i="4"/>
  <c r="I46" i="35"/>
  <c r="J273" i="4"/>
  <c r="E48" i="35"/>
  <c r="F274" i="4"/>
  <c r="R275" i="4"/>
  <c r="Q49" i="35"/>
  <c r="I50" i="35"/>
  <c r="J276" i="4"/>
  <c r="Q65" i="2"/>
  <c r="Q54" i="35"/>
  <c r="R280" i="4"/>
  <c r="Q68" i="2"/>
  <c r="I55" i="35"/>
  <c r="I69" i="2"/>
  <c r="J281" i="4"/>
  <c r="G56" i="35"/>
  <c r="H282" i="4"/>
  <c r="Q57" i="35"/>
  <c r="R283" i="4"/>
  <c r="O58" i="35"/>
  <c r="P284" i="4"/>
  <c r="G59" i="35"/>
  <c r="H285" i="4"/>
  <c r="S60" i="35"/>
  <c r="U58" i="2"/>
  <c r="T286" i="4"/>
  <c r="O61" i="35"/>
  <c r="P287" i="4"/>
  <c r="O70" i="2"/>
  <c r="G62" i="35"/>
  <c r="H288" i="4"/>
  <c r="F289" i="4"/>
  <c r="E63" i="35"/>
  <c r="S63" i="35"/>
  <c r="T289" i="4"/>
  <c r="U61" i="2"/>
  <c r="O64" i="35"/>
  <c r="P290" i="4"/>
  <c r="I65" i="35"/>
  <c r="J291" i="4"/>
  <c r="E66" i="35"/>
  <c r="F292" i="4"/>
  <c r="S66" i="35"/>
  <c r="T292" i="4"/>
  <c r="U64" i="2"/>
  <c r="I84" i="35"/>
  <c r="J232" i="4"/>
  <c r="I85" i="2"/>
  <c r="G85" i="35"/>
  <c r="H233" i="4"/>
  <c r="Q86" i="35"/>
  <c r="R234" i="4"/>
  <c r="D11" i="10"/>
  <c r="D41" i="12"/>
  <c r="D44" i="12" s="1"/>
  <c r="D11" i="9"/>
  <c r="D11" i="11"/>
  <c r="D14" i="11"/>
  <c r="D14" i="9"/>
  <c r="D14" i="10"/>
  <c r="J15" i="12"/>
  <c r="L15" i="12" s="1"/>
  <c r="H15" i="11"/>
  <c r="H15" i="10"/>
  <c r="H15" i="9"/>
  <c r="D17" i="10"/>
  <c r="D17" i="9"/>
  <c r="D17" i="11"/>
  <c r="F18" i="11"/>
  <c r="F18" i="9"/>
  <c r="F18" i="10"/>
  <c r="F21" i="11"/>
  <c r="F21" i="9"/>
  <c r="F21" i="10"/>
  <c r="J25" i="12"/>
  <c r="L25" i="12" s="1"/>
  <c r="H25" i="11"/>
  <c r="H25" i="10"/>
  <c r="H25" i="9"/>
  <c r="F28" i="11"/>
  <c r="F28" i="9"/>
  <c r="F28" i="10"/>
  <c r="D31" i="10"/>
  <c r="D31" i="9"/>
  <c r="D31" i="11"/>
  <c r="H32" i="10"/>
  <c r="J32" i="12"/>
  <c r="L32" i="12" s="1"/>
  <c r="H32" i="9"/>
  <c r="H32" i="11"/>
  <c r="D34" i="10"/>
  <c r="D34" i="11"/>
  <c r="D34" i="9"/>
  <c r="H35" i="11"/>
  <c r="J35" i="12"/>
  <c r="L35" i="12" s="1"/>
  <c r="H35" i="10"/>
  <c r="H35" i="9"/>
  <c r="F38" i="11"/>
  <c r="F38" i="9"/>
  <c r="F38" i="10"/>
  <c r="J49" i="12"/>
  <c r="H67" i="12"/>
  <c r="H70" i="12" s="1"/>
  <c r="J52" i="12"/>
  <c r="D55" i="10"/>
  <c r="J55" i="10" s="1"/>
  <c r="L55" i="10" s="1"/>
  <c r="D58" i="10"/>
  <c r="J58" i="10" s="1"/>
  <c r="L58" i="10" s="1"/>
  <c r="J59" i="12"/>
  <c r="L59" i="12" s="1"/>
  <c r="D62" i="10"/>
  <c r="F66" i="10"/>
  <c r="H11" i="13"/>
  <c r="F11" i="16"/>
  <c r="F11" i="15"/>
  <c r="F11" i="17"/>
  <c r="F29" i="18"/>
  <c r="F14" i="17"/>
  <c r="F14" i="16"/>
  <c r="J25" i="18"/>
  <c r="L25" i="18" s="1"/>
  <c r="H25" i="16"/>
  <c r="H25" i="17"/>
  <c r="H25" i="15"/>
  <c r="H28" i="17"/>
  <c r="J28" i="18"/>
  <c r="H28" i="15"/>
  <c r="H28" i="16"/>
  <c r="F40" i="18"/>
  <c r="F32" i="17"/>
  <c r="F32" i="16"/>
  <c r="F32" i="15"/>
  <c r="F35" i="17"/>
  <c r="F35" i="16"/>
  <c r="F35" i="15"/>
  <c r="F38" i="17"/>
  <c r="F38" i="16"/>
  <c r="F38" i="15"/>
  <c r="F44" i="15"/>
  <c r="F44" i="17"/>
  <c r="F44" i="16"/>
  <c r="F54" i="15"/>
  <c r="F56" i="18"/>
  <c r="F54" i="17"/>
  <c r="F54" i="16"/>
  <c r="J66" i="18"/>
  <c r="L66" i="18" s="1"/>
  <c r="H66" i="15"/>
  <c r="H66" i="16"/>
  <c r="D71" i="17"/>
  <c r="D84" i="18"/>
  <c r="D71" i="16"/>
  <c r="D71" i="15"/>
  <c r="J79" i="18"/>
  <c r="L79" i="18" s="1"/>
  <c r="H79" i="17"/>
  <c r="H79" i="16"/>
  <c r="H79" i="15"/>
  <c r="H82" i="16"/>
  <c r="J82" i="18"/>
  <c r="H82" i="17"/>
  <c r="H82" i="15"/>
  <c r="J92" i="18"/>
  <c r="L92" i="18" s="1"/>
  <c r="H93" i="17"/>
  <c r="H92" i="16"/>
  <c r="F95" i="16"/>
  <c r="F96" i="15"/>
  <c r="F96" i="17"/>
  <c r="D99" i="15"/>
  <c r="D99" i="17"/>
  <c r="D98" i="16"/>
  <c r="J107" i="18"/>
  <c r="L107" i="18" s="1"/>
  <c r="D108" i="16"/>
  <c r="H116" i="16"/>
  <c r="D131" i="16"/>
  <c r="J130" i="18"/>
  <c r="L130" i="18" s="1"/>
  <c r="F143" i="18"/>
  <c r="F138" i="16"/>
  <c r="H147" i="16"/>
  <c r="F150" i="16"/>
  <c r="H160" i="16"/>
  <c r="J12" i="20"/>
  <c r="L12" i="20" s="1"/>
  <c r="H16" i="19"/>
  <c r="H19" i="19"/>
  <c r="H93" i="15" s="1"/>
  <c r="J15" i="20"/>
  <c r="L15" i="20" s="1"/>
  <c r="F11" i="19"/>
  <c r="F27" i="20"/>
  <c r="J30" i="20"/>
  <c r="H35" i="20"/>
  <c r="J33" i="20"/>
  <c r="L33" i="20" s="1"/>
  <c r="D13" i="23"/>
  <c r="D13" i="21"/>
  <c r="D13" i="22"/>
  <c r="D16" i="23"/>
  <c r="D16" i="21"/>
  <c r="D16" i="22"/>
  <c r="J24" i="24"/>
  <c r="L24" i="24" s="1"/>
  <c r="H24" i="21"/>
  <c r="H24" i="22"/>
  <c r="H24" i="23"/>
  <c r="H31" i="21"/>
  <c r="H31" i="23"/>
  <c r="J31" i="24"/>
  <c r="L31" i="24" s="1"/>
  <c r="H31" i="22"/>
  <c r="F34" i="21"/>
  <c r="F34" i="22"/>
  <c r="F34" i="23"/>
  <c r="F37" i="22"/>
  <c r="F37" i="23"/>
  <c r="F37" i="21"/>
  <c r="F53" i="22"/>
  <c r="F53" i="23"/>
  <c r="F56" i="22"/>
  <c r="F56" i="23"/>
  <c r="F59" i="22"/>
  <c r="F59" i="21" s="1"/>
  <c r="F59" i="23"/>
  <c r="D66" i="23"/>
  <c r="D69" i="24"/>
  <c r="D65" i="21"/>
  <c r="D66" i="22"/>
  <c r="F80" i="22"/>
  <c r="F108" i="22"/>
  <c r="F112" i="22"/>
  <c r="F12" i="36"/>
  <c r="P17" i="36"/>
  <c r="F20" i="36"/>
  <c r="D23" i="36"/>
  <c r="R23" i="33"/>
  <c r="H28" i="36"/>
  <c r="F32" i="36"/>
  <c r="F41" i="33"/>
  <c r="L37" i="36"/>
  <c r="R44" i="33"/>
  <c r="D43" i="36"/>
  <c r="D56" i="33"/>
  <c r="H48" i="36"/>
  <c r="F51" i="36"/>
  <c r="D54" i="36"/>
  <c r="R55" i="33"/>
  <c r="D58" i="36"/>
  <c r="R58" i="36" s="1"/>
  <c r="R59" i="33"/>
  <c r="P59" i="36"/>
  <c r="L63" i="36"/>
  <c r="D66" i="36"/>
  <c r="R67" i="33"/>
  <c r="L71" i="36"/>
  <c r="H74" i="36"/>
  <c r="L80" i="36"/>
  <c r="P85" i="36"/>
  <c r="N88" i="36"/>
  <c r="F91" i="36"/>
  <c r="D94" i="36"/>
  <c r="R95" i="33"/>
  <c r="L98" i="36"/>
  <c r="H101" i="36"/>
  <c r="P103" i="36"/>
  <c r="N106" i="36"/>
  <c r="D110" i="36"/>
  <c r="R111" i="33"/>
  <c r="D128" i="33"/>
  <c r="H115" i="36"/>
  <c r="F118" i="36"/>
  <c r="L123" i="36"/>
  <c r="F126" i="36"/>
  <c r="D130" i="36"/>
  <c r="R131" i="33"/>
  <c r="L135" i="36"/>
  <c r="H138" i="36"/>
  <c r="F141" i="36"/>
  <c r="N143" i="36"/>
  <c r="P149" i="36"/>
  <c r="N152" i="36"/>
  <c r="F155" i="36"/>
  <c r="D158" i="36"/>
  <c r="R159" i="33"/>
  <c r="N160" i="36"/>
  <c r="L162" i="36"/>
  <c r="D167" i="36"/>
  <c r="R168" i="33"/>
  <c r="D170" i="33"/>
  <c r="L172" i="36"/>
  <c r="F175" i="36"/>
  <c r="D178" i="36"/>
  <c r="R179" i="33"/>
  <c r="L180" i="36"/>
  <c r="H183" i="36"/>
  <c r="F186" i="36"/>
  <c r="L189" i="36"/>
  <c r="N192" i="36"/>
  <c r="H202" i="36"/>
  <c r="L223" i="36"/>
  <c r="P228" i="36"/>
  <c r="L234" i="36"/>
  <c r="P239" i="36"/>
  <c r="F245" i="36"/>
  <c r="N250" i="36"/>
  <c r="D256" i="36"/>
  <c r="R257" i="33"/>
  <c r="H261" i="36"/>
  <c r="F267" i="36"/>
  <c r="D278" i="36"/>
  <c r="R279" i="33"/>
  <c r="H283" i="36"/>
  <c r="H298" i="36"/>
  <c r="N303" i="36"/>
  <c r="F309" i="36"/>
  <c r="L313" i="36"/>
  <c r="F321" i="36"/>
  <c r="L326" i="36"/>
  <c r="F334" i="36"/>
  <c r="L339" i="36"/>
  <c r="D345" i="36"/>
  <c r="R347" i="33"/>
  <c r="F363" i="36"/>
  <c r="F390" i="36"/>
  <c r="H189" i="4"/>
  <c r="H246" i="4" s="1"/>
  <c r="N395" i="36"/>
  <c r="R404" i="33"/>
  <c r="D401" i="36"/>
  <c r="P410" i="36"/>
  <c r="N422" i="36"/>
  <c r="D428" i="36"/>
  <c r="R431" i="33"/>
  <c r="L433" i="36"/>
  <c r="N459" i="36"/>
  <c r="N491" i="33"/>
  <c r="H470" i="36"/>
  <c r="P475" i="36"/>
  <c r="F481" i="36"/>
  <c r="L486" i="36"/>
  <c r="D503" i="36"/>
  <c r="R506" i="33"/>
  <c r="D511" i="33"/>
  <c r="D514" i="33" s="1"/>
  <c r="C16" i="8"/>
  <c r="E13" i="35"/>
  <c r="F209" i="4"/>
  <c r="S13" i="35"/>
  <c r="T209" i="4"/>
  <c r="U13" i="2"/>
  <c r="O14" i="35"/>
  <c r="P210" i="4"/>
  <c r="I15" i="35"/>
  <c r="J211" i="4"/>
  <c r="E16" i="35"/>
  <c r="C19" i="8"/>
  <c r="F212" i="4"/>
  <c r="S16" i="35"/>
  <c r="U16" i="2"/>
  <c r="T212" i="4"/>
  <c r="Q17" i="35"/>
  <c r="R213" i="4"/>
  <c r="I18" i="35"/>
  <c r="J214" i="4"/>
  <c r="T215" i="4"/>
  <c r="S19" i="35"/>
  <c r="U19" i="2"/>
  <c r="O20" i="35"/>
  <c r="P216" i="4"/>
  <c r="G21" i="35"/>
  <c r="H217" i="4"/>
  <c r="E22" i="35"/>
  <c r="C25" i="8"/>
  <c r="F218" i="4"/>
  <c r="S22" i="35"/>
  <c r="U22" i="2"/>
  <c r="T218" i="4"/>
  <c r="O23" i="35"/>
  <c r="P219" i="4"/>
  <c r="I24" i="35"/>
  <c r="J220" i="4"/>
  <c r="C30" i="8"/>
  <c r="U30" i="8" s="1"/>
  <c r="E25" i="35"/>
  <c r="F221" i="4"/>
  <c r="T221" i="4"/>
  <c r="U25" i="2"/>
  <c r="S25" i="35"/>
  <c r="R222" i="4"/>
  <c r="Q26" i="35"/>
  <c r="I27" i="35"/>
  <c r="J223" i="4"/>
  <c r="C33" i="8"/>
  <c r="U33" i="8" s="1"/>
  <c r="E28" i="35"/>
  <c r="F224" i="4"/>
  <c r="Q29" i="35"/>
  <c r="R225" i="4"/>
  <c r="I30" i="35"/>
  <c r="J226" i="4"/>
  <c r="Q32" i="35"/>
  <c r="R228" i="4"/>
  <c r="R253" i="4" s="1"/>
  <c r="G36" i="35"/>
  <c r="H264" i="4"/>
  <c r="G49" i="2"/>
  <c r="E37" i="35"/>
  <c r="F265" i="4"/>
  <c r="S37" i="35"/>
  <c r="T265" i="4"/>
  <c r="U37" i="2"/>
  <c r="O38" i="35"/>
  <c r="P266" i="4"/>
  <c r="I39" i="35"/>
  <c r="J267" i="4"/>
  <c r="F268" i="4"/>
  <c r="E40" i="35"/>
  <c r="S40" i="35"/>
  <c r="U40" i="2"/>
  <c r="T268" i="4"/>
  <c r="Q41" i="35"/>
  <c r="R269" i="4"/>
  <c r="I43" i="35"/>
  <c r="J270" i="4"/>
  <c r="E44" i="35"/>
  <c r="F271" i="4"/>
  <c r="S45" i="35"/>
  <c r="T272" i="4"/>
  <c r="U44" i="2"/>
  <c r="O46" i="35"/>
  <c r="P273" i="4"/>
  <c r="J274" i="4"/>
  <c r="I48" i="35"/>
  <c r="E49" i="35"/>
  <c r="F275" i="4"/>
  <c r="S49" i="35"/>
  <c r="U47" i="2"/>
  <c r="T275" i="4"/>
  <c r="Q50" i="35"/>
  <c r="R276" i="4"/>
  <c r="E68" i="2"/>
  <c r="E71" i="2" s="1"/>
  <c r="E79" i="2" s="1"/>
  <c r="E88" i="2" s="1"/>
  <c r="E54" i="35"/>
  <c r="F280" i="4"/>
  <c r="E65" i="2"/>
  <c r="T280" i="4"/>
  <c r="U52" i="2"/>
  <c r="S54" i="35"/>
  <c r="S68" i="2"/>
  <c r="S65" i="2"/>
  <c r="Q55" i="35"/>
  <c r="R281" i="4"/>
  <c r="Q69" i="2"/>
  <c r="I56" i="35"/>
  <c r="J282" i="4"/>
  <c r="E57" i="35"/>
  <c r="F283" i="4"/>
  <c r="Q58" i="35"/>
  <c r="R284" i="4"/>
  <c r="I59" i="35"/>
  <c r="J285" i="4"/>
  <c r="G60" i="35"/>
  <c r="H286" i="4"/>
  <c r="Q61" i="35"/>
  <c r="Q70" i="2"/>
  <c r="R287" i="4"/>
  <c r="O62" i="35"/>
  <c r="P288" i="4"/>
  <c r="G63" i="35"/>
  <c r="H289" i="4"/>
  <c r="S64" i="35"/>
  <c r="T290" i="4"/>
  <c r="U62" i="2"/>
  <c r="O65" i="35"/>
  <c r="P291" i="4"/>
  <c r="G66" i="35"/>
  <c r="H292" i="4"/>
  <c r="R232" i="4"/>
  <c r="Q84" i="35"/>
  <c r="Q85" i="2"/>
  <c r="I85" i="35"/>
  <c r="J233" i="4"/>
  <c r="E86" i="35"/>
  <c r="C43" i="8"/>
  <c r="U43" i="8" s="1"/>
  <c r="G70" i="8" s="1"/>
  <c r="F234" i="4"/>
  <c r="D13" i="10"/>
  <c r="D13" i="9"/>
  <c r="D13" i="11"/>
  <c r="F14" i="11"/>
  <c r="F14" i="9"/>
  <c r="F14" i="10"/>
  <c r="F17" i="11"/>
  <c r="F17" i="9"/>
  <c r="F17" i="10"/>
  <c r="F20" i="11"/>
  <c r="F20" i="9"/>
  <c r="F20" i="10"/>
  <c r="J21" i="12"/>
  <c r="L21" i="12" s="1"/>
  <c r="H21" i="11"/>
  <c r="H21" i="9"/>
  <c r="H21" i="10"/>
  <c r="H24" i="10"/>
  <c r="J24" i="12"/>
  <c r="L24" i="12" s="1"/>
  <c r="H24" i="9"/>
  <c r="H24" i="11"/>
  <c r="D27" i="10"/>
  <c r="D27" i="9"/>
  <c r="D27" i="11"/>
  <c r="D30" i="10"/>
  <c r="D30" i="11"/>
  <c r="D30" i="9"/>
  <c r="J31" i="12"/>
  <c r="L31" i="12" s="1"/>
  <c r="H31" i="11"/>
  <c r="H31" i="10"/>
  <c r="H31" i="9"/>
  <c r="D33" i="10"/>
  <c r="D33" i="9"/>
  <c r="D33" i="11"/>
  <c r="F34" i="11"/>
  <c r="F34" i="9"/>
  <c r="F34" i="10"/>
  <c r="F37" i="11"/>
  <c r="F37" i="9"/>
  <c r="H140" i="4" s="1"/>
  <c r="H179" i="4" s="1"/>
  <c r="F37" i="10"/>
  <c r="H51" i="10"/>
  <c r="J51" i="12"/>
  <c r="L51" i="12" s="1"/>
  <c r="D54" i="10"/>
  <c r="J54" i="10" s="1"/>
  <c r="L54" i="10" s="1"/>
  <c r="D57" i="10"/>
  <c r="F62" i="10"/>
  <c r="J65" i="12"/>
  <c r="L65" i="12" s="1"/>
  <c r="H13" i="14"/>
  <c r="H16" i="14" s="1"/>
  <c r="H27" i="14" s="1"/>
  <c r="H10" i="13"/>
  <c r="F22" i="14"/>
  <c r="F24" i="14" s="1"/>
  <c r="H12" i="17"/>
  <c r="J12" i="18"/>
  <c r="L12" i="18" s="1"/>
  <c r="H12" i="16"/>
  <c r="H12" i="15"/>
  <c r="F15" i="17"/>
  <c r="F15" i="16"/>
  <c r="F15" i="15"/>
  <c r="D18" i="17"/>
  <c r="D18" i="15"/>
  <c r="D18" i="16"/>
  <c r="J26" i="18"/>
  <c r="L26" i="18" s="1"/>
  <c r="H26" i="17"/>
  <c r="H26" i="16"/>
  <c r="H26" i="15"/>
  <c r="J35" i="18"/>
  <c r="L35" i="18" s="1"/>
  <c r="H35" i="17"/>
  <c r="H35" i="16"/>
  <c r="H35" i="15"/>
  <c r="J38" i="18"/>
  <c r="L38" i="18" s="1"/>
  <c r="H38" i="15"/>
  <c r="H38" i="17"/>
  <c r="H38" i="16"/>
  <c r="F45" i="16"/>
  <c r="F45" i="15"/>
  <c r="F45" i="17"/>
  <c r="D48" i="17"/>
  <c r="D48" i="16"/>
  <c r="D48" i="15"/>
  <c r="H55" i="17"/>
  <c r="H55" i="16"/>
  <c r="H55" i="15"/>
  <c r="J55" i="18"/>
  <c r="L55" i="18" s="1"/>
  <c r="F61" i="16"/>
  <c r="F61" i="15"/>
  <c r="F61" i="17"/>
  <c r="J71" i="18"/>
  <c r="H71" i="17"/>
  <c r="H71" i="16"/>
  <c r="H84" i="18"/>
  <c r="H71" i="15"/>
  <c r="F74" i="15"/>
  <c r="F74" i="17"/>
  <c r="F74" i="16"/>
  <c r="D77" i="17"/>
  <c r="D77" i="16"/>
  <c r="D77" i="15"/>
  <c r="D80" i="16"/>
  <c r="D80" i="15"/>
  <c r="D80" i="17"/>
  <c r="F87" i="16"/>
  <c r="F99" i="18"/>
  <c r="F87" i="17"/>
  <c r="H99" i="17"/>
  <c r="J98" i="18"/>
  <c r="L98" i="18" s="1"/>
  <c r="H98" i="16"/>
  <c r="H99" i="15"/>
  <c r="J108" i="18"/>
  <c r="L108" i="18" s="1"/>
  <c r="D109" i="16"/>
  <c r="J111" i="18"/>
  <c r="L111" i="18" s="1"/>
  <c r="D112" i="16"/>
  <c r="D126" i="18"/>
  <c r="J121" i="18"/>
  <c r="D122" i="16"/>
  <c r="J124" i="18"/>
  <c r="L124" i="18" s="1"/>
  <c r="D125" i="16"/>
  <c r="F131" i="16"/>
  <c r="H143" i="18"/>
  <c r="H66" i="17" s="1"/>
  <c r="H138" i="16"/>
  <c r="H141" i="16"/>
  <c r="F161" i="18"/>
  <c r="F155" i="16"/>
  <c r="D92" i="17"/>
  <c r="D158" i="16"/>
  <c r="J157" i="18"/>
  <c r="L157" i="18" s="1"/>
  <c r="D92" i="15"/>
  <c r="J160" i="18"/>
  <c r="L160" i="18" s="1"/>
  <c r="D161" i="16"/>
  <c r="J13" i="20"/>
  <c r="L13" i="20" s="1"/>
  <c r="H17" i="19"/>
  <c r="H20" i="19"/>
  <c r="J16" i="20"/>
  <c r="L16" i="20" s="1"/>
  <c r="H11" i="21"/>
  <c r="H11" i="23"/>
  <c r="H27" i="24"/>
  <c r="H11" i="22"/>
  <c r="J11" i="24"/>
  <c r="D14" i="23"/>
  <c r="D14" i="22"/>
  <c r="D14" i="21"/>
  <c r="D17" i="23"/>
  <c r="D17" i="21"/>
  <c r="D17" i="22"/>
  <c r="D20" i="23"/>
  <c r="D20" i="21"/>
  <c r="D20" i="22"/>
  <c r="H32" i="21"/>
  <c r="H32" i="22"/>
  <c r="H32" i="23"/>
  <c r="J32" i="24"/>
  <c r="L32" i="24" s="1"/>
  <c r="H35" i="21"/>
  <c r="H35" i="22"/>
  <c r="J35" i="24"/>
  <c r="L35" i="24" s="1"/>
  <c r="H35" i="23"/>
  <c r="J54" i="24"/>
  <c r="L54" i="24" s="1"/>
  <c r="H54" i="23"/>
  <c r="H54" i="22"/>
  <c r="F57" i="22"/>
  <c r="F57" i="21" s="1"/>
  <c r="F57" i="23"/>
  <c r="F60" i="23"/>
  <c r="F60" i="22"/>
  <c r="F60" i="21" s="1"/>
  <c r="D67" i="23"/>
  <c r="D66" i="21"/>
  <c r="D67" i="22"/>
  <c r="D89" i="24"/>
  <c r="D77" i="22"/>
  <c r="J80" i="24"/>
  <c r="L80" i="24" s="1"/>
  <c r="H80" i="22"/>
  <c r="J84" i="24"/>
  <c r="L84" i="24" s="1"/>
  <c r="H84" i="22"/>
  <c r="F88" i="22"/>
  <c r="D102" i="22"/>
  <c r="D113" i="24"/>
  <c r="D106" i="22"/>
  <c r="H12" i="25"/>
  <c r="J16" i="26"/>
  <c r="L16" i="26" s="1"/>
  <c r="D16" i="25"/>
  <c r="D105" i="22"/>
  <c r="N30" i="33"/>
  <c r="N10" i="36"/>
  <c r="F13" i="36"/>
  <c r="D16" i="36"/>
  <c r="R16" i="33"/>
  <c r="N18" i="36"/>
  <c r="H21" i="36"/>
  <c r="R25" i="33"/>
  <c r="D24" i="36"/>
  <c r="N32" i="36"/>
  <c r="N41" i="33"/>
  <c r="F35" i="36"/>
  <c r="F44" i="36"/>
  <c r="L49" i="36"/>
  <c r="F52" i="36"/>
  <c r="H58" i="36"/>
  <c r="F61" i="36"/>
  <c r="F78" i="33"/>
  <c r="P63" i="36"/>
  <c r="L66" i="36"/>
  <c r="F69" i="36"/>
  <c r="D72" i="36"/>
  <c r="R73" i="33"/>
  <c r="L74" i="36"/>
  <c r="P78" i="36"/>
  <c r="P97" i="33"/>
  <c r="L81" i="36"/>
  <c r="D84" i="36"/>
  <c r="R85" i="33"/>
  <c r="P86" i="36"/>
  <c r="N89" i="36"/>
  <c r="D92" i="36"/>
  <c r="R93" i="33"/>
  <c r="N98" i="36"/>
  <c r="L101" i="36"/>
  <c r="H104" i="36"/>
  <c r="P113" i="36"/>
  <c r="H116" i="36"/>
  <c r="F119" i="36"/>
  <c r="D122" i="36"/>
  <c r="R123" i="33"/>
  <c r="L124" i="36"/>
  <c r="L130" i="36"/>
  <c r="F133" i="36"/>
  <c r="D136" i="36"/>
  <c r="R137" i="33"/>
  <c r="L138" i="36"/>
  <c r="H141" i="36"/>
  <c r="F144" i="36"/>
  <c r="D148" i="36"/>
  <c r="R149" i="33"/>
  <c r="P150" i="36"/>
  <c r="N153" i="36"/>
  <c r="D156" i="36"/>
  <c r="R157" i="33"/>
  <c r="N162" i="36"/>
  <c r="F167" i="36"/>
  <c r="F169" i="36" s="1"/>
  <c r="F170" i="33"/>
  <c r="F170" i="36"/>
  <c r="F207" i="33"/>
  <c r="L175" i="36"/>
  <c r="F178" i="36"/>
  <c r="R182" i="33"/>
  <c r="D181" i="36"/>
  <c r="L183" i="36"/>
  <c r="H186" i="36"/>
  <c r="N189" i="36"/>
  <c r="L193" i="36"/>
  <c r="P197" i="36"/>
  <c r="H203" i="36"/>
  <c r="F212" i="36"/>
  <c r="P223" i="36"/>
  <c r="H229" i="36"/>
  <c r="N234" i="36"/>
  <c r="D240" i="36"/>
  <c r="R241" i="33"/>
  <c r="L245" i="36"/>
  <c r="F256" i="36"/>
  <c r="L267" i="36"/>
  <c r="F278" i="36"/>
  <c r="L283" i="36"/>
  <c r="F299" i="36"/>
  <c r="N304" i="36"/>
  <c r="R311" i="33"/>
  <c r="L314" i="36"/>
  <c r="L323" i="36"/>
  <c r="H330" i="36"/>
  <c r="F341" i="36"/>
  <c r="N346" i="36"/>
  <c r="P355" i="36"/>
  <c r="F360" i="36"/>
  <c r="F371" i="36"/>
  <c r="T189" i="4"/>
  <c r="P390" i="36"/>
  <c r="R399" i="33"/>
  <c r="D396" i="36"/>
  <c r="H401" i="36"/>
  <c r="L412" i="36"/>
  <c r="H428" i="36"/>
  <c r="R428" i="36" s="1"/>
  <c r="N433" i="36"/>
  <c r="N460" i="36"/>
  <c r="R193" i="4"/>
  <c r="R249" i="4" s="1"/>
  <c r="F471" i="36"/>
  <c r="H482" i="36"/>
  <c r="N487" i="36"/>
  <c r="D491" i="36"/>
  <c r="R494" i="33"/>
  <c r="D499" i="33"/>
  <c r="N504" i="36"/>
  <c r="R194" i="4"/>
  <c r="R250" i="4" s="1"/>
  <c r="F13" i="17"/>
  <c r="F13" i="16"/>
  <c r="F13" i="15"/>
  <c r="J14" i="18"/>
  <c r="L14" i="18" s="1"/>
  <c r="H14" i="17"/>
  <c r="H14" i="16"/>
  <c r="J17" i="18"/>
  <c r="L17" i="18" s="1"/>
  <c r="H17" i="16"/>
  <c r="H17" i="15"/>
  <c r="H17" i="17"/>
  <c r="D20" i="17"/>
  <c r="D20" i="15"/>
  <c r="D20" i="16"/>
  <c r="D23" i="17"/>
  <c r="D23" i="16"/>
  <c r="D23" i="15"/>
  <c r="J24" i="18"/>
  <c r="L24" i="18" s="1"/>
  <c r="H24" i="17"/>
  <c r="H24" i="15"/>
  <c r="H24" i="16"/>
  <c r="D26" i="15"/>
  <c r="D26" i="17"/>
  <c r="D26" i="16"/>
  <c r="F27" i="17"/>
  <c r="F27" i="16"/>
  <c r="F27" i="15"/>
  <c r="D33" i="15"/>
  <c r="D33" i="16"/>
  <c r="D33" i="17"/>
  <c r="J34" i="18"/>
  <c r="L34" i="18" s="1"/>
  <c r="H34" i="17"/>
  <c r="H34" i="15"/>
  <c r="H34" i="16"/>
  <c r="D36" i="15"/>
  <c r="D36" i="17"/>
  <c r="D36" i="16"/>
  <c r="J37" i="18"/>
  <c r="L37" i="18" s="1"/>
  <c r="H37" i="16"/>
  <c r="H37" i="17"/>
  <c r="H37" i="15"/>
  <c r="F43" i="16"/>
  <c r="F43" i="17"/>
  <c r="F43" i="15"/>
  <c r="F51" i="18"/>
  <c r="J44" i="18"/>
  <c r="L44" i="18" s="1"/>
  <c r="H44" i="16"/>
  <c r="H44" i="17"/>
  <c r="H44" i="15"/>
  <c r="H47" i="17"/>
  <c r="H47" i="16"/>
  <c r="H47" i="15"/>
  <c r="J47" i="18"/>
  <c r="L47" i="18" s="1"/>
  <c r="D50" i="17"/>
  <c r="D50" i="16"/>
  <c r="D50" i="15"/>
  <c r="D60" i="17"/>
  <c r="D60" i="15"/>
  <c r="D60" i="16"/>
  <c r="H61" i="17"/>
  <c r="J61" i="18"/>
  <c r="L61" i="18" s="1"/>
  <c r="H61" i="15"/>
  <c r="H61" i="16"/>
  <c r="H64" i="17"/>
  <c r="J64" i="18"/>
  <c r="L64" i="18" s="1"/>
  <c r="H64" i="15"/>
  <c r="H64" i="16"/>
  <c r="D67" i="17"/>
  <c r="D67" i="15"/>
  <c r="D67" i="16"/>
  <c r="D73" i="17"/>
  <c r="D73" i="16"/>
  <c r="D73" i="15"/>
  <c r="D76" i="16"/>
  <c r="D76" i="15"/>
  <c r="D76" i="17"/>
  <c r="H77" i="17"/>
  <c r="J77" i="18"/>
  <c r="L77" i="18" s="1"/>
  <c r="H77" i="16"/>
  <c r="H77" i="15"/>
  <c r="D79" i="17"/>
  <c r="D79" i="16"/>
  <c r="D79" i="15"/>
  <c r="F80" i="15"/>
  <c r="F80" i="17"/>
  <c r="F80" i="16"/>
  <c r="F83" i="16"/>
  <c r="F83" i="17"/>
  <c r="F83" i="15"/>
  <c r="J87" i="18"/>
  <c r="H87" i="17"/>
  <c r="H87" i="16"/>
  <c r="H99" i="18"/>
  <c r="H90" i="17"/>
  <c r="J90" i="18"/>
  <c r="L90" i="18" s="1"/>
  <c r="H90" i="16"/>
  <c r="H90" i="15"/>
  <c r="D94" i="17"/>
  <c r="D93" i="16"/>
  <c r="D96" i="16"/>
  <c r="D97" i="15"/>
  <c r="D97" i="17"/>
  <c r="F97" i="16"/>
  <c r="F98" i="17"/>
  <c r="F98" i="15"/>
  <c r="H108" i="16"/>
  <c r="F111" i="16"/>
  <c r="J113" i="18"/>
  <c r="L113" i="18" s="1"/>
  <c r="D114" i="16"/>
  <c r="H115" i="16"/>
  <c r="D24" i="15"/>
  <c r="D24" i="17"/>
  <c r="J116" i="18"/>
  <c r="L116" i="18" s="1"/>
  <c r="D117" i="16"/>
  <c r="H118" i="16"/>
  <c r="F124" i="16"/>
  <c r="H125" i="16"/>
  <c r="F134" i="18"/>
  <c r="F130" i="16"/>
  <c r="F134" i="16"/>
  <c r="F140" i="16"/>
  <c r="J142" i="18"/>
  <c r="L142" i="18" s="1"/>
  <c r="D143" i="16"/>
  <c r="J147" i="18"/>
  <c r="L147" i="18" s="1"/>
  <c r="D148" i="16"/>
  <c r="J150" i="18"/>
  <c r="L150" i="18" s="1"/>
  <c r="D151" i="16"/>
  <c r="J156" i="18"/>
  <c r="L156" i="18" s="1"/>
  <c r="D157" i="16"/>
  <c r="H92" i="17"/>
  <c r="H158" i="16"/>
  <c r="H92" i="15"/>
  <c r="J159" i="18"/>
  <c r="L159" i="18" s="1"/>
  <c r="D160" i="16"/>
  <c r="F161" i="16"/>
  <c r="J11" i="20"/>
  <c r="H18" i="20"/>
  <c r="H21" i="20" s="1"/>
  <c r="H15" i="19"/>
  <c r="D17" i="19"/>
  <c r="F18" i="19"/>
  <c r="F21" i="19"/>
  <c r="D35" i="20"/>
  <c r="D12" i="23"/>
  <c r="D12" i="21"/>
  <c r="F134" i="4" s="1"/>
  <c r="F173" i="4" s="1"/>
  <c r="D12" i="22"/>
  <c r="F16" i="21"/>
  <c r="F16" i="22"/>
  <c r="F16" i="23"/>
  <c r="F19" i="22"/>
  <c r="F19" i="23"/>
  <c r="F19" i="21"/>
  <c r="J20" i="24"/>
  <c r="L20" i="24" s="1"/>
  <c r="H20" i="21"/>
  <c r="J20" i="21" s="1"/>
  <c r="L20" i="21" s="1"/>
  <c r="H20" i="23"/>
  <c r="H20" i="22"/>
  <c r="D22" i="23"/>
  <c r="D22" i="22"/>
  <c r="D22" i="21"/>
  <c r="H23" i="21"/>
  <c r="J23" i="24"/>
  <c r="L23" i="24" s="1"/>
  <c r="H23" i="22"/>
  <c r="H23" i="23"/>
  <c r="H26" i="21"/>
  <c r="J26" i="24"/>
  <c r="L26" i="24" s="1"/>
  <c r="H26" i="23"/>
  <c r="H26" i="22"/>
  <c r="F38" i="24"/>
  <c r="F30" i="21"/>
  <c r="F30" i="23"/>
  <c r="F30" i="22"/>
  <c r="F33" i="22"/>
  <c r="F33" i="23"/>
  <c r="F33" i="21"/>
  <c r="F45" i="22"/>
  <c r="F45" i="23"/>
  <c r="F63" i="24"/>
  <c r="D48" i="23"/>
  <c r="D48" i="22"/>
  <c r="F52" i="23"/>
  <c r="F52" i="22"/>
  <c r="F52" i="21" s="1"/>
  <c r="F55" i="22"/>
  <c r="F55" i="23"/>
  <c r="J56" i="24"/>
  <c r="L56" i="24" s="1"/>
  <c r="H56" i="23"/>
  <c r="J56" i="23" s="1"/>
  <c r="L56" i="23" s="1"/>
  <c r="H56" i="22"/>
  <c r="D58" i="23"/>
  <c r="D58" i="22"/>
  <c r="J59" i="24"/>
  <c r="L59" i="24" s="1"/>
  <c r="H59" i="23"/>
  <c r="H59" i="22"/>
  <c r="J62" i="24"/>
  <c r="L62" i="24" s="1"/>
  <c r="H62" i="23"/>
  <c r="H62" i="22"/>
  <c r="F66" i="23"/>
  <c r="F66" i="22"/>
  <c r="F65" i="21"/>
  <c r="F69" i="24"/>
  <c r="F89" i="24"/>
  <c r="D79" i="22"/>
  <c r="D109" i="22"/>
  <c r="J109" i="22" s="1"/>
  <c r="L109" i="22" s="1"/>
  <c r="J112" i="24"/>
  <c r="L112" i="24" s="1"/>
  <c r="H112" i="22"/>
  <c r="F117" i="24"/>
  <c r="H18" i="25"/>
  <c r="J27" i="26"/>
  <c r="L27" i="26" s="1"/>
  <c r="H105" i="22"/>
  <c r="R11" i="33"/>
  <c r="D11" i="36"/>
  <c r="N12" i="36"/>
  <c r="F15" i="36"/>
  <c r="P16" i="36"/>
  <c r="F19" i="36"/>
  <c r="P20" i="36"/>
  <c r="R22" i="33"/>
  <c r="D22" i="36"/>
  <c r="F23" i="36"/>
  <c r="P24" i="36"/>
  <c r="D26" i="36"/>
  <c r="R27" i="33"/>
  <c r="L27" i="36"/>
  <c r="P41" i="33"/>
  <c r="P32" i="36"/>
  <c r="H34" i="36"/>
  <c r="N35" i="36"/>
  <c r="P36" i="36"/>
  <c r="H38" i="36"/>
  <c r="N39" i="36"/>
  <c r="L43" i="36"/>
  <c r="L56" i="33"/>
  <c r="D46" i="36"/>
  <c r="R46" i="36" s="1"/>
  <c r="R47" i="33"/>
  <c r="L47" i="36"/>
  <c r="H50" i="36"/>
  <c r="L51" i="36"/>
  <c r="H54" i="36"/>
  <c r="R61" i="33"/>
  <c r="D59" i="36"/>
  <c r="H78" i="33"/>
  <c r="H61" i="36"/>
  <c r="F64" i="36"/>
  <c r="H65" i="36"/>
  <c r="F68" i="36"/>
  <c r="L69" i="36"/>
  <c r="D71" i="36"/>
  <c r="R72" i="33"/>
  <c r="F72" i="36"/>
  <c r="L73" i="36"/>
  <c r="D75" i="36"/>
  <c r="R76" i="33"/>
  <c r="H76" i="36"/>
  <c r="D78" i="36"/>
  <c r="D97" i="33"/>
  <c r="R79" i="33"/>
  <c r="L79" i="36"/>
  <c r="N80" i="36"/>
  <c r="D82" i="36"/>
  <c r="R83" i="33"/>
  <c r="L83" i="36"/>
  <c r="R87" i="33"/>
  <c r="D86" i="36"/>
  <c r="L87" i="36"/>
  <c r="F90" i="36"/>
  <c r="P91" i="36"/>
  <c r="F94" i="36"/>
  <c r="P95" i="36"/>
  <c r="P97" i="36"/>
  <c r="P110" i="33"/>
  <c r="F99" i="36"/>
  <c r="N100" i="36"/>
  <c r="P101" i="36"/>
  <c r="F103" i="36"/>
  <c r="N104" i="36"/>
  <c r="L107" i="36"/>
  <c r="N108" i="36"/>
  <c r="F110" i="36"/>
  <c r="F128" i="33"/>
  <c r="P111" i="36"/>
  <c r="R114" i="33"/>
  <c r="D113" i="36"/>
  <c r="H114" i="36"/>
  <c r="R118" i="33"/>
  <c r="D117" i="36"/>
  <c r="H118" i="36"/>
  <c r="F121" i="36"/>
  <c r="H122" i="36"/>
  <c r="F125" i="36"/>
  <c r="N126" i="36"/>
  <c r="F146" i="33"/>
  <c r="F128" i="36"/>
  <c r="H129" i="36"/>
  <c r="F132" i="36"/>
  <c r="L133" i="36"/>
  <c r="D135" i="36"/>
  <c r="R136" i="33"/>
  <c r="F136" i="36"/>
  <c r="L137" i="36"/>
  <c r="R140" i="33"/>
  <c r="D139" i="36"/>
  <c r="H140" i="36"/>
  <c r="L141" i="36"/>
  <c r="R144" i="33"/>
  <c r="D143" i="36"/>
  <c r="H144" i="36"/>
  <c r="D146" i="36"/>
  <c r="D162" i="33"/>
  <c r="R147" i="33"/>
  <c r="L147" i="36"/>
  <c r="D150" i="36"/>
  <c r="R151" i="33"/>
  <c r="L151" i="36"/>
  <c r="F154" i="36"/>
  <c r="P155" i="36"/>
  <c r="F158" i="36"/>
  <c r="P159" i="36"/>
  <c r="F163" i="36"/>
  <c r="L167" i="36"/>
  <c r="L170" i="33"/>
  <c r="H170" i="36"/>
  <c r="H207" i="33"/>
  <c r="F173" i="36"/>
  <c r="H174" i="36"/>
  <c r="F177" i="36"/>
  <c r="N178" i="36"/>
  <c r="D180" i="36"/>
  <c r="R181" i="33"/>
  <c r="F181" i="36"/>
  <c r="N182" i="36"/>
  <c r="D184" i="36"/>
  <c r="R185" i="33"/>
  <c r="L185" i="36"/>
  <c r="N186" i="36"/>
  <c r="L188" i="36"/>
  <c r="F190" i="36"/>
  <c r="H192" i="36"/>
  <c r="P193" i="36"/>
  <c r="L195" i="36"/>
  <c r="H198" i="36"/>
  <c r="P203" i="36"/>
  <c r="F208" i="36"/>
  <c r="R212" i="33"/>
  <c r="D211" i="36"/>
  <c r="L213" i="36"/>
  <c r="P220" i="33"/>
  <c r="P217" i="36"/>
  <c r="H222" i="36"/>
  <c r="P224" i="36"/>
  <c r="N227" i="36"/>
  <c r="H230" i="36"/>
  <c r="N235" i="36"/>
  <c r="L238" i="36"/>
  <c r="P243" i="36"/>
  <c r="N246" i="36"/>
  <c r="F249" i="36"/>
  <c r="D252" i="36"/>
  <c r="R253" i="33"/>
  <c r="N254" i="36"/>
  <c r="H257" i="36"/>
  <c r="R261" i="33"/>
  <c r="D260" i="36"/>
  <c r="H265" i="36"/>
  <c r="L268" i="36"/>
  <c r="L276" i="36"/>
  <c r="F279" i="36"/>
  <c r="D282" i="36"/>
  <c r="R283" i="33"/>
  <c r="L284" i="36"/>
  <c r="H287" i="36"/>
  <c r="L291" i="36"/>
  <c r="D294" i="36"/>
  <c r="R295" i="33"/>
  <c r="L299" i="36"/>
  <c r="H302" i="36"/>
  <c r="F305" i="36"/>
  <c r="N307" i="36"/>
  <c r="F312" i="36"/>
  <c r="P314" i="36"/>
  <c r="N317" i="36"/>
  <c r="L319" i="36"/>
  <c r="L329" i="33"/>
  <c r="H322" i="36"/>
  <c r="D329" i="36"/>
  <c r="R331" i="33"/>
  <c r="H334" i="36"/>
  <c r="F337" i="36"/>
  <c r="N342" i="36"/>
  <c r="F345" i="36"/>
  <c r="D350" i="36"/>
  <c r="R352" i="33"/>
  <c r="N354" i="36"/>
  <c r="N375" i="33"/>
  <c r="R187" i="4"/>
  <c r="F357" i="36"/>
  <c r="D359" i="36"/>
  <c r="R362" i="33"/>
  <c r="N361" i="36"/>
  <c r="H364" i="36"/>
  <c r="D367" i="36"/>
  <c r="R370" i="33"/>
  <c r="N391" i="36"/>
  <c r="F394" i="36"/>
  <c r="D397" i="36"/>
  <c r="R400" i="33"/>
  <c r="H402" i="36"/>
  <c r="L408" i="36"/>
  <c r="L419" i="33"/>
  <c r="P413" i="36"/>
  <c r="F421" i="36"/>
  <c r="H188" i="4"/>
  <c r="H245" i="4" s="1"/>
  <c r="D424" i="36"/>
  <c r="R427" i="33"/>
  <c r="N426" i="36"/>
  <c r="L429" i="36"/>
  <c r="R435" i="33"/>
  <c r="D432" i="36"/>
  <c r="R432" i="36" s="1"/>
  <c r="P434" i="36"/>
  <c r="L437" i="36"/>
  <c r="H443" i="36"/>
  <c r="F451" i="36"/>
  <c r="F452" i="36" s="1"/>
  <c r="F455" i="36" s="1"/>
  <c r="F455" i="33"/>
  <c r="F458" i="33" s="1"/>
  <c r="H196" i="4"/>
  <c r="H254" i="4" s="1"/>
  <c r="N463" i="36"/>
  <c r="H466" i="36"/>
  <c r="P471" i="36"/>
  <c r="H474" i="36"/>
  <c r="F477" i="36"/>
  <c r="D480" i="36"/>
  <c r="R483" i="33"/>
  <c r="L482" i="36"/>
  <c r="H485" i="36"/>
  <c r="D492" i="36"/>
  <c r="R492" i="36" s="1"/>
  <c r="R495" i="33"/>
  <c r="H503" i="36"/>
  <c r="H511" i="33"/>
  <c r="H514" i="33" s="1"/>
  <c r="F506" i="36"/>
  <c r="R10" i="34"/>
  <c r="D11" i="34"/>
  <c r="D12" i="17"/>
  <c r="D12" i="15"/>
  <c r="D12" i="16"/>
  <c r="H13" i="17"/>
  <c r="H13" i="16"/>
  <c r="H13" i="15"/>
  <c r="J13" i="18"/>
  <c r="L13" i="18" s="1"/>
  <c r="H16" i="15"/>
  <c r="H16" i="17"/>
  <c r="J16" i="18"/>
  <c r="L16" i="18" s="1"/>
  <c r="H16" i="16"/>
  <c r="D19" i="16"/>
  <c r="D19" i="17"/>
  <c r="D19" i="15"/>
  <c r="D22" i="17"/>
  <c r="D22" i="16"/>
  <c r="D22" i="15"/>
  <c r="F23" i="16"/>
  <c r="F23" i="15"/>
  <c r="F23" i="17"/>
  <c r="F26" i="17"/>
  <c r="F26" i="16"/>
  <c r="F26" i="15"/>
  <c r="D32" i="15"/>
  <c r="D40" i="18"/>
  <c r="D32" i="17"/>
  <c r="D32" i="16"/>
  <c r="J33" i="18"/>
  <c r="L33" i="18" s="1"/>
  <c r="H33" i="15"/>
  <c r="H33" i="17"/>
  <c r="H33" i="16"/>
  <c r="D35" i="15"/>
  <c r="D35" i="17"/>
  <c r="D35" i="16"/>
  <c r="F36" i="16"/>
  <c r="F36" i="17"/>
  <c r="F36" i="15"/>
  <c r="F39" i="16"/>
  <c r="F39" i="15"/>
  <c r="F39" i="17"/>
  <c r="H43" i="16"/>
  <c r="H51" i="18"/>
  <c r="H43" i="15"/>
  <c r="H43" i="17"/>
  <c r="J43" i="18"/>
  <c r="H46" i="16"/>
  <c r="H46" i="17"/>
  <c r="H46" i="15"/>
  <c r="J46" i="18"/>
  <c r="L46" i="18" s="1"/>
  <c r="D49" i="17"/>
  <c r="D49" i="16"/>
  <c r="D49" i="15"/>
  <c r="D68" i="18"/>
  <c r="D59" i="17"/>
  <c r="D59" i="15"/>
  <c r="D59" i="16"/>
  <c r="H60" i="17"/>
  <c r="J60" i="18"/>
  <c r="L60" i="18" s="1"/>
  <c r="H60" i="15"/>
  <c r="H60" i="16"/>
  <c r="F63" i="16"/>
  <c r="F63" i="17"/>
  <c r="F63" i="15"/>
  <c r="D66" i="15"/>
  <c r="D66" i="17"/>
  <c r="D66" i="16"/>
  <c r="D72" i="16"/>
  <c r="D72" i="15"/>
  <c r="D72" i="17"/>
  <c r="D75" i="17"/>
  <c r="D75" i="16"/>
  <c r="D75" i="15"/>
  <c r="F76" i="15"/>
  <c r="F76" i="16"/>
  <c r="F76" i="17"/>
  <c r="F79" i="16"/>
  <c r="F79" i="15"/>
  <c r="F79" i="17"/>
  <c r="F82" i="17"/>
  <c r="F82" i="15"/>
  <c r="F82" i="16"/>
  <c r="J83" i="18"/>
  <c r="H83" i="16"/>
  <c r="H83" i="15"/>
  <c r="H83" i="17"/>
  <c r="F89" i="17"/>
  <c r="F89" i="16"/>
  <c r="F89" i="15"/>
  <c r="D92" i="16"/>
  <c r="D93" i="17"/>
  <c r="F97" i="17"/>
  <c r="F96" i="16"/>
  <c r="F97" i="15"/>
  <c r="H118" i="18"/>
  <c r="H107" i="16"/>
  <c r="D110" i="16"/>
  <c r="J109" i="18"/>
  <c r="L109" i="18" s="1"/>
  <c r="J112" i="18"/>
  <c r="L112" i="18" s="1"/>
  <c r="D113" i="16"/>
  <c r="H114" i="16"/>
  <c r="J115" i="18"/>
  <c r="L115" i="18" s="1"/>
  <c r="D116" i="16"/>
  <c r="J116" i="16" s="1"/>
  <c r="L116" i="16" s="1"/>
  <c r="F117" i="16"/>
  <c r="J122" i="18"/>
  <c r="L122" i="18" s="1"/>
  <c r="D123" i="16"/>
  <c r="H124" i="16"/>
  <c r="J125" i="18"/>
  <c r="L125" i="18" s="1"/>
  <c r="D126" i="16"/>
  <c r="H134" i="18"/>
  <c r="H130" i="16"/>
  <c r="D132" i="16"/>
  <c r="J131" i="18"/>
  <c r="L131" i="18" s="1"/>
  <c r="H134" i="16"/>
  <c r="H143" i="16"/>
  <c r="J146" i="18"/>
  <c r="L146" i="18" s="1"/>
  <c r="D147" i="16"/>
  <c r="F151" i="16"/>
  <c r="J155" i="18"/>
  <c r="L155" i="18" s="1"/>
  <c r="D156" i="16"/>
  <c r="F157" i="16"/>
  <c r="F160" i="16"/>
  <c r="F17" i="19"/>
  <c r="F20" i="19"/>
  <c r="J17" i="20"/>
  <c r="L17" i="20" s="1"/>
  <c r="H21" i="19"/>
  <c r="H95" i="15" s="1"/>
  <c r="F35" i="20"/>
  <c r="J34" i="20"/>
  <c r="L34" i="20" s="1"/>
  <c r="J12" i="24"/>
  <c r="L12" i="24" s="1"/>
  <c r="H12" i="21"/>
  <c r="H12" i="23"/>
  <c r="H12" i="22"/>
  <c r="F15" i="22"/>
  <c r="F15" i="23"/>
  <c r="F15" i="21"/>
  <c r="D18" i="23"/>
  <c r="D18" i="22"/>
  <c r="D18" i="21"/>
  <c r="H19" i="21"/>
  <c r="J19" i="24"/>
  <c r="L19" i="24" s="1"/>
  <c r="H19" i="23"/>
  <c r="H19" i="22"/>
  <c r="D21" i="23"/>
  <c r="D21" i="21"/>
  <c r="D21" i="22"/>
  <c r="H22" i="21"/>
  <c r="H22" i="22"/>
  <c r="J22" i="24"/>
  <c r="L22" i="24" s="1"/>
  <c r="H22" i="23"/>
  <c r="F25" i="22"/>
  <c r="F25" i="23"/>
  <c r="F25" i="21"/>
  <c r="F32" i="22"/>
  <c r="F32" i="23"/>
  <c r="F32" i="21"/>
  <c r="J33" i="24"/>
  <c r="L33" i="24" s="1"/>
  <c r="H33" i="21"/>
  <c r="H33" i="23"/>
  <c r="H33" i="22"/>
  <c r="H36" i="21"/>
  <c r="H36" i="23"/>
  <c r="H36" i="22"/>
  <c r="J36" i="24"/>
  <c r="L36" i="24" s="1"/>
  <c r="D41" i="23"/>
  <c r="D42" i="23" s="1"/>
  <c r="D42" i="24"/>
  <c r="D41" i="21"/>
  <c r="D41" i="22"/>
  <c r="D42" i="22" s="1"/>
  <c r="J48" i="24"/>
  <c r="L48" i="24" s="1"/>
  <c r="H48" i="23"/>
  <c r="H48" i="22"/>
  <c r="F51" i="22"/>
  <c r="F51" i="21" s="1"/>
  <c r="F51" i="23"/>
  <c r="D54" i="23"/>
  <c r="D54" i="22"/>
  <c r="D54" i="21" s="1"/>
  <c r="J55" i="24"/>
  <c r="L55" i="24" s="1"/>
  <c r="H55" i="23"/>
  <c r="H55" i="22"/>
  <c r="D57" i="23"/>
  <c r="D57" i="22"/>
  <c r="D57" i="21" s="1"/>
  <c r="H58" i="23"/>
  <c r="J58" i="24"/>
  <c r="L58" i="24" s="1"/>
  <c r="H58" i="22"/>
  <c r="F61" i="22"/>
  <c r="F61" i="21" s="1"/>
  <c r="F61" i="23"/>
  <c r="F68" i="22"/>
  <c r="F67" i="21"/>
  <c r="F68" i="23"/>
  <c r="H89" i="24"/>
  <c r="J77" i="24"/>
  <c r="J81" i="24"/>
  <c r="L81" i="24" s="1"/>
  <c r="H83" i="22"/>
  <c r="J83" i="24"/>
  <c r="L83" i="24" s="1"/>
  <c r="J85" i="24"/>
  <c r="L85" i="24" s="1"/>
  <c r="D87" i="22"/>
  <c r="J87" i="22" s="1"/>
  <c r="L87" i="22" s="1"/>
  <c r="H99" i="24"/>
  <c r="J93" i="24"/>
  <c r="L93" i="24" s="1"/>
  <c r="J107" i="24"/>
  <c r="L107" i="24" s="1"/>
  <c r="H107" i="22"/>
  <c r="H117" i="24"/>
  <c r="J116" i="24"/>
  <c r="H19" i="26"/>
  <c r="H22" i="26" s="1"/>
  <c r="H11" i="25"/>
  <c r="D13" i="25"/>
  <c r="J13" i="26"/>
  <c r="L13" i="26" s="1"/>
  <c r="F15" i="25"/>
  <c r="D17" i="25"/>
  <c r="J17" i="26"/>
  <c r="L17" i="26" s="1"/>
  <c r="D10" i="36"/>
  <c r="R10" i="33"/>
  <c r="D30" i="33"/>
  <c r="N11" i="36"/>
  <c r="D14" i="36"/>
  <c r="R14" i="33"/>
  <c r="N15" i="36"/>
  <c r="H18" i="36"/>
  <c r="P19" i="36"/>
  <c r="H22" i="36"/>
  <c r="P23" i="36"/>
  <c r="F25" i="36"/>
  <c r="H26" i="36"/>
  <c r="P27" i="36"/>
  <c r="H33" i="36"/>
  <c r="L34" i="36"/>
  <c r="R34" i="36" s="1"/>
  <c r="P35" i="36"/>
  <c r="H37" i="36"/>
  <c r="N38" i="36"/>
  <c r="P39" i="36"/>
  <c r="P43" i="36"/>
  <c r="P56" i="33"/>
  <c r="F45" i="36"/>
  <c r="L46" i="36"/>
  <c r="D48" i="36"/>
  <c r="R49" i="33"/>
  <c r="F49" i="36"/>
  <c r="L50" i="36"/>
  <c r="D52" i="36"/>
  <c r="R53" i="33"/>
  <c r="H53" i="36"/>
  <c r="L54" i="36"/>
  <c r="R54" i="36" s="1"/>
  <c r="R60" i="33"/>
  <c r="H59" i="36"/>
  <c r="D63" i="36"/>
  <c r="R64" i="33"/>
  <c r="H64" i="36"/>
  <c r="F67" i="36"/>
  <c r="H68" i="36"/>
  <c r="F71" i="36"/>
  <c r="N72" i="36"/>
  <c r="R75" i="33"/>
  <c r="D74" i="36"/>
  <c r="F75" i="36"/>
  <c r="N76" i="36"/>
  <c r="H78" i="36"/>
  <c r="H97" i="33"/>
  <c r="P79" i="36"/>
  <c r="D81" i="36"/>
  <c r="R82" i="33"/>
  <c r="N82" i="36"/>
  <c r="P83" i="36"/>
  <c r="D85" i="36"/>
  <c r="R86" i="33"/>
  <c r="N86" i="36"/>
  <c r="D89" i="36"/>
  <c r="R90" i="33"/>
  <c r="N90" i="36"/>
  <c r="F93" i="36"/>
  <c r="P94" i="36"/>
  <c r="H98" i="36"/>
  <c r="L99" i="36"/>
  <c r="P100" i="36"/>
  <c r="H102" i="36"/>
  <c r="N103" i="36"/>
  <c r="P104" i="36"/>
  <c r="H106" i="36"/>
  <c r="N107" i="36"/>
  <c r="P110" i="36"/>
  <c r="P128" i="33"/>
  <c r="D112" i="36"/>
  <c r="R113" i="33"/>
  <c r="F113" i="36"/>
  <c r="P114" i="36"/>
  <c r="D116" i="36"/>
  <c r="R117" i="33"/>
  <c r="L117" i="36"/>
  <c r="D120" i="36"/>
  <c r="R121" i="33"/>
  <c r="L121" i="36"/>
  <c r="H124" i="36"/>
  <c r="L125" i="36"/>
  <c r="H128" i="36"/>
  <c r="H146" i="33"/>
  <c r="F131" i="36"/>
  <c r="H132" i="36"/>
  <c r="F135" i="36"/>
  <c r="N136" i="36"/>
  <c r="R139" i="33"/>
  <c r="D138" i="36"/>
  <c r="F139" i="36"/>
  <c r="N140" i="36"/>
  <c r="R143" i="33"/>
  <c r="D142" i="36"/>
  <c r="L143" i="36"/>
  <c r="N144" i="36"/>
  <c r="N146" i="36"/>
  <c r="N162" i="33"/>
  <c r="P147" i="36"/>
  <c r="D149" i="36"/>
  <c r="R150" i="33"/>
  <c r="N150" i="36"/>
  <c r="R154" i="33"/>
  <c r="D153" i="36"/>
  <c r="N154" i="36"/>
  <c r="F157" i="36"/>
  <c r="P158" i="36"/>
  <c r="H162" i="36"/>
  <c r="L163" i="36"/>
  <c r="D168" i="36"/>
  <c r="R169" i="33"/>
  <c r="D172" i="36"/>
  <c r="R173" i="33"/>
  <c r="L173" i="36"/>
  <c r="H176" i="36"/>
  <c r="L177" i="36"/>
  <c r="H180" i="36"/>
  <c r="N181" i="36"/>
  <c r="F183" i="36"/>
  <c r="H184" i="36"/>
  <c r="N185" i="36"/>
  <c r="F187" i="36"/>
  <c r="N188" i="36"/>
  <c r="P190" i="36"/>
  <c r="L192" i="36"/>
  <c r="F194" i="36"/>
  <c r="L196" i="36"/>
  <c r="H199" i="36"/>
  <c r="R199" i="36" s="1"/>
  <c r="P201" i="36"/>
  <c r="N204" i="36"/>
  <c r="H208" i="36"/>
  <c r="F211" i="36"/>
  <c r="R215" i="33"/>
  <c r="D214" i="36"/>
  <c r="D216" i="36"/>
  <c r="S22" i="8"/>
  <c r="S26" i="8" s="1"/>
  <c r="S38" i="8" s="1"/>
  <c r="R217" i="33"/>
  <c r="C105" i="2" s="1"/>
  <c r="C101" i="2" s="1"/>
  <c r="P218" i="36"/>
  <c r="L222" i="36"/>
  <c r="H225" i="36"/>
  <c r="P227" i="36"/>
  <c r="N230" i="36"/>
  <c r="H233" i="36"/>
  <c r="D236" i="36"/>
  <c r="R237" i="33"/>
  <c r="N238" i="36"/>
  <c r="L241" i="36"/>
  <c r="D244" i="36"/>
  <c r="R245" i="33"/>
  <c r="P249" i="36"/>
  <c r="F252" i="36"/>
  <c r="R256" i="33"/>
  <c r="D255" i="36"/>
  <c r="P257" i="36"/>
  <c r="H260" i="36"/>
  <c r="R264" i="33"/>
  <c r="D263" i="36"/>
  <c r="F266" i="36"/>
  <c r="N268" i="36"/>
  <c r="N272" i="36"/>
  <c r="N275" i="33"/>
  <c r="L279" i="36"/>
  <c r="F282" i="36"/>
  <c r="D285" i="36"/>
  <c r="R286" i="33"/>
  <c r="L287" i="36"/>
  <c r="H292" i="36"/>
  <c r="F295" i="36"/>
  <c r="N300" i="36"/>
  <c r="F303" i="36"/>
  <c r="R307" i="33"/>
  <c r="D306" i="36"/>
  <c r="N308" i="36"/>
  <c r="L310" i="36"/>
  <c r="H313" i="36"/>
  <c r="D320" i="36"/>
  <c r="R322" i="33"/>
  <c r="L322" i="36"/>
  <c r="H325" i="36"/>
  <c r="R332" i="33"/>
  <c r="D330" i="36"/>
  <c r="H335" i="36"/>
  <c r="F338" i="36"/>
  <c r="D341" i="36"/>
  <c r="R343" i="33"/>
  <c r="L343" i="36"/>
  <c r="H346" i="36"/>
  <c r="H350" i="36"/>
  <c r="R350" i="36" s="1"/>
  <c r="P357" i="36"/>
  <c r="F359" i="36"/>
  <c r="R365" i="33"/>
  <c r="D362" i="36"/>
  <c r="P364" i="36"/>
  <c r="H367" i="36"/>
  <c r="D370" i="36"/>
  <c r="R373" i="33"/>
  <c r="F379" i="36"/>
  <c r="F384" i="33"/>
  <c r="F386" i="33" s="1"/>
  <c r="F389" i="36"/>
  <c r="F408" i="33"/>
  <c r="P394" i="36"/>
  <c r="F397" i="36"/>
  <c r="R403" i="33"/>
  <c r="D400" i="36"/>
  <c r="R400" i="36" s="1"/>
  <c r="H409" i="36"/>
  <c r="P414" i="36"/>
  <c r="L421" i="36"/>
  <c r="P188" i="4"/>
  <c r="P245" i="4" s="1"/>
  <c r="H424" i="36"/>
  <c r="F427" i="36"/>
  <c r="N429" i="36"/>
  <c r="L432" i="36"/>
  <c r="F435" i="36"/>
  <c r="P437" i="36"/>
  <c r="L441" i="36"/>
  <c r="L447" i="33"/>
  <c r="P192" i="4"/>
  <c r="P248" i="4" s="1"/>
  <c r="R462" i="33"/>
  <c r="D491" i="33"/>
  <c r="D459" i="36"/>
  <c r="R459" i="36" s="1"/>
  <c r="P464" i="36"/>
  <c r="F467" i="36"/>
  <c r="D470" i="36"/>
  <c r="R473" i="33"/>
  <c r="P472" i="36"/>
  <c r="L475" i="36"/>
  <c r="D478" i="36"/>
  <c r="R481" i="33"/>
  <c r="L483" i="36"/>
  <c r="H486" i="36"/>
  <c r="H492" i="36"/>
  <c r="D495" i="36"/>
  <c r="R495" i="36" s="1"/>
  <c r="R498" i="33"/>
  <c r="L504" i="36"/>
  <c r="P194" i="4"/>
  <c r="P250" i="4" s="1"/>
  <c r="D507" i="36"/>
  <c r="R510" i="33"/>
  <c r="F11" i="34"/>
  <c r="F22" i="34"/>
  <c r="R18" i="34"/>
  <c r="N18" i="19" s="1"/>
  <c r="H36" i="34"/>
  <c r="H39" i="34" s="1"/>
  <c r="R35" i="34"/>
  <c r="N18" i="25" s="1"/>
  <c r="P187" i="36"/>
  <c r="F189" i="36"/>
  <c r="H190" i="36"/>
  <c r="P191" i="36"/>
  <c r="F193" i="36"/>
  <c r="N194" i="36"/>
  <c r="P195" i="36"/>
  <c r="F197" i="36"/>
  <c r="N198" i="36"/>
  <c r="L201" i="36"/>
  <c r="N202" i="36"/>
  <c r="L205" i="36"/>
  <c r="L216" i="33"/>
  <c r="L207" i="36"/>
  <c r="H210" i="36"/>
  <c r="L211" i="36"/>
  <c r="H214" i="36"/>
  <c r="D218" i="36"/>
  <c r="R219" i="33"/>
  <c r="F220" i="36"/>
  <c r="F272" i="33"/>
  <c r="L221" i="36"/>
  <c r="N222" i="36"/>
  <c r="F224" i="36"/>
  <c r="L225" i="36"/>
  <c r="H228" i="36"/>
  <c r="L229" i="36"/>
  <c r="H232" i="36"/>
  <c r="P233" i="36"/>
  <c r="H236" i="36"/>
  <c r="P237" i="36"/>
  <c r="D239" i="36"/>
  <c r="R240" i="33"/>
  <c r="N240" i="36"/>
  <c r="P241" i="36"/>
  <c r="R244" i="33"/>
  <c r="D243" i="36"/>
  <c r="N244" i="36"/>
  <c r="R248" i="33"/>
  <c r="D247" i="36"/>
  <c r="N248" i="36"/>
  <c r="F251" i="36"/>
  <c r="P252" i="36"/>
  <c r="F255" i="36"/>
  <c r="P256" i="36"/>
  <c r="D258" i="36"/>
  <c r="R259" i="33"/>
  <c r="F259" i="36"/>
  <c r="P260" i="36"/>
  <c r="D262" i="36"/>
  <c r="R263" i="33"/>
  <c r="L263" i="36"/>
  <c r="H266" i="36"/>
  <c r="P267" i="36"/>
  <c r="F269" i="36"/>
  <c r="N270" i="36"/>
  <c r="F272" i="36"/>
  <c r="F275" i="33"/>
  <c r="H273" i="36"/>
  <c r="F277" i="36"/>
  <c r="H278" i="36"/>
  <c r="F281" i="36"/>
  <c r="N282" i="36"/>
  <c r="R285" i="33"/>
  <c r="D284" i="36"/>
  <c r="F285" i="36"/>
  <c r="N286" i="36"/>
  <c r="F289" i="36"/>
  <c r="F320" i="33"/>
  <c r="H290" i="36"/>
  <c r="P291" i="36"/>
  <c r="F293" i="36"/>
  <c r="L294" i="36"/>
  <c r="D296" i="36"/>
  <c r="R297" i="33"/>
  <c r="F297" i="36"/>
  <c r="L298" i="36"/>
  <c r="D300" i="36"/>
  <c r="R301" i="33"/>
  <c r="H301" i="36"/>
  <c r="L302" i="36"/>
  <c r="D304" i="36"/>
  <c r="R305" i="33"/>
  <c r="H305" i="36"/>
  <c r="N306" i="36"/>
  <c r="F308" i="36"/>
  <c r="H309" i="36"/>
  <c r="F311" i="36"/>
  <c r="L312" i="36"/>
  <c r="N313" i="36"/>
  <c r="F315" i="36"/>
  <c r="N316" i="36"/>
  <c r="F320" i="36"/>
  <c r="L321" i="36"/>
  <c r="D323" i="36"/>
  <c r="R325" i="33"/>
  <c r="F324" i="36"/>
  <c r="L325" i="36"/>
  <c r="D350" i="33"/>
  <c r="D328" i="36"/>
  <c r="R330" i="33"/>
  <c r="F329" i="36"/>
  <c r="R329" i="36" s="1"/>
  <c r="P330" i="36"/>
  <c r="D332" i="36"/>
  <c r="R334" i="33"/>
  <c r="L333" i="36"/>
  <c r="D336" i="36"/>
  <c r="R338" i="33"/>
  <c r="L337" i="36"/>
  <c r="H340" i="36"/>
  <c r="L341" i="36"/>
  <c r="H344" i="36"/>
  <c r="N345" i="36"/>
  <c r="F347" i="36"/>
  <c r="H349" i="36"/>
  <c r="D355" i="36"/>
  <c r="R357" i="33"/>
  <c r="N356" i="36"/>
  <c r="P359" i="36"/>
  <c r="F362" i="36"/>
  <c r="P363" i="36"/>
  <c r="D365" i="36"/>
  <c r="R365" i="36" s="1"/>
  <c r="R368" i="33"/>
  <c r="F366" i="36"/>
  <c r="P367" i="36"/>
  <c r="D369" i="36"/>
  <c r="R372" i="33"/>
  <c r="L370" i="36"/>
  <c r="F380" i="36"/>
  <c r="H195" i="4"/>
  <c r="H251" i="4" s="1"/>
  <c r="N389" i="36"/>
  <c r="N408" i="33"/>
  <c r="F392" i="36"/>
  <c r="P393" i="36"/>
  <c r="F396" i="36"/>
  <c r="P397" i="36"/>
  <c r="D399" i="36"/>
  <c r="R402" i="33"/>
  <c r="F400" i="36"/>
  <c r="P401" i="36"/>
  <c r="D403" i="36"/>
  <c r="R406" i="33"/>
  <c r="L404" i="36"/>
  <c r="N419" i="33"/>
  <c r="N408" i="36"/>
  <c r="L411" i="36"/>
  <c r="N412" i="36"/>
  <c r="L415" i="36"/>
  <c r="L420" i="36"/>
  <c r="L441" i="33"/>
  <c r="D422" i="36"/>
  <c r="R425" i="33"/>
  <c r="H423" i="36"/>
  <c r="L424" i="36"/>
  <c r="R429" i="33"/>
  <c r="D426" i="36"/>
  <c r="H427" i="36"/>
  <c r="N428" i="36"/>
  <c r="F430" i="36"/>
  <c r="H431" i="36"/>
  <c r="N432" i="36"/>
  <c r="F434" i="36"/>
  <c r="L435" i="36"/>
  <c r="N436" i="36"/>
  <c r="D441" i="36"/>
  <c r="D447" i="33"/>
  <c r="R444" i="33"/>
  <c r="F192" i="4"/>
  <c r="F248" i="4" s="1"/>
  <c r="F442" i="36"/>
  <c r="L443" i="36"/>
  <c r="N451" i="36"/>
  <c r="N452" i="36" s="1"/>
  <c r="N455" i="36" s="1"/>
  <c r="N455" i="33"/>
  <c r="N458" i="33" s="1"/>
  <c r="R196" i="4"/>
  <c r="R254" i="4" s="1"/>
  <c r="P491" i="33"/>
  <c r="P459" i="36"/>
  <c r="F461" i="36"/>
  <c r="N462" i="36"/>
  <c r="D464" i="36"/>
  <c r="R467" i="33"/>
  <c r="F465" i="36"/>
  <c r="N466" i="36"/>
  <c r="D468" i="36"/>
  <c r="R471" i="33"/>
  <c r="H469" i="36"/>
  <c r="D472" i="36"/>
  <c r="R475" i="33"/>
  <c r="H473" i="36"/>
  <c r="F476" i="36"/>
  <c r="H477" i="36"/>
  <c r="F480" i="36"/>
  <c r="L481" i="36"/>
  <c r="D483" i="36"/>
  <c r="R486" i="33"/>
  <c r="F484" i="36"/>
  <c r="L485" i="36"/>
  <c r="D487" i="36"/>
  <c r="R490" i="33"/>
  <c r="F491" i="36"/>
  <c r="F499" i="33"/>
  <c r="P492" i="36"/>
  <c r="D494" i="36"/>
  <c r="R497" i="33"/>
  <c r="L495" i="36"/>
  <c r="N503" i="36"/>
  <c r="N511" i="33"/>
  <c r="N514" i="33" s="1"/>
  <c r="F505" i="36"/>
  <c r="H506" i="36"/>
  <c r="N507" i="36"/>
  <c r="L11" i="34"/>
  <c r="R16" i="34"/>
  <c r="N16" i="19" s="1"/>
  <c r="R20" i="34"/>
  <c r="N20" i="19" s="1"/>
  <c r="N36" i="34"/>
  <c r="N39" i="34" s="1"/>
  <c r="H196" i="36"/>
  <c r="N197" i="36"/>
  <c r="P198" i="36"/>
  <c r="H200" i="36"/>
  <c r="N201" i="36"/>
  <c r="L204" i="36"/>
  <c r="N205" i="36"/>
  <c r="D208" i="36"/>
  <c r="R209" i="33"/>
  <c r="F209" i="36"/>
  <c r="L210" i="36"/>
  <c r="D212" i="36"/>
  <c r="R213" i="33"/>
  <c r="H213" i="36"/>
  <c r="L214" i="36"/>
  <c r="D217" i="36"/>
  <c r="R218" i="33"/>
  <c r="D220" i="33"/>
  <c r="H218" i="36"/>
  <c r="H220" i="36"/>
  <c r="H272" i="33"/>
  <c r="P221" i="36"/>
  <c r="F223" i="36"/>
  <c r="N224" i="36"/>
  <c r="P225" i="36"/>
  <c r="F227" i="36"/>
  <c r="N228" i="36"/>
  <c r="L231" i="36"/>
  <c r="N232" i="36"/>
  <c r="L235" i="36"/>
  <c r="P236" i="36"/>
  <c r="L239" i="36"/>
  <c r="P240" i="36"/>
  <c r="D242" i="36"/>
  <c r="R243" i="33"/>
  <c r="N243" i="36"/>
  <c r="P244" i="36"/>
  <c r="D246" i="36"/>
  <c r="R247" i="33"/>
  <c r="N247" i="36"/>
  <c r="D250" i="36"/>
  <c r="R251" i="33"/>
  <c r="N251" i="36"/>
  <c r="H254" i="36"/>
  <c r="P255" i="36"/>
  <c r="H258" i="36"/>
  <c r="P259" i="36"/>
  <c r="F261" i="36"/>
  <c r="H262" i="36"/>
  <c r="P263" i="36"/>
  <c r="F265" i="36"/>
  <c r="P266" i="36"/>
  <c r="H268" i="36"/>
  <c r="L269" i="36"/>
  <c r="P270" i="36"/>
  <c r="H272" i="36"/>
  <c r="H275" i="33"/>
  <c r="P273" i="36"/>
  <c r="D276" i="36"/>
  <c r="R277" i="33"/>
  <c r="L277" i="36"/>
  <c r="H280" i="36"/>
  <c r="R280" i="36" s="1"/>
  <c r="L281" i="36"/>
  <c r="H284" i="36"/>
  <c r="N285" i="36"/>
  <c r="F287" i="36"/>
  <c r="H289" i="36"/>
  <c r="H320" i="33"/>
  <c r="F292" i="36"/>
  <c r="H293" i="36"/>
  <c r="F296" i="36"/>
  <c r="L297" i="36"/>
  <c r="D299" i="36"/>
  <c r="R300" i="33"/>
  <c r="F300" i="36"/>
  <c r="L301" i="36"/>
  <c r="R304" i="33"/>
  <c r="D303" i="36"/>
  <c r="H304" i="36"/>
  <c r="L305" i="36"/>
  <c r="R308" i="33"/>
  <c r="D307" i="36"/>
  <c r="H308" i="36"/>
  <c r="P309" i="36"/>
  <c r="F310" i="36"/>
  <c r="H311" i="36"/>
  <c r="P312" i="36"/>
  <c r="F314" i="36"/>
  <c r="N315" i="36"/>
  <c r="F329" i="33"/>
  <c r="F319" i="36"/>
  <c r="H320" i="36"/>
  <c r="F323" i="36"/>
  <c r="N324" i="36"/>
  <c r="D326" i="36"/>
  <c r="R328" i="33"/>
  <c r="H328" i="36"/>
  <c r="H350" i="33"/>
  <c r="P329" i="36"/>
  <c r="F331" i="36"/>
  <c r="H332" i="36"/>
  <c r="P333" i="36"/>
  <c r="F335" i="36"/>
  <c r="L336" i="36"/>
  <c r="D338" i="36"/>
  <c r="R340" i="33"/>
  <c r="F339" i="36"/>
  <c r="L340" i="36"/>
  <c r="D342" i="36"/>
  <c r="R344" i="33"/>
  <c r="H343" i="36"/>
  <c r="L344" i="36"/>
  <c r="D346" i="36"/>
  <c r="R348" i="33"/>
  <c r="H347" i="36"/>
  <c r="D354" i="36"/>
  <c r="F187" i="4"/>
  <c r="D375" i="33"/>
  <c r="R356" i="33"/>
  <c r="N355" i="36"/>
  <c r="D358" i="36"/>
  <c r="R360" i="33"/>
  <c r="H361" i="36"/>
  <c r="P362" i="36"/>
  <c r="H365" i="36"/>
  <c r="P366" i="36"/>
  <c r="R366" i="36" s="1"/>
  <c r="F368" i="36"/>
  <c r="H369" i="36"/>
  <c r="P370" i="36"/>
  <c r="D379" i="36"/>
  <c r="D384" i="33"/>
  <c r="D386" i="33" s="1"/>
  <c r="H380" i="36"/>
  <c r="J195" i="4"/>
  <c r="J251" i="4" s="1"/>
  <c r="D391" i="36"/>
  <c r="R391" i="36" s="1"/>
  <c r="R394" i="33"/>
  <c r="N392" i="36"/>
  <c r="H395" i="36"/>
  <c r="P396" i="36"/>
  <c r="H399" i="36"/>
  <c r="P400" i="36"/>
  <c r="F402" i="36"/>
  <c r="H403" i="36"/>
  <c r="P404" i="36"/>
  <c r="P408" i="36"/>
  <c r="P419" i="33"/>
  <c r="H410" i="36"/>
  <c r="N411" i="36"/>
  <c r="D413" i="36"/>
  <c r="R416" i="33"/>
  <c r="L414" i="36"/>
  <c r="N415" i="36"/>
  <c r="R424" i="33"/>
  <c r="D421" i="36"/>
  <c r="F188" i="4"/>
  <c r="F245" i="4" s="1"/>
  <c r="F422" i="36"/>
  <c r="L423" i="36"/>
  <c r="D425" i="36"/>
  <c r="R428" i="33"/>
  <c r="F190" i="4"/>
  <c r="F247" i="4" s="1"/>
  <c r="H426" i="36"/>
  <c r="L427" i="36"/>
  <c r="R432" i="33"/>
  <c r="D429" i="36"/>
  <c r="H430" i="36"/>
  <c r="P431" i="36"/>
  <c r="F433" i="36"/>
  <c r="H434" i="36"/>
  <c r="P435" i="36"/>
  <c r="F437" i="36"/>
  <c r="F441" i="36"/>
  <c r="F447" i="33"/>
  <c r="H192" i="4"/>
  <c r="H248" i="4" s="1"/>
  <c r="N442" i="36"/>
  <c r="P451" i="36"/>
  <c r="P452" i="36" s="1"/>
  <c r="P455" i="36" s="1"/>
  <c r="P455" i="33"/>
  <c r="P458" i="33" s="1"/>
  <c r="T196" i="4"/>
  <c r="T254" i="4" s="1"/>
  <c r="F460" i="36"/>
  <c r="H193" i="4"/>
  <c r="H249" i="4" s="1"/>
  <c r="P461" i="36"/>
  <c r="F464" i="36"/>
  <c r="P465" i="36"/>
  <c r="R470" i="33"/>
  <c r="D467" i="36"/>
  <c r="F468" i="36"/>
  <c r="P469" i="36"/>
  <c r="D471" i="36"/>
  <c r="R471" i="36" s="1"/>
  <c r="R474" i="33"/>
  <c r="H472" i="36"/>
  <c r="D475" i="36"/>
  <c r="R478" i="33"/>
  <c r="H476" i="36"/>
  <c r="F479" i="36"/>
  <c r="H480" i="36"/>
  <c r="F483" i="36"/>
  <c r="R483" i="36" s="1"/>
  <c r="N484" i="36"/>
  <c r="D486" i="36"/>
  <c r="R489" i="33"/>
  <c r="F487" i="36"/>
  <c r="P491" i="36"/>
  <c r="P499" i="33"/>
  <c r="F493" i="36"/>
  <c r="H494" i="36"/>
  <c r="P495" i="36"/>
  <c r="D504" i="36"/>
  <c r="R507" i="33"/>
  <c r="F194" i="4"/>
  <c r="F250" i="4" s="1"/>
  <c r="H505" i="36"/>
  <c r="P506" i="36"/>
  <c r="D22" i="34"/>
  <c r="R15" i="34"/>
  <c r="R19" i="34"/>
  <c r="N19" i="19" s="1"/>
  <c r="P36" i="34"/>
  <c r="P39" i="34" s="1"/>
  <c r="F46" i="34"/>
  <c r="J42" i="4"/>
  <c r="J47" i="4"/>
  <c r="H48" i="4"/>
  <c r="F49" i="4"/>
  <c r="N49" i="4" s="1"/>
  <c r="V49" i="4" s="1"/>
  <c r="L18" i="1"/>
  <c r="N18" i="1" s="1"/>
  <c r="J51" i="4"/>
  <c r="H52" i="4"/>
  <c r="J56" i="4"/>
  <c r="J30" i="1"/>
  <c r="H57" i="4"/>
  <c r="F58" i="4"/>
  <c r="N58" i="4" s="1"/>
  <c r="L27" i="1"/>
  <c r="N27" i="1" s="1"/>
  <c r="J60" i="4"/>
  <c r="H68" i="4"/>
  <c r="H69" i="4" s="1"/>
  <c r="H71" i="4" s="1"/>
  <c r="H38" i="1"/>
  <c r="H40" i="1" s="1"/>
  <c r="H87" i="4"/>
  <c r="H90" i="4" s="1"/>
  <c r="H92" i="4" s="1"/>
  <c r="H59" i="1"/>
  <c r="H67" i="1"/>
  <c r="H70" i="1" s="1"/>
  <c r="H72" i="1" s="1"/>
  <c r="F88" i="4"/>
  <c r="F68" i="1"/>
  <c r="L68" i="1" s="1"/>
  <c r="N68" i="1" s="1"/>
  <c r="F89" i="4"/>
  <c r="N89" i="4" s="1"/>
  <c r="V89" i="4" s="1"/>
  <c r="F69" i="1"/>
  <c r="L69" i="1" s="1"/>
  <c r="N69" i="1" s="1"/>
  <c r="L58" i="1"/>
  <c r="N58" i="1" s="1"/>
  <c r="H64" i="1"/>
  <c r="H137" i="4" s="1"/>
  <c r="H176" i="4" s="1"/>
  <c r="J97" i="4"/>
  <c r="J79" i="1"/>
  <c r="H98" i="4"/>
  <c r="J89" i="1"/>
  <c r="J102" i="4"/>
  <c r="J109" i="4" s="1"/>
  <c r="H103" i="4"/>
  <c r="L84" i="1"/>
  <c r="N84" i="1" s="1"/>
  <c r="F104" i="4"/>
  <c r="N104" i="4" s="1"/>
  <c r="V104" i="4" s="1"/>
  <c r="H106" i="4"/>
  <c r="L87" i="1"/>
  <c r="N87" i="1" s="1"/>
  <c r="F107" i="4"/>
  <c r="N107" i="4" s="1"/>
  <c r="V107" i="4" s="1"/>
  <c r="F97" i="1"/>
  <c r="F112" i="4"/>
  <c r="L92" i="1"/>
  <c r="F115" i="4"/>
  <c r="N115" i="4" s="1"/>
  <c r="L95" i="1"/>
  <c r="N95" i="1" s="1"/>
  <c r="J124" i="4"/>
  <c r="J125" i="4" s="1"/>
  <c r="J127" i="4" s="1"/>
  <c r="J104" i="1"/>
  <c r="J106" i="1" s="1"/>
  <c r="H112" i="1"/>
  <c r="H114" i="1" s="1"/>
  <c r="E10" i="35"/>
  <c r="E33" i="2"/>
  <c r="F206" i="4"/>
  <c r="C10" i="8"/>
  <c r="R206" i="4"/>
  <c r="Q10" i="35"/>
  <c r="Q33" i="2"/>
  <c r="G11" i="35"/>
  <c r="H207" i="4"/>
  <c r="S11" i="35"/>
  <c r="U11" i="2"/>
  <c r="T207" i="4"/>
  <c r="I12" i="35"/>
  <c r="J208" i="4"/>
  <c r="O13" i="35"/>
  <c r="P209" i="4"/>
  <c r="C17" i="8"/>
  <c r="U17" i="8" s="1"/>
  <c r="W17" i="8" s="1"/>
  <c r="E14" i="35"/>
  <c r="F210" i="4"/>
  <c r="R210" i="4"/>
  <c r="Q14" i="35"/>
  <c r="G15" i="35"/>
  <c r="H211" i="4"/>
  <c r="U15" i="2"/>
  <c r="T211" i="4"/>
  <c r="S15" i="35"/>
  <c r="U15" i="35" s="1"/>
  <c r="I16" i="35"/>
  <c r="J212" i="4"/>
  <c r="O17" i="35"/>
  <c r="P213" i="4"/>
  <c r="E18" i="35"/>
  <c r="F214" i="4"/>
  <c r="C21" i="8"/>
  <c r="R214" i="4"/>
  <c r="Q18" i="35"/>
  <c r="E19" i="35"/>
  <c r="F215" i="4"/>
  <c r="C22" i="8"/>
  <c r="U22" i="8" s="1"/>
  <c r="W22" i="8" s="1"/>
  <c r="Q19" i="35"/>
  <c r="R215" i="4"/>
  <c r="G20" i="35"/>
  <c r="H216" i="4"/>
  <c r="S20" i="35"/>
  <c r="T216" i="4"/>
  <c r="U20" i="2"/>
  <c r="I21" i="35"/>
  <c r="J217" i="4"/>
  <c r="O22" i="35"/>
  <c r="P218" i="4"/>
  <c r="E23" i="35"/>
  <c r="F219" i="4"/>
  <c r="C28" i="8"/>
  <c r="Q23" i="35"/>
  <c r="R219" i="4"/>
  <c r="H220" i="4"/>
  <c r="G24" i="35"/>
  <c r="S24" i="35"/>
  <c r="U24" i="35" s="1"/>
  <c r="U24" i="2"/>
  <c r="T220" i="4"/>
  <c r="V220" i="4" s="1"/>
  <c r="J221" i="4"/>
  <c r="I25" i="35"/>
  <c r="O26" i="35"/>
  <c r="P222" i="4"/>
  <c r="C32" i="8"/>
  <c r="F223" i="4"/>
  <c r="E27" i="35"/>
  <c r="Q27" i="35"/>
  <c r="R223" i="4"/>
  <c r="G28" i="35"/>
  <c r="H224" i="4"/>
  <c r="S28" i="35"/>
  <c r="U28" i="2"/>
  <c r="T224" i="4"/>
  <c r="I29" i="35"/>
  <c r="J225" i="4"/>
  <c r="O30" i="35"/>
  <c r="P226" i="4"/>
  <c r="O32" i="35"/>
  <c r="P228" i="4"/>
  <c r="P253" i="4" s="1"/>
  <c r="I36" i="35"/>
  <c r="J264" i="4"/>
  <c r="I49" i="2"/>
  <c r="O37" i="35"/>
  <c r="P265" i="4"/>
  <c r="E38" i="35"/>
  <c r="F266" i="4"/>
  <c r="Q38" i="35"/>
  <c r="R266" i="4"/>
  <c r="G39" i="35"/>
  <c r="H267" i="4"/>
  <c r="S39" i="35"/>
  <c r="U39" i="2"/>
  <c r="T267" i="4"/>
  <c r="I40" i="35"/>
  <c r="J268" i="4"/>
  <c r="O41" i="35"/>
  <c r="P269" i="4"/>
  <c r="E43" i="35"/>
  <c r="F270" i="4"/>
  <c r="Q43" i="35"/>
  <c r="R270" i="4"/>
  <c r="H271" i="4"/>
  <c r="G44" i="35"/>
  <c r="S44" i="35"/>
  <c r="U43" i="2"/>
  <c r="T271" i="4"/>
  <c r="O45" i="35"/>
  <c r="P272" i="4"/>
  <c r="E46" i="35"/>
  <c r="F273" i="4"/>
  <c r="Q46" i="35"/>
  <c r="R273" i="4"/>
  <c r="G48" i="35"/>
  <c r="H274" i="4"/>
  <c r="T274" i="4"/>
  <c r="S48" i="35"/>
  <c r="U46" i="2"/>
  <c r="I49" i="35"/>
  <c r="J275" i="4"/>
  <c r="O50" i="35"/>
  <c r="P276" i="4"/>
  <c r="J280" i="4"/>
  <c r="I65" i="2"/>
  <c r="I54" i="35"/>
  <c r="I68" i="2"/>
  <c r="I71" i="2" s="1"/>
  <c r="I79" i="2" s="1"/>
  <c r="I88" i="2" s="1"/>
  <c r="O55" i="35"/>
  <c r="P281" i="4"/>
  <c r="O69" i="2"/>
  <c r="F282" i="4"/>
  <c r="E56" i="35"/>
  <c r="Q56" i="35"/>
  <c r="R282" i="4"/>
  <c r="G57" i="35"/>
  <c r="H283" i="4"/>
  <c r="S57" i="35"/>
  <c r="U55" i="2"/>
  <c r="T283" i="4"/>
  <c r="I58" i="35"/>
  <c r="J284" i="4"/>
  <c r="O59" i="35"/>
  <c r="P285" i="4"/>
  <c r="E60" i="35"/>
  <c r="F286" i="4"/>
  <c r="Q60" i="35"/>
  <c r="R286" i="4"/>
  <c r="G61" i="35"/>
  <c r="H287" i="4"/>
  <c r="G70" i="2"/>
  <c r="S61" i="35"/>
  <c r="T287" i="4"/>
  <c r="S70" i="2"/>
  <c r="U59" i="2"/>
  <c r="I62" i="35"/>
  <c r="J288" i="4"/>
  <c r="O63" i="35"/>
  <c r="P289" i="4"/>
  <c r="F290" i="4"/>
  <c r="E64" i="35"/>
  <c r="R290" i="4"/>
  <c r="Q64" i="35"/>
  <c r="G65" i="35"/>
  <c r="H291" i="4"/>
  <c r="S65" i="35"/>
  <c r="T291" i="4"/>
  <c r="U63" i="2"/>
  <c r="I66" i="35"/>
  <c r="J292" i="4"/>
  <c r="O85" i="2"/>
  <c r="O84" i="35"/>
  <c r="O87" i="35" s="1"/>
  <c r="P232" i="4"/>
  <c r="P235" i="4" s="1"/>
  <c r="F233" i="4"/>
  <c r="E85" i="35"/>
  <c r="C42" i="8"/>
  <c r="U42" i="8" s="1"/>
  <c r="G57" i="8" s="1"/>
  <c r="Q85" i="35"/>
  <c r="R233" i="4"/>
  <c r="G86" i="35"/>
  <c r="H234" i="4"/>
  <c r="S86" i="35"/>
  <c r="U84" i="2"/>
  <c r="T234" i="4"/>
  <c r="H41" i="12"/>
  <c r="H44" i="12" s="1"/>
  <c r="H73" i="12" s="1"/>
  <c r="H11" i="11"/>
  <c r="J11" i="12"/>
  <c r="H11" i="10"/>
  <c r="H11" i="9"/>
  <c r="H12" i="10"/>
  <c r="J12" i="12"/>
  <c r="L12" i="12" s="1"/>
  <c r="H12" i="9"/>
  <c r="H12" i="11"/>
  <c r="J13" i="12"/>
  <c r="L13" i="12" s="1"/>
  <c r="H13" i="11"/>
  <c r="J13" i="11" s="1"/>
  <c r="L13" i="11" s="1"/>
  <c r="H13" i="10"/>
  <c r="H13" i="9"/>
  <c r="J13" i="9" s="1"/>
  <c r="L13" i="9" s="1"/>
  <c r="D21" i="10"/>
  <c r="D21" i="9"/>
  <c r="D21" i="11"/>
  <c r="D22" i="11"/>
  <c r="D22" i="10"/>
  <c r="D22" i="9"/>
  <c r="D23" i="10"/>
  <c r="D23" i="9"/>
  <c r="D23" i="11"/>
  <c r="F24" i="11"/>
  <c r="F24" i="9"/>
  <c r="F24" i="10"/>
  <c r="F25" i="11"/>
  <c r="F25" i="9"/>
  <c r="F25" i="10"/>
  <c r="F26" i="11"/>
  <c r="F26" i="9"/>
  <c r="F26" i="10"/>
  <c r="H27" i="11"/>
  <c r="J27" i="12"/>
  <c r="L27" i="12" s="1"/>
  <c r="H27" i="10"/>
  <c r="H27" i="9"/>
  <c r="H28" i="10"/>
  <c r="J28" i="12"/>
  <c r="H28" i="9"/>
  <c r="H28" i="11"/>
  <c r="J29" i="12"/>
  <c r="L29" i="12" s="1"/>
  <c r="H29" i="11"/>
  <c r="J29" i="11" s="1"/>
  <c r="L29" i="11" s="1"/>
  <c r="H29" i="9"/>
  <c r="H29" i="10"/>
  <c r="J29" i="10" s="1"/>
  <c r="L29" i="10" s="1"/>
  <c r="D37" i="10"/>
  <c r="D37" i="9"/>
  <c r="F140" i="4" s="1"/>
  <c r="F179" i="4" s="1"/>
  <c r="D37" i="11"/>
  <c r="D38" i="11"/>
  <c r="D38" i="9"/>
  <c r="D38" i="10"/>
  <c r="D39" i="10"/>
  <c r="D39" i="9"/>
  <c r="D39" i="11"/>
  <c r="F40" i="11"/>
  <c r="F40" i="9"/>
  <c r="F40" i="10"/>
  <c r="D67" i="12"/>
  <c r="D70" i="12" s="1"/>
  <c r="D49" i="10"/>
  <c r="D50" i="10"/>
  <c r="J50" i="10" s="1"/>
  <c r="L50" i="10" s="1"/>
  <c r="D51" i="10"/>
  <c r="F53" i="10"/>
  <c r="J55" i="12"/>
  <c r="L55" i="12" s="1"/>
  <c r="J56" i="12"/>
  <c r="L56" i="12" s="1"/>
  <c r="H56" i="10"/>
  <c r="J57" i="12"/>
  <c r="L57" i="12" s="1"/>
  <c r="H57" i="10"/>
  <c r="J57" i="10" s="1"/>
  <c r="L57" i="10" s="1"/>
  <c r="D72" i="10"/>
  <c r="D73" i="10"/>
  <c r="J73" i="10" s="1"/>
  <c r="L73" i="10" s="1"/>
  <c r="D13" i="14"/>
  <c r="D16" i="14" s="1"/>
  <c r="J11" i="14"/>
  <c r="D10" i="13"/>
  <c r="F11" i="13"/>
  <c r="J21" i="14"/>
  <c r="D22" i="14"/>
  <c r="D24" i="14" s="1"/>
  <c r="D14" i="17"/>
  <c r="D14" i="16"/>
  <c r="D15" i="16"/>
  <c r="D15" i="17"/>
  <c r="D15" i="15"/>
  <c r="D16" i="17"/>
  <c r="D16" i="15"/>
  <c r="D16" i="16"/>
  <c r="F17" i="17"/>
  <c r="F17" i="16"/>
  <c r="F17" i="15"/>
  <c r="F18" i="17"/>
  <c r="F18" i="16"/>
  <c r="F18" i="15"/>
  <c r="F19" i="17"/>
  <c r="F19" i="16"/>
  <c r="F19" i="15"/>
  <c r="J20" i="18"/>
  <c r="L20" i="18" s="1"/>
  <c r="H20" i="17"/>
  <c r="H20" i="15"/>
  <c r="J20" i="15" s="1"/>
  <c r="L20" i="15" s="1"/>
  <c r="H20" i="16"/>
  <c r="H21" i="17"/>
  <c r="J21" i="18"/>
  <c r="L21" i="18" s="1"/>
  <c r="H21" i="16"/>
  <c r="H21" i="15"/>
  <c r="J22" i="18"/>
  <c r="L22" i="18" s="1"/>
  <c r="H22" i="15"/>
  <c r="H22" i="17"/>
  <c r="J22" i="17" s="1"/>
  <c r="L22" i="17" s="1"/>
  <c r="H22" i="16"/>
  <c r="D39" i="15"/>
  <c r="D39" i="17"/>
  <c r="D39" i="16"/>
  <c r="D44" i="17"/>
  <c r="D44" i="16"/>
  <c r="D44" i="15"/>
  <c r="D45" i="17"/>
  <c r="D45" i="15"/>
  <c r="D45" i="16"/>
  <c r="D46" i="17"/>
  <c r="D46" i="16"/>
  <c r="D46" i="15"/>
  <c r="F47" i="16"/>
  <c r="F47" i="15"/>
  <c r="F47" i="17"/>
  <c r="F48" i="15"/>
  <c r="F48" i="17"/>
  <c r="F48" i="16"/>
  <c r="F49" i="16"/>
  <c r="F49" i="15"/>
  <c r="F49" i="17"/>
  <c r="H50" i="16"/>
  <c r="J50" i="18"/>
  <c r="L50" i="18" s="1"/>
  <c r="H50" i="17"/>
  <c r="H50" i="15"/>
  <c r="D54" i="17"/>
  <c r="D54" i="16"/>
  <c r="D56" i="16" s="1"/>
  <c r="D54" i="15"/>
  <c r="D56" i="18"/>
  <c r="D55" i="17"/>
  <c r="D55" i="15"/>
  <c r="F141" i="4" s="1"/>
  <c r="F180" i="4" s="1"/>
  <c r="D55" i="16"/>
  <c r="D62" i="17"/>
  <c r="D62" i="15"/>
  <c r="D62" i="16"/>
  <c r="D63" i="17"/>
  <c r="D63" i="15"/>
  <c r="D63" i="16"/>
  <c r="D64" i="17"/>
  <c r="D64" i="16"/>
  <c r="D64" i="15"/>
  <c r="F65" i="16"/>
  <c r="F65" i="17"/>
  <c r="F65" i="15"/>
  <c r="F66" i="15"/>
  <c r="F66" i="17"/>
  <c r="F66" i="16"/>
  <c r="F67" i="16"/>
  <c r="F67" i="15"/>
  <c r="F67" i="17"/>
  <c r="F84" i="18"/>
  <c r="F71" i="16"/>
  <c r="F71" i="15"/>
  <c r="F71" i="17"/>
  <c r="F72" i="15"/>
  <c r="F72" i="17"/>
  <c r="F72" i="16"/>
  <c r="H73" i="17"/>
  <c r="J73" i="18"/>
  <c r="L73" i="18" s="1"/>
  <c r="H73" i="15"/>
  <c r="H73" i="16"/>
  <c r="H74" i="17"/>
  <c r="H74" i="16"/>
  <c r="J74" i="18"/>
  <c r="L74" i="18" s="1"/>
  <c r="H74" i="15"/>
  <c r="J75" i="18"/>
  <c r="L75" i="18" s="1"/>
  <c r="H75" i="17"/>
  <c r="H75" i="16"/>
  <c r="J75" i="16" s="1"/>
  <c r="L75" i="16" s="1"/>
  <c r="H75" i="15"/>
  <c r="D83" i="17"/>
  <c r="D83" i="16"/>
  <c r="D83" i="15"/>
  <c r="D88" i="17"/>
  <c r="D88" i="15"/>
  <c r="D88" i="16"/>
  <c r="D89" i="17"/>
  <c r="D89" i="16"/>
  <c r="D89" i="15"/>
  <c r="D90" i="16"/>
  <c r="D90" i="17"/>
  <c r="D90" i="15"/>
  <c r="F91" i="17"/>
  <c r="F91" i="16"/>
  <c r="F91" i="15"/>
  <c r="F93" i="17"/>
  <c r="F92" i="16"/>
  <c r="F93" i="15"/>
  <c r="F93" i="16"/>
  <c r="F94" i="17"/>
  <c r="F94" i="15"/>
  <c r="H95" i="17"/>
  <c r="J95" i="17" s="1"/>
  <c r="L95" i="17" s="1"/>
  <c r="H94" i="16"/>
  <c r="J94" i="18"/>
  <c r="L94" i="18" s="1"/>
  <c r="H96" i="17"/>
  <c r="J96" i="17" s="1"/>
  <c r="L96" i="17" s="1"/>
  <c r="H95" i="16"/>
  <c r="J95" i="18"/>
  <c r="L95" i="18" s="1"/>
  <c r="H96" i="15"/>
  <c r="J96" i="18"/>
  <c r="L96" i="18" s="1"/>
  <c r="H97" i="17"/>
  <c r="J97" i="17" s="1"/>
  <c r="H97" i="15"/>
  <c r="H96" i="16"/>
  <c r="J96" i="16" s="1"/>
  <c r="L96" i="16" s="1"/>
  <c r="F107" i="16"/>
  <c r="F119" i="16" s="1"/>
  <c r="F118" i="18"/>
  <c r="F108" i="16"/>
  <c r="F109" i="16"/>
  <c r="H110" i="16"/>
  <c r="H111" i="16"/>
  <c r="H112" i="16"/>
  <c r="J133" i="18"/>
  <c r="L133" i="18" s="1"/>
  <c r="D134" i="16"/>
  <c r="J134" i="16" s="1"/>
  <c r="L134" i="16" s="1"/>
  <c r="J138" i="18"/>
  <c r="L138" i="18" s="1"/>
  <c r="D139" i="16"/>
  <c r="J139" i="16" s="1"/>
  <c r="L139" i="16" s="1"/>
  <c r="J139" i="18"/>
  <c r="L139" i="18" s="1"/>
  <c r="D140" i="16"/>
  <c r="J140" i="16" s="1"/>
  <c r="L140" i="16" s="1"/>
  <c r="J140" i="18"/>
  <c r="L140" i="18" s="1"/>
  <c r="D141" i="16"/>
  <c r="F142" i="16"/>
  <c r="F143" i="16"/>
  <c r="F151" i="18"/>
  <c r="F146" i="16"/>
  <c r="F147" i="16"/>
  <c r="F148" i="16"/>
  <c r="H149" i="16"/>
  <c r="H150" i="16"/>
  <c r="H151" i="16"/>
  <c r="H155" i="16"/>
  <c r="H161" i="18"/>
  <c r="H156" i="16"/>
  <c r="D21" i="19"/>
  <c r="D95" i="15" s="1"/>
  <c r="F11" i="22"/>
  <c r="F11" i="23"/>
  <c r="F11" i="21"/>
  <c r="F27" i="24"/>
  <c r="F12" i="21"/>
  <c r="H134" i="4" s="1"/>
  <c r="H173" i="4" s="1"/>
  <c r="F12" i="23"/>
  <c r="F12" i="22"/>
  <c r="F13" i="22"/>
  <c r="F13" i="23"/>
  <c r="F13" i="21"/>
  <c r="H14" i="21"/>
  <c r="H14" i="22"/>
  <c r="H14" i="23"/>
  <c r="J14" i="23" s="1"/>
  <c r="L14" i="23" s="1"/>
  <c r="J14" i="24"/>
  <c r="L14" i="24" s="1"/>
  <c r="H15" i="21"/>
  <c r="H15" i="23"/>
  <c r="H15" i="22"/>
  <c r="J15" i="24"/>
  <c r="L15" i="24" s="1"/>
  <c r="J16" i="24"/>
  <c r="L16" i="24" s="1"/>
  <c r="H16" i="21"/>
  <c r="J16" i="21" s="1"/>
  <c r="L16" i="21" s="1"/>
  <c r="H16" i="22"/>
  <c r="J16" i="22" s="1"/>
  <c r="L16" i="22" s="1"/>
  <c r="H16" i="23"/>
  <c r="J16" i="23" s="1"/>
  <c r="L16" i="23" s="1"/>
  <c r="D24" i="23"/>
  <c r="D24" i="21"/>
  <c r="D24" i="22"/>
  <c r="D25" i="23"/>
  <c r="D25" i="21"/>
  <c r="D25" i="22"/>
  <c r="D26" i="23"/>
  <c r="D26" i="22"/>
  <c r="D26" i="21"/>
  <c r="D33" i="23"/>
  <c r="D33" i="22"/>
  <c r="D33" i="21"/>
  <c r="D34" i="23"/>
  <c r="D34" i="21"/>
  <c r="D34" i="22"/>
  <c r="D35" i="23"/>
  <c r="D35" i="21"/>
  <c r="D35" i="22"/>
  <c r="F36" i="22"/>
  <c r="F36" i="23"/>
  <c r="F36" i="21"/>
  <c r="H37" i="21"/>
  <c r="J37" i="24"/>
  <c r="L37" i="24" s="1"/>
  <c r="H37" i="23"/>
  <c r="H37" i="22"/>
  <c r="H41" i="21"/>
  <c r="H41" i="23"/>
  <c r="H41" i="22"/>
  <c r="J41" i="24"/>
  <c r="H42" i="24"/>
  <c r="D45" i="23"/>
  <c r="D63" i="24"/>
  <c r="D45" i="22"/>
  <c r="D46" i="23"/>
  <c r="D46" i="22"/>
  <c r="D46" i="21" s="1"/>
  <c r="F133" i="4" s="1"/>
  <c r="F172" i="4" s="1"/>
  <c r="F47" i="22"/>
  <c r="F47" i="21" s="1"/>
  <c r="F47" i="23"/>
  <c r="F48" i="23"/>
  <c r="F48" i="22"/>
  <c r="F48" i="21" s="1"/>
  <c r="F49" i="22"/>
  <c r="F49" i="23"/>
  <c r="H50" i="23"/>
  <c r="J50" i="24"/>
  <c r="L50" i="24" s="1"/>
  <c r="H50" i="22"/>
  <c r="H51" i="23"/>
  <c r="J51" i="24"/>
  <c r="L51" i="24" s="1"/>
  <c r="H51" i="22"/>
  <c r="J52" i="24"/>
  <c r="L52" i="24" s="1"/>
  <c r="H52" i="22"/>
  <c r="H52" i="23"/>
  <c r="D60" i="23"/>
  <c r="D60" i="22"/>
  <c r="D61" i="23"/>
  <c r="D61" i="22"/>
  <c r="D61" i="21" s="1"/>
  <c r="D62" i="23"/>
  <c r="D62" i="22"/>
  <c r="D62" i="21" s="1"/>
  <c r="D78" i="22"/>
  <c r="J78" i="22" s="1"/>
  <c r="L78" i="22" s="1"/>
  <c r="H79" i="22"/>
  <c r="J79" i="24"/>
  <c r="L79" i="24" s="1"/>
  <c r="D85" i="22"/>
  <c r="J85" i="22" s="1"/>
  <c r="L85" i="22" s="1"/>
  <c r="F99" i="24"/>
  <c r="F104" i="22"/>
  <c r="F107" i="22"/>
  <c r="J108" i="24"/>
  <c r="L108" i="24" s="1"/>
  <c r="H108" i="22"/>
  <c r="J108" i="22" s="1"/>
  <c r="L108" i="22" s="1"/>
  <c r="D110" i="22"/>
  <c r="J110" i="22" s="1"/>
  <c r="L110" i="22" s="1"/>
  <c r="J111" i="24"/>
  <c r="L111" i="24" s="1"/>
  <c r="J12" i="26"/>
  <c r="L12" i="26" s="1"/>
  <c r="D12" i="25"/>
  <c r="F16" i="25"/>
  <c r="H33" i="26"/>
  <c r="J26" i="26"/>
  <c r="H10" i="36"/>
  <c r="H30" i="33"/>
  <c r="L11" i="36"/>
  <c r="H12" i="36"/>
  <c r="H13" i="36"/>
  <c r="L14" i="36"/>
  <c r="L15" i="36"/>
  <c r="H16" i="36"/>
  <c r="L17" i="36"/>
  <c r="L18" i="36"/>
  <c r="L19" i="36"/>
  <c r="N20" i="36"/>
  <c r="L21" i="36"/>
  <c r="L22" i="36"/>
  <c r="N23" i="36"/>
  <c r="N24" i="36"/>
  <c r="L25" i="36"/>
  <c r="N26" i="36"/>
  <c r="N27" i="36"/>
  <c r="N28" i="36"/>
  <c r="D32" i="36"/>
  <c r="R33" i="33"/>
  <c r="D41" i="33"/>
  <c r="D34" i="36"/>
  <c r="R35" i="33"/>
  <c r="R36" i="33"/>
  <c r="D35" i="36"/>
  <c r="D36" i="36"/>
  <c r="R37" i="33"/>
  <c r="F37" i="36"/>
  <c r="D38" i="36"/>
  <c r="R39" i="33"/>
  <c r="D39" i="36"/>
  <c r="R40" i="33"/>
  <c r="N56" i="33"/>
  <c r="N43" i="36"/>
  <c r="N44" i="36"/>
  <c r="P45" i="36"/>
  <c r="N46" i="36"/>
  <c r="N47" i="36"/>
  <c r="P48" i="36"/>
  <c r="P49" i="36"/>
  <c r="N50" i="36"/>
  <c r="P51" i="36"/>
  <c r="P52" i="36"/>
  <c r="P53" i="36"/>
  <c r="L58" i="36"/>
  <c r="N59" i="36"/>
  <c r="L61" i="36"/>
  <c r="L78" i="33"/>
  <c r="N62" i="36"/>
  <c r="N63" i="36"/>
  <c r="N64" i="36"/>
  <c r="P65" i="36"/>
  <c r="N66" i="36"/>
  <c r="N67" i="36"/>
  <c r="P68" i="36"/>
  <c r="P69" i="36"/>
  <c r="N70" i="36"/>
  <c r="P71" i="36"/>
  <c r="P72" i="36"/>
  <c r="P73" i="36"/>
  <c r="P75" i="36"/>
  <c r="P76" i="36"/>
  <c r="F78" i="36"/>
  <c r="F97" i="33"/>
  <c r="F79" i="36"/>
  <c r="H80" i="36"/>
  <c r="F81" i="36"/>
  <c r="R81" i="36" s="1"/>
  <c r="F82" i="36"/>
  <c r="H83" i="36"/>
  <c r="H84" i="36"/>
  <c r="F85" i="36"/>
  <c r="H86" i="36"/>
  <c r="H87" i="36"/>
  <c r="H88" i="36"/>
  <c r="L89" i="36"/>
  <c r="H90" i="36"/>
  <c r="H91" i="36"/>
  <c r="L92" i="36"/>
  <c r="L93" i="36"/>
  <c r="H94" i="36"/>
  <c r="L95" i="36"/>
  <c r="R100" i="33"/>
  <c r="D99" i="36"/>
  <c r="D100" i="36"/>
  <c r="R101" i="33"/>
  <c r="D102" i="36"/>
  <c r="R103" i="33"/>
  <c r="R104" i="33"/>
  <c r="D103" i="36"/>
  <c r="R105" i="33"/>
  <c r="D104" i="36"/>
  <c r="R104" i="36" s="1"/>
  <c r="F105" i="36"/>
  <c r="D106" i="36"/>
  <c r="R107" i="33"/>
  <c r="D107" i="36"/>
  <c r="R108" i="33"/>
  <c r="F108" i="36"/>
  <c r="N110" i="36"/>
  <c r="N128" i="33"/>
  <c r="L111" i="36"/>
  <c r="L112" i="36"/>
  <c r="N113" i="36"/>
  <c r="N114" i="36"/>
  <c r="L115" i="36"/>
  <c r="N116" i="36"/>
  <c r="N117" i="36"/>
  <c r="N118" i="36"/>
  <c r="P119" i="36"/>
  <c r="N120" i="36"/>
  <c r="N121" i="36"/>
  <c r="P122" i="36"/>
  <c r="P123" i="36"/>
  <c r="N124" i="36"/>
  <c r="P125" i="36"/>
  <c r="P126" i="36"/>
  <c r="N146" i="33"/>
  <c r="N128" i="36"/>
  <c r="P129" i="36"/>
  <c r="N130" i="36"/>
  <c r="N131" i="36"/>
  <c r="P132" i="36"/>
  <c r="P133" i="36"/>
  <c r="N134" i="36"/>
  <c r="P135" i="36"/>
  <c r="P136" i="36"/>
  <c r="P137" i="36"/>
  <c r="P139" i="36"/>
  <c r="P140" i="36"/>
  <c r="P143" i="36"/>
  <c r="F146" i="36"/>
  <c r="F162" i="33"/>
  <c r="H147" i="36"/>
  <c r="H148" i="36"/>
  <c r="F149" i="36"/>
  <c r="H150" i="36"/>
  <c r="R150" i="36" s="1"/>
  <c r="H151" i="36"/>
  <c r="H152" i="36"/>
  <c r="L153" i="36"/>
  <c r="H154" i="36"/>
  <c r="H155" i="36"/>
  <c r="L156" i="36"/>
  <c r="L157" i="36"/>
  <c r="H158" i="36"/>
  <c r="L159" i="36"/>
  <c r="L160" i="36"/>
  <c r="R164" i="33"/>
  <c r="D163" i="36"/>
  <c r="R163" i="36" s="1"/>
  <c r="P167" i="36"/>
  <c r="P169" i="36" s="1"/>
  <c r="P170" i="33"/>
  <c r="P168" i="36"/>
  <c r="N170" i="36"/>
  <c r="N207" i="33"/>
  <c r="P171" i="36"/>
  <c r="N172" i="36"/>
  <c r="N173" i="36"/>
  <c r="P174" i="36"/>
  <c r="P175" i="36"/>
  <c r="N176" i="36"/>
  <c r="P177" i="36"/>
  <c r="P178" i="36"/>
  <c r="P179" i="36"/>
  <c r="P181" i="36"/>
  <c r="P182" i="36"/>
  <c r="P185" i="36"/>
  <c r="R191" i="33"/>
  <c r="D190" i="36"/>
  <c r="R194" i="33"/>
  <c r="D193" i="36"/>
  <c r="D194" i="36"/>
  <c r="R195" i="33"/>
  <c r="D196" i="36"/>
  <c r="R197" i="33"/>
  <c r="R198" i="33"/>
  <c r="D197" i="36"/>
  <c r="R199" i="33"/>
  <c r="D198" i="36"/>
  <c r="F199" i="36"/>
  <c r="D200" i="36"/>
  <c r="R201" i="33"/>
  <c r="D201" i="36"/>
  <c r="R202" i="33"/>
  <c r="F202" i="36"/>
  <c r="F203" i="36"/>
  <c r="D204" i="36"/>
  <c r="R205" i="33"/>
  <c r="F205" i="36"/>
  <c r="N207" i="36"/>
  <c r="N216" i="33"/>
  <c r="P208" i="36"/>
  <c r="P209" i="36"/>
  <c r="N210" i="36"/>
  <c r="P211" i="36"/>
  <c r="P212" i="36"/>
  <c r="P213" i="36"/>
  <c r="L216" i="36"/>
  <c r="N217" i="36"/>
  <c r="N219" i="36" s="1"/>
  <c r="N220" i="33"/>
  <c r="N218" i="36"/>
  <c r="D220" i="36"/>
  <c r="R220" i="36" s="1"/>
  <c r="R221" i="33"/>
  <c r="D272" i="33"/>
  <c r="D223" i="36"/>
  <c r="R224" i="33"/>
  <c r="D224" i="36"/>
  <c r="R225" i="33"/>
  <c r="D226" i="36"/>
  <c r="R227" i="33"/>
  <c r="R228" i="33"/>
  <c r="D227" i="36"/>
  <c r="D228" i="36"/>
  <c r="R229" i="33"/>
  <c r="F229" i="36"/>
  <c r="D230" i="36"/>
  <c r="R231" i="33"/>
  <c r="R232" i="33"/>
  <c r="D231" i="36"/>
  <c r="F232" i="36"/>
  <c r="F233" i="36"/>
  <c r="D234" i="36"/>
  <c r="R235" i="33"/>
  <c r="F235" i="36"/>
  <c r="F236" i="36"/>
  <c r="F237" i="36"/>
  <c r="R237" i="36" s="1"/>
  <c r="H238" i="36"/>
  <c r="F239" i="36"/>
  <c r="F240" i="36"/>
  <c r="H241" i="36"/>
  <c r="H242" i="36"/>
  <c r="F243" i="36"/>
  <c r="H244" i="36"/>
  <c r="H245" i="36"/>
  <c r="H246" i="36"/>
  <c r="L247" i="36"/>
  <c r="H248" i="36"/>
  <c r="H249" i="36"/>
  <c r="L250" i="36"/>
  <c r="L251" i="36"/>
  <c r="H252" i="36"/>
  <c r="L253" i="36"/>
  <c r="L254" i="36"/>
  <c r="L255" i="36"/>
  <c r="N256" i="36"/>
  <c r="L257" i="36"/>
  <c r="L258" i="36"/>
  <c r="N259" i="36"/>
  <c r="N260" i="36"/>
  <c r="L261" i="36"/>
  <c r="N262" i="36"/>
  <c r="N263" i="36"/>
  <c r="N264" i="36"/>
  <c r="D266" i="36"/>
  <c r="R267" i="33"/>
  <c r="D269" i="36"/>
  <c r="R270" i="33"/>
  <c r="R271" i="33"/>
  <c r="D270" i="36"/>
  <c r="P275" i="36"/>
  <c r="P289" i="33"/>
  <c r="N276" i="36"/>
  <c r="N277" i="36"/>
  <c r="P278" i="36"/>
  <c r="P279" i="36"/>
  <c r="N280" i="36"/>
  <c r="P281" i="36"/>
  <c r="P282" i="36"/>
  <c r="P283" i="36"/>
  <c r="P285" i="36"/>
  <c r="P286" i="36"/>
  <c r="L289" i="36"/>
  <c r="L320" i="33"/>
  <c r="N290" i="36"/>
  <c r="N291" i="36"/>
  <c r="N292" i="36"/>
  <c r="P293" i="36"/>
  <c r="N294" i="36"/>
  <c r="N295" i="36"/>
  <c r="P296" i="36"/>
  <c r="P297" i="36"/>
  <c r="N298" i="36"/>
  <c r="P299" i="36"/>
  <c r="P300" i="36"/>
  <c r="P301" i="36"/>
  <c r="P303" i="36"/>
  <c r="P304" i="36"/>
  <c r="P307" i="36"/>
  <c r="D311" i="36"/>
  <c r="R313" i="33"/>
  <c r="R316" i="33"/>
  <c r="D314" i="36"/>
  <c r="D315" i="36"/>
  <c r="R317" i="33"/>
  <c r="D316" i="36"/>
  <c r="R318" i="33"/>
  <c r="F317" i="36"/>
  <c r="N319" i="36"/>
  <c r="N329" i="33"/>
  <c r="P320" i="36"/>
  <c r="P321" i="36"/>
  <c r="N322" i="36"/>
  <c r="P323" i="36"/>
  <c r="P324" i="36"/>
  <c r="P325" i="36"/>
  <c r="L350" i="33"/>
  <c r="L328" i="36"/>
  <c r="N329" i="36"/>
  <c r="N330" i="36"/>
  <c r="L331" i="36"/>
  <c r="N332" i="36"/>
  <c r="N333" i="36"/>
  <c r="N334" i="36"/>
  <c r="P335" i="36"/>
  <c r="N336" i="36"/>
  <c r="N337" i="36"/>
  <c r="P338" i="36"/>
  <c r="P339" i="36"/>
  <c r="N340" i="36"/>
  <c r="P341" i="36"/>
  <c r="P342" i="36"/>
  <c r="P343" i="36"/>
  <c r="P345" i="36"/>
  <c r="P346" i="36"/>
  <c r="L349" i="36"/>
  <c r="N350" i="36"/>
  <c r="H354" i="36"/>
  <c r="H375" i="33"/>
  <c r="J187" i="4"/>
  <c r="L355" i="36"/>
  <c r="H356" i="36"/>
  <c r="H357" i="36"/>
  <c r="L358" i="36"/>
  <c r="H359" i="36"/>
  <c r="L360" i="36"/>
  <c r="L361" i="36"/>
  <c r="L362" i="36"/>
  <c r="N363" i="36"/>
  <c r="L364" i="36"/>
  <c r="L365" i="36"/>
  <c r="N366" i="36"/>
  <c r="N367" i="36"/>
  <c r="L368" i="36"/>
  <c r="N369" i="36"/>
  <c r="N370" i="36"/>
  <c r="N371" i="36"/>
  <c r="R371" i="36" s="1"/>
  <c r="P379" i="36"/>
  <c r="P381" i="36" s="1"/>
  <c r="P383" i="36" s="1"/>
  <c r="P384" i="33"/>
  <c r="P386" i="33" s="1"/>
  <c r="H389" i="36"/>
  <c r="H408" i="33"/>
  <c r="H390" i="36"/>
  <c r="J189" i="4"/>
  <c r="J246" i="4" s="1"/>
  <c r="L391" i="36"/>
  <c r="L392" i="36"/>
  <c r="H393" i="36"/>
  <c r="L394" i="36"/>
  <c r="L395" i="36"/>
  <c r="L396" i="36"/>
  <c r="N397" i="36"/>
  <c r="L398" i="36"/>
  <c r="L399" i="36"/>
  <c r="N400" i="36"/>
  <c r="N401" i="36"/>
  <c r="L402" i="36"/>
  <c r="N403" i="36"/>
  <c r="N404" i="36"/>
  <c r="D408" i="36"/>
  <c r="R411" i="33"/>
  <c r="D419" i="33"/>
  <c r="F409" i="36"/>
  <c r="F410" i="36"/>
  <c r="D411" i="36"/>
  <c r="R414" i="33"/>
  <c r="F412" i="36"/>
  <c r="F413" i="36"/>
  <c r="F414" i="36"/>
  <c r="H415" i="36"/>
  <c r="N420" i="36"/>
  <c r="N441" i="33"/>
  <c r="P421" i="36"/>
  <c r="T188" i="4"/>
  <c r="P422" i="36"/>
  <c r="P423" i="36"/>
  <c r="P425" i="36"/>
  <c r="T190" i="4"/>
  <c r="P426" i="36"/>
  <c r="P429" i="36"/>
  <c r="R437" i="33"/>
  <c r="D434" i="36"/>
  <c r="D437" i="36"/>
  <c r="R440" i="33"/>
  <c r="P441" i="36"/>
  <c r="P447" i="33"/>
  <c r="T192" i="4"/>
  <c r="P442" i="36"/>
  <c r="P443" i="36"/>
  <c r="D451" i="36"/>
  <c r="D452" i="36" s="1"/>
  <c r="D455" i="36" s="1"/>
  <c r="R454" i="33"/>
  <c r="F196" i="4"/>
  <c r="F254" i="4" s="1"/>
  <c r="D455" i="33"/>
  <c r="D458" i="33" s="1"/>
  <c r="L459" i="36"/>
  <c r="L491" i="33"/>
  <c r="H460" i="36"/>
  <c r="J193" i="4"/>
  <c r="J249" i="4" s="1"/>
  <c r="H461" i="36"/>
  <c r="L462" i="36"/>
  <c r="L463" i="36"/>
  <c r="H464" i="36"/>
  <c r="L465" i="36"/>
  <c r="L466" i="36"/>
  <c r="L467" i="36"/>
  <c r="N468" i="36"/>
  <c r="L469" i="36"/>
  <c r="L470" i="36"/>
  <c r="N471" i="36"/>
  <c r="N472" i="36"/>
  <c r="L473" i="36"/>
  <c r="N474" i="36"/>
  <c r="N475" i="36"/>
  <c r="N476" i="36"/>
  <c r="P477" i="36"/>
  <c r="N478" i="36"/>
  <c r="N479" i="36"/>
  <c r="P480" i="36"/>
  <c r="P481" i="36"/>
  <c r="N482" i="36"/>
  <c r="P483" i="36"/>
  <c r="P484" i="36"/>
  <c r="P485" i="36"/>
  <c r="P487" i="36"/>
  <c r="N491" i="36"/>
  <c r="N499" i="33"/>
  <c r="N502" i="33" s="1"/>
  <c r="N492" i="36"/>
  <c r="L493" i="36"/>
  <c r="N494" i="36"/>
  <c r="N495" i="36"/>
  <c r="P504" i="36"/>
  <c r="T194" i="4"/>
  <c r="P11" i="34"/>
  <c r="L22" i="34"/>
  <c r="L25" i="34" s="1"/>
  <c r="R29" i="34"/>
  <c r="D36" i="34"/>
  <c r="D39" i="34" s="1"/>
  <c r="R31" i="34"/>
  <c r="N14" i="25" s="1"/>
  <c r="R32" i="34"/>
  <c r="N15" i="25" s="1"/>
  <c r="N46" i="34"/>
  <c r="F11" i="11"/>
  <c r="F11" i="9"/>
  <c r="F41" i="12"/>
  <c r="F44" i="12" s="1"/>
  <c r="F73" i="12" s="1"/>
  <c r="F11" i="10"/>
  <c r="D12" i="10"/>
  <c r="D12" i="11"/>
  <c r="D12" i="9"/>
  <c r="F132" i="4" s="1"/>
  <c r="H14" i="10"/>
  <c r="J14" i="12"/>
  <c r="L14" i="12" s="1"/>
  <c r="H14" i="11"/>
  <c r="H14" i="9"/>
  <c r="F15" i="11"/>
  <c r="F15" i="9"/>
  <c r="F15" i="10"/>
  <c r="D16" i="9"/>
  <c r="D16" i="11"/>
  <c r="D16" i="10"/>
  <c r="H18" i="10"/>
  <c r="J18" i="12"/>
  <c r="L18" i="12" s="1"/>
  <c r="H18" i="11"/>
  <c r="J18" i="11" s="1"/>
  <c r="L18" i="11" s="1"/>
  <c r="H18" i="9"/>
  <c r="F19" i="11"/>
  <c r="F19" i="9"/>
  <c r="F19" i="10"/>
  <c r="D20" i="10"/>
  <c r="D20" i="11"/>
  <c r="D20" i="9"/>
  <c r="H22" i="10"/>
  <c r="H22" i="11"/>
  <c r="H22" i="9"/>
  <c r="J22" i="12"/>
  <c r="L22" i="12" s="1"/>
  <c r="F23" i="11"/>
  <c r="F23" i="9"/>
  <c r="F23" i="10"/>
  <c r="D24" i="9"/>
  <c r="D24" i="11"/>
  <c r="D24" i="10"/>
  <c r="H26" i="10"/>
  <c r="H26" i="11"/>
  <c r="J26" i="11" s="1"/>
  <c r="L26" i="11" s="1"/>
  <c r="J26" i="12"/>
  <c r="L26" i="12" s="1"/>
  <c r="H26" i="9"/>
  <c r="F27" i="11"/>
  <c r="F27" i="9"/>
  <c r="F27" i="10"/>
  <c r="D28" i="11"/>
  <c r="D28" i="10"/>
  <c r="D28" i="9"/>
  <c r="H30" i="10"/>
  <c r="J30" i="10" s="1"/>
  <c r="L30" i="10" s="1"/>
  <c r="J30" i="12"/>
  <c r="L30" i="12" s="1"/>
  <c r="H30" i="11"/>
  <c r="H30" i="9"/>
  <c r="J30" i="9" s="1"/>
  <c r="L30" i="9" s="1"/>
  <c r="F31" i="11"/>
  <c r="F31" i="9"/>
  <c r="F31" i="10"/>
  <c r="D32" i="9"/>
  <c r="D32" i="10"/>
  <c r="D32" i="11"/>
  <c r="H34" i="10"/>
  <c r="J34" i="10" s="1"/>
  <c r="L34" i="10" s="1"/>
  <c r="H34" i="11"/>
  <c r="J34" i="11" s="1"/>
  <c r="L34" i="11" s="1"/>
  <c r="J34" i="12"/>
  <c r="L34" i="12" s="1"/>
  <c r="H34" i="9"/>
  <c r="F35" i="11"/>
  <c r="F35" i="9"/>
  <c r="F35" i="10"/>
  <c r="D36" i="11"/>
  <c r="D36" i="10"/>
  <c r="D36" i="9"/>
  <c r="H38" i="10"/>
  <c r="J38" i="12"/>
  <c r="L38" i="12" s="1"/>
  <c r="H38" i="11"/>
  <c r="J38" i="11" s="1"/>
  <c r="L38" i="11" s="1"/>
  <c r="H38" i="9"/>
  <c r="J38" i="9" s="1"/>
  <c r="L38" i="9" s="1"/>
  <c r="F39" i="11"/>
  <c r="F39" i="9"/>
  <c r="F39" i="10"/>
  <c r="D40" i="10"/>
  <c r="D40" i="9"/>
  <c r="D40" i="11"/>
  <c r="J50" i="12"/>
  <c r="L50" i="12" s="1"/>
  <c r="F51" i="10"/>
  <c r="F75" i="10" s="1"/>
  <c r="L52" i="12"/>
  <c r="D52" i="10"/>
  <c r="J52" i="10" s="1"/>
  <c r="L52" i="10" s="1"/>
  <c r="J54" i="12"/>
  <c r="L54" i="12" s="1"/>
  <c r="D56" i="10"/>
  <c r="J58" i="12"/>
  <c r="L58" i="12" s="1"/>
  <c r="D61" i="10"/>
  <c r="J61" i="10" s="1"/>
  <c r="L61" i="10" s="1"/>
  <c r="H66" i="10"/>
  <c r="J66" i="10" s="1"/>
  <c r="L66" i="10" s="1"/>
  <c r="J62" i="12"/>
  <c r="L62" i="12" s="1"/>
  <c r="D68" i="10"/>
  <c r="J68" i="10" s="1"/>
  <c r="L68" i="10" s="1"/>
  <c r="J66" i="12"/>
  <c r="L66" i="12" s="1"/>
  <c r="H72" i="10"/>
  <c r="F10" i="13"/>
  <c r="F12" i="13" s="1"/>
  <c r="F15" i="13" s="1"/>
  <c r="F13" i="14"/>
  <c r="F16" i="14" s="1"/>
  <c r="F27" i="14" s="1"/>
  <c r="J12" i="14"/>
  <c r="L12" i="14" s="1"/>
  <c r="D11" i="13"/>
  <c r="H11" i="15"/>
  <c r="H29" i="18"/>
  <c r="H11" i="17"/>
  <c r="J11" i="18"/>
  <c r="H11" i="16"/>
  <c r="F12" i="17"/>
  <c r="F12" i="16"/>
  <c r="F12" i="15"/>
  <c r="D13" i="15"/>
  <c r="D13" i="17"/>
  <c r="D13" i="16"/>
  <c r="H15" i="16"/>
  <c r="H15" i="15"/>
  <c r="J15" i="15" s="1"/>
  <c r="L15" i="15" s="1"/>
  <c r="H15" i="17"/>
  <c r="J15" i="18"/>
  <c r="L15" i="18" s="1"/>
  <c r="F16" i="17"/>
  <c r="F16" i="16"/>
  <c r="F16" i="15"/>
  <c r="D17" i="17"/>
  <c r="D17" i="16"/>
  <c r="D17" i="15"/>
  <c r="H19" i="17"/>
  <c r="H19" i="15"/>
  <c r="J19" i="15" s="1"/>
  <c r="L19" i="15" s="1"/>
  <c r="H19" i="16"/>
  <c r="J19" i="18"/>
  <c r="L19" i="18" s="1"/>
  <c r="F20" i="17"/>
  <c r="F20" i="16"/>
  <c r="F20" i="15"/>
  <c r="D21" i="17"/>
  <c r="D21" i="16"/>
  <c r="D21" i="15"/>
  <c r="H23" i="17"/>
  <c r="J23" i="18"/>
  <c r="L23" i="18" s="1"/>
  <c r="H23" i="15"/>
  <c r="H23" i="16"/>
  <c r="J23" i="16" s="1"/>
  <c r="L23" i="16" s="1"/>
  <c r="F24" i="17"/>
  <c r="F24" i="16"/>
  <c r="F24" i="15"/>
  <c r="D25" i="15"/>
  <c r="D25" i="17"/>
  <c r="D25" i="16"/>
  <c r="J27" i="18"/>
  <c r="H27" i="17"/>
  <c r="H27" i="16"/>
  <c r="J27" i="16" s="1"/>
  <c r="L27" i="16" s="1"/>
  <c r="H27" i="15"/>
  <c r="J27" i="15" s="1"/>
  <c r="L27" i="15" s="1"/>
  <c r="F28" i="17"/>
  <c r="F28" i="16"/>
  <c r="F28" i="15"/>
  <c r="J32" i="18"/>
  <c r="H32" i="17"/>
  <c r="H40" i="18"/>
  <c r="H32" i="16"/>
  <c r="H32" i="15"/>
  <c r="F33" i="17"/>
  <c r="F33" i="16"/>
  <c r="F33" i="15"/>
  <c r="D34" i="15"/>
  <c r="D34" i="16"/>
  <c r="D34" i="17"/>
  <c r="H36" i="17"/>
  <c r="H36" i="16"/>
  <c r="J36" i="16" s="1"/>
  <c r="L36" i="16" s="1"/>
  <c r="J36" i="18"/>
  <c r="L36" i="18" s="1"/>
  <c r="H36" i="15"/>
  <c r="F37" i="16"/>
  <c r="F37" i="15"/>
  <c r="F37" i="17"/>
  <c r="D38" i="15"/>
  <c r="D38" i="17"/>
  <c r="D38" i="16"/>
  <c r="D43" i="15"/>
  <c r="D51" i="18"/>
  <c r="D43" i="17"/>
  <c r="D43" i="16"/>
  <c r="H45" i="17"/>
  <c r="H45" i="15"/>
  <c r="J45" i="15" s="1"/>
  <c r="L45" i="15" s="1"/>
  <c r="H45" i="16"/>
  <c r="J45" i="16" s="1"/>
  <c r="J45" i="18"/>
  <c r="L45" i="18" s="1"/>
  <c r="F46" i="15"/>
  <c r="F46" i="17"/>
  <c r="F46" i="16"/>
  <c r="D47" i="17"/>
  <c r="D47" i="15"/>
  <c r="D47" i="16"/>
  <c r="H49" i="17"/>
  <c r="J49" i="17" s="1"/>
  <c r="H49" i="15"/>
  <c r="H49" i="16"/>
  <c r="J49" i="18"/>
  <c r="L49" i="18" s="1"/>
  <c r="F50" i="15"/>
  <c r="F50" i="17"/>
  <c r="F50" i="16"/>
  <c r="H56" i="18"/>
  <c r="J54" i="18"/>
  <c r="H54" i="17"/>
  <c r="H54" i="16"/>
  <c r="H54" i="15"/>
  <c r="F55" i="16"/>
  <c r="F55" i="15"/>
  <c r="H141" i="4" s="1"/>
  <c r="H180" i="4" s="1"/>
  <c r="F55" i="17"/>
  <c r="H59" i="17"/>
  <c r="H68" i="18"/>
  <c r="H59" i="15"/>
  <c r="J59" i="18"/>
  <c r="H59" i="16"/>
  <c r="F60" i="16"/>
  <c r="F60" i="15"/>
  <c r="F60" i="17"/>
  <c r="D61" i="17"/>
  <c r="D61" i="16"/>
  <c r="D61" i="15"/>
  <c r="H63" i="17"/>
  <c r="J63" i="17" s="1"/>
  <c r="L63" i="17" s="1"/>
  <c r="J63" i="18"/>
  <c r="L63" i="18" s="1"/>
  <c r="H63" i="16"/>
  <c r="H63" i="15"/>
  <c r="J63" i="15" s="1"/>
  <c r="L63" i="15" s="1"/>
  <c r="F64" i="16"/>
  <c r="F64" i="15"/>
  <c r="F64" i="17"/>
  <c r="D65" i="17"/>
  <c r="D65" i="16"/>
  <c r="D65" i="15"/>
  <c r="H67" i="17"/>
  <c r="J67" i="17" s="1"/>
  <c r="J67" i="18"/>
  <c r="L67" i="18" s="1"/>
  <c r="H67" i="16"/>
  <c r="J67" i="16" s="1"/>
  <c r="L67" i="16" s="1"/>
  <c r="H67" i="15"/>
  <c r="H72" i="17"/>
  <c r="J72" i="18"/>
  <c r="L72" i="18" s="1"/>
  <c r="H72" i="16"/>
  <c r="J72" i="16" s="1"/>
  <c r="L72" i="16" s="1"/>
  <c r="H72" i="15"/>
  <c r="F73" i="16"/>
  <c r="F73" i="15"/>
  <c r="F73" i="17"/>
  <c r="D74" i="15"/>
  <c r="D74" i="17"/>
  <c r="D74" i="16"/>
  <c r="H76" i="17"/>
  <c r="J76" i="17" s="1"/>
  <c r="J76" i="18"/>
  <c r="L76" i="18" s="1"/>
  <c r="H76" i="15"/>
  <c r="H76" i="16"/>
  <c r="J76" i="16" s="1"/>
  <c r="L76" i="16" s="1"/>
  <c r="F77" i="16"/>
  <c r="F77" i="15"/>
  <c r="F77" i="17"/>
  <c r="D78" i="15"/>
  <c r="D78" i="16"/>
  <c r="D78" i="17"/>
  <c r="H80" i="17"/>
  <c r="J80" i="18"/>
  <c r="L80" i="18" s="1"/>
  <c r="H80" i="16"/>
  <c r="J80" i="16" s="1"/>
  <c r="L80" i="16" s="1"/>
  <c r="H80" i="15"/>
  <c r="J80" i="15" s="1"/>
  <c r="F81" i="17"/>
  <c r="F81" i="16"/>
  <c r="F81" i="15"/>
  <c r="D82" i="17"/>
  <c r="D82" i="16"/>
  <c r="D82" i="15"/>
  <c r="D87" i="17"/>
  <c r="D87" i="16"/>
  <c r="D99" i="18"/>
  <c r="H89" i="15"/>
  <c r="H89" i="16"/>
  <c r="J89" i="16" s="1"/>
  <c r="J89" i="18"/>
  <c r="L89" i="18" s="1"/>
  <c r="H89" i="17"/>
  <c r="J89" i="17" s="1"/>
  <c r="L89" i="17" s="1"/>
  <c r="F90" i="17"/>
  <c r="F90" i="16"/>
  <c r="F90" i="15"/>
  <c r="D91" i="16"/>
  <c r="D91" i="15"/>
  <c r="D91" i="17"/>
  <c r="H94" i="17"/>
  <c r="J94" i="17" s="1"/>
  <c r="J93" i="18"/>
  <c r="L93" i="18" s="1"/>
  <c r="H93" i="16"/>
  <c r="J93" i="16" s="1"/>
  <c r="L93" i="16" s="1"/>
  <c r="F95" i="17"/>
  <c r="F94" i="16"/>
  <c r="F95" i="15"/>
  <c r="D95" i="16"/>
  <c r="D96" i="17"/>
  <c r="D96" i="15"/>
  <c r="H98" i="17"/>
  <c r="J98" i="17" s="1"/>
  <c r="L98" i="17" s="1"/>
  <c r="J97" i="18"/>
  <c r="L97" i="18" s="1"/>
  <c r="H97" i="16"/>
  <c r="J97" i="16" s="1"/>
  <c r="H98" i="15"/>
  <c r="F99" i="17"/>
  <c r="F98" i="16"/>
  <c r="F99" i="15"/>
  <c r="D118" i="18"/>
  <c r="J106" i="18"/>
  <c r="D107" i="16"/>
  <c r="H109" i="16"/>
  <c r="F110" i="16"/>
  <c r="J110" i="18"/>
  <c r="L110" i="18" s="1"/>
  <c r="D111" i="16"/>
  <c r="J111" i="16" s="1"/>
  <c r="L111" i="16" s="1"/>
  <c r="H113" i="16"/>
  <c r="F114" i="16"/>
  <c r="J114" i="18"/>
  <c r="L114" i="18" s="1"/>
  <c r="D115" i="16"/>
  <c r="J115" i="16" s="1"/>
  <c r="L115" i="16" s="1"/>
  <c r="H117" i="16"/>
  <c r="F118" i="16"/>
  <c r="H122" i="16"/>
  <c r="H126" i="18"/>
  <c r="F123" i="16"/>
  <c r="J123" i="18"/>
  <c r="L123" i="18" s="1"/>
  <c r="D124" i="16"/>
  <c r="J124" i="16" s="1"/>
  <c r="L124" i="16" s="1"/>
  <c r="H126" i="16"/>
  <c r="H131" i="16"/>
  <c r="F133" i="16"/>
  <c r="F132" i="16"/>
  <c r="D133" i="16"/>
  <c r="J132" i="18"/>
  <c r="L132" i="18" s="1"/>
  <c r="D143" i="18"/>
  <c r="J137" i="18"/>
  <c r="D138" i="16"/>
  <c r="H140" i="16"/>
  <c r="F141" i="16"/>
  <c r="D142" i="16"/>
  <c r="J142" i="16" s="1"/>
  <c r="L142" i="16" s="1"/>
  <c r="J141" i="18"/>
  <c r="L141" i="18" s="1"/>
  <c r="D151" i="18"/>
  <c r="J145" i="18"/>
  <c r="D146" i="16"/>
  <c r="H148" i="16"/>
  <c r="F149" i="16"/>
  <c r="J149" i="18"/>
  <c r="L149" i="18" s="1"/>
  <c r="D150" i="16"/>
  <c r="J150" i="16" s="1"/>
  <c r="L150" i="16" s="1"/>
  <c r="D161" i="18"/>
  <c r="J154" i="18"/>
  <c r="D155" i="16"/>
  <c r="H157" i="16"/>
  <c r="F92" i="15"/>
  <c r="F158" i="16"/>
  <c r="F92" i="17"/>
  <c r="J158" i="18"/>
  <c r="L158" i="18" s="1"/>
  <c r="H161" i="16"/>
  <c r="F18" i="20"/>
  <c r="F21" i="20" s="1"/>
  <c r="F15" i="19"/>
  <c r="F87" i="15" s="1"/>
  <c r="D16" i="19"/>
  <c r="J14" i="20"/>
  <c r="L14" i="20" s="1"/>
  <c r="H18" i="19"/>
  <c r="J18" i="19" s="1"/>
  <c r="L18" i="19" s="1"/>
  <c r="P18" i="19" s="1"/>
  <c r="F19" i="19"/>
  <c r="D20" i="19"/>
  <c r="D94" i="15" s="1"/>
  <c r="J26" i="20"/>
  <c r="H11" i="19"/>
  <c r="H27" i="20"/>
  <c r="H38" i="20" s="1"/>
  <c r="J31" i="20"/>
  <c r="L31" i="20" s="1"/>
  <c r="F159" i="16"/>
  <c r="D11" i="23"/>
  <c r="D11" i="22"/>
  <c r="D27" i="24"/>
  <c r="D11" i="21"/>
  <c r="H13" i="21"/>
  <c r="H13" i="23"/>
  <c r="J13" i="24"/>
  <c r="L13" i="24" s="1"/>
  <c r="H13" i="22"/>
  <c r="J13" i="22" s="1"/>
  <c r="L13" i="22" s="1"/>
  <c r="F14" i="22"/>
  <c r="F14" i="23"/>
  <c r="F14" i="21"/>
  <c r="D15" i="23"/>
  <c r="D15" i="22"/>
  <c r="D15" i="21"/>
  <c r="H17" i="21"/>
  <c r="J17" i="21" s="1"/>
  <c r="L17" i="21" s="1"/>
  <c r="J17" i="24"/>
  <c r="L17" i="24" s="1"/>
  <c r="H17" i="22"/>
  <c r="H17" i="23"/>
  <c r="J17" i="23" s="1"/>
  <c r="L17" i="23" s="1"/>
  <c r="F18" i="22"/>
  <c r="F18" i="23"/>
  <c r="F18" i="21"/>
  <c r="D19" i="23"/>
  <c r="D19" i="22"/>
  <c r="D19" i="21"/>
  <c r="H21" i="21"/>
  <c r="H21" i="23"/>
  <c r="J21" i="23" s="1"/>
  <c r="L21" i="23" s="1"/>
  <c r="H21" i="22"/>
  <c r="J21" i="24"/>
  <c r="L21" i="24" s="1"/>
  <c r="F22" i="22"/>
  <c r="F22" i="23"/>
  <c r="F22" i="21"/>
  <c r="D23" i="23"/>
  <c r="D23" i="22"/>
  <c r="D23" i="21"/>
  <c r="H25" i="21"/>
  <c r="J25" i="21" s="1"/>
  <c r="L25" i="21" s="1"/>
  <c r="H25" i="22"/>
  <c r="J25" i="24"/>
  <c r="L25" i="24" s="1"/>
  <c r="H25" i="23"/>
  <c r="J25" i="23" s="1"/>
  <c r="L25" i="23" s="1"/>
  <c r="F26" i="22"/>
  <c r="F26" i="21"/>
  <c r="F26" i="23"/>
  <c r="H38" i="24"/>
  <c r="H30" i="21"/>
  <c r="J30" i="24"/>
  <c r="H30" i="23"/>
  <c r="H30" i="22"/>
  <c r="F31" i="22"/>
  <c r="F31" i="23"/>
  <c r="F31" i="21"/>
  <c r="D32" i="23"/>
  <c r="D32" i="22"/>
  <c r="D32" i="21"/>
  <c r="H34" i="21"/>
  <c r="J34" i="21" s="1"/>
  <c r="L34" i="21" s="1"/>
  <c r="H34" i="22"/>
  <c r="J34" i="24"/>
  <c r="L34" i="24" s="1"/>
  <c r="H34" i="23"/>
  <c r="J34" i="23" s="1"/>
  <c r="L34" i="23" s="1"/>
  <c r="F35" i="22"/>
  <c r="F35" i="23"/>
  <c r="F35" i="21"/>
  <c r="D36" i="23"/>
  <c r="D36" i="22"/>
  <c r="D36" i="21"/>
  <c r="F41" i="22"/>
  <c r="F42" i="22" s="1"/>
  <c r="F41" i="23"/>
  <c r="F42" i="23" s="1"/>
  <c r="F41" i="21"/>
  <c r="F42" i="24"/>
  <c r="J45" i="24"/>
  <c r="H45" i="23"/>
  <c r="H45" i="22"/>
  <c r="H63" i="24"/>
  <c r="F46" i="22"/>
  <c r="F46" i="21" s="1"/>
  <c r="H133" i="4" s="1"/>
  <c r="H172" i="4" s="1"/>
  <c r="F46" i="23"/>
  <c r="D47" i="23"/>
  <c r="D47" i="22"/>
  <c r="J49" i="24"/>
  <c r="L49" i="24" s="1"/>
  <c r="H49" i="23"/>
  <c r="H49" i="22"/>
  <c r="F50" i="22"/>
  <c r="F50" i="21" s="1"/>
  <c r="H135" i="4" s="1"/>
  <c r="H174" i="4" s="1"/>
  <c r="F50" i="23"/>
  <c r="D51" i="23"/>
  <c r="D51" i="22"/>
  <c r="D51" i="21" s="1"/>
  <c r="J53" i="24"/>
  <c r="L53" i="24" s="1"/>
  <c r="H53" i="22"/>
  <c r="H53" i="23"/>
  <c r="F54" i="22"/>
  <c r="F54" i="23"/>
  <c r="D55" i="23"/>
  <c r="D55" i="22"/>
  <c r="H57" i="23"/>
  <c r="H57" i="22"/>
  <c r="J57" i="24"/>
  <c r="L57" i="24" s="1"/>
  <c r="F58" i="22"/>
  <c r="F58" i="21" s="1"/>
  <c r="F58" i="23"/>
  <c r="D59" i="23"/>
  <c r="D59" i="22"/>
  <c r="H61" i="23"/>
  <c r="J61" i="23" s="1"/>
  <c r="L61" i="23" s="1"/>
  <c r="H61" i="22"/>
  <c r="J61" i="24"/>
  <c r="L61" i="24" s="1"/>
  <c r="F62" i="22"/>
  <c r="F62" i="21" s="1"/>
  <c r="F62" i="23"/>
  <c r="H69" i="24"/>
  <c r="H65" i="21"/>
  <c r="J66" i="24"/>
  <c r="H66" i="23"/>
  <c r="H66" i="22"/>
  <c r="F67" i="22"/>
  <c r="F67" i="23"/>
  <c r="F66" i="21"/>
  <c r="D68" i="23"/>
  <c r="D67" i="21"/>
  <c r="D68" i="22"/>
  <c r="D81" i="22"/>
  <c r="J81" i="22" s="1"/>
  <c r="L81" i="22" s="1"/>
  <c r="D82" i="22"/>
  <c r="J82" i="22" s="1"/>
  <c r="L82" i="22" s="1"/>
  <c r="D83" i="22"/>
  <c r="J87" i="24"/>
  <c r="L87" i="24" s="1"/>
  <c r="J88" i="24"/>
  <c r="H88" i="22"/>
  <c r="D99" i="24"/>
  <c r="D93" i="22"/>
  <c r="J93" i="22" s="1"/>
  <c r="L93" i="22" s="1"/>
  <c r="D94" i="22"/>
  <c r="J94" i="22" s="1"/>
  <c r="L94" i="22" s="1"/>
  <c r="J97" i="24"/>
  <c r="L97" i="24" s="1"/>
  <c r="J98" i="24"/>
  <c r="L98" i="24" s="1"/>
  <c r="H113" i="24"/>
  <c r="H121" i="24" s="1"/>
  <c r="J102" i="24"/>
  <c r="J103" i="24"/>
  <c r="L103" i="24" s="1"/>
  <c r="J104" i="24"/>
  <c r="L104" i="24" s="1"/>
  <c r="H104" i="22"/>
  <c r="D112" i="22"/>
  <c r="F19" i="26"/>
  <c r="F22" i="26" s="1"/>
  <c r="F11" i="25"/>
  <c r="F12" i="25"/>
  <c r="F13" i="25"/>
  <c r="H14" i="25"/>
  <c r="H15" i="25"/>
  <c r="H16" i="25"/>
  <c r="F33" i="26"/>
  <c r="F35" i="26" s="1"/>
  <c r="F105" i="22"/>
  <c r="J29" i="26"/>
  <c r="L29" i="26" s="1"/>
  <c r="J30" i="26"/>
  <c r="L30" i="26" s="1"/>
  <c r="J31" i="26"/>
  <c r="L31" i="26" s="1"/>
  <c r="L10" i="36"/>
  <c r="L30" i="33"/>
  <c r="F11" i="36"/>
  <c r="D12" i="36"/>
  <c r="R12" i="33"/>
  <c r="P12" i="36"/>
  <c r="L13" i="36"/>
  <c r="H14" i="36"/>
  <c r="R15" i="33"/>
  <c r="D15" i="36"/>
  <c r="P15" i="36"/>
  <c r="N16" i="36"/>
  <c r="H17" i="36"/>
  <c r="D18" i="36"/>
  <c r="R18" i="33"/>
  <c r="N19" i="36"/>
  <c r="H20" i="36"/>
  <c r="F21" i="36"/>
  <c r="R21" i="36" s="1"/>
  <c r="N22" i="36"/>
  <c r="L23" i="36"/>
  <c r="F24" i="36"/>
  <c r="P25" i="36"/>
  <c r="L26" i="36"/>
  <c r="F27" i="36"/>
  <c r="D28" i="36"/>
  <c r="R29" i="33"/>
  <c r="P28" i="36"/>
  <c r="H41" i="33"/>
  <c r="H32" i="36"/>
  <c r="F33" i="36"/>
  <c r="N34" i="36"/>
  <c r="L35" i="36"/>
  <c r="F36" i="36"/>
  <c r="P37" i="36"/>
  <c r="L38" i="36"/>
  <c r="F39" i="36"/>
  <c r="F56" i="33"/>
  <c r="F43" i="36"/>
  <c r="R43" i="36" s="1"/>
  <c r="D44" i="36"/>
  <c r="R45" i="33"/>
  <c r="P44" i="36"/>
  <c r="L45" i="36"/>
  <c r="H46" i="36"/>
  <c r="R48" i="33"/>
  <c r="D47" i="36"/>
  <c r="P47" i="36"/>
  <c r="N48" i="36"/>
  <c r="H49" i="36"/>
  <c r="D50" i="36"/>
  <c r="R51" i="33"/>
  <c r="N51" i="36"/>
  <c r="H52" i="36"/>
  <c r="F53" i="36"/>
  <c r="N54" i="36"/>
  <c r="N58" i="36"/>
  <c r="F59" i="36"/>
  <c r="P61" i="36"/>
  <c r="P78" i="33"/>
  <c r="L62" i="36"/>
  <c r="F63" i="36"/>
  <c r="D64" i="36"/>
  <c r="R65" i="33"/>
  <c r="P64" i="36"/>
  <c r="L65" i="36"/>
  <c r="H66" i="36"/>
  <c r="D67" i="36"/>
  <c r="R68" i="33"/>
  <c r="P67" i="36"/>
  <c r="N68" i="36"/>
  <c r="H69" i="36"/>
  <c r="R71" i="33"/>
  <c r="D70" i="36"/>
  <c r="N71" i="36"/>
  <c r="H72" i="36"/>
  <c r="F73" i="36"/>
  <c r="N74" i="36"/>
  <c r="L75" i="36"/>
  <c r="F76" i="36"/>
  <c r="N78" i="36"/>
  <c r="N97" i="33"/>
  <c r="H79" i="36"/>
  <c r="D80" i="36"/>
  <c r="R81" i="33"/>
  <c r="N81" i="36"/>
  <c r="H82" i="36"/>
  <c r="F83" i="36"/>
  <c r="N84" i="36"/>
  <c r="L85" i="36"/>
  <c r="F86" i="36"/>
  <c r="P87" i="36"/>
  <c r="L88" i="36"/>
  <c r="F89" i="36"/>
  <c r="D90" i="36"/>
  <c r="R91" i="33"/>
  <c r="P90" i="36"/>
  <c r="L91" i="36"/>
  <c r="H92" i="36"/>
  <c r="D93" i="36"/>
  <c r="R94" i="33"/>
  <c r="P93" i="36"/>
  <c r="N94" i="36"/>
  <c r="H95" i="36"/>
  <c r="H97" i="36"/>
  <c r="H110" i="33"/>
  <c r="D98" i="36"/>
  <c r="R99" i="33"/>
  <c r="N99" i="36"/>
  <c r="H100" i="36"/>
  <c r="F101" i="36"/>
  <c r="N102" i="36"/>
  <c r="L103" i="36"/>
  <c r="F104" i="36"/>
  <c r="P105" i="36"/>
  <c r="L106" i="36"/>
  <c r="F107" i="36"/>
  <c r="D108" i="36"/>
  <c r="R109" i="33"/>
  <c r="P108" i="36"/>
  <c r="H110" i="36"/>
  <c r="H128" i="33"/>
  <c r="F111" i="36"/>
  <c r="N112" i="36"/>
  <c r="L113" i="36"/>
  <c r="F114" i="36"/>
  <c r="P115" i="36"/>
  <c r="L116" i="36"/>
  <c r="F117" i="36"/>
  <c r="D118" i="36"/>
  <c r="R119" i="33"/>
  <c r="P118" i="36"/>
  <c r="L119" i="36"/>
  <c r="H120" i="36"/>
  <c r="R122" i="33"/>
  <c r="D121" i="36"/>
  <c r="R121" i="36" s="1"/>
  <c r="P121" i="36"/>
  <c r="N122" i="36"/>
  <c r="H123" i="36"/>
  <c r="D124" i="36"/>
  <c r="R125" i="33"/>
  <c r="N125" i="36"/>
  <c r="H126" i="36"/>
  <c r="D128" i="36"/>
  <c r="R129" i="33"/>
  <c r="D146" i="33"/>
  <c r="P128" i="36"/>
  <c r="P146" i="33"/>
  <c r="L129" i="36"/>
  <c r="H130" i="36"/>
  <c r="R132" i="33"/>
  <c r="D131" i="36"/>
  <c r="P131" i="36"/>
  <c r="N132" i="36"/>
  <c r="H133" i="36"/>
  <c r="D134" i="36"/>
  <c r="R134" i="36" s="1"/>
  <c r="R135" i="33"/>
  <c r="N135" i="36"/>
  <c r="H136" i="36"/>
  <c r="F137" i="36"/>
  <c r="N138" i="36"/>
  <c r="L139" i="36"/>
  <c r="F140" i="36"/>
  <c r="P141" i="36"/>
  <c r="L142" i="36"/>
  <c r="F143" i="36"/>
  <c r="R145" i="33"/>
  <c r="D144" i="36"/>
  <c r="P144" i="36"/>
  <c r="H146" i="36"/>
  <c r="H162" i="33"/>
  <c r="F147" i="36"/>
  <c r="N148" i="36"/>
  <c r="L149" i="36"/>
  <c r="F150" i="36"/>
  <c r="P151" i="36"/>
  <c r="L152" i="36"/>
  <c r="F153" i="36"/>
  <c r="D154" i="36"/>
  <c r="R155" i="33"/>
  <c r="P154" i="36"/>
  <c r="L155" i="36"/>
  <c r="H156" i="36"/>
  <c r="R158" i="33"/>
  <c r="D157" i="36"/>
  <c r="P157" i="36"/>
  <c r="N158" i="36"/>
  <c r="H159" i="36"/>
  <c r="R159" i="36" s="1"/>
  <c r="D160" i="36"/>
  <c r="R161" i="33"/>
  <c r="D162" i="36"/>
  <c r="R163" i="33"/>
  <c r="N163" i="36"/>
  <c r="N167" i="36"/>
  <c r="N169" i="36" s="1"/>
  <c r="N170" i="33"/>
  <c r="H168" i="36"/>
  <c r="R168" i="36" s="1"/>
  <c r="D170" i="36"/>
  <c r="D207" i="33"/>
  <c r="R171" i="33"/>
  <c r="P170" i="36"/>
  <c r="P207" i="33"/>
  <c r="L171" i="36"/>
  <c r="H172" i="36"/>
  <c r="R174" i="33"/>
  <c r="D173" i="36"/>
  <c r="P173" i="36"/>
  <c r="N174" i="36"/>
  <c r="H175" i="36"/>
  <c r="D176" i="36"/>
  <c r="R177" i="33"/>
  <c r="N177" i="36"/>
  <c r="H178" i="36"/>
  <c r="F179" i="36"/>
  <c r="N180" i="36"/>
  <c r="L181" i="36"/>
  <c r="F182" i="36"/>
  <c r="R182" i="36" s="1"/>
  <c r="P183" i="36"/>
  <c r="L184" i="36"/>
  <c r="F185" i="36"/>
  <c r="D186" i="36"/>
  <c r="R187" i="33"/>
  <c r="P186" i="36"/>
  <c r="L187" i="36"/>
  <c r="H188" i="36"/>
  <c r="R190" i="33"/>
  <c r="D189" i="36"/>
  <c r="P189" i="36"/>
  <c r="N190" i="36"/>
  <c r="H191" i="36"/>
  <c r="D192" i="36"/>
  <c r="R193" i="33"/>
  <c r="N193" i="36"/>
  <c r="H194" i="36"/>
  <c r="F195" i="36"/>
  <c r="N196" i="36"/>
  <c r="L197" i="36"/>
  <c r="F198" i="36"/>
  <c r="P199" i="36"/>
  <c r="L200" i="36"/>
  <c r="F201" i="36"/>
  <c r="D202" i="36"/>
  <c r="R203" i="33"/>
  <c r="P202" i="36"/>
  <c r="L203" i="36"/>
  <c r="H204" i="36"/>
  <c r="R206" i="33"/>
  <c r="D205" i="36"/>
  <c r="P205" i="36"/>
  <c r="D207" i="36"/>
  <c r="R208" i="33"/>
  <c r="D216" i="33"/>
  <c r="P207" i="36"/>
  <c r="P216" i="33"/>
  <c r="N208" i="36"/>
  <c r="H209" i="36"/>
  <c r="R211" i="33"/>
  <c r="D210" i="36"/>
  <c r="N211" i="36"/>
  <c r="H212" i="36"/>
  <c r="F213" i="36"/>
  <c r="R213" i="36" s="1"/>
  <c r="N214" i="36"/>
  <c r="N216" i="36"/>
  <c r="L217" i="36"/>
  <c r="L220" i="33"/>
  <c r="F218" i="36"/>
  <c r="N220" i="36"/>
  <c r="N272" i="33"/>
  <c r="H221" i="36"/>
  <c r="R221" i="36" s="1"/>
  <c r="R223" i="33"/>
  <c r="D222" i="36"/>
  <c r="N223" i="36"/>
  <c r="H224" i="36"/>
  <c r="F225" i="36"/>
  <c r="N226" i="36"/>
  <c r="L227" i="36"/>
  <c r="F228" i="36"/>
  <c r="P229" i="36"/>
  <c r="L230" i="36"/>
  <c r="F231" i="36"/>
  <c r="D232" i="36"/>
  <c r="R233" i="33"/>
  <c r="P232" i="36"/>
  <c r="L233" i="36"/>
  <c r="H234" i="36"/>
  <c r="R236" i="33"/>
  <c r="D235" i="36"/>
  <c r="P235" i="36"/>
  <c r="N236" i="36"/>
  <c r="H237" i="36"/>
  <c r="D238" i="36"/>
  <c r="R239" i="33"/>
  <c r="N239" i="36"/>
  <c r="R239" i="36" s="1"/>
  <c r="H240" i="36"/>
  <c r="F241" i="36"/>
  <c r="N242" i="36"/>
  <c r="L243" i="36"/>
  <c r="F244" i="36"/>
  <c r="P245" i="36"/>
  <c r="L246" i="36"/>
  <c r="F247" i="36"/>
  <c r="D248" i="36"/>
  <c r="R249" i="33"/>
  <c r="P248" i="36"/>
  <c r="L249" i="36"/>
  <c r="H250" i="36"/>
  <c r="R252" i="33"/>
  <c r="D251" i="36"/>
  <c r="P251" i="36"/>
  <c r="N252" i="36"/>
  <c r="H253" i="36"/>
  <c r="R255" i="33"/>
  <c r="D254" i="36"/>
  <c r="N255" i="36"/>
  <c r="H256" i="36"/>
  <c r="F257" i="36"/>
  <c r="N258" i="36"/>
  <c r="L259" i="36"/>
  <c r="F260" i="36"/>
  <c r="P261" i="36"/>
  <c r="L262" i="36"/>
  <c r="F263" i="36"/>
  <c r="D264" i="36"/>
  <c r="R265" i="33"/>
  <c r="P264" i="36"/>
  <c r="N265" i="36"/>
  <c r="N266" i="36"/>
  <c r="H267" i="36"/>
  <c r="R269" i="33"/>
  <c r="D268" i="36"/>
  <c r="N269" i="36"/>
  <c r="H270" i="36"/>
  <c r="D272" i="36"/>
  <c r="D275" i="33"/>
  <c r="R273" i="33"/>
  <c r="P272" i="36"/>
  <c r="P275" i="33"/>
  <c r="L273" i="36"/>
  <c r="L275" i="36"/>
  <c r="L289" i="33"/>
  <c r="H276" i="36"/>
  <c r="D277" i="36"/>
  <c r="R278" i="33"/>
  <c r="P277" i="36"/>
  <c r="N278" i="36"/>
  <c r="H279" i="36"/>
  <c r="R281" i="33"/>
  <c r="D280" i="36"/>
  <c r="N281" i="36"/>
  <c r="H282" i="36"/>
  <c r="F283" i="36"/>
  <c r="N284" i="36"/>
  <c r="L285" i="36"/>
  <c r="F286" i="36"/>
  <c r="P287" i="36"/>
  <c r="P289" i="36"/>
  <c r="P320" i="33"/>
  <c r="L290" i="36"/>
  <c r="F291" i="36"/>
  <c r="D292" i="36"/>
  <c r="R293" i="33"/>
  <c r="P292" i="36"/>
  <c r="L293" i="36"/>
  <c r="H294" i="36"/>
  <c r="D295" i="36"/>
  <c r="R296" i="33"/>
  <c r="P295" i="36"/>
  <c r="N296" i="36"/>
  <c r="H297" i="36"/>
  <c r="D298" i="36"/>
  <c r="R299" i="33"/>
  <c r="N299" i="36"/>
  <c r="H300" i="36"/>
  <c r="F301" i="36"/>
  <c r="N302" i="36"/>
  <c r="L303" i="36"/>
  <c r="F304" i="36"/>
  <c r="P305" i="36"/>
  <c r="L306" i="36"/>
  <c r="F307" i="36"/>
  <c r="R309" i="33"/>
  <c r="D308" i="36"/>
  <c r="P308" i="36"/>
  <c r="L309" i="36"/>
  <c r="R312" i="33"/>
  <c r="D310" i="36"/>
  <c r="P310" i="36"/>
  <c r="N311" i="36"/>
  <c r="H312" i="36"/>
  <c r="D313" i="36"/>
  <c r="R315" i="33"/>
  <c r="N314" i="36"/>
  <c r="H315" i="36"/>
  <c r="H316" i="36"/>
  <c r="D317" i="36"/>
  <c r="R319" i="33"/>
  <c r="P317" i="36"/>
  <c r="D319" i="36"/>
  <c r="R321" i="33"/>
  <c r="D329" i="33"/>
  <c r="P319" i="36"/>
  <c r="P329" i="33"/>
  <c r="N320" i="36"/>
  <c r="H321" i="36"/>
  <c r="D322" i="36"/>
  <c r="R324" i="33"/>
  <c r="N323" i="36"/>
  <c r="H324" i="36"/>
  <c r="F325" i="36"/>
  <c r="N326" i="36"/>
  <c r="N328" i="36"/>
  <c r="N350" i="33"/>
  <c r="L329" i="36"/>
  <c r="F330" i="36"/>
  <c r="P331" i="36"/>
  <c r="L332" i="36"/>
  <c r="F333" i="36"/>
  <c r="D334" i="36"/>
  <c r="R336" i="33"/>
  <c r="P334" i="36"/>
  <c r="L335" i="36"/>
  <c r="H336" i="36"/>
  <c r="D337" i="36"/>
  <c r="R339" i="33"/>
  <c r="P337" i="36"/>
  <c r="N338" i="36"/>
  <c r="H339" i="36"/>
  <c r="D340" i="36"/>
  <c r="R342" i="33"/>
  <c r="N341" i="36"/>
  <c r="H342" i="36"/>
  <c r="F343" i="36"/>
  <c r="N344" i="36"/>
  <c r="L345" i="36"/>
  <c r="F346" i="36"/>
  <c r="P347" i="36"/>
  <c r="P349" i="36"/>
  <c r="L350" i="36"/>
  <c r="L354" i="36"/>
  <c r="P187" i="4"/>
  <c r="L375" i="33"/>
  <c r="F355" i="36"/>
  <c r="D356" i="36"/>
  <c r="R358" i="33"/>
  <c r="P356" i="36"/>
  <c r="L357" i="36"/>
  <c r="H358" i="36"/>
  <c r="R361" i="33"/>
  <c r="N359" i="36"/>
  <c r="H360" i="36"/>
  <c r="D361" i="36"/>
  <c r="R364" i="33"/>
  <c r="N362" i="36"/>
  <c r="H363" i="36"/>
  <c r="F364" i="36"/>
  <c r="N365" i="36"/>
  <c r="L366" i="36"/>
  <c r="F367" i="36"/>
  <c r="P368" i="36"/>
  <c r="L369" i="36"/>
  <c r="F370" i="36"/>
  <c r="D371" i="36"/>
  <c r="R374" i="33"/>
  <c r="P371" i="36"/>
  <c r="N379" i="36"/>
  <c r="N384" i="33"/>
  <c r="N386" i="33" s="1"/>
  <c r="L380" i="36"/>
  <c r="P195" i="4"/>
  <c r="P251" i="4" s="1"/>
  <c r="D389" i="36"/>
  <c r="R392" i="33"/>
  <c r="D408" i="33"/>
  <c r="P408" i="33"/>
  <c r="P389" i="36"/>
  <c r="L390" i="36"/>
  <c r="P189" i="4"/>
  <c r="P246" i="4" s="1"/>
  <c r="H391" i="36"/>
  <c r="D392" i="36"/>
  <c r="R395" i="33"/>
  <c r="P392" i="36"/>
  <c r="N393" i="36"/>
  <c r="H394" i="36"/>
  <c r="D395" i="36"/>
  <c r="R398" i="33"/>
  <c r="N396" i="36"/>
  <c r="H397" i="36"/>
  <c r="F398" i="36"/>
  <c r="N399" i="36"/>
  <c r="L400" i="36"/>
  <c r="F401" i="36"/>
  <c r="P402" i="36"/>
  <c r="L403" i="36"/>
  <c r="F404" i="36"/>
  <c r="F408" i="36"/>
  <c r="F419" i="33"/>
  <c r="D409" i="36"/>
  <c r="R412" i="33"/>
  <c r="P409" i="36"/>
  <c r="L410" i="36"/>
  <c r="H411" i="36"/>
  <c r="D412" i="36"/>
  <c r="R415" i="33"/>
  <c r="P412" i="36"/>
  <c r="N413" i="36"/>
  <c r="H414" i="36"/>
  <c r="D415" i="36"/>
  <c r="R418" i="33"/>
  <c r="D420" i="36"/>
  <c r="R423" i="33"/>
  <c r="D441" i="33"/>
  <c r="N421" i="36"/>
  <c r="R188" i="4"/>
  <c r="R245" i="4" s="1"/>
  <c r="H422" i="36"/>
  <c r="F423" i="36"/>
  <c r="N424" i="36"/>
  <c r="L425" i="36"/>
  <c r="P190" i="4"/>
  <c r="P247" i="4" s="1"/>
  <c r="F426" i="36"/>
  <c r="P427" i="36"/>
  <c r="L428" i="36"/>
  <c r="F429" i="36"/>
  <c r="D430" i="36"/>
  <c r="R433" i="33"/>
  <c r="P430" i="36"/>
  <c r="L431" i="36"/>
  <c r="H432" i="36"/>
  <c r="D433" i="36"/>
  <c r="R436" i="33"/>
  <c r="P433" i="36"/>
  <c r="N434" i="36"/>
  <c r="H435" i="36"/>
  <c r="R439" i="33"/>
  <c r="D436" i="36"/>
  <c r="N437" i="36"/>
  <c r="N441" i="36"/>
  <c r="N447" i="33"/>
  <c r="N450" i="33" s="1"/>
  <c r="R192" i="4"/>
  <c r="R248" i="4" s="1"/>
  <c r="H442" i="36"/>
  <c r="F443" i="36"/>
  <c r="H451" i="36"/>
  <c r="H452" i="36" s="1"/>
  <c r="H455" i="36" s="1"/>
  <c r="H455" i="33"/>
  <c r="H458" i="33" s="1"/>
  <c r="J196" i="4"/>
  <c r="J254" i="4" s="1"/>
  <c r="F459" i="36"/>
  <c r="F491" i="33"/>
  <c r="D460" i="36"/>
  <c r="R463" i="33"/>
  <c r="F193" i="4"/>
  <c r="F249" i="4" s="1"/>
  <c r="P460" i="36"/>
  <c r="T193" i="4"/>
  <c r="L461" i="36"/>
  <c r="H462" i="36"/>
  <c r="R466" i="33"/>
  <c r="D463" i="36"/>
  <c r="P463" i="36"/>
  <c r="N464" i="36"/>
  <c r="H465" i="36"/>
  <c r="D466" i="36"/>
  <c r="R469" i="33"/>
  <c r="N467" i="36"/>
  <c r="H468" i="36"/>
  <c r="F469" i="36"/>
  <c r="N470" i="36"/>
  <c r="L471" i="36"/>
  <c r="F472" i="36"/>
  <c r="P473" i="36"/>
  <c r="L474" i="36"/>
  <c r="F475" i="36"/>
  <c r="D476" i="36"/>
  <c r="R479" i="33"/>
  <c r="P476" i="36"/>
  <c r="L477" i="36"/>
  <c r="H478" i="36"/>
  <c r="R482" i="33"/>
  <c r="D479" i="36"/>
  <c r="P479" i="36"/>
  <c r="N480" i="36"/>
  <c r="H481" i="36"/>
  <c r="D482" i="36"/>
  <c r="R485" i="33"/>
  <c r="N483" i="36"/>
  <c r="H484" i="36"/>
  <c r="F485" i="36"/>
  <c r="N486" i="36"/>
  <c r="L487" i="36"/>
  <c r="L491" i="36"/>
  <c r="L499" i="33"/>
  <c r="F492" i="36"/>
  <c r="P493" i="36"/>
  <c r="L494" i="36"/>
  <c r="F495" i="36"/>
  <c r="L503" i="36"/>
  <c r="L511" i="33"/>
  <c r="L514" i="33" s="1"/>
  <c r="F504" i="36"/>
  <c r="H194" i="4"/>
  <c r="H250" i="4" s="1"/>
  <c r="D505" i="36"/>
  <c r="R508" i="33"/>
  <c r="P505" i="36"/>
  <c r="L506" i="36"/>
  <c r="H507" i="36"/>
  <c r="N11" i="34"/>
  <c r="N22" i="34"/>
  <c r="F36" i="34"/>
  <c r="F39" i="34" s="1"/>
  <c r="R33" i="34"/>
  <c r="N16" i="25" s="1"/>
  <c r="R43" i="34"/>
  <c r="D46" i="34"/>
  <c r="P46" i="34"/>
  <c r="J78" i="24"/>
  <c r="L78" i="24" s="1"/>
  <c r="F79" i="22"/>
  <c r="D80" i="22"/>
  <c r="J82" i="24"/>
  <c r="L82" i="24" s="1"/>
  <c r="D84" i="22"/>
  <c r="J86" i="24"/>
  <c r="L86" i="24" s="1"/>
  <c r="D88" i="22"/>
  <c r="J94" i="24"/>
  <c r="L94" i="24" s="1"/>
  <c r="D37" i="23"/>
  <c r="D37" i="21"/>
  <c r="D98" i="22"/>
  <c r="J98" i="22" s="1"/>
  <c r="L98" i="22" s="1"/>
  <c r="F113" i="24"/>
  <c r="F121" i="24" s="1"/>
  <c r="D103" i="22"/>
  <c r="J103" i="22" s="1"/>
  <c r="L103" i="22" s="1"/>
  <c r="J105" i="24"/>
  <c r="L105" i="24" s="1"/>
  <c r="F106" i="22"/>
  <c r="D107" i="22"/>
  <c r="J109" i="24"/>
  <c r="L109" i="24" s="1"/>
  <c r="D111" i="22"/>
  <c r="J111" i="22" s="1"/>
  <c r="L111" i="22" s="1"/>
  <c r="D117" i="24"/>
  <c r="D116" i="22"/>
  <c r="D11" i="25"/>
  <c r="D19" i="26"/>
  <c r="D22" i="26" s="1"/>
  <c r="J11" i="26"/>
  <c r="H13" i="25"/>
  <c r="F14" i="25"/>
  <c r="D15" i="25"/>
  <c r="J15" i="26"/>
  <c r="L15" i="26" s="1"/>
  <c r="H17" i="25"/>
  <c r="F18" i="25"/>
  <c r="D33" i="26"/>
  <c r="D35" i="26" s="1"/>
  <c r="J28" i="26"/>
  <c r="L28" i="26" s="1"/>
  <c r="J32" i="26"/>
  <c r="L32" i="26" s="1"/>
  <c r="F30" i="33"/>
  <c r="F10" i="36"/>
  <c r="P10" i="36"/>
  <c r="P30" i="33"/>
  <c r="H11" i="36"/>
  <c r="L12" i="36"/>
  <c r="D13" i="36"/>
  <c r="R13" i="33"/>
  <c r="N13" i="36"/>
  <c r="F14" i="36"/>
  <c r="P14" i="36"/>
  <c r="H15" i="36"/>
  <c r="L16" i="36"/>
  <c r="D17" i="36"/>
  <c r="R17" i="33"/>
  <c r="N17" i="36"/>
  <c r="F18" i="36"/>
  <c r="P18" i="36"/>
  <c r="H19" i="36"/>
  <c r="L20" i="36"/>
  <c r="R21" i="33"/>
  <c r="D21" i="36"/>
  <c r="N21" i="36"/>
  <c r="F22" i="36"/>
  <c r="P22" i="36"/>
  <c r="H23" i="36"/>
  <c r="L24" i="36"/>
  <c r="D25" i="36"/>
  <c r="R26" i="33"/>
  <c r="N25" i="36"/>
  <c r="F26" i="36"/>
  <c r="P26" i="36"/>
  <c r="H27" i="36"/>
  <c r="L28" i="36"/>
  <c r="L32" i="36"/>
  <c r="L41" i="33"/>
  <c r="D33" i="36"/>
  <c r="R34" i="33"/>
  <c r="N33" i="36"/>
  <c r="F34" i="36"/>
  <c r="P34" i="36"/>
  <c r="H35" i="36"/>
  <c r="L36" i="36"/>
  <c r="D37" i="36"/>
  <c r="R38" i="33"/>
  <c r="N37" i="36"/>
  <c r="F38" i="36"/>
  <c r="P38" i="36"/>
  <c r="H39" i="36"/>
  <c r="H43" i="36"/>
  <c r="H56" i="33"/>
  <c r="L44" i="36"/>
  <c r="D45" i="36"/>
  <c r="R46" i="33"/>
  <c r="N45" i="36"/>
  <c r="F46" i="36"/>
  <c r="P46" i="36"/>
  <c r="H47" i="36"/>
  <c r="L48" i="36"/>
  <c r="D49" i="36"/>
  <c r="R49" i="36" s="1"/>
  <c r="R50" i="33"/>
  <c r="N49" i="36"/>
  <c r="F50" i="36"/>
  <c r="P50" i="36"/>
  <c r="H51" i="36"/>
  <c r="L52" i="36"/>
  <c r="R54" i="33"/>
  <c r="D53" i="36"/>
  <c r="R53" i="36" s="1"/>
  <c r="N53" i="36"/>
  <c r="F54" i="36"/>
  <c r="P54" i="36"/>
  <c r="F58" i="36"/>
  <c r="P58" i="36"/>
  <c r="L59" i="36"/>
  <c r="D61" i="36"/>
  <c r="R62" i="33"/>
  <c r="D78" i="33"/>
  <c r="N61" i="36"/>
  <c r="N78" i="33"/>
  <c r="F62" i="36"/>
  <c r="P62" i="36"/>
  <c r="H63" i="36"/>
  <c r="L64" i="36"/>
  <c r="D65" i="36"/>
  <c r="R65" i="36" s="1"/>
  <c r="R66" i="33"/>
  <c r="N65" i="36"/>
  <c r="F66" i="36"/>
  <c r="P66" i="36"/>
  <c r="H67" i="36"/>
  <c r="L68" i="36"/>
  <c r="D69" i="36"/>
  <c r="R70" i="33"/>
  <c r="N69" i="36"/>
  <c r="F70" i="36"/>
  <c r="P70" i="36"/>
  <c r="H71" i="36"/>
  <c r="L72" i="36"/>
  <c r="D73" i="36"/>
  <c r="R74" i="33"/>
  <c r="N73" i="36"/>
  <c r="F74" i="36"/>
  <c r="P74" i="36"/>
  <c r="H75" i="36"/>
  <c r="L76" i="36"/>
  <c r="L97" i="33"/>
  <c r="L78" i="36"/>
  <c r="D79" i="36"/>
  <c r="R80" i="33"/>
  <c r="N79" i="36"/>
  <c r="F80" i="36"/>
  <c r="P80" i="36"/>
  <c r="H81" i="36"/>
  <c r="L82" i="36"/>
  <c r="R84" i="33"/>
  <c r="D83" i="36"/>
  <c r="N83" i="36"/>
  <c r="F84" i="36"/>
  <c r="P84" i="36"/>
  <c r="H85" i="36"/>
  <c r="L86" i="36"/>
  <c r="R86" i="36" s="1"/>
  <c r="D87" i="36"/>
  <c r="R88" i="33"/>
  <c r="N87" i="36"/>
  <c r="R87" i="36" s="1"/>
  <c r="F88" i="36"/>
  <c r="R88" i="36" s="1"/>
  <c r="P88" i="36"/>
  <c r="H89" i="36"/>
  <c r="L90" i="36"/>
  <c r="D91" i="36"/>
  <c r="R91" i="36" s="1"/>
  <c r="R92" i="33"/>
  <c r="N91" i="36"/>
  <c r="F92" i="36"/>
  <c r="P92" i="36"/>
  <c r="H93" i="36"/>
  <c r="L94" i="36"/>
  <c r="D95" i="36"/>
  <c r="R96" i="33"/>
  <c r="N95" i="36"/>
  <c r="D97" i="36"/>
  <c r="R98" i="33"/>
  <c r="D110" i="33"/>
  <c r="N110" i="33"/>
  <c r="N97" i="36"/>
  <c r="F98" i="36"/>
  <c r="P98" i="36"/>
  <c r="H99" i="36"/>
  <c r="L100" i="36"/>
  <c r="R102" i="33"/>
  <c r="D101" i="36"/>
  <c r="N101" i="36"/>
  <c r="F102" i="36"/>
  <c r="P102" i="36"/>
  <c r="H103" i="36"/>
  <c r="L104" i="36"/>
  <c r="D105" i="36"/>
  <c r="R106" i="33"/>
  <c r="N105" i="36"/>
  <c r="F106" i="36"/>
  <c r="P106" i="36"/>
  <c r="H107" i="36"/>
  <c r="L108" i="36"/>
  <c r="L110" i="36"/>
  <c r="L128" i="33"/>
  <c r="D111" i="36"/>
  <c r="R111" i="36" s="1"/>
  <c r="R112" i="33"/>
  <c r="N111" i="36"/>
  <c r="F112" i="36"/>
  <c r="P112" i="36"/>
  <c r="H113" i="36"/>
  <c r="L114" i="36"/>
  <c r="D115" i="36"/>
  <c r="R116" i="33"/>
  <c r="N115" i="36"/>
  <c r="F116" i="36"/>
  <c r="P116" i="36"/>
  <c r="H117" i="36"/>
  <c r="L118" i="36"/>
  <c r="D119" i="36"/>
  <c r="R120" i="33"/>
  <c r="N119" i="36"/>
  <c r="F120" i="36"/>
  <c r="R120" i="36" s="1"/>
  <c r="P120" i="36"/>
  <c r="H121" i="36"/>
  <c r="L122" i="36"/>
  <c r="D123" i="36"/>
  <c r="R123" i="36" s="1"/>
  <c r="R124" i="33"/>
  <c r="N123" i="36"/>
  <c r="F124" i="36"/>
  <c r="P124" i="36"/>
  <c r="H125" i="36"/>
  <c r="L126" i="36"/>
  <c r="L128" i="36"/>
  <c r="L146" i="33"/>
  <c r="D129" i="36"/>
  <c r="R130" i="33"/>
  <c r="N129" i="36"/>
  <c r="F130" i="36"/>
  <c r="P130" i="36"/>
  <c r="H131" i="36"/>
  <c r="L132" i="36"/>
  <c r="D133" i="36"/>
  <c r="R133" i="36" s="1"/>
  <c r="R134" i="33"/>
  <c r="N133" i="36"/>
  <c r="F134" i="36"/>
  <c r="P134" i="36"/>
  <c r="H135" i="36"/>
  <c r="L136" i="36"/>
  <c r="D137" i="36"/>
  <c r="R137" i="36" s="1"/>
  <c r="R138" i="33"/>
  <c r="N137" i="36"/>
  <c r="F138" i="36"/>
  <c r="P138" i="36"/>
  <c r="H139" i="36"/>
  <c r="L140" i="36"/>
  <c r="D141" i="36"/>
  <c r="R142" i="33"/>
  <c r="N141" i="36"/>
  <c r="F142" i="36"/>
  <c r="P142" i="36"/>
  <c r="H143" i="36"/>
  <c r="L144" i="36"/>
  <c r="L146" i="36"/>
  <c r="L162" i="33"/>
  <c r="R148" i="33"/>
  <c r="D147" i="36"/>
  <c r="N147" i="36"/>
  <c r="F148" i="36"/>
  <c r="P148" i="36"/>
  <c r="H149" i="36"/>
  <c r="L150" i="36"/>
  <c r="D151" i="36"/>
  <c r="R152" i="33"/>
  <c r="N151" i="36"/>
  <c r="F152" i="36"/>
  <c r="P152" i="36"/>
  <c r="H153" i="36"/>
  <c r="L154" i="36"/>
  <c r="D155" i="36"/>
  <c r="R156" i="33"/>
  <c r="N155" i="36"/>
  <c r="R155" i="36" s="1"/>
  <c r="F156" i="36"/>
  <c r="P156" i="36"/>
  <c r="H157" i="36"/>
  <c r="L158" i="36"/>
  <c r="D159" i="36"/>
  <c r="R160" i="33"/>
  <c r="N159" i="36"/>
  <c r="F160" i="36"/>
  <c r="P160" i="36"/>
  <c r="F162" i="36"/>
  <c r="P162" i="36"/>
  <c r="H163" i="36"/>
  <c r="H167" i="36"/>
  <c r="H170" i="33"/>
  <c r="L168" i="36"/>
  <c r="L170" i="36"/>
  <c r="L207" i="33"/>
  <c r="D171" i="36"/>
  <c r="R172" i="33"/>
  <c r="N171" i="36"/>
  <c r="F172" i="36"/>
  <c r="P172" i="36"/>
  <c r="H173" i="36"/>
  <c r="L174" i="36"/>
  <c r="D175" i="36"/>
  <c r="R176" i="33"/>
  <c r="N175" i="36"/>
  <c r="F176" i="36"/>
  <c r="P176" i="36"/>
  <c r="H177" i="36"/>
  <c r="L178" i="36"/>
  <c r="R180" i="33"/>
  <c r="D179" i="36"/>
  <c r="N179" i="36"/>
  <c r="F180" i="36"/>
  <c r="P180" i="36"/>
  <c r="R180" i="36" s="1"/>
  <c r="H181" i="36"/>
  <c r="L182" i="36"/>
  <c r="R184" i="33"/>
  <c r="D183" i="36"/>
  <c r="N183" i="36"/>
  <c r="F184" i="36"/>
  <c r="P184" i="36"/>
  <c r="H185" i="36"/>
  <c r="L186" i="36"/>
  <c r="R188" i="33"/>
  <c r="D187" i="36"/>
  <c r="N187" i="36"/>
  <c r="F188" i="36"/>
  <c r="P188" i="36"/>
  <c r="H189" i="36"/>
  <c r="L190" i="36"/>
  <c r="D191" i="36"/>
  <c r="R192" i="33"/>
  <c r="N191" i="36"/>
  <c r="F192" i="36"/>
  <c r="P192" i="36"/>
  <c r="H193" i="36"/>
  <c r="L194" i="36"/>
  <c r="R196" i="33"/>
  <c r="D195" i="36"/>
  <c r="N195" i="36"/>
  <c r="F196" i="36"/>
  <c r="P196" i="36"/>
  <c r="H197" i="36"/>
  <c r="L198" i="36"/>
  <c r="D199" i="36"/>
  <c r="R200" i="33"/>
  <c r="N199" i="36"/>
  <c r="F200" i="36"/>
  <c r="P200" i="36"/>
  <c r="H201" i="36"/>
  <c r="L202" i="36"/>
  <c r="D203" i="36"/>
  <c r="R204" i="33"/>
  <c r="N203" i="36"/>
  <c r="F204" i="36"/>
  <c r="P204" i="36"/>
  <c r="H205" i="36"/>
  <c r="H216" i="33"/>
  <c r="H207" i="36"/>
  <c r="L208" i="36"/>
  <c r="D209" i="36"/>
  <c r="R210" i="33"/>
  <c r="N209" i="36"/>
  <c r="F210" i="36"/>
  <c r="P210" i="36"/>
  <c r="H211" i="36"/>
  <c r="L212" i="36"/>
  <c r="R214" i="33"/>
  <c r="D213" i="36"/>
  <c r="N213" i="36"/>
  <c r="F214" i="36"/>
  <c r="P214" i="36"/>
  <c r="F216" i="36"/>
  <c r="P216" i="36"/>
  <c r="H220" i="33"/>
  <c r="H217" i="36"/>
  <c r="H219" i="36" s="1"/>
  <c r="L218" i="36"/>
  <c r="L220" i="36"/>
  <c r="L272" i="33"/>
  <c r="R222" i="33"/>
  <c r="D221" i="36"/>
  <c r="N221" i="36"/>
  <c r="F222" i="36"/>
  <c r="P222" i="36"/>
  <c r="H223" i="36"/>
  <c r="L224" i="36"/>
  <c r="R226" i="33"/>
  <c r="D225" i="36"/>
  <c r="N225" i="36"/>
  <c r="F226" i="36"/>
  <c r="R226" i="36" s="1"/>
  <c r="P226" i="36"/>
  <c r="H227" i="36"/>
  <c r="L228" i="36"/>
  <c r="D229" i="36"/>
  <c r="R230" i="33"/>
  <c r="N229" i="36"/>
  <c r="F230" i="36"/>
  <c r="P230" i="36"/>
  <c r="H231" i="36"/>
  <c r="L232" i="36"/>
  <c r="D233" i="36"/>
  <c r="R234" i="33"/>
  <c r="N233" i="36"/>
  <c r="F234" i="36"/>
  <c r="P234" i="36"/>
  <c r="H235" i="36"/>
  <c r="L236" i="36"/>
  <c r="D237" i="36"/>
  <c r="R238" i="33"/>
  <c r="N237" i="36"/>
  <c r="F238" i="36"/>
  <c r="P238" i="36"/>
  <c r="H239" i="36"/>
  <c r="L240" i="36"/>
  <c r="D241" i="36"/>
  <c r="R242" i="33"/>
  <c r="N241" i="36"/>
  <c r="F242" i="36"/>
  <c r="P242" i="36"/>
  <c r="H243" i="36"/>
  <c r="L244" i="36"/>
  <c r="D245" i="36"/>
  <c r="R246" i="33"/>
  <c r="N245" i="36"/>
  <c r="F246" i="36"/>
  <c r="P246" i="36"/>
  <c r="H247" i="36"/>
  <c r="L248" i="36"/>
  <c r="D249" i="36"/>
  <c r="R250" i="33"/>
  <c r="N249" i="36"/>
  <c r="F250" i="36"/>
  <c r="P250" i="36"/>
  <c r="H251" i="36"/>
  <c r="L252" i="36"/>
  <c r="D253" i="36"/>
  <c r="R254" i="33"/>
  <c r="N253" i="36"/>
  <c r="F254" i="36"/>
  <c r="P254" i="36"/>
  <c r="H255" i="36"/>
  <c r="L256" i="36"/>
  <c r="D257" i="36"/>
  <c r="R258" i="33"/>
  <c r="N257" i="36"/>
  <c r="F258" i="36"/>
  <c r="P258" i="36"/>
  <c r="H259" i="36"/>
  <c r="L260" i="36"/>
  <c r="D261" i="36"/>
  <c r="R261" i="36" s="1"/>
  <c r="R262" i="33"/>
  <c r="N261" i="36"/>
  <c r="F262" i="36"/>
  <c r="P262" i="36"/>
  <c r="H263" i="36"/>
  <c r="L264" i="36"/>
  <c r="D265" i="36"/>
  <c r="R266" i="33"/>
  <c r="L266" i="36"/>
  <c r="D267" i="36"/>
  <c r="R268" i="33"/>
  <c r="N267" i="36"/>
  <c r="F268" i="36"/>
  <c r="P268" i="36"/>
  <c r="H269" i="36"/>
  <c r="L270" i="36"/>
  <c r="L275" i="33"/>
  <c r="L272" i="36"/>
  <c r="D273" i="36"/>
  <c r="R274" i="33"/>
  <c r="N273" i="36"/>
  <c r="D289" i="33"/>
  <c r="D275" i="36"/>
  <c r="R276" i="33"/>
  <c r="N289" i="33"/>
  <c r="N275" i="36"/>
  <c r="F276" i="36"/>
  <c r="P276" i="36"/>
  <c r="H277" i="36"/>
  <c r="L278" i="36"/>
  <c r="D279" i="36"/>
  <c r="R280" i="33"/>
  <c r="N279" i="36"/>
  <c r="F280" i="36"/>
  <c r="P280" i="36"/>
  <c r="H281" i="36"/>
  <c r="L282" i="36"/>
  <c r="D283" i="36"/>
  <c r="R284" i="33"/>
  <c r="N283" i="36"/>
  <c r="R283" i="36" s="1"/>
  <c r="F284" i="36"/>
  <c r="P284" i="36"/>
  <c r="H285" i="36"/>
  <c r="L286" i="36"/>
  <c r="R288" i="33"/>
  <c r="D287" i="36"/>
  <c r="N287" i="36"/>
  <c r="D289" i="36"/>
  <c r="D320" i="33"/>
  <c r="R290" i="33"/>
  <c r="N320" i="33"/>
  <c r="N289" i="36"/>
  <c r="F290" i="36"/>
  <c r="P290" i="36"/>
  <c r="H291" i="36"/>
  <c r="L292" i="36"/>
  <c r="D293" i="36"/>
  <c r="R294" i="33"/>
  <c r="N293" i="36"/>
  <c r="F294" i="36"/>
  <c r="P294" i="36"/>
  <c r="H295" i="36"/>
  <c r="L296" i="36"/>
  <c r="D297" i="36"/>
  <c r="R297" i="36" s="1"/>
  <c r="R298" i="33"/>
  <c r="N297" i="36"/>
  <c r="F298" i="36"/>
  <c r="P298" i="36"/>
  <c r="H299" i="36"/>
  <c r="L300" i="36"/>
  <c r="D301" i="36"/>
  <c r="R302" i="33"/>
  <c r="N301" i="36"/>
  <c r="F302" i="36"/>
  <c r="P302" i="36"/>
  <c r="H303" i="36"/>
  <c r="L304" i="36"/>
  <c r="D305" i="36"/>
  <c r="R306" i="33"/>
  <c r="N305" i="36"/>
  <c r="F306" i="36"/>
  <c r="P306" i="36"/>
  <c r="H307" i="36"/>
  <c r="L308" i="36"/>
  <c r="D309" i="36"/>
  <c r="R310" i="33"/>
  <c r="N309" i="36"/>
  <c r="H310" i="36"/>
  <c r="L311" i="36"/>
  <c r="D312" i="36"/>
  <c r="R314" i="33"/>
  <c r="N312" i="36"/>
  <c r="F313" i="36"/>
  <c r="P313" i="36"/>
  <c r="H314" i="36"/>
  <c r="L315" i="36"/>
  <c r="F316" i="36"/>
  <c r="P316" i="36"/>
  <c r="H317" i="36"/>
  <c r="H319" i="36"/>
  <c r="H329" i="33"/>
  <c r="L320" i="36"/>
  <c r="D321" i="36"/>
  <c r="R323" i="33"/>
  <c r="N321" i="36"/>
  <c r="F322" i="36"/>
  <c r="P322" i="36"/>
  <c r="H323" i="36"/>
  <c r="L324" i="36"/>
  <c r="D325" i="36"/>
  <c r="R327" i="33"/>
  <c r="N325" i="36"/>
  <c r="F326" i="36"/>
  <c r="R326" i="36" s="1"/>
  <c r="P326" i="36"/>
  <c r="F328" i="36"/>
  <c r="F350" i="33"/>
  <c r="P328" i="36"/>
  <c r="P350" i="33"/>
  <c r="P353" i="33" s="1"/>
  <c r="H329" i="36"/>
  <c r="L330" i="36"/>
  <c r="D331" i="36"/>
  <c r="R333" i="33"/>
  <c r="N331" i="36"/>
  <c r="F332" i="36"/>
  <c r="P332" i="36"/>
  <c r="H333" i="36"/>
  <c r="L334" i="36"/>
  <c r="D335" i="36"/>
  <c r="R335" i="36" s="1"/>
  <c r="R337" i="33"/>
  <c r="N335" i="36"/>
  <c r="F336" i="36"/>
  <c r="P336" i="36"/>
  <c r="H337" i="36"/>
  <c r="L338" i="36"/>
  <c r="D339" i="36"/>
  <c r="R341" i="33"/>
  <c r="N339" i="36"/>
  <c r="F340" i="36"/>
  <c r="P340" i="36"/>
  <c r="H341" i="36"/>
  <c r="L342" i="36"/>
  <c r="D343" i="36"/>
  <c r="R345" i="33"/>
  <c r="N343" i="36"/>
  <c r="F344" i="36"/>
  <c r="P344" i="36"/>
  <c r="H345" i="36"/>
  <c r="L346" i="36"/>
  <c r="D347" i="36"/>
  <c r="R349" i="33"/>
  <c r="N347" i="36"/>
  <c r="D349" i="36"/>
  <c r="R349" i="36" s="1"/>
  <c r="R351" i="33"/>
  <c r="N349" i="36"/>
  <c r="F350" i="36"/>
  <c r="P350" i="36"/>
  <c r="F354" i="36"/>
  <c r="F375" i="33"/>
  <c r="H187" i="4"/>
  <c r="P375" i="33"/>
  <c r="P354" i="36"/>
  <c r="T187" i="4"/>
  <c r="H355" i="36"/>
  <c r="L356" i="36"/>
  <c r="D357" i="36"/>
  <c r="R359" i="33"/>
  <c r="N357" i="36"/>
  <c r="F358" i="36"/>
  <c r="P358" i="36"/>
  <c r="L359" i="36"/>
  <c r="D360" i="36"/>
  <c r="R363" i="33"/>
  <c r="N360" i="36"/>
  <c r="F361" i="36"/>
  <c r="P361" i="36"/>
  <c r="H362" i="36"/>
  <c r="L363" i="36"/>
  <c r="R367" i="33"/>
  <c r="D364" i="36"/>
  <c r="N364" i="36"/>
  <c r="F365" i="36"/>
  <c r="P365" i="36"/>
  <c r="H366" i="36"/>
  <c r="L367" i="36"/>
  <c r="D368" i="36"/>
  <c r="R371" i="33"/>
  <c r="N368" i="36"/>
  <c r="F369" i="36"/>
  <c r="P369" i="36"/>
  <c r="H370" i="36"/>
  <c r="L371" i="36"/>
  <c r="H379" i="36"/>
  <c r="H381" i="36" s="1"/>
  <c r="H383" i="36" s="1"/>
  <c r="H384" i="33"/>
  <c r="H386" i="33" s="1"/>
  <c r="D380" i="36"/>
  <c r="R383" i="33"/>
  <c r="F195" i="4"/>
  <c r="F251" i="4" s="1"/>
  <c r="N380" i="36"/>
  <c r="R195" i="4"/>
  <c r="R251" i="4" s="1"/>
  <c r="L389" i="36"/>
  <c r="L408" i="33"/>
  <c r="D390" i="36"/>
  <c r="R393" i="33"/>
  <c r="F189" i="4"/>
  <c r="F246" i="4" s="1"/>
  <c r="N390" i="36"/>
  <c r="R189" i="4"/>
  <c r="R246" i="4" s="1"/>
  <c r="F391" i="36"/>
  <c r="P391" i="36"/>
  <c r="H392" i="36"/>
  <c r="L393" i="36"/>
  <c r="D394" i="36"/>
  <c r="R397" i="33"/>
  <c r="N394" i="36"/>
  <c r="F395" i="36"/>
  <c r="R395" i="36" s="1"/>
  <c r="P395" i="36"/>
  <c r="H396" i="36"/>
  <c r="L397" i="36"/>
  <c r="D398" i="36"/>
  <c r="R401" i="33"/>
  <c r="N398" i="36"/>
  <c r="F399" i="36"/>
  <c r="P399" i="36"/>
  <c r="H400" i="36"/>
  <c r="L401" i="36"/>
  <c r="D402" i="36"/>
  <c r="R405" i="33"/>
  <c r="N402" i="36"/>
  <c r="F403" i="36"/>
  <c r="P403" i="36"/>
  <c r="H404" i="36"/>
  <c r="H408" i="36"/>
  <c r="H419" i="33"/>
  <c r="L409" i="36"/>
  <c r="D410" i="36"/>
  <c r="R413" i="33"/>
  <c r="N410" i="36"/>
  <c r="F411" i="36"/>
  <c r="R411" i="36" s="1"/>
  <c r="P411" i="36"/>
  <c r="H412" i="36"/>
  <c r="L413" i="36"/>
  <c r="D414" i="36"/>
  <c r="R417" i="33"/>
  <c r="N414" i="36"/>
  <c r="F415" i="36"/>
  <c r="P415" i="36"/>
  <c r="F420" i="36"/>
  <c r="F441" i="33"/>
  <c r="P441" i="33"/>
  <c r="P420" i="36"/>
  <c r="H421" i="36"/>
  <c r="J188" i="4"/>
  <c r="J245" i="4" s="1"/>
  <c r="L422" i="36"/>
  <c r="D423" i="36"/>
  <c r="R426" i="33"/>
  <c r="N423" i="36"/>
  <c r="F424" i="36"/>
  <c r="P424" i="36"/>
  <c r="H425" i="36"/>
  <c r="J190" i="4"/>
  <c r="J247" i="4" s="1"/>
  <c r="L426" i="36"/>
  <c r="D427" i="36"/>
  <c r="R430" i="33"/>
  <c r="N427" i="36"/>
  <c r="F428" i="36"/>
  <c r="P428" i="36"/>
  <c r="H429" i="36"/>
  <c r="L430" i="36"/>
  <c r="D431" i="36"/>
  <c r="R434" i="33"/>
  <c r="N431" i="36"/>
  <c r="F432" i="36"/>
  <c r="P432" i="36"/>
  <c r="H433" i="36"/>
  <c r="L434" i="36"/>
  <c r="D435" i="36"/>
  <c r="R438" i="33"/>
  <c r="N435" i="36"/>
  <c r="R435" i="36" s="1"/>
  <c r="F436" i="36"/>
  <c r="P436" i="36"/>
  <c r="H437" i="36"/>
  <c r="H441" i="36"/>
  <c r="J192" i="4"/>
  <c r="J248" i="4" s="1"/>
  <c r="H447" i="33"/>
  <c r="L442" i="36"/>
  <c r="D443" i="36"/>
  <c r="R446" i="33"/>
  <c r="N443" i="36"/>
  <c r="P196" i="4"/>
  <c r="P254" i="4" s="1"/>
  <c r="L451" i="36"/>
  <c r="L452" i="36" s="1"/>
  <c r="L455" i="36" s="1"/>
  <c r="L455" i="33"/>
  <c r="L458" i="33" s="1"/>
  <c r="H459" i="36"/>
  <c r="H491" i="33"/>
  <c r="L460" i="36"/>
  <c r="P193" i="4"/>
  <c r="P249" i="4" s="1"/>
  <c r="D461" i="36"/>
  <c r="R464" i="33"/>
  <c r="N461" i="36"/>
  <c r="F462" i="36"/>
  <c r="P462" i="36"/>
  <c r="H463" i="36"/>
  <c r="L464" i="36"/>
  <c r="D465" i="36"/>
  <c r="R465" i="36" s="1"/>
  <c r="R468" i="33"/>
  <c r="N465" i="36"/>
  <c r="F466" i="36"/>
  <c r="P466" i="36"/>
  <c r="H467" i="36"/>
  <c r="L468" i="36"/>
  <c r="D469" i="36"/>
  <c r="R472" i="33"/>
  <c r="N469" i="36"/>
  <c r="F470" i="36"/>
  <c r="P470" i="36"/>
  <c r="H471" i="36"/>
  <c r="L472" i="36"/>
  <c r="D473" i="36"/>
  <c r="R476" i="33"/>
  <c r="N473" i="36"/>
  <c r="F474" i="36"/>
  <c r="P474" i="36"/>
  <c r="H475" i="36"/>
  <c r="L476" i="36"/>
  <c r="R476" i="36" s="1"/>
  <c r="D477" i="36"/>
  <c r="R480" i="33"/>
  <c r="N477" i="36"/>
  <c r="F478" i="36"/>
  <c r="P478" i="36"/>
  <c r="H479" i="36"/>
  <c r="L480" i="36"/>
  <c r="D481" i="36"/>
  <c r="R484" i="33"/>
  <c r="N481" i="36"/>
  <c r="F482" i="36"/>
  <c r="P482" i="36"/>
  <c r="H483" i="36"/>
  <c r="L484" i="36"/>
  <c r="D485" i="36"/>
  <c r="R488" i="33"/>
  <c r="N485" i="36"/>
  <c r="F486" i="36"/>
  <c r="P486" i="36"/>
  <c r="R486" i="36" s="1"/>
  <c r="H487" i="36"/>
  <c r="H499" i="33"/>
  <c r="H502" i="33" s="1"/>
  <c r="H491" i="36"/>
  <c r="L492" i="36"/>
  <c r="D493" i="36"/>
  <c r="R496" i="33"/>
  <c r="N493" i="36"/>
  <c r="F494" i="36"/>
  <c r="P494" i="36"/>
  <c r="H495" i="36"/>
  <c r="F503" i="36"/>
  <c r="F511" i="33"/>
  <c r="F514" i="33" s="1"/>
  <c r="P503" i="36"/>
  <c r="R503" i="36" s="1"/>
  <c r="P511" i="33"/>
  <c r="P514" i="33" s="1"/>
  <c r="H504" i="36"/>
  <c r="J194" i="4"/>
  <c r="J250" i="4" s="1"/>
  <c r="L505" i="36"/>
  <c r="R509" i="33"/>
  <c r="D506" i="36"/>
  <c r="N506" i="36"/>
  <c r="F507" i="36"/>
  <c r="P507" i="36"/>
  <c r="H11" i="34"/>
  <c r="H22" i="34"/>
  <c r="H25" i="34" s="1"/>
  <c r="R17" i="34"/>
  <c r="N17" i="19" s="1"/>
  <c r="R21" i="34"/>
  <c r="N21" i="19" s="1"/>
  <c r="L36" i="34"/>
  <c r="L39" i="34" s="1"/>
  <c r="R30" i="34"/>
  <c r="N13" i="25" s="1"/>
  <c r="H46" i="34"/>
  <c r="D127" i="1"/>
  <c r="D130" i="1"/>
  <c r="AZ497" i="5"/>
  <c r="S33" i="3"/>
  <c r="U28" i="3"/>
  <c r="V314" i="4"/>
  <c r="BB112" i="5"/>
  <c r="AE113" i="5"/>
  <c r="AZ113" i="5"/>
  <c r="BB142" i="5"/>
  <c r="AE151" i="5"/>
  <c r="BD189" i="5"/>
  <c r="BD191" i="5" s="1"/>
  <c r="G191" i="5"/>
  <c r="BJ190" i="5"/>
  <c r="BL216" i="5"/>
  <c r="BJ257" i="5"/>
  <c r="BL257" i="5" s="1"/>
  <c r="BB297" i="5"/>
  <c r="I335" i="5"/>
  <c r="BH333" i="5"/>
  <c r="BJ338" i="5"/>
  <c r="D152" i="4"/>
  <c r="D154" i="4" s="1"/>
  <c r="D156" i="4" s="1"/>
  <c r="N161" i="4"/>
  <c r="F163" i="4"/>
  <c r="N163" i="4" s="1"/>
  <c r="L122" i="1"/>
  <c r="N122" i="1" s="1"/>
  <c r="N123" i="1" s="1"/>
  <c r="S30" i="3"/>
  <c r="I33" i="3"/>
  <c r="I35" i="3" s="1"/>
  <c r="AF21" i="4"/>
  <c r="AD21" i="4"/>
  <c r="V58" i="4"/>
  <c r="V227" i="4"/>
  <c r="V252" i="4" s="1"/>
  <c r="V308" i="4"/>
  <c r="AZ52" i="5"/>
  <c r="BF52" i="5"/>
  <c r="BD95" i="5"/>
  <c r="M133" i="5"/>
  <c r="U133" i="5"/>
  <c r="AK133" i="5"/>
  <c r="AS133" i="5"/>
  <c r="BD142" i="5"/>
  <c r="BH177" i="5"/>
  <c r="BD200" i="5"/>
  <c r="E220" i="5"/>
  <c r="I323" i="5"/>
  <c r="BH314" i="5"/>
  <c r="AG323" i="5"/>
  <c r="BJ357" i="5"/>
  <c r="BL357" i="5" s="1"/>
  <c r="G382" i="5"/>
  <c r="BD399" i="5"/>
  <c r="G400" i="5"/>
  <c r="W400" i="5"/>
  <c r="AM400" i="5"/>
  <c r="BJ430" i="5"/>
  <c r="BL430" i="5" s="1"/>
  <c r="BJ436" i="5"/>
  <c r="BL436" i="5" s="1"/>
  <c r="AZ518" i="5"/>
  <c r="AZ541" i="5" s="1"/>
  <c r="AT541" i="5"/>
  <c r="L45" i="16"/>
  <c r="B99" i="16"/>
  <c r="B68" i="17"/>
  <c r="L123" i="1"/>
  <c r="K77" i="35"/>
  <c r="K77" i="2"/>
  <c r="K79" i="2" s="1"/>
  <c r="K88" i="2" s="1"/>
  <c r="K12" i="3"/>
  <c r="K14" i="3" s="1"/>
  <c r="S77" i="35"/>
  <c r="U77" i="35" s="1"/>
  <c r="S77" i="2"/>
  <c r="U75" i="2"/>
  <c r="M14" i="3"/>
  <c r="D53" i="4"/>
  <c r="D63" i="4" s="1"/>
  <c r="V115" i="4"/>
  <c r="D136" i="4"/>
  <c r="D175" i="4" s="1"/>
  <c r="F162" i="4"/>
  <c r="T182" i="4"/>
  <c r="D277" i="4"/>
  <c r="J299" i="4"/>
  <c r="T297" i="4"/>
  <c r="BF45" i="5"/>
  <c r="BJ16" i="5"/>
  <c r="BL16" i="5" s="1"/>
  <c r="BJ18" i="5"/>
  <c r="BL18" i="5" s="1"/>
  <c r="BJ32" i="5"/>
  <c r="BL32" i="5" s="1"/>
  <c r="BJ34" i="5"/>
  <c r="BL34" i="5" s="1"/>
  <c r="BJ54" i="5"/>
  <c r="BL54" i="5" s="1"/>
  <c r="BJ61" i="5"/>
  <c r="BL61" i="5" s="1"/>
  <c r="AA71" i="5"/>
  <c r="BF62" i="5"/>
  <c r="G71" i="5"/>
  <c r="BD70" i="5"/>
  <c r="O71" i="5"/>
  <c r="AM71" i="5"/>
  <c r="AT71" i="5"/>
  <c r="AE71" i="5"/>
  <c r="BD77" i="5"/>
  <c r="BJ81" i="5"/>
  <c r="BL81" i="5" s="1"/>
  <c r="C84" i="5"/>
  <c r="AZ82" i="5"/>
  <c r="K84" i="5"/>
  <c r="S84" i="5"/>
  <c r="AA84" i="5"/>
  <c r="AI84" i="5"/>
  <c r="BF82" i="5"/>
  <c r="BF95" i="5"/>
  <c r="BJ93" i="5"/>
  <c r="BJ107" i="5"/>
  <c r="BF112" i="5"/>
  <c r="BF113" i="5" s="1"/>
  <c r="BJ120" i="5"/>
  <c r="BL120" i="5" s="1"/>
  <c r="BD122" i="5"/>
  <c r="W133" i="5"/>
  <c r="BL126" i="5"/>
  <c r="AK178" i="5"/>
  <c r="AK229" i="5" s="1"/>
  <c r="BF177" i="5"/>
  <c r="BL205" i="5"/>
  <c r="AZ208" i="5"/>
  <c r="G220" i="5"/>
  <c r="BD297" i="5"/>
  <c r="BJ268" i="5"/>
  <c r="BL268" i="5"/>
  <c r="BJ285" i="5"/>
  <c r="BL285" i="5" s="1"/>
  <c r="BJ311" i="5"/>
  <c r="BL311" i="5" s="1"/>
  <c r="BJ321" i="5"/>
  <c r="BL321" i="5" s="1"/>
  <c r="C323" i="5"/>
  <c r="S323" i="5"/>
  <c r="AA323" i="5"/>
  <c r="BB322" i="5"/>
  <c r="AQ323" i="5"/>
  <c r="AX323" i="5"/>
  <c r="BF322" i="5"/>
  <c r="BF328" i="5"/>
  <c r="Q382" i="5"/>
  <c r="AG382" i="5"/>
  <c r="AV382" i="5"/>
  <c r="BJ377" i="5"/>
  <c r="BJ386" i="5"/>
  <c r="BL386" i="5" s="1"/>
  <c r="BJ392" i="5"/>
  <c r="BL392" i="5" s="1"/>
  <c r="AZ413" i="5"/>
  <c r="O427" i="5"/>
  <c r="AM427" i="5"/>
  <c r="G427" i="5"/>
  <c r="BJ466" i="5"/>
  <c r="BL466" i="5" s="1"/>
  <c r="C468" i="5"/>
  <c r="K468" i="5"/>
  <c r="AA468" i="5"/>
  <c r="AA477" i="5" s="1"/>
  <c r="AQ468" i="5"/>
  <c r="AQ477" i="5" s="1"/>
  <c r="BF467" i="5"/>
  <c r="BB474" i="5"/>
  <c r="BJ494" i="5"/>
  <c r="BJ495" i="5" s="1"/>
  <c r="J14" i="6"/>
  <c r="AG325" i="4" s="1"/>
  <c r="AG16" i="4" s="1"/>
  <c r="AG21" i="4" s="1"/>
  <c r="L11" i="6"/>
  <c r="L14" i="6" s="1"/>
  <c r="AO260" i="4"/>
  <c r="O36" i="8"/>
  <c r="O38" i="8" s="1"/>
  <c r="B68" i="15"/>
  <c r="L89" i="16"/>
  <c r="L97" i="16"/>
  <c r="B51" i="17"/>
  <c r="L49" i="17"/>
  <c r="L67" i="17"/>
  <c r="B84" i="17"/>
  <c r="B164" i="18"/>
  <c r="B167" i="18" s="1"/>
  <c r="B87" i="15"/>
  <c r="B22" i="19"/>
  <c r="B25" i="19" s="1"/>
  <c r="B38" i="23"/>
  <c r="J77" i="36"/>
  <c r="K33" i="3"/>
  <c r="K25" i="3"/>
  <c r="U23" i="3"/>
  <c r="U33" i="3" s="1"/>
  <c r="W33" i="3" s="1"/>
  <c r="V163" i="4"/>
  <c r="BJ83" i="5"/>
  <c r="BL111" i="5"/>
  <c r="I220" i="5"/>
  <c r="BH204" i="5"/>
  <c r="AG220" i="5"/>
  <c r="AZ304" i="5"/>
  <c r="BL331" i="5"/>
  <c r="I364" i="5"/>
  <c r="BH363" i="5"/>
  <c r="BH364" i="5" s="1"/>
  <c r="AZ363" i="5"/>
  <c r="BF426" i="5"/>
  <c r="AZ432" i="5"/>
  <c r="L97" i="17"/>
  <c r="B71" i="21"/>
  <c r="J15" i="31"/>
  <c r="M70" i="35"/>
  <c r="O78" i="35"/>
  <c r="P298" i="4"/>
  <c r="O13" i="3"/>
  <c r="U76" i="2"/>
  <c r="D77" i="4"/>
  <c r="D90" i="4"/>
  <c r="D92" i="4" s="1"/>
  <c r="N255" i="4"/>
  <c r="N260" i="4" s="1"/>
  <c r="N310" i="4"/>
  <c r="BJ29" i="5"/>
  <c r="BL29" i="5" s="1"/>
  <c r="BL66" i="5"/>
  <c r="BL79" i="5"/>
  <c r="BJ90" i="5"/>
  <c r="BL90" i="5" s="1"/>
  <c r="BL93" i="5"/>
  <c r="E133" i="5"/>
  <c r="AC133" i="5"/>
  <c r="BL162" i="5"/>
  <c r="AZ164" i="5"/>
  <c r="BB189" i="5"/>
  <c r="BJ213" i="5"/>
  <c r="BL213" i="5" s="1"/>
  <c r="AE220" i="5"/>
  <c r="BJ249" i="5"/>
  <c r="BJ251" i="5" s="1"/>
  <c r="BJ253" i="5" s="1"/>
  <c r="BH297" i="5"/>
  <c r="Q323" i="5"/>
  <c r="AO323" i="5"/>
  <c r="BJ343" i="5"/>
  <c r="BL343" i="5" s="1"/>
  <c r="BJ350" i="5"/>
  <c r="BL350" i="5" s="1"/>
  <c r="BF363" i="5"/>
  <c r="BF364" i="5" s="1"/>
  <c r="BD369" i="5"/>
  <c r="BJ369" i="5" s="1"/>
  <c r="AT382" i="5"/>
  <c r="BJ376" i="5"/>
  <c r="BL377" i="5"/>
  <c r="AZ379" i="5"/>
  <c r="AE400" i="5"/>
  <c r="AZ426" i="5"/>
  <c r="I477" i="5"/>
  <c r="AT577" i="5"/>
  <c r="AT580" i="5" s="1"/>
  <c r="AT588" i="5" s="1"/>
  <c r="AT597" i="5" s="1"/>
  <c r="B41" i="9"/>
  <c r="B44" i="9" s="1"/>
  <c r="D141" i="4"/>
  <c r="D180" i="4" s="1"/>
  <c r="L80" i="15"/>
  <c r="B51" i="16"/>
  <c r="B271" i="36"/>
  <c r="J51" i="1"/>
  <c r="F123" i="1"/>
  <c r="O76" i="35"/>
  <c r="O79" i="35" s="1"/>
  <c r="P296" i="4"/>
  <c r="U74" i="2"/>
  <c r="O11" i="3"/>
  <c r="C14" i="3"/>
  <c r="S12" i="3"/>
  <c r="U32" i="3"/>
  <c r="N309" i="4"/>
  <c r="V309" i="4" s="1"/>
  <c r="M34" i="3"/>
  <c r="M35" i="3" s="1"/>
  <c r="M25" i="3"/>
  <c r="U24" i="3"/>
  <c r="U25" i="3" s="1"/>
  <c r="U27" i="3"/>
  <c r="U30" i="3" s="1"/>
  <c r="S32" i="3"/>
  <c r="S35" i="3" s="1"/>
  <c r="Q34" i="3"/>
  <c r="Q35" i="3" s="1"/>
  <c r="J82" i="4"/>
  <c r="N79" i="4"/>
  <c r="N80" i="4" s="1"/>
  <c r="V105" i="4"/>
  <c r="H164" i="4"/>
  <c r="H167" i="4" s="1"/>
  <c r="D164" i="4"/>
  <c r="D197" i="4"/>
  <c r="D244" i="4"/>
  <c r="D255" i="4" s="1"/>
  <c r="D260" i="4" s="1"/>
  <c r="D261" i="4" s="1"/>
  <c r="N277" i="4"/>
  <c r="D293" i="4"/>
  <c r="D310" i="4"/>
  <c r="F321" i="4"/>
  <c r="AA325" i="4" s="1"/>
  <c r="AA16" i="4" s="1"/>
  <c r="AA12" i="4" s="1"/>
  <c r="AA21" i="4" s="1"/>
  <c r="BJ17" i="5"/>
  <c r="BL17" i="5" s="1"/>
  <c r="BJ21" i="5"/>
  <c r="BL21" i="5" s="1"/>
  <c r="BJ37" i="5"/>
  <c r="BL37" i="5" s="1"/>
  <c r="BL40" i="5"/>
  <c r="BJ55" i="5"/>
  <c r="BL55" i="5" s="1"/>
  <c r="BL63" i="5"/>
  <c r="AZ84" i="5"/>
  <c r="BL83" i="5"/>
  <c r="BD100" i="5"/>
  <c r="BJ105" i="5"/>
  <c r="BL105" i="5" s="1"/>
  <c r="BH113" i="5"/>
  <c r="I133" i="5"/>
  <c r="Y133" i="5"/>
  <c r="AO133" i="5"/>
  <c r="BD125" i="5"/>
  <c r="O151" i="5"/>
  <c r="O154" i="5" s="1"/>
  <c r="AT151" i="5"/>
  <c r="BJ143" i="5"/>
  <c r="BL143" i="5" s="1"/>
  <c r="BJ159" i="5"/>
  <c r="BL160" i="5"/>
  <c r="BB161" i="5"/>
  <c r="AE178" i="5"/>
  <c r="BJ173" i="5"/>
  <c r="BL173" i="5" s="1"/>
  <c r="BD177" i="5"/>
  <c r="BL190" i="5"/>
  <c r="BJ199" i="5"/>
  <c r="BL199" i="5" s="1"/>
  <c r="AM220" i="5"/>
  <c r="O220" i="5"/>
  <c r="W220" i="5"/>
  <c r="AO220" i="5"/>
  <c r="BL225" i="5"/>
  <c r="BF297" i="5"/>
  <c r="BJ271" i="5"/>
  <c r="BL271" i="5" s="1"/>
  <c r="BJ281" i="5"/>
  <c r="BL281" i="5" s="1"/>
  <c r="BJ296" i="5"/>
  <c r="BL296" i="5" s="1"/>
  <c r="BJ307" i="5"/>
  <c r="BL307" i="5" s="1"/>
  <c r="BD333" i="5"/>
  <c r="O335" i="5"/>
  <c r="AE335" i="5"/>
  <c r="BB333" i="5"/>
  <c r="AT335" i="5"/>
  <c r="G335" i="5"/>
  <c r="BL340" i="5"/>
  <c r="BH346" i="5"/>
  <c r="BJ344" i="5"/>
  <c r="BJ355" i="5"/>
  <c r="BL355" i="5" s="1"/>
  <c r="BJ368" i="5"/>
  <c r="BL368" i="5" s="1"/>
  <c r="BF372" i="5"/>
  <c r="BL373" i="5"/>
  <c r="BD375" i="5"/>
  <c r="BD382" i="5" s="1"/>
  <c r="BF387" i="5"/>
  <c r="BJ390" i="5"/>
  <c r="BL390" i="5" s="1"/>
  <c r="AZ391" i="5"/>
  <c r="BJ393" i="5"/>
  <c r="BL393" i="5" s="1"/>
  <c r="BL412" i="5"/>
  <c r="BB426" i="5"/>
  <c r="AX427" i="5"/>
  <c r="BJ438" i="5"/>
  <c r="BJ447" i="5"/>
  <c r="BL447" i="5" s="1"/>
  <c r="BF448" i="5"/>
  <c r="AZ452" i="5"/>
  <c r="BF452" i="5"/>
  <c r="BJ458" i="5"/>
  <c r="BL458" i="5" s="1"/>
  <c r="BL459" i="5"/>
  <c r="BL462" i="5"/>
  <c r="G468" i="5"/>
  <c r="BL505" i="5"/>
  <c r="K580" i="5"/>
  <c r="K588" i="5" s="1"/>
  <c r="K597" i="5" s="1"/>
  <c r="AA580" i="5"/>
  <c r="AA588" i="5" s="1"/>
  <c r="AA597" i="5" s="1"/>
  <c r="AQ580" i="5"/>
  <c r="AQ588" i="5" s="1"/>
  <c r="AQ597" i="5" s="1"/>
  <c r="L47" i="10"/>
  <c r="B40" i="15"/>
  <c r="B56" i="15"/>
  <c r="B152" i="16"/>
  <c r="B165" i="16" s="1"/>
  <c r="Q11" i="3"/>
  <c r="Q76" i="35"/>
  <c r="Q13" i="3"/>
  <c r="U13" i="3" s="1"/>
  <c r="Q78" i="35"/>
  <c r="Q77" i="2"/>
  <c r="U20" i="3"/>
  <c r="K34" i="3"/>
  <c r="K35" i="3" s="1"/>
  <c r="AI21" i="4"/>
  <c r="AM21" i="4"/>
  <c r="Y21" i="4"/>
  <c r="AJ21" i="4"/>
  <c r="F82" i="4"/>
  <c r="D109" i="4"/>
  <c r="D119" i="4" s="1"/>
  <c r="N114" i="4"/>
  <c r="V114" i="4" s="1"/>
  <c r="D125" i="4"/>
  <c r="D127" i="4" s="1"/>
  <c r="R182" i="4"/>
  <c r="N297" i="4"/>
  <c r="L298" i="4"/>
  <c r="L299" i="4" s="1"/>
  <c r="L325" i="4" s="1"/>
  <c r="V302" i="4"/>
  <c r="J310" i="4"/>
  <c r="R310" i="4"/>
  <c r="AP19" i="4" s="1"/>
  <c r="AT19" i="4" s="1"/>
  <c r="AU19" i="4" s="1"/>
  <c r="V312" i="4"/>
  <c r="V315" i="4" s="1"/>
  <c r="BJ19" i="5"/>
  <c r="BL19" i="5" s="1"/>
  <c r="BJ27" i="5"/>
  <c r="BL27" i="5" s="1"/>
  <c r="BJ35" i="5"/>
  <c r="BL35" i="5" s="1"/>
  <c r="BJ43" i="5"/>
  <c r="BL43" i="5" s="1"/>
  <c r="BJ50" i="5"/>
  <c r="BL50" i="5" s="1"/>
  <c r="BJ53" i="5"/>
  <c r="BL53" i="5" s="1"/>
  <c r="BD62" i="5"/>
  <c r="AZ67" i="5"/>
  <c r="AZ70" i="5"/>
  <c r="C71" i="5"/>
  <c r="BJ74" i="5"/>
  <c r="BD82" i="5"/>
  <c r="BD84" i="5" s="1"/>
  <c r="BJ88" i="5"/>
  <c r="BL88" i="5" s="1"/>
  <c r="BL107" i="5"/>
  <c r="AZ122" i="5"/>
  <c r="G133" i="5"/>
  <c r="AM133" i="5"/>
  <c r="BJ127" i="5"/>
  <c r="BL127" i="5" s="1"/>
  <c r="BJ131" i="5"/>
  <c r="BL131" i="5" s="1"/>
  <c r="AZ138" i="5"/>
  <c r="BJ139" i="5"/>
  <c r="BL139" i="5" s="1"/>
  <c r="BJ141" i="5"/>
  <c r="BL141" i="5" s="1"/>
  <c r="AZ142" i="5"/>
  <c r="BJ149" i="5"/>
  <c r="BL149" i="5" s="1"/>
  <c r="BL170" i="5"/>
  <c r="AZ177" i="5"/>
  <c r="BB177" i="5"/>
  <c r="E178" i="5"/>
  <c r="BL183" i="5"/>
  <c r="C191" i="5"/>
  <c r="AZ189" i="5"/>
  <c r="K191" i="5"/>
  <c r="S191" i="5"/>
  <c r="AA191" i="5"/>
  <c r="AI191" i="5"/>
  <c r="AQ191" i="5"/>
  <c r="AX191" i="5"/>
  <c r="BF189" i="5"/>
  <c r="BF191" i="5" s="1"/>
  <c r="BH200" i="5"/>
  <c r="BF204" i="5"/>
  <c r="M220" i="5"/>
  <c r="C220" i="5"/>
  <c r="C229" i="5" s="1"/>
  <c r="BF219" i="5"/>
  <c r="K220" i="5"/>
  <c r="S220" i="5"/>
  <c r="AA220" i="5"/>
  <c r="AA229" i="5" s="1"/>
  <c r="AS220" i="5"/>
  <c r="BJ223" i="5"/>
  <c r="AZ238" i="5"/>
  <c r="AZ258" i="5"/>
  <c r="BH258" i="5"/>
  <c r="BH260" i="5" s="1"/>
  <c r="BJ272" i="5"/>
  <c r="BL272" i="5" s="1"/>
  <c r="BL278" i="5"/>
  <c r="BJ288" i="5"/>
  <c r="BL288" i="5" s="1"/>
  <c r="BL294" i="5"/>
  <c r="BJ302" i="5"/>
  <c r="BL302" i="5" s="1"/>
  <c r="BJ317" i="5"/>
  <c r="BL317" i="5" s="1"/>
  <c r="AE323" i="5"/>
  <c r="BJ329" i="5"/>
  <c r="BL329" i="5" s="1"/>
  <c r="C335" i="5"/>
  <c r="BF333" i="5"/>
  <c r="BF335" i="5" s="1"/>
  <c r="K335" i="5"/>
  <c r="S335" i="5"/>
  <c r="AA335" i="5"/>
  <c r="AI335" i="5"/>
  <c r="AI403" i="5" s="1"/>
  <c r="AQ335" i="5"/>
  <c r="AX335" i="5"/>
  <c r="BH351" i="5"/>
  <c r="BJ361" i="5"/>
  <c r="BL361" i="5" s="1"/>
  <c r="AE382" i="5"/>
  <c r="BH387" i="5"/>
  <c r="BF391" i="5"/>
  <c r="AZ399" i="5"/>
  <c r="BF399" i="5"/>
  <c r="AZ410" i="5"/>
  <c r="BH413" i="5"/>
  <c r="BJ416" i="5"/>
  <c r="BL416" i="5" s="1"/>
  <c r="BJ418" i="5"/>
  <c r="BL418" i="5" s="1"/>
  <c r="BJ424" i="5"/>
  <c r="BL424" i="5" s="1"/>
  <c r="AZ437" i="5"/>
  <c r="AZ443" i="5"/>
  <c r="BJ454" i="5"/>
  <c r="BL454" i="5" s="1"/>
  <c r="BB456" i="5"/>
  <c r="AZ467" i="5"/>
  <c r="E468" i="5"/>
  <c r="M468" i="5"/>
  <c r="U468" i="5"/>
  <c r="AC468" i="5"/>
  <c r="AK468" i="5"/>
  <c r="AK477" i="5" s="1"/>
  <c r="AS468" i="5"/>
  <c r="AS477" i="5" s="1"/>
  <c r="AZ474" i="5"/>
  <c r="AZ487" i="5"/>
  <c r="BJ503" i="5"/>
  <c r="AZ578" i="5"/>
  <c r="B84" i="16"/>
  <c r="B29" i="17"/>
  <c r="B69" i="23"/>
  <c r="B72" i="23" s="1"/>
  <c r="C73" i="35"/>
  <c r="C81" i="35" s="1"/>
  <c r="C90" i="35" s="1"/>
  <c r="J40" i="36"/>
  <c r="R140" i="36"/>
  <c r="R223" i="36"/>
  <c r="C69" i="2"/>
  <c r="C71" i="2" s="1"/>
  <c r="C79" i="2" s="1"/>
  <c r="C88" i="2" s="1"/>
  <c r="M12" i="3"/>
  <c r="D80" i="4"/>
  <c r="V161" i="4"/>
  <c r="N197" i="4"/>
  <c r="N199" i="4" s="1"/>
  <c r="P297" i="4"/>
  <c r="V307" i="4"/>
  <c r="AZ45" i="5"/>
  <c r="BH45" i="5"/>
  <c r="BL20" i="5"/>
  <c r="BJ58" i="5"/>
  <c r="BL58" i="5" s="1"/>
  <c r="BJ65" i="5"/>
  <c r="BL65" i="5" s="1"/>
  <c r="AC71" i="5"/>
  <c r="BJ68" i="5"/>
  <c r="BL68" i="5" s="1"/>
  <c r="E71" i="5"/>
  <c r="E154" i="5" s="1"/>
  <c r="M71" i="5"/>
  <c r="U71" i="5"/>
  <c r="AK71" i="5"/>
  <c r="AS71" i="5"/>
  <c r="BF70" i="5"/>
  <c r="BJ78" i="5"/>
  <c r="BL78" i="5" s="1"/>
  <c r="BB95" i="5"/>
  <c r="BJ87" i="5"/>
  <c r="BL89" i="5"/>
  <c r="BJ110" i="5"/>
  <c r="BL110" i="5" s="1"/>
  <c r="BJ117" i="5"/>
  <c r="BL117" i="5" s="1"/>
  <c r="BH125" i="5"/>
  <c r="Q133" i="5"/>
  <c r="AV133" i="5"/>
  <c r="AV154" i="5" s="1"/>
  <c r="AZ125" i="5"/>
  <c r="BD129" i="5"/>
  <c r="BJ136" i="5"/>
  <c r="BL136" i="5" s="1"/>
  <c r="BJ144" i="5"/>
  <c r="BL144" i="5" s="1"/>
  <c r="BJ147" i="5"/>
  <c r="BL147" i="5" s="1"/>
  <c r="C151" i="5"/>
  <c r="BF150" i="5"/>
  <c r="K151" i="5"/>
  <c r="BD150" i="5"/>
  <c r="AA151" i="5"/>
  <c r="AI151" i="5"/>
  <c r="AQ151" i="5"/>
  <c r="AX151" i="5"/>
  <c r="BB150" i="5"/>
  <c r="BH161" i="5"/>
  <c r="BJ163" i="5"/>
  <c r="BL163" i="5" s="1"/>
  <c r="BH164" i="5"/>
  <c r="BJ168" i="5"/>
  <c r="BL168" i="5" s="1"/>
  <c r="BJ175" i="5"/>
  <c r="BL175" i="5" s="1"/>
  <c r="U178" i="5"/>
  <c r="U229" i="5" s="1"/>
  <c r="AZ184" i="5"/>
  <c r="BH184" i="5"/>
  <c r="BJ187" i="5"/>
  <c r="BL187" i="5" s="1"/>
  <c r="BJ201" i="5"/>
  <c r="BL201" i="5" s="1"/>
  <c r="BF208" i="5"/>
  <c r="BJ209" i="5"/>
  <c r="BL209" i="5" s="1"/>
  <c r="BJ211" i="5"/>
  <c r="BL211" i="5" s="1"/>
  <c r="BJ217" i="5"/>
  <c r="BL217" i="5" s="1"/>
  <c r="S244" i="5"/>
  <c r="AZ251" i="5"/>
  <c r="BJ267" i="5"/>
  <c r="BJ276" i="5"/>
  <c r="BL276" i="5" s="1"/>
  <c r="BJ283" i="5"/>
  <c r="BL283" i="5" s="1"/>
  <c r="BL289" i="5"/>
  <c r="BJ292" i="5"/>
  <c r="BL292" i="5" s="1"/>
  <c r="BJ309" i="5"/>
  <c r="BL309" i="5" s="1"/>
  <c r="BD314" i="5"/>
  <c r="AZ319" i="5"/>
  <c r="BH322" i="5"/>
  <c r="BJ327" i="5"/>
  <c r="BL327" i="5" s="1"/>
  <c r="AZ346" i="5"/>
  <c r="BJ342" i="5"/>
  <c r="BL342" i="5" s="1"/>
  <c r="G364" i="5"/>
  <c r="BD363" i="5"/>
  <c r="BD364" i="5" s="1"/>
  <c r="AE364" i="5"/>
  <c r="BB363" i="5"/>
  <c r="W382" i="5"/>
  <c r="BF379" i="5"/>
  <c r="BJ379" i="5" s="1"/>
  <c r="BJ380" i="5"/>
  <c r="BL380" i="5" s="1"/>
  <c r="BJ388" i="5"/>
  <c r="BL388" i="5" s="1"/>
  <c r="BJ397" i="5"/>
  <c r="BL397" i="5" s="1"/>
  <c r="BL409" i="5"/>
  <c r="BF413" i="5"/>
  <c r="BL423" i="5"/>
  <c r="BD426" i="5"/>
  <c r="AE427" i="5"/>
  <c r="BF432" i="5"/>
  <c r="BJ433" i="5"/>
  <c r="BL433" i="5" s="1"/>
  <c r="BJ435" i="5"/>
  <c r="BL435" i="5" s="1"/>
  <c r="G439" i="5"/>
  <c r="O439" i="5"/>
  <c r="W439" i="5"/>
  <c r="AE439" i="5"/>
  <c r="BB437" i="5"/>
  <c r="AM439" i="5"/>
  <c r="AT439" i="5"/>
  <c r="AZ456" i="5"/>
  <c r="BJ457" i="5"/>
  <c r="BL457" i="5" s="1"/>
  <c r="BJ463" i="5"/>
  <c r="BL463" i="5" s="1"/>
  <c r="BJ465" i="5"/>
  <c r="BL465" i="5" s="1"/>
  <c r="W468" i="5"/>
  <c r="BB467" i="5"/>
  <c r="AE468" i="5"/>
  <c r="BF474" i="5"/>
  <c r="C477" i="5"/>
  <c r="AZ574" i="5"/>
  <c r="AZ577" i="5"/>
  <c r="C580" i="5"/>
  <c r="C588" i="5" s="1"/>
  <c r="C597" i="5" s="1"/>
  <c r="AI580" i="5"/>
  <c r="AI588" i="5" s="1"/>
  <c r="AI597" i="5" s="1"/>
  <c r="I38" i="8"/>
  <c r="Q38" i="8"/>
  <c r="B75" i="10"/>
  <c r="B77" i="10" s="1"/>
  <c r="B84" i="15"/>
  <c r="L76" i="17"/>
  <c r="B100" i="17"/>
  <c r="B103" i="17" s="1"/>
  <c r="L94" i="17"/>
  <c r="B89" i="22"/>
  <c r="J92" i="22"/>
  <c r="L11" i="30"/>
  <c r="L13" i="30" s="1"/>
  <c r="J13" i="30"/>
  <c r="J33" i="30" s="1"/>
  <c r="B145" i="36"/>
  <c r="B40" i="17"/>
  <c r="B113" i="22"/>
  <c r="B121" i="22" s="1"/>
  <c r="L92" i="24"/>
  <c r="L99" i="24" s="1"/>
  <c r="B353" i="33"/>
  <c r="B378" i="33" s="1"/>
  <c r="M33" i="35"/>
  <c r="U31" i="35"/>
  <c r="C51" i="35"/>
  <c r="B96" i="36"/>
  <c r="B109" i="36"/>
  <c r="B12" i="19"/>
  <c r="B121" i="24"/>
  <c r="B124" i="24" s="1"/>
  <c r="L10" i="28"/>
  <c r="L11" i="28" s="1"/>
  <c r="J11" i="28"/>
  <c r="L15" i="31"/>
  <c r="R115" i="36"/>
  <c r="R246" i="36"/>
  <c r="B50" i="34"/>
  <c r="M72" i="35"/>
  <c r="R52" i="36"/>
  <c r="B169" i="36"/>
  <c r="B206" i="36" s="1"/>
  <c r="J215" i="36"/>
  <c r="J288" i="36"/>
  <c r="J353" i="33"/>
  <c r="J378" i="33" s="1"/>
  <c r="B450" i="33"/>
  <c r="M71" i="35"/>
  <c r="M67" i="35"/>
  <c r="K79" i="35"/>
  <c r="U78" i="35"/>
  <c r="R39" i="36"/>
  <c r="J206" i="36"/>
  <c r="R367" i="36"/>
  <c r="B488" i="36"/>
  <c r="J127" i="36"/>
  <c r="R151" i="36"/>
  <c r="R265" i="36"/>
  <c r="R299" i="36"/>
  <c r="B496" i="36"/>
  <c r="B499" i="36" s="1"/>
  <c r="J96" i="36"/>
  <c r="R98" i="36"/>
  <c r="B127" i="36"/>
  <c r="R240" i="36"/>
  <c r="B288" i="36"/>
  <c r="R311" i="36"/>
  <c r="R340" i="36"/>
  <c r="B372" i="36"/>
  <c r="B508" i="36"/>
  <c r="B511" i="36" s="1"/>
  <c r="A3" i="36"/>
  <c r="A3" i="30"/>
  <c r="A3" i="34"/>
  <c r="A3" i="21"/>
  <c r="A3" i="15"/>
  <c r="M79" i="35"/>
  <c r="I12" i="3"/>
  <c r="I14" i="3" s="1"/>
  <c r="I37" i="3" s="1"/>
  <c r="Q12" i="3"/>
  <c r="N296" i="4"/>
  <c r="BL130" i="5"/>
  <c r="BH142" i="5"/>
  <c r="BL159" i="5"/>
  <c r="AZ161" i="5"/>
  <c r="AO178" i="5"/>
  <c r="AV178" i="5"/>
  <c r="AV229" i="5" s="1"/>
  <c r="BJ182" i="5"/>
  <c r="BL182" i="5" s="1"/>
  <c r="BJ185" i="5"/>
  <c r="BL185" i="5" s="1"/>
  <c r="AZ200" i="5"/>
  <c r="BJ215" i="5"/>
  <c r="BL215" i="5" s="1"/>
  <c r="AQ220" i="5"/>
  <c r="AQ229" i="5" s="1"/>
  <c r="AX220" i="5"/>
  <c r="AZ226" i="5"/>
  <c r="BH226" i="5"/>
  <c r="BJ224" i="5"/>
  <c r="BL224" i="5" s="1"/>
  <c r="BJ237" i="5"/>
  <c r="BJ238" i="5" s="1"/>
  <c r="BJ244" i="5" s="1"/>
  <c r="BJ256" i="5"/>
  <c r="BL269" i="5"/>
  <c r="BL277" i="5"/>
  <c r="BF304" i="5"/>
  <c r="BH328" i="5"/>
  <c r="BJ334" i="5"/>
  <c r="BL334" i="5" s="1"/>
  <c r="BL344" i="5"/>
  <c r="BJ349" i="5"/>
  <c r="BJ356" i="5"/>
  <c r="BL356" i="5" s="1"/>
  <c r="BL367" i="5"/>
  <c r="AZ369" i="5"/>
  <c r="E382" i="5"/>
  <c r="M382" i="5"/>
  <c r="U382" i="5"/>
  <c r="AC382" i="5"/>
  <c r="AK382" i="5"/>
  <c r="AS382" i="5"/>
  <c r="BF375" i="5"/>
  <c r="AZ387" i="5"/>
  <c r="BJ395" i="5"/>
  <c r="BL395" i="5" s="1"/>
  <c r="I400" i="5"/>
  <c r="Q400" i="5"/>
  <c r="Y400" i="5"/>
  <c r="AG400" i="5"/>
  <c r="AO400" i="5"/>
  <c r="AV400" i="5"/>
  <c r="BJ408" i="5"/>
  <c r="BL408" i="5" s="1"/>
  <c r="BJ411" i="5"/>
  <c r="BL411" i="5" s="1"/>
  <c r="BJ414" i="5"/>
  <c r="BL414" i="5" s="1"/>
  <c r="BJ422" i="5"/>
  <c r="BL422" i="5" s="1"/>
  <c r="BH437" i="5"/>
  <c r="BH439" i="5" s="1"/>
  <c r="BJ442" i="5"/>
  <c r="BJ443" i="5" s="1"/>
  <c r="BJ451" i="5"/>
  <c r="BL451" i="5" s="1"/>
  <c r="BH456" i="5"/>
  <c r="BJ461" i="5"/>
  <c r="BL461" i="5" s="1"/>
  <c r="BH467" i="5"/>
  <c r="BJ486" i="5"/>
  <c r="BJ487" i="5" s="1"/>
  <c r="BJ489" i="5" s="1"/>
  <c r="AZ506" i="5"/>
  <c r="BH506" i="5"/>
  <c r="BJ504" i="5"/>
  <c r="BL504" i="5" s="1"/>
  <c r="A3" i="8"/>
  <c r="B144" i="16"/>
  <c r="B56" i="17"/>
  <c r="A3" i="18"/>
  <c r="B38" i="22"/>
  <c r="B72" i="22" s="1"/>
  <c r="B19" i="25"/>
  <c r="B22" i="25" s="1"/>
  <c r="A3" i="29"/>
  <c r="L26" i="30"/>
  <c r="L33" i="30" s="1"/>
  <c r="A3" i="31"/>
  <c r="J25" i="34"/>
  <c r="J50" i="34" s="1"/>
  <c r="K51" i="35"/>
  <c r="K67" i="35"/>
  <c r="K70" i="35"/>
  <c r="S79" i="35"/>
  <c r="J29" i="36"/>
  <c r="B40" i="36"/>
  <c r="B55" i="36"/>
  <c r="R47" i="36"/>
  <c r="R207" i="36"/>
  <c r="B215" i="36"/>
  <c r="J318" i="36"/>
  <c r="R321" i="36"/>
  <c r="B405" i="36"/>
  <c r="BJ471" i="5"/>
  <c r="J450" i="33"/>
  <c r="J517" i="33" s="1"/>
  <c r="C67" i="35"/>
  <c r="C71" i="35"/>
  <c r="K71" i="35"/>
  <c r="J55" i="36"/>
  <c r="B77" i="36"/>
  <c r="R116" i="36"/>
  <c r="R214" i="36"/>
  <c r="J271" i="36"/>
  <c r="R257" i="36"/>
  <c r="J372" i="36"/>
  <c r="R361" i="36"/>
  <c r="R399" i="36"/>
  <c r="R205" i="36"/>
  <c r="B318" i="36"/>
  <c r="R310" i="36"/>
  <c r="J405" i="36"/>
  <c r="R413" i="36"/>
  <c r="J488" i="36"/>
  <c r="J274" i="36"/>
  <c r="R346" i="36"/>
  <c r="B438" i="36"/>
  <c r="R467" i="36"/>
  <c r="B381" i="36"/>
  <c r="B383" i="36" s="1"/>
  <c r="R466" i="36"/>
  <c r="J496" i="36"/>
  <c r="M477" i="5" l="1"/>
  <c r="BJ62" i="5"/>
  <c r="BD178" i="5"/>
  <c r="I229" i="5"/>
  <c r="BJ138" i="5"/>
  <c r="AG403" i="5"/>
  <c r="BJ164" i="5"/>
  <c r="BL164" i="5" s="1"/>
  <c r="BH427" i="5"/>
  <c r="BJ391" i="5"/>
  <c r="AA403" i="5"/>
  <c r="S229" i="5"/>
  <c r="S232" i="5" s="1"/>
  <c r="M229" i="5"/>
  <c r="AO154" i="5"/>
  <c r="AO477" i="5"/>
  <c r="BL448" i="5"/>
  <c r="AZ335" i="5"/>
  <c r="U477" i="5"/>
  <c r="AX403" i="5"/>
  <c r="S403" i="5"/>
  <c r="BJ448" i="5"/>
  <c r="BJ52" i="5"/>
  <c r="AK403" i="5"/>
  <c r="BJ304" i="5"/>
  <c r="BL304" i="5" s="1"/>
  <c r="Y154" i="5"/>
  <c r="G229" i="5"/>
  <c r="AC477" i="5"/>
  <c r="AM229" i="5"/>
  <c r="AM232" i="5" s="1"/>
  <c r="Y477" i="5"/>
  <c r="BJ410" i="5"/>
  <c r="BB220" i="5"/>
  <c r="AZ580" i="5"/>
  <c r="AZ588" i="5" s="1"/>
  <c r="BJ413" i="5"/>
  <c r="BL413" i="5" s="1"/>
  <c r="AZ191" i="5"/>
  <c r="AA154" i="5"/>
  <c r="BH400" i="5"/>
  <c r="AM154" i="5"/>
  <c r="AX477" i="5"/>
  <c r="K477" i="5"/>
  <c r="AC229" i="5"/>
  <c r="C403" i="5"/>
  <c r="BF133" i="5"/>
  <c r="BF439" i="5"/>
  <c r="Q229" i="5"/>
  <c r="BJ122" i="5"/>
  <c r="BB335" i="5"/>
  <c r="AO229" i="5"/>
  <c r="AO232" i="5" s="1"/>
  <c r="W477" i="5"/>
  <c r="S151" i="5"/>
  <c r="S154" i="5" s="1"/>
  <c r="Q154" i="5"/>
  <c r="E477" i="5"/>
  <c r="BF400" i="5"/>
  <c r="AQ403" i="5"/>
  <c r="BL62" i="5"/>
  <c r="BJ372" i="5"/>
  <c r="BL372" i="5" s="1"/>
  <c r="AA481" i="5"/>
  <c r="U154" i="5"/>
  <c r="U232" i="5" s="1"/>
  <c r="Q477" i="5"/>
  <c r="M403" i="5"/>
  <c r="M481" i="5" s="1"/>
  <c r="BJ314" i="5"/>
  <c r="BL314" i="5" s="1"/>
  <c r="BJ129" i="5"/>
  <c r="BL129" i="5" s="1"/>
  <c r="K229" i="5"/>
  <c r="BJ204" i="5"/>
  <c r="BL204" i="5" s="1"/>
  <c r="W229" i="5"/>
  <c r="E229" i="5"/>
  <c r="BJ67" i="5"/>
  <c r="BL67" i="5" s="1"/>
  <c r="BD468" i="5"/>
  <c r="BJ119" i="5"/>
  <c r="BL119" i="5" s="1"/>
  <c r="BJ77" i="5"/>
  <c r="BL77" i="5" s="1"/>
  <c r="BL122" i="5"/>
  <c r="AS403" i="5"/>
  <c r="AS481" i="5" s="1"/>
  <c r="Y403" i="5"/>
  <c r="AM477" i="5"/>
  <c r="BJ208" i="5"/>
  <c r="BL208" i="5" s="1"/>
  <c r="AI154" i="5"/>
  <c r="AS229" i="5"/>
  <c r="AI229" i="5"/>
  <c r="O229" i="5"/>
  <c r="O232" i="5" s="1"/>
  <c r="AG229" i="5"/>
  <c r="BF84" i="5"/>
  <c r="BD220" i="5"/>
  <c r="K403" i="5"/>
  <c r="K481" i="5" s="1"/>
  <c r="AG154" i="5"/>
  <c r="N82" i="4"/>
  <c r="V76" i="4"/>
  <c r="V77" i="4" s="1"/>
  <c r="N299" i="4"/>
  <c r="V310" i="4"/>
  <c r="V316" i="4" s="1"/>
  <c r="C481" i="5"/>
  <c r="BL194" i="5"/>
  <c r="BJ195" i="5"/>
  <c r="BL195" i="5" s="1"/>
  <c r="E403" i="5"/>
  <c r="BJ258" i="5"/>
  <c r="BJ260" i="5" s="1"/>
  <c r="BH151" i="5"/>
  <c r="AZ597" i="5"/>
  <c r="BJ375" i="5"/>
  <c r="BL375" i="5" s="1"/>
  <c r="AX154" i="5"/>
  <c r="C154" i="5"/>
  <c r="C232" i="5" s="1"/>
  <c r="C509" i="5" s="1"/>
  <c r="I154" i="5"/>
  <c r="I232" i="5" s="1"/>
  <c r="AE229" i="5"/>
  <c r="BD400" i="5"/>
  <c r="AE154" i="5"/>
  <c r="BH71" i="5"/>
  <c r="AV403" i="5"/>
  <c r="AV481" i="5" s="1"/>
  <c r="AC403" i="5"/>
  <c r="AC481" i="5" s="1"/>
  <c r="AX229" i="5"/>
  <c r="S481" i="5"/>
  <c r="AE477" i="5"/>
  <c r="AT477" i="5"/>
  <c r="AQ154" i="5"/>
  <c r="AQ232" i="5" s="1"/>
  <c r="BD151" i="5"/>
  <c r="BH133" i="5"/>
  <c r="BF71" i="5"/>
  <c r="BL256" i="5"/>
  <c r="BH220" i="5"/>
  <c r="BL138" i="5"/>
  <c r="BB133" i="5"/>
  <c r="O403" i="5"/>
  <c r="BD133" i="5"/>
  <c r="BJ328" i="5"/>
  <c r="BL328" i="5" s="1"/>
  <c r="AM403" i="5"/>
  <c r="AM481" i="5" s="1"/>
  <c r="BB71" i="5"/>
  <c r="BL98" i="5"/>
  <c r="BD427" i="5"/>
  <c r="BF178" i="5"/>
  <c r="BH468" i="5"/>
  <c r="BH477" i="5" s="1"/>
  <c r="AO403" i="5"/>
  <c r="AO481" i="5" s="1"/>
  <c r="I403" i="5"/>
  <c r="I481" i="5" s="1"/>
  <c r="U403" i="5"/>
  <c r="O477" i="5"/>
  <c r="BJ432" i="5"/>
  <c r="BL432" i="5" s="1"/>
  <c r="BH323" i="5"/>
  <c r="BL249" i="5"/>
  <c r="K154" i="5"/>
  <c r="BL410" i="5"/>
  <c r="AA232" i="5"/>
  <c r="G154" i="5"/>
  <c r="BJ452" i="5"/>
  <c r="BL452" i="5" s="1"/>
  <c r="BJ387" i="5"/>
  <c r="BL387" i="5" s="1"/>
  <c r="BD335" i="5"/>
  <c r="BL379" i="5"/>
  <c r="W154" i="5"/>
  <c r="BJ45" i="5"/>
  <c r="BL45" i="5" s="1"/>
  <c r="B447" i="36"/>
  <c r="R505" i="36"/>
  <c r="R481" i="36"/>
  <c r="R436" i="36"/>
  <c r="R431" i="36"/>
  <c r="R420" i="36"/>
  <c r="R398" i="36"/>
  <c r="R363" i="36"/>
  <c r="R360" i="36"/>
  <c r="R347" i="36"/>
  <c r="R339" i="36"/>
  <c r="R331" i="36"/>
  <c r="R306" i="36"/>
  <c r="R293" i="36"/>
  <c r="R290" i="36"/>
  <c r="R241" i="36"/>
  <c r="R209" i="36"/>
  <c r="R197" i="36"/>
  <c r="R192" i="36"/>
  <c r="R181" i="36"/>
  <c r="R172" i="36"/>
  <c r="H169" i="36"/>
  <c r="R154" i="36"/>
  <c r="R147" i="36"/>
  <c r="R141" i="36"/>
  <c r="R130" i="36"/>
  <c r="R101" i="36"/>
  <c r="R92" i="36"/>
  <c r="R25" i="36"/>
  <c r="R17" i="36"/>
  <c r="L502" i="33"/>
  <c r="R479" i="36"/>
  <c r="R430" i="36"/>
  <c r="R426" i="36"/>
  <c r="R415" i="36"/>
  <c r="R409" i="36"/>
  <c r="F416" i="36"/>
  <c r="R392" i="36"/>
  <c r="R389" i="36"/>
  <c r="R362" i="36"/>
  <c r="R356" i="36"/>
  <c r="R334" i="36"/>
  <c r="R330" i="36"/>
  <c r="R308" i="36"/>
  <c r="R298" i="36"/>
  <c r="R279" i="36"/>
  <c r="R263" i="36"/>
  <c r="R259" i="36"/>
  <c r="R248" i="36"/>
  <c r="R225" i="36"/>
  <c r="R210" i="36"/>
  <c r="R198" i="36"/>
  <c r="R170" i="36"/>
  <c r="R131" i="36"/>
  <c r="R129" i="36"/>
  <c r="R117" i="36"/>
  <c r="R107" i="36"/>
  <c r="R97" i="36"/>
  <c r="R90" i="36"/>
  <c r="R64" i="36"/>
  <c r="R51" i="36"/>
  <c r="R26" i="36"/>
  <c r="R13" i="36"/>
  <c r="R267" i="36"/>
  <c r="R189" i="36"/>
  <c r="R126" i="36"/>
  <c r="R19" i="36"/>
  <c r="R14" i="36"/>
  <c r="R333" i="36"/>
  <c r="R76" i="36"/>
  <c r="B351" i="36"/>
  <c r="J351" i="36"/>
  <c r="J164" i="36"/>
  <c r="B517" i="33"/>
  <c r="R425" i="36"/>
  <c r="R421" i="36"/>
  <c r="R358" i="36"/>
  <c r="R342" i="36"/>
  <c r="R338" i="36"/>
  <c r="R285" i="36"/>
  <c r="R262" i="36"/>
  <c r="R494" i="36"/>
  <c r="R472" i="36"/>
  <c r="R427" i="36"/>
  <c r="R403" i="36"/>
  <c r="R380" i="36"/>
  <c r="R381" i="36" s="1"/>
  <c r="R383" i="36" s="1"/>
  <c r="R312" i="36"/>
  <c r="R284" i="36"/>
  <c r="R278" i="36"/>
  <c r="F274" i="36"/>
  <c r="R266" i="36"/>
  <c r="R187" i="36"/>
  <c r="R478" i="36"/>
  <c r="R470" i="36"/>
  <c r="R370" i="36"/>
  <c r="R233" i="36"/>
  <c r="R208" i="36"/>
  <c r="R143" i="36"/>
  <c r="R112" i="36"/>
  <c r="R82" i="36"/>
  <c r="R74" i="36"/>
  <c r="R68" i="36"/>
  <c r="R63" i="36"/>
  <c r="R33" i="36"/>
  <c r="R477" i="36"/>
  <c r="R424" i="36"/>
  <c r="R305" i="36"/>
  <c r="R294" i="36"/>
  <c r="R249" i="36"/>
  <c r="R128" i="36"/>
  <c r="R36" i="36"/>
  <c r="R491" i="36"/>
  <c r="R412" i="36"/>
  <c r="R234" i="36"/>
  <c r="R203" i="36"/>
  <c r="R186" i="36"/>
  <c r="R72" i="36"/>
  <c r="R18" i="36"/>
  <c r="R433" i="36"/>
  <c r="R94" i="36"/>
  <c r="R48" i="36"/>
  <c r="R102" i="36"/>
  <c r="R484" i="36"/>
  <c r="R242" i="36"/>
  <c r="R451" i="36"/>
  <c r="R452" i="36" s="1"/>
  <c r="R455" i="36" s="1"/>
  <c r="J447" i="36"/>
  <c r="B164" i="36"/>
  <c r="H450" i="33"/>
  <c r="R177" i="36"/>
  <c r="R468" i="36"/>
  <c r="R307" i="36"/>
  <c r="R300" i="36"/>
  <c r="R289" i="36"/>
  <c r="R251" i="36"/>
  <c r="R235" i="36"/>
  <c r="R230" i="36"/>
  <c r="R194" i="36"/>
  <c r="R171" i="36"/>
  <c r="R152" i="36"/>
  <c r="R108" i="36"/>
  <c r="R106" i="36"/>
  <c r="R103" i="36"/>
  <c r="R83" i="36"/>
  <c r="R79" i="36"/>
  <c r="R75" i="36"/>
  <c r="R35" i="36"/>
  <c r="R23" i="36"/>
  <c r="D219" i="36"/>
  <c r="N381" i="36"/>
  <c r="N383" i="36" s="1"/>
  <c r="R268" i="36"/>
  <c r="R202" i="36"/>
  <c r="J99" i="24"/>
  <c r="R45" i="36"/>
  <c r="R317" i="36"/>
  <c r="R12" i="36"/>
  <c r="J49" i="23"/>
  <c r="L49" i="23" s="1"/>
  <c r="J25" i="22"/>
  <c r="L25" i="22" s="1"/>
  <c r="D164" i="18"/>
  <c r="J133" i="16"/>
  <c r="L133" i="16" s="1"/>
  <c r="J23" i="15"/>
  <c r="L23" i="15" s="1"/>
  <c r="J19" i="17"/>
  <c r="L19" i="17" s="1"/>
  <c r="J38" i="10"/>
  <c r="L38" i="10" s="1"/>
  <c r="J14" i="10"/>
  <c r="L14" i="10" s="1"/>
  <c r="L353" i="33"/>
  <c r="F49" i="21"/>
  <c r="J29" i="9"/>
  <c r="L29" i="9" s="1"/>
  <c r="J12" i="10"/>
  <c r="L12" i="10" s="1"/>
  <c r="U86" i="35"/>
  <c r="G72" i="35"/>
  <c r="V271" i="4"/>
  <c r="U11" i="35"/>
  <c r="J99" i="4"/>
  <c r="F444" i="36"/>
  <c r="N88" i="15"/>
  <c r="R369" i="36"/>
  <c r="J20" i="23"/>
  <c r="L20" i="23" s="1"/>
  <c r="H12" i="13"/>
  <c r="H15" i="13" s="1"/>
  <c r="I87" i="35"/>
  <c r="F32" i="1"/>
  <c r="R313" i="36"/>
  <c r="D47" i="21"/>
  <c r="J98" i="15"/>
  <c r="L98" i="15" s="1"/>
  <c r="J76" i="15"/>
  <c r="L76" i="15" s="1"/>
  <c r="J72" i="17"/>
  <c r="L72" i="17" s="1"/>
  <c r="J63" i="16"/>
  <c r="L63" i="16" s="1"/>
  <c r="J15" i="16"/>
  <c r="L15" i="16" s="1"/>
  <c r="J11" i="13"/>
  <c r="L11" i="13" s="1"/>
  <c r="P11" i="13" s="1"/>
  <c r="J26" i="10"/>
  <c r="L26" i="10" s="1"/>
  <c r="J22" i="9"/>
  <c r="L22" i="9" s="1"/>
  <c r="J18" i="10"/>
  <c r="L18" i="10" s="1"/>
  <c r="J14" i="11"/>
  <c r="L14" i="11" s="1"/>
  <c r="L348" i="36"/>
  <c r="R323" i="36"/>
  <c r="R316" i="36"/>
  <c r="R295" i="36"/>
  <c r="R270" i="36"/>
  <c r="R258" i="36"/>
  <c r="R254" i="36"/>
  <c r="R231" i="36"/>
  <c r="R229" i="36"/>
  <c r="R224" i="36"/>
  <c r="R204" i="36"/>
  <c r="R201" i="36"/>
  <c r="R193" i="36"/>
  <c r="R185" i="36"/>
  <c r="R178" i="36"/>
  <c r="J52" i="23"/>
  <c r="L52" i="23" s="1"/>
  <c r="J22" i="15"/>
  <c r="L22" i="15" s="1"/>
  <c r="N165" i="33"/>
  <c r="R142" i="36"/>
  <c r="R138" i="36"/>
  <c r="R125" i="36"/>
  <c r="R99" i="36"/>
  <c r="H96" i="36"/>
  <c r="R37" i="36"/>
  <c r="R27" i="36"/>
  <c r="J48" i="23"/>
  <c r="L48" i="23" s="1"/>
  <c r="J36" i="23"/>
  <c r="L36" i="23" s="1"/>
  <c r="J33" i="21"/>
  <c r="L33" i="21" s="1"/>
  <c r="J22" i="23"/>
  <c r="L22" i="23" s="1"/>
  <c r="J19" i="23"/>
  <c r="L19" i="23" s="1"/>
  <c r="J60" i="16"/>
  <c r="L60" i="16" s="1"/>
  <c r="D68" i="16"/>
  <c r="J46" i="15"/>
  <c r="L46" i="15" s="1"/>
  <c r="J16" i="15"/>
  <c r="L16" i="15" s="1"/>
  <c r="J13" i="17"/>
  <c r="L13" i="17" s="1"/>
  <c r="H508" i="36"/>
  <c r="H511" i="36" s="1"/>
  <c r="R482" i="36"/>
  <c r="R474" i="36"/>
  <c r="R437" i="36"/>
  <c r="L416" i="36"/>
  <c r="R394" i="36"/>
  <c r="R364" i="36"/>
  <c r="R357" i="36"/>
  <c r="R322" i="36"/>
  <c r="R302" i="36"/>
  <c r="R291" i="36"/>
  <c r="R282" i="36"/>
  <c r="P219" i="36"/>
  <c r="R184" i="36"/>
  <c r="R173" i="36"/>
  <c r="L169" i="36"/>
  <c r="R504" i="36"/>
  <c r="R487" i="36"/>
  <c r="R460" i="36"/>
  <c r="R401" i="36"/>
  <c r="R314" i="36"/>
  <c r="R245" i="36"/>
  <c r="R136" i="36"/>
  <c r="R113" i="36"/>
  <c r="P96" i="36"/>
  <c r="R69" i="36"/>
  <c r="R44" i="36"/>
  <c r="R24" i="36"/>
  <c r="J35" i="21"/>
  <c r="L35" i="21" s="1"/>
  <c r="J32" i="21"/>
  <c r="L32" i="21" s="1"/>
  <c r="H144" i="16"/>
  <c r="J112" i="16"/>
  <c r="L112" i="16" s="1"/>
  <c r="J99" i="15"/>
  <c r="L99" i="15" s="1"/>
  <c r="J55" i="17"/>
  <c r="L55" i="17" s="1"/>
  <c r="J38" i="17"/>
  <c r="L38" i="17" s="1"/>
  <c r="J35" i="16"/>
  <c r="L35" i="16" s="1"/>
  <c r="J26" i="16"/>
  <c r="L26" i="16" s="1"/>
  <c r="J12" i="17"/>
  <c r="L12" i="17" s="1"/>
  <c r="J31" i="10"/>
  <c r="L31" i="10" s="1"/>
  <c r="J24" i="10"/>
  <c r="L24" i="10" s="1"/>
  <c r="R235" i="4"/>
  <c r="U37" i="35"/>
  <c r="J82" i="16"/>
  <c r="L82" i="16" s="1"/>
  <c r="R344" i="36"/>
  <c r="R176" i="36"/>
  <c r="R122" i="36"/>
  <c r="J48" i="17"/>
  <c r="L48" i="17" s="1"/>
  <c r="N98" i="4"/>
  <c r="V98" i="4" s="1"/>
  <c r="R404" i="36"/>
  <c r="R286" i="36"/>
  <c r="R247" i="36"/>
  <c r="R156" i="36"/>
  <c r="R100" i="36"/>
  <c r="R109" i="36" s="1"/>
  <c r="R73" i="36"/>
  <c r="J18" i="23"/>
  <c r="L18" i="23" s="1"/>
  <c r="J18" i="16"/>
  <c r="L18" i="16" s="1"/>
  <c r="J62" i="10"/>
  <c r="L62" i="10" s="1"/>
  <c r="J39" i="9"/>
  <c r="L39" i="9" s="1"/>
  <c r="J36" i="9"/>
  <c r="L36" i="9" s="1"/>
  <c r="J33" i="10"/>
  <c r="L33" i="10" s="1"/>
  <c r="J19" i="11"/>
  <c r="L19" i="11" s="1"/>
  <c r="J16" i="10"/>
  <c r="L16" i="10" s="1"/>
  <c r="G87" i="35"/>
  <c r="V269" i="4"/>
  <c r="U26" i="35"/>
  <c r="V219" i="4"/>
  <c r="N116" i="4"/>
  <c r="V116" i="4" s="1"/>
  <c r="N106" i="4"/>
  <c r="V106" i="4" s="1"/>
  <c r="R442" i="36"/>
  <c r="R393" i="36"/>
  <c r="P405" i="36"/>
  <c r="J74" i="16"/>
  <c r="L74" i="16" s="1"/>
  <c r="L50" i="34"/>
  <c r="R473" i="36"/>
  <c r="L165" i="33"/>
  <c r="N353" i="33"/>
  <c r="L219" i="36"/>
  <c r="F54" i="21"/>
  <c r="J13" i="21"/>
  <c r="L13" i="21" s="1"/>
  <c r="J67" i="15"/>
  <c r="L67" i="15" s="1"/>
  <c r="J36" i="15"/>
  <c r="L36" i="15" s="1"/>
  <c r="J34" i="9"/>
  <c r="L34" i="9" s="1"/>
  <c r="F165" i="33"/>
  <c r="J37" i="22"/>
  <c r="L37" i="22" s="1"/>
  <c r="J97" i="15"/>
  <c r="L97" i="15" s="1"/>
  <c r="U57" i="35"/>
  <c r="U39" i="35"/>
  <c r="U28" i="35"/>
  <c r="U20" i="35"/>
  <c r="J99" i="1"/>
  <c r="H50" i="34"/>
  <c r="F381" i="36"/>
  <c r="F383" i="36" s="1"/>
  <c r="J20" i="22"/>
  <c r="L20" i="22" s="1"/>
  <c r="J70" i="1"/>
  <c r="J72" i="1" s="1"/>
  <c r="AQ481" i="5"/>
  <c r="BB468" i="5"/>
  <c r="BJ467" i="5"/>
  <c r="U106" i="2"/>
  <c r="U77" i="2"/>
  <c r="AO12" i="4"/>
  <c r="AO327" i="4"/>
  <c r="K37" i="3"/>
  <c r="J499" i="36"/>
  <c r="K73" i="35"/>
  <c r="K81" i="35" s="1"/>
  <c r="K90" i="35" s="1"/>
  <c r="BF382" i="5"/>
  <c r="BL349" i="5"/>
  <c r="BJ351" i="5"/>
  <c r="BL351" i="5" s="1"/>
  <c r="AX481" i="5"/>
  <c r="BJ363" i="5"/>
  <c r="BJ364" i="5" s="1"/>
  <c r="BB364" i="5"/>
  <c r="D99" i="22"/>
  <c r="BL486" i="5"/>
  <c r="AZ468" i="5"/>
  <c r="BL443" i="5"/>
  <c r="BL237" i="5"/>
  <c r="BL223" i="5"/>
  <c r="BJ226" i="5"/>
  <c r="AZ71" i="5"/>
  <c r="Q14" i="3"/>
  <c r="Q37" i="3" s="1"/>
  <c r="U11" i="3"/>
  <c r="AE403" i="5"/>
  <c r="BL376" i="5"/>
  <c r="BD323" i="5"/>
  <c r="AC154" i="5"/>
  <c r="U34" i="3"/>
  <c r="W34" i="3" s="1"/>
  <c r="B102" i="16"/>
  <c r="B167" i="16" s="1"/>
  <c r="B169" i="16" s="1"/>
  <c r="G403" i="5"/>
  <c r="BJ346" i="5"/>
  <c r="BL346" i="5" s="1"/>
  <c r="BL338" i="5"/>
  <c r="BJ200" i="5"/>
  <c r="BL200" i="5" s="1"/>
  <c r="BJ399" i="5"/>
  <c r="R78" i="33"/>
  <c r="N14" i="17"/>
  <c r="D117" i="22"/>
  <c r="J116" i="22"/>
  <c r="N14" i="11"/>
  <c r="N14" i="9"/>
  <c r="N12" i="11"/>
  <c r="N12" i="9"/>
  <c r="N34" i="23"/>
  <c r="N34" i="21"/>
  <c r="D405" i="36"/>
  <c r="L378" i="33"/>
  <c r="D327" i="36"/>
  <c r="R319" i="36"/>
  <c r="R277" i="36"/>
  <c r="D215" i="36"/>
  <c r="H161" i="36"/>
  <c r="D165" i="33"/>
  <c r="R118" i="36"/>
  <c r="R70" i="36"/>
  <c r="N45" i="15"/>
  <c r="N45" i="17"/>
  <c r="J113" i="24"/>
  <c r="L102" i="24"/>
  <c r="L113" i="24" s="1"/>
  <c r="L88" i="24"/>
  <c r="L88" i="22" s="1"/>
  <c r="J88" i="22"/>
  <c r="J66" i="23"/>
  <c r="H69" i="23"/>
  <c r="D55" i="21"/>
  <c r="J53" i="23"/>
  <c r="L53" i="23" s="1"/>
  <c r="H63" i="23"/>
  <c r="J45" i="23"/>
  <c r="P34" i="23"/>
  <c r="L30" i="24"/>
  <c r="L38" i="24" s="1"/>
  <c r="J38" i="24"/>
  <c r="D27" i="21"/>
  <c r="J27" i="20"/>
  <c r="L26" i="20"/>
  <c r="L27" i="20" s="1"/>
  <c r="J138" i="16"/>
  <c r="D144" i="16"/>
  <c r="D119" i="16"/>
  <c r="J107" i="16"/>
  <c r="D12" i="13"/>
  <c r="D15" i="13" s="1"/>
  <c r="J10" i="13"/>
  <c r="J27" i="10"/>
  <c r="L27" i="10" s="1"/>
  <c r="H41" i="11"/>
  <c r="H44" i="11" s="1"/>
  <c r="J11" i="11"/>
  <c r="V287" i="4"/>
  <c r="O71" i="35"/>
  <c r="J293" i="4"/>
  <c r="Q33" i="35"/>
  <c r="N112" i="4"/>
  <c r="F117" i="4"/>
  <c r="R22" i="34"/>
  <c r="N15" i="19"/>
  <c r="N22" i="19" s="1"/>
  <c r="N23" i="11"/>
  <c r="N23" i="9"/>
  <c r="N15" i="11"/>
  <c r="N15" i="9"/>
  <c r="N54" i="23"/>
  <c r="N54" i="21"/>
  <c r="N50" i="21"/>
  <c r="N50" i="23"/>
  <c r="D381" i="36"/>
  <c r="D383" i="36" s="1"/>
  <c r="H353" i="33"/>
  <c r="R303" i="36"/>
  <c r="F496" i="36"/>
  <c r="N20" i="11"/>
  <c r="N20" i="9"/>
  <c r="R464" i="36"/>
  <c r="D450" i="33"/>
  <c r="N25" i="23"/>
  <c r="N25" i="21"/>
  <c r="N21" i="21"/>
  <c r="N21" i="23"/>
  <c r="P21" i="23" s="1"/>
  <c r="BJ184" i="5"/>
  <c r="BL184" i="5" s="1"/>
  <c r="BH191" i="5"/>
  <c r="E232" i="5"/>
  <c r="D133" i="1"/>
  <c r="V280" i="4"/>
  <c r="T293" i="4"/>
  <c r="Q403" i="5"/>
  <c r="R217" i="36"/>
  <c r="J99" i="22"/>
  <c r="L92" i="22"/>
  <c r="L99" i="22" s="1"/>
  <c r="R328" i="36"/>
  <c r="BJ474" i="5"/>
  <c r="BL471" i="5"/>
  <c r="R408" i="36"/>
  <c r="BL369" i="5"/>
  <c r="AZ220" i="5"/>
  <c r="B375" i="36"/>
  <c r="B514" i="36" s="1"/>
  <c r="R78" i="36"/>
  <c r="B124" i="22"/>
  <c r="BL319" i="5"/>
  <c r="AZ323" i="5"/>
  <c r="BJ297" i="5"/>
  <c r="BL297" i="5" s="1"/>
  <c r="BL267" i="5"/>
  <c r="BB151" i="5"/>
  <c r="BJ150" i="5"/>
  <c r="BF151" i="5"/>
  <c r="AZ133" i="5"/>
  <c r="BJ95" i="5"/>
  <c r="BL95" i="5" s="1"/>
  <c r="BL87" i="5"/>
  <c r="AZ489" i="5"/>
  <c r="BL489" i="5" s="1"/>
  <c r="BL487" i="5"/>
  <c r="U481" i="5"/>
  <c r="BJ456" i="5"/>
  <c r="BL456" i="5" s="1"/>
  <c r="AZ439" i="5"/>
  <c r="AZ400" i="5"/>
  <c r="AZ244" i="5"/>
  <c r="BL244" i="5" s="1"/>
  <c r="BL238" i="5"/>
  <c r="Y232" i="5"/>
  <c r="BF220" i="5"/>
  <c r="BJ177" i="5"/>
  <c r="BB178" i="5"/>
  <c r="BJ125" i="5"/>
  <c r="BJ133" i="5" s="1"/>
  <c r="V79" i="4"/>
  <c r="V80" i="4" s="1"/>
  <c r="V82" i="4" s="1"/>
  <c r="BL438" i="5"/>
  <c r="BJ333" i="5"/>
  <c r="BL333" i="5" s="1"/>
  <c r="BJ161" i="5"/>
  <c r="BL161" i="5" s="1"/>
  <c r="U35" i="3"/>
  <c r="W32" i="3"/>
  <c r="O14" i="3"/>
  <c r="O37" i="3" s="1"/>
  <c r="AZ427" i="5"/>
  <c r="AT403" i="5"/>
  <c r="AT481" i="5" s="1"/>
  <c r="BJ82" i="5"/>
  <c r="BJ84" i="5" s="1"/>
  <c r="BL84" i="5" s="1"/>
  <c r="BL494" i="5"/>
  <c r="BF468" i="5"/>
  <c r="AZ151" i="5"/>
  <c r="D325" i="4"/>
  <c r="D326" i="4" s="1"/>
  <c r="BH178" i="5"/>
  <c r="M154" i="5"/>
  <c r="M232" i="5" s="1"/>
  <c r="BH335" i="5"/>
  <c r="F353" i="33"/>
  <c r="H327" i="36"/>
  <c r="N318" i="36"/>
  <c r="D318" i="36"/>
  <c r="R289" i="33"/>
  <c r="L271" i="36"/>
  <c r="R183" i="36"/>
  <c r="N145" i="36"/>
  <c r="R38" i="36"/>
  <c r="H35" i="26"/>
  <c r="H51" i="21"/>
  <c r="J51" i="21" s="1"/>
  <c r="L51" i="21" s="1"/>
  <c r="J51" i="22"/>
  <c r="L51" i="22" s="1"/>
  <c r="D63" i="23"/>
  <c r="J41" i="23"/>
  <c r="H42" i="23"/>
  <c r="J15" i="22"/>
  <c r="L15" i="22" s="1"/>
  <c r="F27" i="22"/>
  <c r="J75" i="17"/>
  <c r="L75" i="17" s="1"/>
  <c r="J21" i="16"/>
  <c r="L21" i="16" s="1"/>
  <c r="AI481" i="5"/>
  <c r="AV232" i="5"/>
  <c r="AZ178" i="5"/>
  <c r="U12" i="3"/>
  <c r="S14" i="3"/>
  <c r="S37" i="3" s="1"/>
  <c r="BJ497" i="5"/>
  <c r="BL497" i="5" s="1"/>
  <c r="BL495" i="5"/>
  <c r="BJ322" i="5"/>
  <c r="BB323" i="5"/>
  <c r="M37" i="3"/>
  <c r="AS154" i="5"/>
  <c r="AS232" i="5" s="1"/>
  <c r="R272" i="33"/>
  <c r="P206" i="36"/>
  <c r="N49" i="15"/>
  <c r="N49" i="17"/>
  <c r="P49" i="17" s="1"/>
  <c r="N46" i="15"/>
  <c r="P46" i="15" s="1"/>
  <c r="N46" i="17"/>
  <c r="R30" i="33"/>
  <c r="L77" i="24"/>
  <c r="L89" i="24" s="1"/>
  <c r="J89" i="24"/>
  <c r="H55" i="21"/>
  <c r="J55" i="22"/>
  <c r="L55" i="22" s="1"/>
  <c r="J43" i="17"/>
  <c r="H51" i="17"/>
  <c r="D40" i="15"/>
  <c r="N83" i="17"/>
  <c r="N83" i="15"/>
  <c r="L206" i="36"/>
  <c r="T246" i="4"/>
  <c r="V189" i="4"/>
  <c r="V246" i="4" s="1"/>
  <c r="F206" i="36"/>
  <c r="F77" i="36"/>
  <c r="N16" i="17"/>
  <c r="N16" i="15"/>
  <c r="P16" i="15" s="1"/>
  <c r="J20" i="19"/>
  <c r="L20" i="19" s="1"/>
  <c r="P20" i="19" s="1"/>
  <c r="H94" i="15"/>
  <c r="J94" i="15" s="1"/>
  <c r="L94" i="15" s="1"/>
  <c r="H139" i="4"/>
  <c r="H178" i="4" s="1"/>
  <c r="F100" i="15"/>
  <c r="J71" i="17"/>
  <c r="H84" i="17"/>
  <c r="D84" i="17"/>
  <c r="N19" i="17"/>
  <c r="P19" i="17" s="1"/>
  <c r="N19" i="15"/>
  <c r="J68" i="22"/>
  <c r="L68" i="22" s="1"/>
  <c r="H171" i="4"/>
  <c r="N27" i="17"/>
  <c r="N27" i="15"/>
  <c r="P27" i="15" s="1"/>
  <c r="D12" i="19"/>
  <c r="D14" i="15"/>
  <c r="O70" i="35"/>
  <c r="O67" i="35"/>
  <c r="G11" i="8"/>
  <c r="G13" i="8" s="1"/>
  <c r="L59" i="1"/>
  <c r="N56" i="1"/>
  <c r="N59" i="1" s="1"/>
  <c r="N22" i="11"/>
  <c r="N22" i="9"/>
  <c r="R281" i="36"/>
  <c r="J375" i="36"/>
  <c r="J514" i="36" s="1"/>
  <c r="R167" i="36"/>
  <c r="R169" i="36" s="1"/>
  <c r="BB439" i="5"/>
  <c r="BJ437" i="5"/>
  <c r="AZ253" i="5"/>
  <c r="BL253" i="5" s="1"/>
  <c r="BL251" i="5"/>
  <c r="BL503" i="5"/>
  <c r="BJ506" i="5"/>
  <c r="BL506" i="5" s="1"/>
  <c r="AG481" i="5"/>
  <c r="AK481" i="5"/>
  <c r="BL442" i="5"/>
  <c r="AZ260" i="5"/>
  <c r="BL260" i="5" s="1"/>
  <c r="BL258" i="5"/>
  <c r="G477" i="5"/>
  <c r="G481" i="5" s="1"/>
  <c r="BJ426" i="5"/>
  <c r="BB427" i="5"/>
  <c r="BL391" i="5"/>
  <c r="AZ382" i="5"/>
  <c r="BJ219" i="5"/>
  <c r="AT154" i="5"/>
  <c r="AT232" i="5" s="1"/>
  <c r="N325" i="4"/>
  <c r="BJ189" i="5"/>
  <c r="BL189" i="5" s="1"/>
  <c r="BB191" i="5"/>
  <c r="V296" i="4"/>
  <c r="D82" i="4"/>
  <c r="V298" i="4"/>
  <c r="M73" i="35"/>
  <c r="M81" i="35" s="1"/>
  <c r="M90" i="35" s="1"/>
  <c r="BF427" i="5"/>
  <c r="BF323" i="5"/>
  <c r="G232" i="5"/>
  <c r="BD71" i="5"/>
  <c r="BJ70" i="5"/>
  <c r="V297" i="4"/>
  <c r="T299" i="4"/>
  <c r="N162" i="4"/>
  <c r="V162" i="4" s="1"/>
  <c r="V164" i="4" s="1"/>
  <c r="V167" i="4" s="1"/>
  <c r="F164" i="4"/>
  <c r="F167" i="4" s="1"/>
  <c r="W403" i="5"/>
  <c r="N39" i="11"/>
  <c r="N39" i="9"/>
  <c r="P39" i="9" s="1"/>
  <c r="N29" i="11"/>
  <c r="N29" i="9"/>
  <c r="P29" i="9" s="1"/>
  <c r="R461" i="36"/>
  <c r="H488" i="36"/>
  <c r="N32" i="21"/>
  <c r="P32" i="21" s="1"/>
  <c r="N32" i="23"/>
  <c r="H416" i="36"/>
  <c r="N20" i="23"/>
  <c r="P20" i="23" s="1"/>
  <c r="N20" i="21"/>
  <c r="N12" i="21"/>
  <c r="N12" i="23"/>
  <c r="N96" i="17"/>
  <c r="P96" i="17" s="1"/>
  <c r="N96" i="15"/>
  <c r="T197" i="4"/>
  <c r="T199" i="4" s="1"/>
  <c r="V187" i="4"/>
  <c r="T244" i="4"/>
  <c r="F378" i="33"/>
  <c r="H165" i="33"/>
  <c r="H378" i="33" s="1"/>
  <c r="H517" i="33" s="1"/>
  <c r="D99" i="16"/>
  <c r="J72" i="15"/>
  <c r="L72" i="15" s="1"/>
  <c r="H68" i="16"/>
  <c r="J59" i="16"/>
  <c r="H68" i="17"/>
  <c r="J59" i="17"/>
  <c r="H56" i="15"/>
  <c r="J54" i="15"/>
  <c r="P45" i="15"/>
  <c r="P19" i="15"/>
  <c r="H29" i="17"/>
  <c r="J11" i="17"/>
  <c r="J26" i="9"/>
  <c r="L26" i="9" s="1"/>
  <c r="J22" i="11"/>
  <c r="L22" i="11" s="1"/>
  <c r="J18" i="9"/>
  <c r="L18" i="9" s="1"/>
  <c r="F41" i="11"/>
  <c r="F44" i="11" s="1"/>
  <c r="V194" i="4"/>
  <c r="V250" i="4" s="1"/>
  <c r="T250" i="4"/>
  <c r="R455" i="33"/>
  <c r="R458" i="33" s="1"/>
  <c r="N41" i="23"/>
  <c r="N42" i="23" s="1"/>
  <c r="V196" i="4"/>
  <c r="V254" i="4" s="1"/>
  <c r="N41" i="21"/>
  <c r="N42" i="21" s="1"/>
  <c r="T248" i="4"/>
  <c r="V192" i="4"/>
  <c r="V248" i="4" s="1"/>
  <c r="N438" i="36"/>
  <c r="R336" i="36"/>
  <c r="D353" i="33"/>
  <c r="D378" i="33" s="1"/>
  <c r="N40" i="11"/>
  <c r="N40" i="9"/>
  <c r="R255" i="36"/>
  <c r="BB113" i="5"/>
  <c r="BJ112" i="5"/>
  <c r="BD229" i="5"/>
  <c r="R485" i="36"/>
  <c r="N21" i="11"/>
  <c r="N21" i="9"/>
  <c r="R469" i="36"/>
  <c r="R443" i="36"/>
  <c r="H444" i="36"/>
  <c r="N56" i="23"/>
  <c r="P56" i="23" s="1"/>
  <c r="N56" i="21"/>
  <c r="R423" i="36"/>
  <c r="P438" i="36"/>
  <c r="R414" i="36"/>
  <c r="R402" i="36"/>
  <c r="N82" i="17"/>
  <c r="N82" i="15"/>
  <c r="R343" i="36"/>
  <c r="R325" i="36"/>
  <c r="R320" i="33"/>
  <c r="R287" i="36"/>
  <c r="N288" i="36"/>
  <c r="L274" i="36"/>
  <c r="R253" i="36"/>
  <c r="N109" i="36"/>
  <c r="D109" i="36"/>
  <c r="L96" i="36"/>
  <c r="N77" i="36"/>
  <c r="N44" i="15"/>
  <c r="N44" i="17"/>
  <c r="H55" i="36"/>
  <c r="N33" i="17"/>
  <c r="N33" i="15"/>
  <c r="F29" i="36"/>
  <c r="J15" i="25"/>
  <c r="L15" i="25" s="1"/>
  <c r="P15" i="25" s="1"/>
  <c r="F89" i="22"/>
  <c r="N11" i="13"/>
  <c r="N12" i="13" s="1"/>
  <c r="N15" i="13" s="1"/>
  <c r="R46" i="34"/>
  <c r="N38" i="11"/>
  <c r="N38" i="9"/>
  <c r="P38" i="9" s="1"/>
  <c r="N61" i="23"/>
  <c r="P61" i="23" s="1"/>
  <c r="N61" i="21"/>
  <c r="N58" i="21"/>
  <c r="N58" i="23"/>
  <c r="D438" i="36"/>
  <c r="N17" i="23"/>
  <c r="N17" i="21"/>
  <c r="N99" i="15"/>
  <c r="P99" i="15" s="1"/>
  <c r="N99" i="17"/>
  <c r="L372" i="36"/>
  <c r="R292" i="36"/>
  <c r="P318" i="36"/>
  <c r="P274" i="36"/>
  <c r="R207" i="33"/>
  <c r="N66" i="15"/>
  <c r="N66" i="17"/>
  <c r="R144" i="36"/>
  <c r="D145" i="36"/>
  <c r="R124" i="36"/>
  <c r="R93" i="36"/>
  <c r="R80" i="36"/>
  <c r="R67" i="36"/>
  <c r="F55" i="36"/>
  <c r="N28" i="17"/>
  <c r="N28" i="15"/>
  <c r="R15" i="36"/>
  <c r="F19" i="25"/>
  <c r="F22" i="25" s="1"/>
  <c r="H68" i="21"/>
  <c r="J138" i="4"/>
  <c r="J177" i="4" s="1"/>
  <c r="J65" i="21"/>
  <c r="H57" i="21"/>
  <c r="J57" i="21" s="1"/>
  <c r="L57" i="21" s="1"/>
  <c r="J57" i="22"/>
  <c r="L57" i="22" s="1"/>
  <c r="J34" i="22"/>
  <c r="L34" i="22" s="1"/>
  <c r="J30" i="22"/>
  <c r="H38" i="22"/>
  <c r="P25" i="23"/>
  <c r="P17" i="23"/>
  <c r="J13" i="23"/>
  <c r="L13" i="23" s="1"/>
  <c r="D27" i="22"/>
  <c r="F22" i="19"/>
  <c r="J155" i="16"/>
  <c r="D162" i="16"/>
  <c r="L145" i="18"/>
  <c r="L151" i="18" s="1"/>
  <c r="J151" i="18"/>
  <c r="D102" i="18"/>
  <c r="D167" i="18" s="1"/>
  <c r="J59" i="15"/>
  <c r="H68" i="15"/>
  <c r="H56" i="17"/>
  <c r="J49" i="15"/>
  <c r="L49" i="15" s="1"/>
  <c r="P49" i="15" s="1"/>
  <c r="D51" i="16"/>
  <c r="J32" i="15"/>
  <c r="H40" i="15"/>
  <c r="L32" i="18"/>
  <c r="L40" i="18" s="1"/>
  <c r="J40" i="18"/>
  <c r="H29" i="16"/>
  <c r="J11" i="16"/>
  <c r="J136" i="4"/>
  <c r="J175" i="4" s="1"/>
  <c r="J11" i="15"/>
  <c r="J14" i="9"/>
  <c r="L14" i="9" s="1"/>
  <c r="P14" i="9" s="1"/>
  <c r="F171" i="4"/>
  <c r="P444" i="36"/>
  <c r="N59" i="21"/>
  <c r="N59" i="23"/>
  <c r="N30" i="21"/>
  <c r="R419" i="33"/>
  <c r="N30" i="23"/>
  <c r="R315" i="36"/>
  <c r="R228" i="36"/>
  <c r="R200" i="36"/>
  <c r="R190" i="36"/>
  <c r="F96" i="36"/>
  <c r="L77" i="36"/>
  <c r="N36" i="15"/>
  <c r="P36" i="15" s="1"/>
  <c r="N36" i="17"/>
  <c r="N34" i="17"/>
  <c r="N34" i="15"/>
  <c r="D40" i="36"/>
  <c r="R32" i="36"/>
  <c r="H29" i="36"/>
  <c r="J12" i="25"/>
  <c r="L12" i="25" s="1"/>
  <c r="J52" i="22"/>
  <c r="L52" i="22" s="1"/>
  <c r="H52" i="21"/>
  <c r="J52" i="21" s="1"/>
  <c r="L52" i="21" s="1"/>
  <c r="J51" i="23"/>
  <c r="L51" i="23" s="1"/>
  <c r="D63" i="22"/>
  <c r="D45" i="21"/>
  <c r="J42" i="24"/>
  <c r="L41" i="24"/>
  <c r="L42" i="24" s="1"/>
  <c r="J15" i="21"/>
  <c r="L15" i="21" s="1"/>
  <c r="J14" i="21"/>
  <c r="L14" i="21" s="1"/>
  <c r="F27" i="21"/>
  <c r="F152" i="16"/>
  <c r="J141" i="16"/>
  <c r="L141" i="16" s="1"/>
  <c r="J75" i="15"/>
  <c r="L75" i="15" s="1"/>
  <c r="J74" i="15"/>
  <c r="L74" i="15" s="1"/>
  <c r="J73" i="16"/>
  <c r="L73" i="16" s="1"/>
  <c r="F84" i="15"/>
  <c r="J50" i="15"/>
  <c r="L50" i="15" s="1"/>
  <c r="J21" i="17"/>
  <c r="L21" i="17" s="1"/>
  <c r="J22" i="14"/>
  <c r="J24" i="14" s="1"/>
  <c r="L21" i="14"/>
  <c r="L22" i="14" s="1"/>
  <c r="L24" i="14" s="1"/>
  <c r="D27" i="14"/>
  <c r="J28" i="10"/>
  <c r="L28" i="10" s="1"/>
  <c r="J27" i="11"/>
  <c r="L27" i="11" s="1"/>
  <c r="J13" i="10"/>
  <c r="L13" i="10" s="1"/>
  <c r="J12" i="9"/>
  <c r="J132" i="4"/>
  <c r="H41" i="10"/>
  <c r="J11" i="10"/>
  <c r="V234" i="4"/>
  <c r="V291" i="4"/>
  <c r="U70" i="2"/>
  <c r="U98" i="2" s="1"/>
  <c r="C98" i="2" s="1"/>
  <c r="I67" i="35"/>
  <c r="I70" i="35"/>
  <c r="U48" i="35"/>
  <c r="U44" i="35"/>
  <c r="I51" i="35"/>
  <c r="G32" i="8"/>
  <c r="U32" i="8" s="1"/>
  <c r="U28" i="8"/>
  <c r="C36" i="8"/>
  <c r="V216" i="4"/>
  <c r="V207" i="4"/>
  <c r="C13" i="8"/>
  <c r="U10" i="8"/>
  <c r="H151" i="4"/>
  <c r="H152" i="4" s="1"/>
  <c r="H154" i="4" s="1"/>
  <c r="H156" i="4" s="1"/>
  <c r="P502" i="33"/>
  <c r="N46" i="21"/>
  <c r="N46" i="23"/>
  <c r="P416" i="36"/>
  <c r="R354" i="36"/>
  <c r="D372" i="36"/>
  <c r="H274" i="36"/>
  <c r="H271" i="36"/>
  <c r="R212" i="36"/>
  <c r="N508" i="36"/>
  <c r="N511" i="36" s="1"/>
  <c r="N47" i="23"/>
  <c r="N47" i="21"/>
  <c r="R355" i="36"/>
  <c r="R350" i="33"/>
  <c r="R243" i="36"/>
  <c r="F25" i="34"/>
  <c r="F50" i="34" s="1"/>
  <c r="L444" i="36"/>
  <c r="N22" i="21"/>
  <c r="N22" i="23"/>
  <c r="P22" i="23" s="1"/>
  <c r="F405" i="36"/>
  <c r="N91" i="17"/>
  <c r="N91" i="15"/>
  <c r="R216" i="36"/>
  <c r="J90" i="17"/>
  <c r="L90" i="17" s="1"/>
  <c r="J99" i="18"/>
  <c r="L87" i="18"/>
  <c r="L99" i="18" s="1"/>
  <c r="BL52" i="5"/>
  <c r="R506" i="36"/>
  <c r="F508" i="36"/>
  <c r="F511" i="36" s="1"/>
  <c r="H496" i="36"/>
  <c r="N25" i="11"/>
  <c r="N25" i="9"/>
  <c r="N60" i="21"/>
  <c r="N60" i="23"/>
  <c r="N16" i="23"/>
  <c r="N16" i="21"/>
  <c r="P16" i="21" s="1"/>
  <c r="L405" i="36"/>
  <c r="N55" i="15"/>
  <c r="N56" i="15" s="1"/>
  <c r="N55" i="17"/>
  <c r="N56" i="17" s="1"/>
  <c r="R384" i="33"/>
  <c r="R386" i="33" s="1"/>
  <c r="H244" i="4"/>
  <c r="H255" i="4" s="1"/>
  <c r="H197" i="4"/>
  <c r="P348" i="36"/>
  <c r="R309" i="36"/>
  <c r="H215" i="36"/>
  <c r="R195" i="36"/>
  <c r="R191" i="36"/>
  <c r="R179" i="36"/>
  <c r="R175" i="36"/>
  <c r="H206" i="36"/>
  <c r="L161" i="36"/>
  <c r="R119" i="36"/>
  <c r="L127" i="36"/>
  <c r="N47" i="15"/>
  <c r="N47" i="17"/>
  <c r="N37" i="17"/>
  <c r="N37" i="15"/>
  <c r="N25" i="17"/>
  <c r="N25" i="15"/>
  <c r="N21" i="17"/>
  <c r="N21" i="15"/>
  <c r="D19" i="25"/>
  <c r="D22" i="25" s="1"/>
  <c r="J11" i="25"/>
  <c r="L508" i="36"/>
  <c r="L511" i="36" s="1"/>
  <c r="N30" i="11"/>
  <c r="N30" i="9"/>
  <c r="P30" i="9" s="1"/>
  <c r="F488" i="36"/>
  <c r="N444" i="36"/>
  <c r="N55" i="23"/>
  <c r="N55" i="21"/>
  <c r="N37" i="21"/>
  <c r="N37" i="23"/>
  <c r="N14" i="21"/>
  <c r="N14" i="23"/>
  <c r="P14" i="23" s="1"/>
  <c r="N11" i="23"/>
  <c r="N11" i="21"/>
  <c r="R408" i="33"/>
  <c r="R337" i="36"/>
  <c r="N348" i="36"/>
  <c r="R329" i="33"/>
  <c r="L288" i="36"/>
  <c r="R275" i="33"/>
  <c r="R264" i="36"/>
  <c r="R238" i="36"/>
  <c r="R222" i="36"/>
  <c r="N271" i="36"/>
  <c r="R216" i="33"/>
  <c r="N206" i="36"/>
  <c r="R162" i="36"/>
  <c r="P145" i="36"/>
  <c r="P77" i="36"/>
  <c r="R50" i="36"/>
  <c r="R55" i="36" s="1"/>
  <c r="H40" i="36"/>
  <c r="N15" i="17"/>
  <c r="N15" i="15"/>
  <c r="P15" i="15" s="1"/>
  <c r="N13" i="17"/>
  <c r="P13" i="17" s="1"/>
  <c r="N13" i="15"/>
  <c r="L29" i="36"/>
  <c r="J66" i="22"/>
  <c r="H69" i="22"/>
  <c r="H72" i="24"/>
  <c r="H61" i="21"/>
  <c r="J61" i="21" s="1"/>
  <c r="L61" i="21" s="1"/>
  <c r="P61" i="21" s="1"/>
  <c r="J61" i="22"/>
  <c r="L61" i="22" s="1"/>
  <c r="J57" i="23"/>
  <c r="L57" i="23" s="1"/>
  <c r="H49" i="21"/>
  <c r="J49" i="21" s="1"/>
  <c r="L49" i="21" s="1"/>
  <c r="J49" i="22"/>
  <c r="L49" i="22" s="1"/>
  <c r="H45" i="21"/>
  <c r="J45" i="22"/>
  <c r="H63" i="22"/>
  <c r="H142" i="4"/>
  <c r="H181" i="4" s="1"/>
  <c r="F42" i="21"/>
  <c r="P34" i="21"/>
  <c r="J30" i="23"/>
  <c r="H38" i="23"/>
  <c r="J21" i="21"/>
  <c r="L21" i="21" s="1"/>
  <c r="P21" i="21" s="1"/>
  <c r="J17" i="22"/>
  <c r="L17" i="22" s="1"/>
  <c r="D27" i="23"/>
  <c r="H12" i="19"/>
  <c r="J11" i="19"/>
  <c r="H14" i="15"/>
  <c r="H29" i="15" s="1"/>
  <c r="L154" i="18"/>
  <c r="L161" i="18" s="1"/>
  <c r="J161" i="18"/>
  <c r="D100" i="15"/>
  <c r="F139" i="4"/>
  <c r="F178" i="4" s="1"/>
  <c r="J80" i="17"/>
  <c r="L80" i="17" s="1"/>
  <c r="J56" i="18"/>
  <c r="L54" i="18"/>
  <c r="L56" i="18" s="1"/>
  <c r="J54" i="17"/>
  <c r="D51" i="17"/>
  <c r="J36" i="17"/>
  <c r="L36" i="17" s="1"/>
  <c r="P36" i="17" s="1"/>
  <c r="J32" i="16"/>
  <c r="H40" i="16"/>
  <c r="J23" i="17"/>
  <c r="L23" i="17" s="1"/>
  <c r="J19" i="16"/>
  <c r="L19" i="16" s="1"/>
  <c r="J29" i="18"/>
  <c r="L11" i="18"/>
  <c r="J72" i="10"/>
  <c r="L72" i="10" s="1"/>
  <c r="P38" i="11"/>
  <c r="J30" i="11"/>
  <c r="L30" i="11" s="1"/>
  <c r="P22" i="9"/>
  <c r="P14" i="11"/>
  <c r="F41" i="9"/>
  <c r="F44" i="9" s="1"/>
  <c r="N496" i="36"/>
  <c r="N62" i="23"/>
  <c r="N62" i="21"/>
  <c r="D416" i="36"/>
  <c r="H372" i="36"/>
  <c r="L318" i="36"/>
  <c r="P288" i="36"/>
  <c r="R269" i="36"/>
  <c r="R227" i="36"/>
  <c r="N67" i="15"/>
  <c r="P67" i="15" s="1"/>
  <c r="N67" i="17"/>
  <c r="P67" i="17" s="1"/>
  <c r="F161" i="36"/>
  <c r="N127" i="36"/>
  <c r="N55" i="36"/>
  <c r="N38" i="17"/>
  <c r="P38" i="17" s="1"/>
  <c r="N38" i="15"/>
  <c r="L26" i="26"/>
  <c r="L33" i="26" s="1"/>
  <c r="J33" i="26"/>
  <c r="D60" i="21"/>
  <c r="J50" i="22"/>
  <c r="L50" i="22" s="1"/>
  <c r="H50" i="21"/>
  <c r="J41" i="22"/>
  <c r="H42" i="22"/>
  <c r="J37" i="23"/>
  <c r="L37" i="23" s="1"/>
  <c r="P37" i="23" s="1"/>
  <c r="P16" i="23"/>
  <c r="F27" i="23"/>
  <c r="H164" i="18"/>
  <c r="J95" i="16"/>
  <c r="L95" i="16" s="1"/>
  <c r="J94" i="16"/>
  <c r="L94" i="16" s="1"/>
  <c r="J73" i="15"/>
  <c r="L73" i="15" s="1"/>
  <c r="F84" i="16"/>
  <c r="D56" i="15"/>
  <c r="J50" i="17"/>
  <c r="L50" i="17" s="1"/>
  <c r="J22" i="16"/>
  <c r="L22" i="16" s="1"/>
  <c r="J21" i="15"/>
  <c r="L21" i="15" s="1"/>
  <c r="J20" i="16"/>
  <c r="L20" i="16" s="1"/>
  <c r="J56" i="10"/>
  <c r="L56" i="10" s="1"/>
  <c r="J28" i="11"/>
  <c r="L28" i="11" s="1"/>
  <c r="J27" i="9"/>
  <c r="L27" i="9" s="1"/>
  <c r="L11" i="12"/>
  <c r="J41" i="12"/>
  <c r="J44" i="12" s="1"/>
  <c r="U101" i="2"/>
  <c r="U65" i="35"/>
  <c r="V274" i="4"/>
  <c r="F229" i="4"/>
  <c r="N92" i="1"/>
  <c r="N97" i="1" s="1"/>
  <c r="L97" i="1"/>
  <c r="P496" i="36"/>
  <c r="N19" i="11"/>
  <c r="N19" i="9"/>
  <c r="F450" i="33"/>
  <c r="R429" i="36"/>
  <c r="N13" i="21"/>
  <c r="P13" i="21" s="1"/>
  <c r="N13" i="23"/>
  <c r="R375" i="33"/>
  <c r="N87" i="17"/>
  <c r="F327" i="36"/>
  <c r="H318" i="36"/>
  <c r="R276" i="36"/>
  <c r="F502" i="33"/>
  <c r="F517" i="33" s="1"/>
  <c r="N16" i="11"/>
  <c r="N16" i="9"/>
  <c r="N13" i="11"/>
  <c r="P13" i="11" s="1"/>
  <c r="N13" i="9"/>
  <c r="P13" i="9" s="1"/>
  <c r="P488" i="36"/>
  <c r="N66" i="23"/>
  <c r="N65" i="21"/>
  <c r="R447" i="33"/>
  <c r="N51" i="21"/>
  <c r="N51" i="23"/>
  <c r="R422" i="36"/>
  <c r="N405" i="36"/>
  <c r="N97" i="17"/>
  <c r="N97" i="15"/>
  <c r="N93" i="15"/>
  <c r="N93" i="17"/>
  <c r="R332" i="36"/>
  <c r="D348" i="36"/>
  <c r="F318" i="36"/>
  <c r="F271" i="36"/>
  <c r="N11" i="11"/>
  <c r="N11" i="9"/>
  <c r="R491" i="33"/>
  <c r="H145" i="36"/>
  <c r="J17" i="25"/>
  <c r="L17" i="25" s="1"/>
  <c r="P17" i="25" s="1"/>
  <c r="H19" i="25"/>
  <c r="H22" i="25" s="1"/>
  <c r="J107" i="22"/>
  <c r="L107" i="22" s="1"/>
  <c r="J58" i="22"/>
  <c r="L58" i="22" s="1"/>
  <c r="H58" i="21"/>
  <c r="J48" i="22"/>
  <c r="L48" i="22" s="1"/>
  <c r="H48" i="21"/>
  <c r="D42" i="21"/>
  <c r="F142" i="4"/>
  <c r="F181" i="4" s="1"/>
  <c r="J36" i="22"/>
  <c r="L36" i="22" s="1"/>
  <c r="J33" i="23"/>
  <c r="L33" i="23" s="1"/>
  <c r="J22" i="21"/>
  <c r="L22" i="21" s="1"/>
  <c r="J19" i="22"/>
  <c r="L19" i="22" s="1"/>
  <c r="J134" i="4"/>
  <c r="J173" i="4" s="1"/>
  <c r="J12" i="21"/>
  <c r="R135" i="36"/>
  <c r="F145" i="36"/>
  <c r="R97" i="33"/>
  <c r="R59" i="36"/>
  <c r="F72" i="24"/>
  <c r="F124" i="24" s="1"/>
  <c r="J62" i="22"/>
  <c r="L62" i="22" s="1"/>
  <c r="H62" i="21"/>
  <c r="J62" i="21" s="1"/>
  <c r="L62" i="21" s="1"/>
  <c r="J59" i="23"/>
  <c r="L59" i="23" s="1"/>
  <c r="P59" i="23" s="1"/>
  <c r="J56" i="22"/>
  <c r="L56" i="22" s="1"/>
  <c r="H56" i="21"/>
  <c r="F55" i="21"/>
  <c r="F38" i="23"/>
  <c r="J26" i="23"/>
  <c r="L26" i="23" s="1"/>
  <c r="J23" i="22"/>
  <c r="L23" i="22" s="1"/>
  <c r="P20" i="21"/>
  <c r="H41" i="20"/>
  <c r="J157" i="16"/>
  <c r="L157" i="16" s="1"/>
  <c r="J148" i="16"/>
  <c r="L148" i="16" s="1"/>
  <c r="J114" i="16"/>
  <c r="L114" i="16" s="1"/>
  <c r="Q79" i="35"/>
  <c r="U76" i="35"/>
  <c r="U79" i="35" s="1"/>
  <c r="P299" i="4"/>
  <c r="AP325" i="4" s="1"/>
  <c r="AP16" i="4" s="1"/>
  <c r="P97" i="17"/>
  <c r="AZ364" i="5"/>
  <c r="B100" i="15"/>
  <c r="B103" i="15" s="1"/>
  <c r="D139" i="4"/>
  <c r="D178" i="4" s="1"/>
  <c r="AK154" i="5"/>
  <c r="AK232" i="5" s="1"/>
  <c r="BJ142" i="5"/>
  <c r="BL142" i="5" s="1"/>
  <c r="P508" i="36"/>
  <c r="P511" i="36" s="1"/>
  <c r="R493" i="36"/>
  <c r="R496" i="36" s="1"/>
  <c r="N33" i="11"/>
  <c r="N33" i="9"/>
  <c r="N17" i="11"/>
  <c r="N17" i="9"/>
  <c r="N67" i="21"/>
  <c r="N68" i="23"/>
  <c r="N52" i="23"/>
  <c r="N52" i="21"/>
  <c r="N48" i="23"/>
  <c r="P48" i="23" s="1"/>
  <c r="N48" i="21"/>
  <c r="F438" i="36"/>
  <c r="N36" i="23"/>
  <c r="P36" i="23" s="1"/>
  <c r="N36" i="21"/>
  <c r="R410" i="36"/>
  <c r="N24" i="23"/>
  <c r="N24" i="21"/>
  <c r="R390" i="36"/>
  <c r="R368" i="36"/>
  <c r="P372" i="36"/>
  <c r="F372" i="36"/>
  <c r="F348" i="36"/>
  <c r="R301" i="36"/>
  <c r="D288" i="36"/>
  <c r="R275" i="36"/>
  <c r="R273" i="36"/>
  <c r="L145" i="36"/>
  <c r="R110" i="33"/>
  <c r="R95" i="36"/>
  <c r="D77" i="36"/>
  <c r="R61" i="36"/>
  <c r="L40" i="36"/>
  <c r="N17" i="17"/>
  <c r="N17" i="15"/>
  <c r="P29" i="36"/>
  <c r="J19" i="26"/>
  <c r="J22" i="26" s="1"/>
  <c r="L11" i="26"/>
  <c r="N25" i="34"/>
  <c r="N50" i="34" s="1"/>
  <c r="L496" i="36"/>
  <c r="N27" i="11"/>
  <c r="N27" i="9"/>
  <c r="N24" i="11"/>
  <c r="N24" i="9"/>
  <c r="R463" i="36"/>
  <c r="V193" i="4"/>
  <c r="V249" i="4" s="1"/>
  <c r="T249" i="4"/>
  <c r="R441" i="33"/>
  <c r="N45" i="23"/>
  <c r="N45" i="21"/>
  <c r="N31" i="21"/>
  <c r="N31" i="23"/>
  <c r="N89" i="17"/>
  <c r="P89" i="17" s="1"/>
  <c r="N89" i="15"/>
  <c r="P244" i="4"/>
  <c r="P255" i="4" s="1"/>
  <c r="P197" i="4"/>
  <c r="P199" i="4" s="1"/>
  <c r="P327" i="36"/>
  <c r="D274" i="36"/>
  <c r="R272" i="36"/>
  <c r="R232" i="36"/>
  <c r="P215" i="36"/>
  <c r="R160" i="36"/>
  <c r="R157" i="36"/>
  <c r="R146" i="33"/>
  <c r="H127" i="36"/>
  <c r="H109" i="36"/>
  <c r="N96" i="36"/>
  <c r="N18" i="17"/>
  <c r="N18" i="15"/>
  <c r="J104" i="22"/>
  <c r="L104" i="22" s="1"/>
  <c r="H113" i="22"/>
  <c r="H124" i="24"/>
  <c r="L66" i="24"/>
  <c r="J69" i="24"/>
  <c r="D59" i="21"/>
  <c r="H53" i="21"/>
  <c r="J53" i="22"/>
  <c r="L53" i="22" s="1"/>
  <c r="J63" i="24"/>
  <c r="L45" i="24"/>
  <c r="L63" i="24" s="1"/>
  <c r="H38" i="21"/>
  <c r="J30" i="21"/>
  <c r="P25" i="21"/>
  <c r="J21" i="22"/>
  <c r="L21" i="22" s="1"/>
  <c r="P17" i="21"/>
  <c r="H162" i="16"/>
  <c r="J146" i="16"/>
  <c r="D152" i="16"/>
  <c r="L137" i="18"/>
  <c r="L143" i="18" s="1"/>
  <c r="J143" i="18"/>
  <c r="H127" i="16"/>
  <c r="J118" i="18"/>
  <c r="L106" i="18"/>
  <c r="L118" i="18" s="1"/>
  <c r="J89" i="15"/>
  <c r="L89" i="15" s="1"/>
  <c r="D100" i="17"/>
  <c r="L59" i="18"/>
  <c r="L68" i="18" s="1"/>
  <c r="J68" i="18"/>
  <c r="J54" i="16"/>
  <c r="H56" i="16"/>
  <c r="J49" i="16"/>
  <c r="L49" i="16" s="1"/>
  <c r="J45" i="17"/>
  <c r="L45" i="17" s="1"/>
  <c r="P45" i="17" s="1"/>
  <c r="D51" i="15"/>
  <c r="H40" i="17"/>
  <c r="J32" i="17"/>
  <c r="L27" i="18"/>
  <c r="L27" i="17" s="1"/>
  <c r="J27" i="17"/>
  <c r="J15" i="17"/>
  <c r="L15" i="17" s="1"/>
  <c r="J22" i="10"/>
  <c r="L22" i="10" s="1"/>
  <c r="F41" i="10"/>
  <c r="F77" i="10" s="1"/>
  <c r="R36" i="34"/>
  <c r="R39" i="34" s="1"/>
  <c r="N12" i="25"/>
  <c r="N19" i="25" s="1"/>
  <c r="N22" i="25" s="1"/>
  <c r="L488" i="36"/>
  <c r="P450" i="33"/>
  <c r="R434" i="36"/>
  <c r="T247" i="4"/>
  <c r="V190" i="4"/>
  <c r="V247" i="4" s="1"/>
  <c r="V188" i="4"/>
  <c r="V245" i="4" s="1"/>
  <c r="T245" i="4"/>
  <c r="N33" i="23"/>
  <c r="N33" i="21"/>
  <c r="P33" i="21" s="1"/>
  <c r="H405" i="36"/>
  <c r="J197" i="4"/>
  <c r="J244" i="4"/>
  <c r="J255" i="4" s="1"/>
  <c r="N327" i="36"/>
  <c r="D271" i="36"/>
  <c r="N215" i="36"/>
  <c r="R196" i="36"/>
  <c r="N39" i="17"/>
  <c r="N39" i="15"/>
  <c r="N35" i="17"/>
  <c r="N35" i="15"/>
  <c r="N32" i="17"/>
  <c r="R41" i="33"/>
  <c r="N32" i="15"/>
  <c r="F113" i="22"/>
  <c r="H89" i="22"/>
  <c r="J79" i="22"/>
  <c r="L79" i="22" s="1"/>
  <c r="J50" i="23"/>
  <c r="L50" i="23" s="1"/>
  <c r="H42" i="21"/>
  <c r="J41" i="21"/>
  <c r="J142" i="4"/>
  <c r="J181" i="4" s="1"/>
  <c r="J37" i="21"/>
  <c r="L37" i="21" s="1"/>
  <c r="P37" i="21" s="1"/>
  <c r="J15" i="23"/>
  <c r="L15" i="23" s="1"/>
  <c r="J14" i="22"/>
  <c r="L14" i="22" s="1"/>
  <c r="J96" i="15"/>
  <c r="L96" i="15" s="1"/>
  <c r="P96" i="15" s="1"/>
  <c r="J95" i="15"/>
  <c r="L95" i="15" s="1"/>
  <c r="J74" i="17"/>
  <c r="L74" i="17" s="1"/>
  <c r="J73" i="17"/>
  <c r="L73" i="17" s="1"/>
  <c r="F84" i="17"/>
  <c r="D56" i="17"/>
  <c r="J50" i="16"/>
  <c r="L50" i="16" s="1"/>
  <c r="J20" i="17"/>
  <c r="L20" i="17" s="1"/>
  <c r="J13" i="14"/>
  <c r="J16" i="14" s="1"/>
  <c r="L11" i="14"/>
  <c r="L13" i="14" s="1"/>
  <c r="L16" i="14" s="1"/>
  <c r="L27" i="14" s="1"/>
  <c r="D75" i="10"/>
  <c r="J49" i="10"/>
  <c r="P29" i="11"/>
  <c r="L28" i="12"/>
  <c r="J28" i="9"/>
  <c r="L28" i="9" s="1"/>
  <c r="J12" i="11"/>
  <c r="L12" i="11" s="1"/>
  <c r="J11" i="9"/>
  <c r="H41" i="9"/>
  <c r="H44" i="9" s="1"/>
  <c r="S72" i="35"/>
  <c r="U61" i="35"/>
  <c r="V283" i="4"/>
  <c r="V267" i="4"/>
  <c r="J277" i="4"/>
  <c r="J325" i="4" s="1"/>
  <c r="AN325" i="4" s="1"/>
  <c r="AN16" i="4" s="1"/>
  <c r="V224" i="4"/>
  <c r="G21" i="8"/>
  <c r="U21" i="8" s="1"/>
  <c r="X21" i="8" s="1"/>
  <c r="V211" i="4"/>
  <c r="R229" i="4"/>
  <c r="E33" i="35"/>
  <c r="J61" i="4"/>
  <c r="D25" i="34"/>
  <c r="D50" i="34" s="1"/>
  <c r="N37" i="11"/>
  <c r="N37" i="9"/>
  <c r="N34" i="11"/>
  <c r="P34" i="11" s="1"/>
  <c r="N34" i="9"/>
  <c r="P34" i="9" s="1"/>
  <c r="R475" i="36"/>
  <c r="N35" i="23"/>
  <c r="N35" i="21"/>
  <c r="F244" i="4"/>
  <c r="F255" i="4" s="1"/>
  <c r="F197" i="4"/>
  <c r="X199" i="4" s="1"/>
  <c r="H348" i="36"/>
  <c r="R250" i="36"/>
  <c r="R220" i="33"/>
  <c r="N35" i="11"/>
  <c r="N35" i="9"/>
  <c r="N31" i="11"/>
  <c r="N31" i="9"/>
  <c r="D444" i="36"/>
  <c r="R441" i="36"/>
  <c r="L438" i="36"/>
  <c r="N416" i="36"/>
  <c r="R304" i="36"/>
  <c r="R296" i="36"/>
  <c r="R218" i="36"/>
  <c r="L215" i="36"/>
  <c r="R507" i="36"/>
  <c r="N26" i="11"/>
  <c r="P26" i="11" s="1"/>
  <c r="N26" i="9"/>
  <c r="N18" i="11"/>
  <c r="P18" i="11" s="1"/>
  <c r="N18" i="9"/>
  <c r="D488" i="36"/>
  <c r="L450" i="33"/>
  <c r="L517" i="33" s="1"/>
  <c r="N98" i="17"/>
  <c r="P98" i="17" s="1"/>
  <c r="N98" i="15"/>
  <c r="P98" i="15" s="1"/>
  <c r="R341" i="36"/>
  <c r="R320" i="36"/>
  <c r="N274" i="36"/>
  <c r="R244" i="36"/>
  <c r="R236" i="36"/>
  <c r="N161" i="36"/>
  <c r="P127" i="36"/>
  <c r="R85" i="36"/>
  <c r="P55" i="36"/>
  <c r="R10" i="36"/>
  <c r="D29" i="36"/>
  <c r="L116" i="24"/>
  <c r="L117" i="24" s="1"/>
  <c r="J117" i="24"/>
  <c r="J58" i="23"/>
  <c r="L58" i="23" s="1"/>
  <c r="J55" i="23"/>
  <c r="L55" i="23" s="1"/>
  <c r="P55" i="23" s="1"/>
  <c r="J36" i="21"/>
  <c r="L36" i="21" s="1"/>
  <c r="J12" i="22"/>
  <c r="L12" i="22" s="1"/>
  <c r="J156" i="16"/>
  <c r="L156" i="16" s="1"/>
  <c r="J132" i="16"/>
  <c r="L132" i="16" s="1"/>
  <c r="J113" i="16"/>
  <c r="L113" i="16" s="1"/>
  <c r="H119" i="16"/>
  <c r="J77" i="16"/>
  <c r="L77" i="16" s="1"/>
  <c r="J64" i="16"/>
  <c r="L64" i="16" s="1"/>
  <c r="J61" i="16"/>
  <c r="L61" i="16" s="1"/>
  <c r="J47" i="16"/>
  <c r="L47" i="16" s="1"/>
  <c r="J44" i="16"/>
  <c r="L44" i="16" s="1"/>
  <c r="F51" i="17"/>
  <c r="J37" i="16"/>
  <c r="L37" i="16" s="1"/>
  <c r="J24" i="17"/>
  <c r="L24" i="17" s="1"/>
  <c r="J17" i="17"/>
  <c r="L17" i="17" s="1"/>
  <c r="P17" i="17" s="1"/>
  <c r="J14" i="16"/>
  <c r="L14" i="16" s="1"/>
  <c r="J21" i="19"/>
  <c r="L21" i="19" s="1"/>
  <c r="P21" i="19" s="1"/>
  <c r="J123" i="16"/>
  <c r="L123" i="16" s="1"/>
  <c r="J83" i="15"/>
  <c r="J83" i="17"/>
  <c r="L83" i="17" s="1"/>
  <c r="P83" i="17" s="1"/>
  <c r="L83" i="18"/>
  <c r="L83" i="15" s="1"/>
  <c r="P83" i="15" s="1"/>
  <c r="D68" i="17"/>
  <c r="J46" i="16"/>
  <c r="L46" i="16" s="1"/>
  <c r="J33" i="17"/>
  <c r="L33" i="17" s="1"/>
  <c r="D40" i="17"/>
  <c r="J13" i="15"/>
  <c r="L13" i="15" s="1"/>
  <c r="P13" i="15" s="1"/>
  <c r="R480" i="36"/>
  <c r="N49" i="23"/>
  <c r="P49" i="23" s="1"/>
  <c r="N49" i="21"/>
  <c r="N19" i="23"/>
  <c r="P19" i="23" s="1"/>
  <c r="N19" i="21"/>
  <c r="N95" i="15"/>
  <c r="N95" i="17"/>
  <c r="P95" i="17" s="1"/>
  <c r="N90" i="17"/>
  <c r="N90" i="15"/>
  <c r="N378" i="33"/>
  <c r="N517" i="33" s="1"/>
  <c r="L327" i="36"/>
  <c r="R252" i="36"/>
  <c r="F127" i="36"/>
  <c r="D96" i="36"/>
  <c r="H77" i="36"/>
  <c r="N26" i="17"/>
  <c r="N26" i="15"/>
  <c r="R22" i="36"/>
  <c r="N12" i="17"/>
  <c r="N12" i="15"/>
  <c r="F69" i="22"/>
  <c r="D58" i="21"/>
  <c r="F63" i="23"/>
  <c r="J26" i="21"/>
  <c r="L26" i="21" s="1"/>
  <c r="J23" i="21"/>
  <c r="L23" i="21" s="1"/>
  <c r="J151" i="16"/>
  <c r="L151" i="16" s="1"/>
  <c r="J143" i="16"/>
  <c r="L143" i="16" s="1"/>
  <c r="F135" i="16"/>
  <c r="J90" i="16"/>
  <c r="L90" i="16" s="1"/>
  <c r="J87" i="16"/>
  <c r="H99" i="16"/>
  <c r="J77" i="17"/>
  <c r="L77" i="17" s="1"/>
  <c r="J44" i="15"/>
  <c r="L44" i="15" s="1"/>
  <c r="P44" i="15" s="1"/>
  <c r="J37" i="15"/>
  <c r="L37" i="15" s="1"/>
  <c r="P37" i="15" s="1"/>
  <c r="J34" i="15"/>
  <c r="L34" i="15" s="1"/>
  <c r="P34" i="15" s="1"/>
  <c r="J24" i="16"/>
  <c r="L24" i="16" s="1"/>
  <c r="J17" i="16"/>
  <c r="L17" i="16" s="1"/>
  <c r="R499" i="33"/>
  <c r="N18" i="23"/>
  <c r="P18" i="23" s="1"/>
  <c r="N18" i="21"/>
  <c r="J16" i="25"/>
  <c r="L16" i="25" s="1"/>
  <c r="P16" i="25" s="1"/>
  <c r="D121" i="24"/>
  <c r="J54" i="22"/>
  <c r="L54" i="22" s="1"/>
  <c r="H54" i="21"/>
  <c r="J54" i="21" s="1"/>
  <c r="L54" i="21" s="1"/>
  <c r="P54" i="21" s="1"/>
  <c r="J32" i="23"/>
  <c r="L32" i="23" s="1"/>
  <c r="J27" i="24"/>
  <c r="L11" i="24"/>
  <c r="L27" i="24" s="1"/>
  <c r="H27" i="21"/>
  <c r="J11" i="21"/>
  <c r="F164" i="18"/>
  <c r="J126" i="18"/>
  <c r="L121" i="18"/>
  <c r="L126" i="18" s="1"/>
  <c r="J109" i="16"/>
  <c r="L109" i="16" s="1"/>
  <c r="F102" i="18"/>
  <c r="F29" i="16"/>
  <c r="J35" i="11"/>
  <c r="L35" i="11" s="1"/>
  <c r="P35" i="11" s="1"/>
  <c r="J32" i="11"/>
  <c r="L32" i="11" s="1"/>
  <c r="J25" i="11"/>
  <c r="L25" i="11" s="1"/>
  <c r="P25" i="11" s="1"/>
  <c r="J15" i="10"/>
  <c r="L15" i="10" s="1"/>
  <c r="D73" i="12"/>
  <c r="U63" i="35"/>
  <c r="V286" i="4"/>
  <c r="Q70" i="35"/>
  <c r="Q67" i="35"/>
  <c r="F277" i="4"/>
  <c r="G29" i="8"/>
  <c r="U21" i="35"/>
  <c r="U15" i="8"/>
  <c r="C26" i="8"/>
  <c r="P25" i="34"/>
  <c r="P50" i="34" s="1"/>
  <c r="H288" i="36"/>
  <c r="P165" i="33"/>
  <c r="P378" i="33" s="1"/>
  <c r="J66" i="21"/>
  <c r="L66" i="21" s="1"/>
  <c r="J91" i="15"/>
  <c r="L91" i="15" s="1"/>
  <c r="P91" i="15" s="1"/>
  <c r="J78" i="15"/>
  <c r="L78" i="15" s="1"/>
  <c r="J65" i="16"/>
  <c r="L65" i="16" s="1"/>
  <c r="J37" i="9"/>
  <c r="J140" i="4"/>
  <c r="J179" i="4" s="1"/>
  <c r="J23" i="10"/>
  <c r="L23" i="10" s="1"/>
  <c r="J20" i="9"/>
  <c r="L20" i="9" s="1"/>
  <c r="P20" i="9" s="1"/>
  <c r="J17" i="11"/>
  <c r="L17" i="11" s="1"/>
  <c r="T235" i="4"/>
  <c r="V232" i="4"/>
  <c r="E72" i="35"/>
  <c r="J229" i="4"/>
  <c r="F125" i="4"/>
  <c r="F127" i="4" s="1"/>
  <c r="N124" i="4"/>
  <c r="F69" i="4"/>
  <c r="F71" i="4" s="1"/>
  <c r="N68" i="4"/>
  <c r="F61" i="4"/>
  <c r="N56" i="4"/>
  <c r="F162" i="16"/>
  <c r="J147" i="16"/>
  <c r="L147" i="16" s="1"/>
  <c r="J126" i="16"/>
  <c r="L126" i="16" s="1"/>
  <c r="J110" i="16"/>
  <c r="L110" i="16" s="1"/>
  <c r="J60" i="17"/>
  <c r="L60" i="17" s="1"/>
  <c r="J51" i="18"/>
  <c r="L43" i="18"/>
  <c r="L51" i="18" s="1"/>
  <c r="H51" i="16"/>
  <c r="J43" i="16"/>
  <c r="J33" i="15"/>
  <c r="L33" i="15" s="1"/>
  <c r="P33" i="15" s="1"/>
  <c r="J16" i="17"/>
  <c r="L16" i="17" s="1"/>
  <c r="P16" i="17" s="1"/>
  <c r="J13" i="16"/>
  <c r="L13" i="16" s="1"/>
  <c r="N57" i="21"/>
  <c r="N57" i="23"/>
  <c r="R397" i="36"/>
  <c r="R359" i="36"/>
  <c r="N372" i="36"/>
  <c r="R211" i="36"/>
  <c r="R162" i="33"/>
  <c r="R139" i="36"/>
  <c r="P109" i="36"/>
  <c r="P40" i="36"/>
  <c r="N22" i="17"/>
  <c r="P22" i="17" s="1"/>
  <c r="N22" i="15"/>
  <c r="P22" i="15" s="1"/>
  <c r="J105" i="22"/>
  <c r="L105" i="22" s="1"/>
  <c r="J112" i="22"/>
  <c r="L112" i="22" s="1"/>
  <c r="F69" i="23"/>
  <c r="F72" i="23" s="1"/>
  <c r="H59" i="21"/>
  <c r="J59" i="22"/>
  <c r="L59" i="22" s="1"/>
  <c r="D48" i="21"/>
  <c r="F63" i="22"/>
  <c r="F45" i="21"/>
  <c r="F38" i="22"/>
  <c r="J26" i="22"/>
  <c r="L26" i="22" s="1"/>
  <c r="J23" i="23"/>
  <c r="L23" i="23" s="1"/>
  <c r="J15" i="19"/>
  <c r="H22" i="19"/>
  <c r="J160" i="16"/>
  <c r="L160" i="16" s="1"/>
  <c r="J92" i="17"/>
  <c r="L92" i="17" s="1"/>
  <c r="J117" i="16"/>
  <c r="L117" i="16" s="1"/>
  <c r="H100" i="17"/>
  <c r="J87" i="17"/>
  <c r="J77" i="15"/>
  <c r="L77" i="15" s="1"/>
  <c r="J64" i="17"/>
  <c r="L64" i="17" s="1"/>
  <c r="J61" i="17"/>
  <c r="L61" i="17" s="1"/>
  <c r="J47" i="15"/>
  <c r="L47" i="15" s="1"/>
  <c r="J44" i="17"/>
  <c r="L44" i="17" s="1"/>
  <c r="P44" i="17" s="1"/>
  <c r="F51" i="15"/>
  <c r="J37" i="17"/>
  <c r="L37" i="17" s="1"/>
  <c r="J34" i="17"/>
  <c r="L34" i="17" s="1"/>
  <c r="P34" i="17" s="1"/>
  <c r="J24" i="15"/>
  <c r="L24" i="15" s="1"/>
  <c r="D496" i="36"/>
  <c r="R148" i="36"/>
  <c r="N40" i="36"/>
  <c r="N29" i="36"/>
  <c r="J102" i="22"/>
  <c r="D113" i="22"/>
  <c r="J80" i="22"/>
  <c r="L80" i="22" s="1"/>
  <c r="J54" i="23"/>
  <c r="L54" i="23" s="1"/>
  <c r="J35" i="22"/>
  <c r="L35" i="22" s="1"/>
  <c r="J32" i="22"/>
  <c r="L32" i="22" s="1"/>
  <c r="J11" i="22"/>
  <c r="H27" i="22"/>
  <c r="J161" i="16"/>
  <c r="L161" i="16" s="1"/>
  <c r="J158" i="16"/>
  <c r="L158" i="16" s="1"/>
  <c r="J125" i="16"/>
  <c r="L125" i="16" s="1"/>
  <c r="J99" i="17"/>
  <c r="L99" i="17" s="1"/>
  <c r="P99" i="17" s="1"/>
  <c r="F99" i="16"/>
  <c r="H84" i="16"/>
  <c r="J71" i="16"/>
  <c r="J55" i="16"/>
  <c r="L55" i="16" s="1"/>
  <c r="J38" i="16"/>
  <c r="L38" i="16" s="1"/>
  <c r="J35" i="15"/>
  <c r="L35" i="15" s="1"/>
  <c r="J26" i="15"/>
  <c r="L26" i="15" s="1"/>
  <c r="P26" i="15" s="1"/>
  <c r="J31" i="9"/>
  <c r="L31" i="9" s="1"/>
  <c r="P31" i="9" s="1"/>
  <c r="J21" i="11"/>
  <c r="L21" i="11" s="1"/>
  <c r="P21" i="11" s="1"/>
  <c r="Q87" i="35"/>
  <c r="U64" i="35"/>
  <c r="Q71" i="35"/>
  <c r="U68" i="2"/>
  <c r="U65" i="2"/>
  <c r="E70" i="35"/>
  <c r="E67" i="35"/>
  <c r="V275" i="4"/>
  <c r="U40" i="35"/>
  <c r="J93" i="15"/>
  <c r="L93" i="15" s="1"/>
  <c r="P93" i="15" s="1"/>
  <c r="F56" i="15"/>
  <c r="F40" i="17"/>
  <c r="L28" i="18"/>
  <c r="L28" i="17" s="1"/>
  <c r="J28" i="17"/>
  <c r="J25" i="16"/>
  <c r="L25" i="16" s="1"/>
  <c r="J81" i="15"/>
  <c r="L81" i="15" s="1"/>
  <c r="J62" i="15"/>
  <c r="L62" i="15" s="1"/>
  <c r="J39" i="16"/>
  <c r="L39" i="16" s="1"/>
  <c r="D29" i="16"/>
  <c r="F235" i="4"/>
  <c r="U69" i="2"/>
  <c r="U97" i="2" s="1"/>
  <c r="U43" i="35"/>
  <c r="V226" i="4"/>
  <c r="U27" i="35"/>
  <c r="N102" i="4"/>
  <c r="F109" i="4"/>
  <c r="L64" i="1"/>
  <c r="N62" i="1"/>
  <c r="N64" i="1" s="1"/>
  <c r="T251" i="4"/>
  <c r="V195" i="4"/>
  <c r="V251" i="4" s="1"/>
  <c r="V288" i="4"/>
  <c r="I72" i="35"/>
  <c r="G71" i="35"/>
  <c r="U50" i="35"/>
  <c r="H53" i="4"/>
  <c r="N72" i="15"/>
  <c r="N72" i="17"/>
  <c r="P72" i="17" s="1"/>
  <c r="R153" i="36"/>
  <c r="R149" i="36"/>
  <c r="R89" i="36"/>
  <c r="J13" i="25"/>
  <c r="L13" i="25" s="1"/>
  <c r="P13" i="25" s="1"/>
  <c r="J83" i="22"/>
  <c r="L83" i="22" s="1"/>
  <c r="J33" i="22"/>
  <c r="L33" i="22" s="1"/>
  <c r="J22" i="22"/>
  <c r="L22" i="22" s="1"/>
  <c r="J19" i="21"/>
  <c r="L19" i="21" s="1"/>
  <c r="J12" i="23"/>
  <c r="L12" i="23" s="1"/>
  <c r="P12" i="23" s="1"/>
  <c r="H135" i="16"/>
  <c r="J83" i="16"/>
  <c r="L83" i="16" s="1"/>
  <c r="J60" i="15"/>
  <c r="L60" i="15" s="1"/>
  <c r="D68" i="15"/>
  <c r="J46" i="17"/>
  <c r="L46" i="17" s="1"/>
  <c r="P46" i="17" s="1"/>
  <c r="H51" i="15"/>
  <c r="J43" i="15"/>
  <c r="J33" i="16"/>
  <c r="L33" i="16" s="1"/>
  <c r="D40" i="16"/>
  <c r="J16" i="16"/>
  <c r="L16" i="16" s="1"/>
  <c r="R11" i="34"/>
  <c r="N11" i="19"/>
  <c r="N12" i="19" s="1"/>
  <c r="N28" i="11"/>
  <c r="N28" i="9"/>
  <c r="R244" i="4"/>
  <c r="R255" i="4" s="1"/>
  <c r="R197" i="4"/>
  <c r="R199" i="4" s="1"/>
  <c r="R260" i="36"/>
  <c r="D161" i="36"/>
  <c r="R71" i="36"/>
  <c r="L55" i="36"/>
  <c r="R11" i="36"/>
  <c r="F68" i="21"/>
  <c r="H138" i="4"/>
  <c r="H177" i="4" s="1"/>
  <c r="J62" i="23"/>
  <c r="L62" i="23" s="1"/>
  <c r="P62" i="23" s="1"/>
  <c r="F38" i="21"/>
  <c r="L11" i="20"/>
  <c r="L18" i="20" s="1"/>
  <c r="L21" i="20" s="1"/>
  <c r="J18" i="20"/>
  <c r="J21" i="20" s="1"/>
  <c r="J92" i="15"/>
  <c r="L92" i="15" s="1"/>
  <c r="J90" i="15"/>
  <c r="L90" i="15" s="1"/>
  <c r="P90" i="15" s="1"/>
  <c r="H102" i="18"/>
  <c r="H87" i="15"/>
  <c r="J64" i="15"/>
  <c r="L64" i="15" s="1"/>
  <c r="J61" i="15"/>
  <c r="L61" i="15" s="1"/>
  <c r="J47" i="17"/>
  <c r="L47" i="17" s="1"/>
  <c r="P47" i="17" s="1"/>
  <c r="F51" i="16"/>
  <c r="J34" i="16"/>
  <c r="L34" i="16" s="1"/>
  <c r="J17" i="15"/>
  <c r="L17" i="15" s="1"/>
  <c r="P17" i="15" s="1"/>
  <c r="J14" i="17"/>
  <c r="L14" i="17" s="1"/>
  <c r="D502" i="33"/>
  <c r="R396" i="36"/>
  <c r="R84" i="36"/>
  <c r="N24" i="17"/>
  <c r="N24" i="15"/>
  <c r="R16" i="36"/>
  <c r="J84" i="22"/>
  <c r="L84" i="22" s="1"/>
  <c r="J77" i="22"/>
  <c r="D89" i="22"/>
  <c r="J35" i="23"/>
  <c r="L35" i="23" s="1"/>
  <c r="J11" i="23"/>
  <c r="H27" i="23"/>
  <c r="J17" i="19"/>
  <c r="L17" i="19" s="1"/>
  <c r="P17" i="19" s="1"/>
  <c r="J66" i="17"/>
  <c r="L66" i="17" s="1"/>
  <c r="J122" i="16"/>
  <c r="D127" i="16"/>
  <c r="J98" i="16"/>
  <c r="L98" i="16" s="1"/>
  <c r="F100" i="17"/>
  <c r="J71" i="15"/>
  <c r="H84" i="15"/>
  <c r="L71" i="18"/>
  <c r="J84" i="18"/>
  <c r="J38" i="15"/>
  <c r="L38" i="15" s="1"/>
  <c r="P38" i="15" s="1"/>
  <c r="J35" i="17"/>
  <c r="L35" i="17" s="1"/>
  <c r="J26" i="17"/>
  <c r="L26" i="17" s="1"/>
  <c r="P26" i="17" s="1"/>
  <c r="J12" i="15"/>
  <c r="L12" i="15" s="1"/>
  <c r="J51" i="10"/>
  <c r="L51" i="10" s="1"/>
  <c r="H75" i="10"/>
  <c r="J31" i="11"/>
  <c r="L31" i="11" s="1"/>
  <c r="P31" i="11" s="1"/>
  <c r="J24" i="11"/>
  <c r="L24" i="11" s="1"/>
  <c r="J21" i="10"/>
  <c r="L21" i="10" s="1"/>
  <c r="S71" i="2"/>
  <c r="S79" i="2" s="1"/>
  <c r="S88" i="2" s="1"/>
  <c r="U49" i="35"/>
  <c r="V272" i="4"/>
  <c r="V268" i="4"/>
  <c r="G51" i="35"/>
  <c r="V221" i="4"/>
  <c r="V218" i="4"/>
  <c r="G25" i="8"/>
  <c r="U25" i="8" s="1"/>
  <c r="X25" i="8" s="1"/>
  <c r="V215" i="4"/>
  <c r="V209" i="4"/>
  <c r="G16" i="8"/>
  <c r="N23" i="23"/>
  <c r="N23" i="21"/>
  <c r="D169" i="36"/>
  <c r="D206" i="36" s="1"/>
  <c r="R158" i="36"/>
  <c r="D127" i="36"/>
  <c r="R110" i="36"/>
  <c r="D55" i="36"/>
  <c r="F40" i="36"/>
  <c r="D72" i="24"/>
  <c r="J31" i="23"/>
  <c r="L31" i="23" s="1"/>
  <c r="P31" i="23" s="1"/>
  <c r="J24" i="21"/>
  <c r="L24" i="21" s="1"/>
  <c r="P24" i="21" s="1"/>
  <c r="F12" i="19"/>
  <c r="F14" i="15"/>
  <c r="F29" i="15" s="1"/>
  <c r="F144" i="16"/>
  <c r="J88" i="15"/>
  <c r="L88" i="15" s="1"/>
  <c r="P88" i="15" s="1"/>
  <c r="Q51" i="35"/>
  <c r="U23" i="8"/>
  <c r="X23" i="8" s="1"/>
  <c r="G23" i="8"/>
  <c r="N103" i="4"/>
  <c r="V103" i="4" s="1"/>
  <c r="H277" i="4"/>
  <c r="U19" i="35"/>
  <c r="U16" i="35"/>
  <c r="D508" i="36"/>
  <c r="D511" i="36" s="1"/>
  <c r="N53" i="23"/>
  <c r="N53" i="21"/>
  <c r="R170" i="33"/>
  <c r="N71" i="15"/>
  <c r="N71" i="17"/>
  <c r="R128" i="33"/>
  <c r="N50" i="15"/>
  <c r="N50" i="17"/>
  <c r="D68" i="21"/>
  <c r="F138" i="4"/>
  <c r="F177" i="4" s="1"/>
  <c r="F53" i="21"/>
  <c r="J24" i="22"/>
  <c r="L24" i="22" s="1"/>
  <c r="F38" i="20"/>
  <c r="F41" i="20" s="1"/>
  <c r="J16" i="19"/>
  <c r="L16" i="19" s="1"/>
  <c r="P16" i="19" s="1"/>
  <c r="J131" i="16"/>
  <c r="L131" i="16" s="1"/>
  <c r="J93" i="17"/>
  <c r="L93" i="17" s="1"/>
  <c r="P93" i="17" s="1"/>
  <c r="L82" i="18"/>
  <c r="J82" i="17"/>
  <c r="L82" i="17" s="1"/>
  <c r="J79" i="17"/>
  <c r="L79" i="17" s="1"/>
  <c r="F40" i="16"/>
  <c r="J28" i="15"/>
  <c r="L28" i="15" s="1"/>
  <c r="P28" i="15" s="1"/>
  <c r="J25" i="17"/>
  <c r="L25" i="17" s="1"/>
  <c r="P25" i="17" s="1"/>
  <c r="H136" i="4"/>
  <c r="H175" i="4" s="1"/>
  <c r="J32" i="10"/>
  <c r="L32" i="10" s="1"/>
  <c r="J25" i="10"/>
  <c r="L25" i="10" s="1"/>
  <c r="J15" i="9"/>
  <c r="L15" i="9" s="1"/>
  <c r="P15" i="9" s="1"/>
  <c r="D41" i="9"/>
  <c r="D44" i="9" s="1"/>
  <c r="J235" i="4"/>
  <c r="U66" i="35"/>
  <c r="V289" i="4"/>
  <c r="O72" i="35"/>
  <c r="R293" i="4"/>
  <c r="U49" i="2"/>
  <c r="E51" i="35"/>
  <c r="V217" i="4"/>
  <c r="U12" i="35"/>
  <c r="O33" i="35"/>
  <c r="L381" i="36"/>
  <c r="L383" i="36" s="1"/>
  <c r="J149" i="16"/>
  <c r="L149" i="16" s="1"/>
  <c r="J78" i="17"/>
  <c r="L78" i="17" s="1"/>
  <c r="J65" i="17"/>
  <c r="L65" i="17" s="1"/>
  <c r="J40" i="10"/>
  <c r="L40" i="10" s="1"/>
  <c r="J23" i="9"/>
  <c r="L23" i="9" s="1"/>
  <c r="P23" i="9" s="1"/>
  <c r="J17" i="9"/>
  <c r="L17" i="9" s="1"/>
  <c r="P17" i="9" s="1"/>
  <c r="U84" i="35"/>
  <c r="S87" i="35"/>
  <c r="G35" i="8"/>
  <c r="U35" i="8" s="1"/>
  <c r="L38" i="1"/>
  <c r="L40" i="1" s="1"/>
  <c r="N37" i="1"/>
  <c r="N38" i="1" s="1"/>
  <c r="N40" i="1" s="1"/>
  <c r="N47" i="4"/>
  <c r="V47" i="4" s="1"/>
  <c r="F53" i="4"/>
  <c r="N46" i="4"/>
  <c r="L12" i="1"/>
  <c r="N10" i="1"/>
  <c r="N12" i="1" s="1"/>
  <c r="N32" i="1" s="1"/>
  <c r="N52" i="4"/>
  <c r="V52" i="4" s="1"/>
  <c r="G70" i="35"/>
  <c r="G73" i="35" s="1"/>
  <c r="G81" i="35" s="1"/>
  <c r="G90" i="35" s="1"/>
  <c r="G67" i="35"/>
  <c r="R277" i="4"/>
  <c r="U32" i="35"/>
  <c r="J67" i="21"/>
  <c r="L67" i="21" s="1"/>
  <c r="F127" i="16"/>
  <c r="J48" i="15"/>
  <c r="L48" i="15" s="1"/>
  <c r="V282" i="4"/>
  <c r="O51" i="35"/>
  <c r="U18" i="35"/>
  <c r="T229" i="4"/>
  <c r="V206" i="4"/>
  <c r="L79" i="1"/>
  <c r="N77" i="1"/>
  <c r="N79" i="1" s="1"/>
  <c r="H61" i="4"/>
  <c r="N26" i="23"/>
  <c r="N26" i="21"/>
  <c r="N94" i="15"/>
  <c r="N94" i="17"/>
  <c r="P94" i="17" s="1"/>
  <c r="R324" i="36"/>
  <c r="R174" i="36"/>
  <c r="J18" i="25"/>
  <c r="L18" i="25" s="1"/>
  <c r="P18" i="25" s="1"/>
  <c r="L18" i="26"/>
  <c r="D53" i="21"/>
  <c r="H47" i="21"/>
  <c r="J47" i="21" s="1"/>
  <c r="L47" i="21" s="1"/>
  <c r="J47" i="22"/>
  <c r="L47" i="22" s="1"/>
  <c r="D38" i="23"/>
  <c r="J18" i="22"/>
  <c r="L18" i="22" s="1"/>
  <c r="J159" i="16"/>
  <c r="L159" i="16" s="1"/>
  <c r="D22" i="19"/>
  <c r="D25" i="19" s="1"/>
  <c r="L129" i="18"/>
  <c r="L134" i="18" s="1"/>
  <c r="J134" i="18"/>
  <c r="F68" i="17"/>
  <c r="J18" i="17"/>
  <c r="L18" i="17" s="1"/>
  <c r="J36" i="11"/>
  <c r="L36" i="11" s="1"/>
  <c r="J33" i="9"/>
  <c r="L33" i="9" s="1"/>
  <c r="U85" i="35"/>
  <c r="O71" i="2"/>
  <c r="U29" i="35"/>
  <c r="G33" i="35"/>
  <c r="H117" i="4"/>
  <c r="H109" i="4"/>
  <c r="F90" i="4"/>
  <c r="F92" i="4" s="1"/>
  <c r="N87" i="4"/>
  <c r="N59" i="4"/>
  <c r="V59" i="4" s="1"/>
  <c r="N66" i="21"/>
  <c r="N67" i="23"/>
  <c r="N15" i="23"/>
  <c r="N15" i="21"/>
  <c r="F219" i="36"/>
  <c r="J46" i="23"/>
  <c r="L46" i="23" s="1"/>
  <c r="P46" i="23" s="1"/>
  <c r="J81" i="16"/>
  <c r="L81" i="16" s="1"/>
  <c r="J62" i="16"/>
  <c r="L62" i="16" s="1"/>
  <c r="J39" i="15"/>
  <c r="L39" i="15" s="1"/>
  <c r="P39" i="15" s="1"/>
  <c r="D29" i="15"/>
  <c r="F136" i="4"/>
  <c r="F175" i="4" s="1"/>
  <c r="U58" i="35"/>
  <c r="S71" i="35"/>
  <c r="U55" i="35"/>
  <c r="V270" i="4"/>
  <c r="V213" i="4"/>
  <c r="N108" i="4"/>
  <c r="V108" i="4" s="1"/>
  <c r="L89" i="1"/>
  <c r="N82" i="1"/>
  <c r="N89" i="1" s="1"/>
  <c r="N32" i="11"/>
  <c r="N32" i="9"/>
  <c r="V276" i="4"/>
  <c r="L112" i="1"/>
  <c r="L114" i="1" s="1"/>
  <c r="N111" i="1"/>
  <c r="N112" i="1" s="1"/>
  <c r="N114" i="1" s="1"/>
  <c r="J55" i="15"/>
  <c r="J141" i="4"/>
  <c r="J180" i="4" s="1"/>
  <c r="J12" i="16"/>
  <c r="L12" i="16" s="1"/>
  <c r="J24" i="9"/>
  <c r="L24" i="9" s="1"/>
  <c r="P24" i="9" s="1"/>
  <c r="J21" i="9"/>
  <c r="L21" i="9" s="1"/>
  <c r="P21" i="9" s="1"/>
  <c r="V290" i="4"/>
  <c r="Q72" i="35"/>
  <c r="S67" i="35"/>
  <c r="S70" i="35"/>
  <c r="S73" i="35" s="1"/>
  <c r="S81" i="35" s="1"/>
  <c r="U54" i="35"/>
  <c r="F293" i="4"/>
  <c r="U45" i="35"/>
  <c r="V212" i="4"/>
  <c r="G19" i="8"/>
  <c r="U19" i="8" s="1"/>
  <c r="X19" i="8" s="1"/>
  <c r="U13" i="35"/>
  <c r="N488" i="36"/>
  <c r="R256" i="36"/>
  <c r="N59" i="15"/>
  <c r="N59" i="17"/>
  <c r="R56" i="33"/>
  <c r="D69" i="23"/>
  <c r="F56" i="21"/>
  <c r="J31" i="21"/>
  <c r="L31" i="21" s="1"/>
  <c r="J108" i="16"/>
  <c r="L108" i="16" s="1"/>
  <c r="J82" i="15"/>
  <c r="L82" i="15" s="1"/>
  <c r="P82" i="15" s="1"/>
  <c r="J79" i="15"/>
  <c r="L79" i="15" s="1"/>
  <c r="D84" i="15"/>
  <c r="J66" i="16"/>
  <c r="L66" i="16" s="1"/>
  <c r="F56" i="16"/>
  <c r="J67" i="12"/>
  <c r="J70" i="12" s="1"/>
  <c r="L49" i="12"/>
  <c r="L67" i="12" s="1"/>
  <c r="L70" i="12" s="1"/>
  <c r="J35" i="9"/>
  <c r="L35" i="9" s="1"/>
  <c r="P35" i="9" s="1"/>
  <c r="J32" i="9"/>
  <c r="L32" i="9" s="1"/>
  <c r="P32" i="9" s="1"/>
  <c r="J15" i="11"/>
  <c r="L15" i="11" s="1"/>
  <c r="P15" i="11" s="1"/>
  <c r="D41" i="10"/>
  <c r="I71" i="35"/>
  <c r="S51" i="35"/>
  <c r="U36" i="35"/>
  <c r="V208" i="4"/>
  <c r="P229" i="4"/>
  <c r="F215" i="36"/>
  <c r="P161" i="36"/>
  <c r="P164" i="36" s="1"/>
  <c r="J67" i="22"/>
  <c r="L67" i="22" s="1"/>
  <c r="J60" i="23"/>
  <c r="L60" i="23" s="1"/>
  <c r="J91" i="16"/>
  <c r="L91" i="16" s="1"/>
  <c r="J78" i="16"/>
  <c r="L78" i="16" s="1"/>
  <c r="J65" i="15"/>
  <c r="L65" i="15" s="1"/>
  <c r="J40" i="11"/>
  <c r="L40" i="11" s="1"/>
  <c r="J37" i="10"/>
  <c r="L37" i="10" s="1"/>
  <c r="J23" i="11"/>
  <c r="L23" i="11" s="1"/>
  <c r="P23" i="11" s="1"/>
  <c r="J20" i="10"/>
  <c r="L20" i="10" s="1"/>
  <c r="U102" i="2"/>
  <c r="U85" i="2"/>
  <c r="U107" i="2"/>
  <c r="E71" i="35"/>
  <c r="I33" i="35"/>
  <c r="J117" i="4"/>
  <c r="J119" i="4" s="1"/>
  <c r="J90" i="4"/>
  <c r="J92" i="4" s="1"/>
  <c r="N57" i="4"/>
  <c r="V57" i="4" s="1"/>
  <c r="N42" i="4"/>
  <c r="V42" i="4" s="1"/>
  <c r="N60" i="4"/>
  <c r="V60" i="4" s="1"/>
  <c r="N50" i="4"/>
  <c r="V50" i="4" s="1"/>
  <c r="N92" i="17"/>
  <c r="N92" i="15"/>
  <c r="R62" i="36"/>
  <c r="N20" i="17"/>
  <c r="N20" i="15"/>
  <c r="P20" i="15" s="1"/>
  <c r="J88" i="16"/>
  <c r="L88" i="16" s="1"/>
  <c r="G71" i="2"/>
  <c r="G79" i="2" s="1"/>
  <c r="G88" i="2" s="1"/>
  <c r="V228" i="4"/>
  <c r="V253" i="4" s="1"/>
  <c r="T253" i="4"/>
  <c r="J151" i="4"/>
  <c r="J152" i="4" s="1"/>
  <c r="J154" i="4" s="1"/>
  <c r="J156" i="4" s="1"/>
  <c r="J32" i="1"/>
  <c r="J127" i="1" s="1"/>
  <c r="J130" i="1" s="1"/>
  <c r="J133" i="1" s="1"/>
  <c r="J137" i="1" s="1"/>
  <c r="L68" i="24"/>
  <c r="J68" i="23"/>
  <c r="L68" i="23" s="1"/>
  <c r="P68" i="23" s="1"/>
  <c r="J48" i="16"/>
  <c r="L48" i="16" s="1"/>
  <c r="V285" i="4"/>
  <c r="U56" i="35"/>
  <c r="V273" i="4"/>
  <c r="S33" i="35"/>
  <c r="U10" i="35"/>
  <c r="F99" i="4"/>
  <c r="N97" i="4"/>
  <c r="R132" i="36"/>
  <c r="R145" i="36" s="1"/>
  <c r="R114" i="36"/>
  <c r="J106" i="22"/>
  <c r="L106" i="22" s="1"/>
  <c r="J47" i="23"/>
  <c r="L47" i="23" s="1"/>
  <c r="P47" i="23" s="1"/>
  <c r="D38" i="22"/>
  <c r="D38" i="20"/>
  <c r="D41" i="20" s="1"/>
  <c r="J118" i="16"/>
  <c r="L118" i="16" s="1"/>
  <c r="F68" i="15"/>
  <c r="J18" i="15"/>
  <c r="L18" i="15" s="1"/>
  <c r="P18" i="15" s="1"/>
  <c r="J39" i="10"/>
  <c r="L39" i="10" s="1"/>
  <c r="J33" i="11"/>
  <c r="L33" i="11" s="1"/>
  <c r="J19" i="9"/>
  <c r="L19" i="9" s="1"/>
  <c r="J16" i="11"/>
  <c r="L16" i="11" s="1"/>
  <c r="P16" i="11" s="1"/>
  <c r="V233" i="4"/>
  <c r="U41" i="35"/>
  <c r="V266" i="4"/>
  <c r="U23" i="35"/>
  <c r="M73" i="8"/>
  <c r="O59" i="8"/>
  <c r="H152" i="16"/>
  <c r="J81" i="17"/>
  <c r="L81" i="17" s="1"/>
  <c r="J62" i="17"/>
  <c r="L62" i="17" s="1"/>
  <c r="J39" i="17"/>
  <c r="L39" i="17" s="1"/>
  <c r="D29" i="17"/>
  <c r="U41" i="8"/>
  <c r="C44" i="8"/>
  <c r="U30" i="35"/>
  <c r="V210" i="4"/>
  <c r="H99" i="1"/>
  <c r="J53" i="4"/>
  <c r="P271" i="36"/>
  <c r="U62" i="35"/>
  <c r="H32" i="1"/>
  <c r="H127" i="1" s="1"/>
  <c r="H130" i="1" s="1"/>
  <c r="H133" i="1" s="1"/>
  <c r="H137" i="1" s="1"/>
  <c r="V265" i="4"/>
  <c r="U25" i="35"/>
  <c r="U22" i="35"/>
  <c r="N36" i="11"/>
  <c r="N36" i="9"/>
  <c r="P36" i="9" s="1"/>
  <c r="R511" i="33"/>
  <c r="R514" i="33" s="1"/>
  <c r="R345" i="36"/>
  <c r="R66" i="36"/>
  <c r="N23" i="17"/>
  <c r="N23" i="15"/>
  <c r="P23" i="15" s="1"/>
  <c r="D69" i="22"/>
  <c r="J31" i="22"/>
  <c r="L31" i="22" s="1"/>
  <c r="J24" i="23"/>
  <c r="L24" i="23" s="1"/>
  <c r="P24" i="23" s="1"/>
  <c r="L30" i="20"/>
  <c r="L35" i="20" s="1"/>
  <c r="J35" i="20"/>
  <c r="J19" i="19"/>
  <c r="L19" i="19" s="1"/>
  <c r="P19" i="19" s="1"/>
  <c r="J92" i="16"/>
  <c r="L92" i="16" s="1"/>
  <c r="J79" i="16"/>
  <c r="L79" i="16" s="1"/>
  <c r="D84" i="16"/>
  <c r="J66" i="15"/>
  <c r="L66" i="15" s="1"/>
  <c r="P66" i="15" s="1"/>
  <c r="F56" i="17"/>
  <c r="F40" i="15"/>
  <c r="J28" i="16"/>
  <c r="L28" i="16" s="1"/>
  <c r="J25" i="15"/>
  <c r="L25" i="15" s="1"/>
  <c r="P25" i="15" s="1"/>
  <c r="F29" i="17"/>
  <c r="J35" i="10"/>
  <c r="L35" i="10" s="1"/>
  <c r="J25" i="9"/>
  <c r="L25" i="9" s="1"/>
  <c r="D41" i="11"/>
  <c r="D44" i="11" s="1"/>
  <c r="V292" i="4"/>
  <c r="U60" i="35"/>
  <c r="Q71" i="2"/>
  <c r="Q79" i="2" s="1"/>
  <c r="Q88" i="2" s="1"/>
  <c r="V264" i="4"/>
  <c r="T277" i="4"/>
  <c r="F109" i="36"/>
  <c r="J67" i="23"/>
  <c r="L67" i="23" s="1"/>
  <c r="J60" i="22"/>
  <c r="L60" i="22" s="1"/>
  <c r="H60" i="21"/>
  <c r="J91" i="17"/>
  <c r="L91" i="17" s="1"/>
  <c r="P91" i="17" s="1"/>
  <c r="J53" i="10"/>
  <c r="L53" i="10" s="1"/>
  <c r="J40" i="9"/>
  <c r="L40" i="9" s="1"/>
  <c r="P40" i="9" s="1"/>
  <c r="J37" i="11"/>
  <c r="L37" i="11" s="1"/>
  <c r="P37" i="11" s="1"/>
  <c r="J20" i="11"/>
  <c r="L20" i="11" s="1"/>
  <c r="P20" i="11" s="1"/>
  <c r="J17" i="10"/>
  <c r="L17" i="10" s="1"/>
  <c r="L104" i="1"/>
  <c r="L106" i="1" s="1"/>
  <c r="N103" i="1"/>
  <c r="N104" i="1" s="1"/>
  <c r="N106" i="1" s="1"/>
  <c r="N25" i="1"/>
  <c r="N30" i="1" s="1"/>
  <c r="L30" i="1"/>
  <c r="N48" i="4"/>
  <c r="V48" i="4" s="1"/>
  <c r="L22" i="1"/>
  <c r="N15" i="1"/>
  <c r="N22" i="1" s="1"/>
  <c r="F43" i="4"/>
  <c r="N41" i="4"/>
  <c r="R188" i="36"/>
  <c r="N48" i="15"/>
  <c r="N48" i="17"/>
  <c r="P48" i="17" s="1"/>
  <c r="J88" i="17"/>
  <c r="L88" i="17" s="1"/>
  <c r="P88" i="17" s="1"/>
  <c r="H293" i="4"/>
  <c r="N113" i="4"/>
  <c r="V113" i="4" s="1"/>
  <c r="J43" i="4"/>
  <c r="H438" i="36"/>
  <c r="J14" i="25"/>
  <c r="L14" i="25" s="1"/>
  <c r="P14" i="25" s="1"/>
  <c r="U59" i="35"/>
  <c r="U46" i="35"/>
  <c r="P277" i="4"/>
  <c r="V214" i="4"/>
  <c r="U33" i="2"/>
  <c r="F99" i="1"/>
  <c r="F288" i="36"/>
  <c r="D38" i="21"/>
  <c r="J18" i="21"/>
  <c r="L18" i="21" s="1"/>
  <c r="P18" i="21" s="1"/>
  <c r="J130" i="16"/>
  <c r="D135" i="16"/>
  <c r="F68" i="16"/>
  <c r="J39" i="11"/>
  <c r="L39" i="11" s="1"/>
  <c r="P39" i="11" s="1"/>
  <c r="J36" i="10"/>
  <c r="L36" i="10" s="1"/>
  <c r="J19" i="10"/>
  <c r="L19" i="10" s="1"/>
  <c r="J16" i="9"/>
  <c r="L16" i="9" s="1"/>
  <c r="P16" i="9" s="1"/>
  <c r="H235" i="4"/>
  <c r="P293" i="4"/>
  <c r="U38" i="35"/>
  <c r="V225" i="4"/>
  <c r="V222" i="4"/>
  <c r="H229" i="4"/>
  <c r="L67" i="1"/>
  <c r="F70" i="1"/>
  <c r="F72" i="1" s="1"/>
  <c r="N51" i="4"/>
  <c r="V51" i="4" s="1"/>
  <c r="J46" i="22"/>
  <c r="L46" i="22" s="1"/>
  <c r="H46" i="21"/>
  <c r="E87" i="35"/>
  <c r="V284" i="4"/>
  <c r="V281" i="4"/>
  <c r="V223" i="4"/>
  <c r="U17" i="35"/>
  <c r="U14" i="35"/>
  <c r="H99" i="4"/>
  <c r="R462" i="36"/>
  <c r="L109" i="36"/>
  <c r="D56" i="21"/>
  <c r="F151" i="4"/>
  <c r="H43" i="4"/>
  <c r="BD154" i="5" l="1"/>
  <c r="AO509" i="5"/>
  <c r="W232" i="5"/>
  <c r="Y481" i="5"/>
  <c r="AC232" i="5"/>
  <c r="BH154" i="5"/>
  <c r="BB403" i="5"/>
  <c r="AM509" i="5"/>
  <c r="BJ427" i="5"/>
  <c r="AA509" i="5"/>
  <c r="Q232" i="5"/>
  <c r="BJ191" i="5"/>
  <c r="BL191" i="5" s="1"/>
  <c r="AX232" i="5"/>
  <c r="AG232" i="5"/>
  <c r="AI232" i="5"/>
  <c r="AI509" i="5" s="1"/>
  <c r="E481" i="5"/>
  <c r="E509" i="5" s="1"/>
  <c r="K232" i="5"/>
  <c r="BJ71" i="5"/>
  <c r="BF154" i="5"/>
  <c r="Q481" i="5"/>
  <c r="BJ400" i="5"/>
  <c r="I509" i="5"/>
  <c r="BF403" i="5"/>
  <c r="AG509" i="5"/>
  <c r="Y509" i="5"/>
  <c r="AE481" i="5"/>
  <c r="BD403" i="5"/>
  <c r="BL363" i="5"/>
  <c r="BL82" i="5"/>
  <c r="AV509" i="5"/>
  <c r="BD477" i="5"/>
  <c r="BL364" i="5"/>
  <c r="W481" i="5"/>
  <c r="BF229" i="5"/>
  <c r="BL399" i="5"/>
  <c r="U509" i="5"/>
  <c r="BJ382" i="5"/>
  <c r="BL382" i="5" s="1"/>
  <c r="T325" i="4"/>
  <c r="H260" i="4"/>
  <c r="AE260" i="4" s="1"/>
  <c r="AE12" i="4" s="1"/>
  <c r="H119" i="4"/>
  <c r="R325" i="4"/>
  <c r="V277" i="4"/>
  <c r="M509" i="5"/>
  <c r="K509" i="5"/>
  <c r="BH229" i="5"/>
  <c r="BH232" i="5" s="1"/>
  <c r="AE232" i="5"/>
  <c r="AE509" i="5" s="1"/>
  <c r="S509" i="5"/>
  <c r="BJ439" i="5"/>
  <c r="BL439" i="5" s="1"/>
  <c r="O481" i="5"/>
  <c r="O509" i="5" s="1"/>
  <c r="BB477" i="5"/>
  <c r="BB481" i="5" s="1"/>
  <c r="BJ335" i="5"/>
  <c r="BL335" i="5" s="1"/>
  <c r="BH403" i="5"/>
  <c r="BH481" i="5" s="1"/>
  <c r="BF477" i="5"/>
  <c r="BL133" i="5"/>
  <c r="AX509" i="5"/>
  <c r="BJ468" i="5"/>
  <c r="BL468" i="5" s="1"/>
  <c r="AQ509" i="5"/>
  <c r="F499" i="36"/>
  <c r="P52" i="23"/>
  <c r="P351" i="36"/>
  <c r="P55" i="17"/>
  <c r="P48" i="15"/>
  <c r="R405" i="36"/>
  <c r="F127" i="1"/>
  <c r="F130" i="1" s="1"/>
  <c r="J60" i="21"/>
  <c r="L60" i="21" s="1"/>
  <c r="P60" i="21" s="1"/>
  <c r="D164" i="36"/>
  <c r="J59" i="21"/>
  <c r="L59" i="21" s="1"/>
  <c r="P59" i="21" s="1"/>
  <c r="Q73" i="35"/>
  <c r="Q81" i="35" s="1"/>
  <c r="Q90" i="35" s="1"/>
  <c r="H102" i="16"/>
  <c r="P28" i="9"/>
  <c r="D77" i="10"/>
  <c r="P27" i="17"/>
  <c r="J53" i="21"/>
  <c r="L53" i="21" s="1"/>
  <c r="P53" i="21" s="1"/>
  <c r="D351" i="36"/>
  <c r="P97" i="15"/>
  <c r="F164" i="36"/>
  <c r="N351" i="36"/>
  <c r="L164" i="36"/>
  <c r="D102" i="16"/>
  <c r="R488" i="36"/>
  <c r="R499" i="36" s="1"/>
  <c r="P40" i="11"/>
  <c r="P60" i="23"/>
  <c r="P260" i="4"/>
  <c r="S90" i="35"/>
  <c r="G26" i="8"/>
  <c r="P66" i="17"/>
  <c r="R161" i="36"/>
  <c r="P47" i="15"/>
  <c r="R215" i="36"/>
  <c r="P32" i="23"/>
  <c r="P23" i="21"/>
  <c r="P58" i="23"/>
  <c r="R29" i="36"/>
  <c r="N164" i="36"/>
  <c r="P35" i="21"/>
  <c r="P95" i="15"/>
  <c r="P50" i="23"/>
  <c r="P15" i="17"/>
  <c r="H164" i="36"/>
  <c r="P19" i="11"/>
  <c r="L351" i="36"/>
  <c r="R271" i="36"/>
  <c r="P15" i="21"/>
  <c r="P57" i="21"/>
  <c r="R318" i="36"/>
  <c r="P18" i="9"/>
  <c r="R25" i="34"/>
  <c r="P53" i="23"/>
  <c r="U71" i="35"/>
  <c r="P23" i="23"/>
  <c r="R165" i="33"/>
  <c r="F351" i="36"/>
  <c r="F375" i="36" s="1"/>
  <c r="J58" i="21"/>
  <c r="L58" i="21" s="1"/>
  <c r="P39" i="17"/>
  <c r="P33" i="11"/>
  <c r="P31" i="21"/>
  <c r="P47" i="21"/>
  <c r="P28" i="17"/>
  <c r="H25" i="19"/>
  <c r="F165" i="16"/>
  <c r="F167" i="16" s="1"/>
  <c r="P517" i="33"/>
  <c r="P24" i="17"/>
  <c r="R444" i="36"/>
  <c r="H351" i="36"/>
  <c r="H375" i="36" s="1"/>
  <c r="N40" i="15"/>
  <c r="F447" i="36"/>
  <c r="P33" i="23"/>
  <c r="J48" i="21"/>
  <c r="L48" i="21" s="1"/>
  <c r="P48" i="21" s="1"/>
  <c r="R438" i="36"/>
  <c r="N87" i="15"/>
  <c r="L41" i="12"/>
  <c r="L44" i="12" s="1"/>
  <c r="P30" i="11"/>
  <c r="L29" i="18"/>
  <c r="P57" i="23"/>
  <c r="H72" i="22"/>
  <c r="N447" i="36"/>
  <c r="R508" i="36"/>
  <c r="R511" i="36" s="1"/>
  <c r="P27" i="11"/>
  <c r="F182" i="4"/>
  <c r="AC199" i="4" s="1"/>
  <c r="AC15" i="4" s="1"/>
  <c r="D165" i="16"/>
  <c r="D167" i="16" s="1"/>
  <c r="P13" i="23"/>
  <c r="U11" i="8"/>
  <c r="U13" i="8" s="1"/>
  <c r="J38" i="20"/>
  <c r="J41" i="20" s="1"/>
  <c r="F133" i="1"/>
  <c r="F137" i="1" s="1"/>
  <c r="AR167" i="4"/>
  <c r="D517" i="33"/>
  <c r="F152" i="4"/>
  <c r="F154" i="4" s="1"/>
  <c r="F156" i="4" s="1"/>
  <c r="AC156" i="4" s="1"/>
  <c r="N151" i="4"/>
  <c r="U44" i="8"/>
  <c r="G58" i="8"/>
  <c r="G59" i="8" s="1"/>
  <c r="G61" i="8" s="1"/>
  <c r="G71" i="8"/>
  <c r="G72" i="8" s="1"/>
  <c r="G74" i="8" s="1"/>
  <c r="P36" i="11"/>
  <c r="L11" i="23"/>
  <c r="J27" i="23"/>
  <c r="L11" i="22"/>
  <c r="L27" i="22" s="1"/>
  <c r="J27" i="22"/>
  <c r="J100" i="17"/>
  <c r="L87" i="17"/>
  <c r="N499" i="36"/>
  <c r="J56" i="17"/>
  <c r="L54" i="17"/>
  <c r="H63" i="4"/>
  <c r="F119" i="4"/>
  <c r="U51" i="35"/>
  <c r="L99" i="1"/>
  <c r="P67" i="21"/>
  <c r="N53" i="4"/>
  <c r="V46" i="4"/>
  <c r="V53" i="4" s="1"/>
  <c r="U87" i="35"/>
  <c r="P82" i="17"/>
  <c r="N63" i="15"/>
  <c r="P63" i="15" s="1"/>
  <c r="N63" i="17"/>
  <c r="P63" i="17" s="1"/>
  <c r="L84" i="18"/>
  <c r="J87" i="15"/>
  <c r="H100" i="15"/>
  <c r="H103" i="15" s="1"/>
  <c r="J139" i="4"/>
  <c r="J178" i="4" s="1"/>
  <c r="V137" i="4"/>
  <c r="V176" i="4" s="1"/>
  <c r="D137" i="4"/>
  <c r="N137" i="4"/>
  <c r="N176" i="4" s="1"/>
  <c r="U71" i="2"/>
  <c r="U79" i="2" s="1"/>
  <c r="U88" i="2" s="1"/>
  <c r="U90" i="2" s="1"/>
  <c r="U96" i="2"/>
  <c r="U105" i="2"/>
  <c r="U108" i="2" s="1"/>
  <c r="F102" i="16"/>
  <c r="J113" i="22"/>
  <c r="L102" i="22"/>
  <c r="L113" i="22" s="1"/>
  <c r="D499" i="36"/>
  <c r="J22" i="19"/>
  <c r="L15" i="19"/>
  <c r="N375" i="36"/>
  <c r="N514" i="36" s="1"/>
  <c r="J51" i="16"/>
  <c r="L43" i="16"/>
  <c r="L51" i="16" s="1"/>
  <c r="W15" i="8"/>
  <c r="W26" i="8" s="1"/>
  <c r="F325" i="4"/>
  <c r="X325" i="4" s="1"/>
  <c r="P32" i="11"/>
  <c r="L11" i="21"/>
  <c r="J27" i="21"/>
  <c r="F72" i="22"/>
  <c r="P33" i="17"/>
  <c r="P12" i="11"/>
  <c r="J27" i="14"/>
  <c r="N40" i="17"/>
  <c r="J56" i="16"/>
  <c r="L54" i="16"/>
  <c r="L56" i="16" s="1"/>
  <c r="D103" i="17"/>
  <c r="D169" i="16" s="1"/>
  <c r="L146" i="16"/>
  <c r="L152" i="16" s="1"/>
  <c r="J152" i="16"/>
  <c r="J72" i="24"/>
  <c r="R274" i="36"/>
  <c r="N62" i="17"/>
  <c r="N62" i="15"/>
  <c r="P375" i="36"/>
  <c r="J56" i="21"/>
  <c r="L56" i="21" s="1"/>
  <c r="P56" i="21" s="1"/>
  <c r="P58" i="21"/>
  <c r="N41" i="11"/>
  <c r="N44" i="11" s="1"/>
  <c r="P499" i="36"/>
  <c r="J73" i="12"/>
  <c r="P28" i="11"/>
  <c r="J42" i="22"/>
  <c r="L41" i="22"/>
  <c r="L42" i="22" s="1"/>
  <c r="J35" i="26"/>
  <c r="N77" i="15"/>
  <c r="N77" i="17"/>
  <c r="H499" i="36"/>
  <c r="P90" i="17"/>
  <c r="D375" i="36"/>
  <c r="I73" i="35"/>
  <c r="I81" i="35" s="1"/>
  <c r="I90" i="35" s="1"/>
  <c r="L12" i="9"/>
  <c r="N132" i="4"/>
  <c r="P50" i="15"/>
  <c r="P52" i="21"/>
  <c r="R40" i="36"/>
  <c r="P447" i="36"/>
  <c r="P514" i="36" s="1"/>
  <c r="J68" i="15"/>
  <c r="L59" i="15"/>
  <c r="F25" i="19"/>
  <c r="N51" i="17"/>
  <c r="P26" i="9"/>
  <c r="J68" i="17"/>
  <c r="L59" i="17"/>
  <c r="V299" i="4"/>
  <c r="BJ220" i="5"/>
  <c r="BL219" i="5"/>
  <c r="R206" i="36"/>
  <c r="H143" i="4"/>
  <c r="J55" i="21"/>
  <c r="L55" i="21" s="1"/>
  <c r="P55" i="21" s="1"/>
  <c r="P51" i="21"/>
  <c r="BL426" i="5"/>
  <c r="BL437" i="5"/>
  <c r="AT509" i="5"/>
  <c r="AZ229" i="5"/>
  <c r="BJ477" i="5"/>
  <c r="R348" i="36"/>
  <c r="C95" i="35"/>
  <c r="D137" i="1"/>
  <c r="C93" i="2"/>
  <c r="L107" i="16"/>
  <c r="L119" i="16" s="1"/>
  <c r="J119" i="16"/>
  <c r="BB229" i="5"/>
  <c r="BL70" i="5"/>
  <c r="AC509" i="5"/>
  <c r="AZ477" i="5"/>
  <c r="P325" i="4"/>
  <c r="N43" i="4"/>
  <c r="V41" i="4"/>
  <c r="V43" i="4" s="1"/>
  <c r="J127" i="16"/>
  <c r="L122" i="16"/>
  <c r="L127" i="16" s="1"/>
  <c r="E73" i="35"/>
  <c r="E81" i="35" s="1"/>
  <c r="E90" i="35" s="1"/>
  <c r="G36" i="8"/>
  <c r="G38" i="8" s="1"/>
  <c r="J40" i="17"/>
  <c r="L32" i="17"/>
  <c r="L12" i="21"/>
  <c r="N134" i="4"/>
  <c r="N173" i="4" s="1"/>
  <c r="J12" i="19"/>
  <c r="L11" i="19"/>
  <c r="L45" i="22"/>
  <c r="L63" i="22" s="1"/>
  <c r="J63" i="22"/>
  <c r="N80" i="15"/>
  <c r="P80" i="15" s="1"/>
  <c r="N80" i="17"/>
  <c r="J46" i="21"/>
  <c r="J133" i="4"/>
  <c r="J172" i="4" s="1"/>
  <c r="N67" i="1"/>
  <c r="N70" i="1" s="1"/>
  <c r="N72" i="1" s="1"/>
  <c r="L70" i="1"/>
  <c r="L72" i="1" s="1"/>
  <c r="P62" i="17"/>
  <c r="U33" i="35"/>
  <c r="D72" i="23"/>
  <c r="U70" i="35"/>
  <c r="U67" i="35"/>
  <c r="N90" i="4"/>
  <c r="N92" i="4" s="1"/>
  <c r="V87" i="4"/>
  <c r="V90" i="4" s="1"/>
  <c r="V92" i="4" s="1"/>
  <c r="P33" i="9"/>
  <c r="V229" i="4"/>
  <c r="H325" i="4"/>
  <c r="AE325" i="4" s="1"/>
  <c r="AE16" i="4" s="1"/>
  <c r="U16" i="8"/>
  <c r="X16" i="8" s="1"/>
  <c r="X26" i="8" s="1"/>
  <c r="H77" i="10"/>
  <c r="P35" i="17"/>
  <c r="L77" i="22"/>
  <c r="L89" i="22" s="1"/>
  <c r="J89" i="22"/>
  <c r="P14" i="17"/>
  <c r="L41" i="20"/>
  <c r="P54" i="23"/>
  <c r="P24" i="15"/>
  <c r="P77" i="15"/>
  <c r="F63" i="21"/>
  <c r="F71" i="21" s="1"/>
  <c r="N61" i="4"/>
  <c r="V56" i="4"/>
  <c r="V61" i="4" s="1"/>
  <c r="N125" i="4"/>
  <c r="N127" i="4" s="1"/>
  <c r="V124" i="4"/>
  <c r="V125" i="4" s="1"/>
  <c r="V127" i="4" s="1"/>
  <c r="V235" i="4"/>
  <c r="P77" i="17"/>
  <c r="P26" i="21"/>
  <c r="L49" i="10"/>
  <c r="L75" i="10" s="1"/>
  <c r="J75" i="10"/>
  <c r="P20" i="17"/>
  <c r="F121" i="22"/>
  <c r="F124" i="22" s="1"/>
  <c r="P89" i="15"/>
  <c r="H165" i="16"/>
  <c r="L30" i="21"/>
  <c r="J38" i="21"/>
  <c r="L69" i="24"/>
  <c r="L72" i="24" s="1"/>
  <c r="L499" i="36"/>
  <c r="R77" i="36"/>
  <c r="P26" i="23"/>
  <c r="P22" i="21"/>
  <c r="R450" i="33"/>
  <c r="L73" i="12"/>
  <c r="P50" i="17"/>
  <c r="J135" i="4"/>
  <c r="J174" i="4" s="1"/>
  <c r="J50" i="21"/>
  <c r="P23" i="17"/>
  <c r="D101" i="15"/>
  <c r="D103" i="15"/>
  <c r="J14" i="15"/>
  <c r="L14" i="15" s="1"/>
  <c r="L30" i="23"/>
  <c r="J38" i="23"/>
  <c r="P49" i="21"/>
  <c r="R372" i="36"/>
  <c r="C38" i="8"/>
  <c r="C47" i="8" s="1"/>
  <c r="L11" i="10"/>
  <c r="L41" i="10" s="1"/>
  <c r="J41" i="10"/>
  <c r="P14" i="21"/>
  <c r="D63" i="21"/>
  <c r="D71" i="21" s="1"/>
  <c r="N38" i="21"/>
  <c r="J29" i="16"/>
  <c r="L11" i="16"/>
  <c r="L29" i="16" s="1"/>
  <c r="N51" i="15"/>
  <c r="BJ113" i="5"/>
  <c r="BL113" i="5" s="1"/>
  <c r="BL112" i="5"/>
  <c r="P72" i="15"/>
  <c r="G509" i="5"/>
  <c r="H182" i="4"/>
  <c r="H199" i="4" s="1"/>
  <c r="J84" i="17"/>
  <c r="L71" i="17"/>
  <c r="P94" i="15"/>
  <c r="J51" i="17"/>
  <c r="L43" i="17"/>
  <c r="N76" i="15"/>
  <c r="P76" i="15" s="1"/>
  <c r="N76" i="17"/>
  <c r="P76" i="17" s="1"/>
  <c r="L41" i="23"/>
  <c r="J42" i="23"/>
  <c r="BL427" i="5"/>
  <c r="BJ178" i="5"/>
  <c r="BL178" i="5" s="1"/>
  <c r="BJ151" i="5"/>
  <c r="BJ154" i="5" s="1"/>
  <c r="BL150" i="5"/>
  <c r="R96" i="36"/>
  <c r="BL220" i="5"/>
  <c r="R219" i="36"/>
  <c r="N25" i="19"/>
  <c r="N117" i="4"/>
  <c r="V112" i="4"/>
  <c r="V117" i="4" s="1"/>
  <c r="L38" i="20"/>
  <c r="H72" i="23"/>
  <c r="L121" i="24"/>
  <c r="L124" i="24" s="1"/>
  <c r="N14" i="15"/>
  <c r="N29" i="15" s="1"/>
  <c r="BD481" i="5"/>
  <c r="U14" i="3"/>
  <c r="U37" i="3" s="1"/>
  <c r="BL71" i="5"/>
  <c r="AS509" i="5"/>
  <c r="L130" i="16"/>
  <c r="L135" i="16" s="1"/>
  <c r="J135" i="16"/>
  <c r="J84" i="15"/>
  <c r="L71" i="15"/>
  <c r="J84" i="16"/>
  <c r="L71" i="16"/>
  <c r="L84" i="16" s="1"/>
  <c r="N65" i="15"/>
  <c r="P65" i="15" s="1"/>
  <c r="N65" i="17"/>
  <c r="P65" i="17" s="1"/>
  <c r="N29" i="17"/>
  <c r="N64" i="15"/>
  <c r="P64" i="15" s="1"/>
  <c r="N64" i="17"/>
  <c r="P64" i="17" s="1"/>
  <c r="N63" i="21"/>
  <c r="N68" i="21"/>
  <c r="N100" i="17"/>
  <c r="J164" i="18"/>
  <c r="N27" i="21"/>
  <c r="L102" i="18"/>
  <c r="N81" i="15"/>
  <c r="P81" i="15" s="1"/>
  <c r="N81" i="17"/>
  <c r="P81" i="17" s="1"/>
  <c r="U36" i="8"/>
  <c r="P12" i="25"/>
  <c r="F199" i="4"/>
  <c r="N79" i="15"/>
  <c r="P79" i="15" s="1"/>
  <c r="N79" i="17"/>
  <c r="P79" i="17" s="1"/>
  <c r="J29" i="17"/>
  <c r="L11" i="17"/>
  <c r="J56" i="15"/>
  <c r="L54" i="15"/>
  <c r="J68" i="16"/>
  <c r="L59" i="16"/>
  <c r="L68" i="16" s="1"/>
  <c r="T255" i="4"/>
  <c r="T260" i="4" s="1"/>
  <c r="AK509" i="5"/>
  <c r="P12" i="17"/>
  <c r="F103" i="15"/>
  <c r="BJ323" i="5"/>
  <c r="BL322" i="5"/>
  <c r="AZ403" i="5"/>
  <c r="BL400" i="5"/>
  <c r="BB154" i="5"/>
  <c r="R416" i="36"/>
  <c r="R447" i="36" s="1"/>
  <c r="V293" i="4"/>
  <c r="J41" i="11"/>
  <c r="J44" i="11" s="1"/>
  <c r="L11" i="11"/>
  <c r="J12" i="13"/>
  <c r="J15" i="13" s="1"/>
  <c r="L10" i="13"/>
  <c r="L66" i="23"/>
  <c r="J69" i="23"/>
  <c r="J121" i="24"/>
  <c r="J124" i="24" s="1"/>
  <c r="J63" i="4"/>
  <c r="F63" i="4"/>
  <c r="P67" i="23"/>
  <c r="P25" i="9"/>
  <c r="D72" i="22"/>
  <c r="P19" i="9"/>
  <c r="N99" i="4"/>
  <c r="V97" i="4"/>
  <c r="V99" i="4" s="1"/>
  <c r="N141" i="4"/>
  <c r="N180" i="4" s="1"/>
  <c r="L55" i="15"/>
  <c r="O79" i="2"/>
  <c r="O88" i="2" s="1"/>
  <c r="X71" i="2"/>
  <c r="P18" i="17"/>
  <c r="N99" i="1"/>
  <c r="L32" i="1"/>
  <c r="L127" i="1" s="1"/>
  <c r="L130" i="1" s="1"/>
  <c r="N73" i="15"/>
  <c r="N73" i="17"/>
  <c r="P73" i="17" s="1"/>
  <c r="R127" i="36"/>
  <c r="P24" i="11"/>
  <c r="P12" i="15"/>
  <c r="F103" i="17"/>
  <c r="P35" i="23"/>
  <c r="P92" i="15"/>
  <c r="J51" i="15"/>
  <c r="L43" i="15"/>
  <c r="P19" i="21"/>
  <c r="V102" i="4"/>
  <c r="V109" i="4" s="1"/>
  <c r="N109" i="4"/>
  <c r="C104" i="2"/>
  <c r="C107" i="2" s="1"/>
  <c r="C97" i="2"/>
  <c r="P62" i="15"/>
  <c r="P35" i="15"/>
  <c r="D121" i="22"/>
  <c r="D124" i="22" s="1"/>
  <c r="P37" i="17"/>
  <c r="H103" i="17"/>
  <c r="N69" i="4"/>
  <c r="N71" i="4" s="1"/>
  <c r="V68" i="4"/>
  <c r="V69" i="4" s="1"/>
  <c r="V71" i="4" s="1"/>
  <c r="J260" i="4"/>
  <c r="AN260" i="4" s="1"/>
  <c r="AN12" i="4" s="1"/>
  <c r="P17" i="11"/>
  <c r="L37" i="9"/>
  <c r="N140" i="4"/>
  <c r="N179" i="4" s="1"/>
  <c r="P66" i="21"/>
  <c r="U29" i="8"/>
  <c r="F167" i="18"/>
  <c r="D124" i="24"/>
  <c r="R502" i="33"/>
  <c r="J99" i="16"/>
  <c r="L87" i="16"/>
  <c r="L99" i="16" s="1"/>
  <c r="P36" i="21"/>
  <c r="D447" i="36"/>
  <c r="D514" i="36" s="1"/>
  <c r="X15" i="4"/>
  <c r="R260" i="4"/>
  <c r="U72" i="35"/>
  <c r="L11" i="9"/>
  <c r="J41" i="9"/>
  <c r="J44" i="9" s="1"/>
  <c r="P15" i="23"/>
  <c r="J42" i="21"/>
  <c r="L41" i="21"/>
  <c r="N142" i="4"/>
  <c r="N181" i="4" s="1"/>
  <c r="R50" i="34"/>
  <c r="H121" i="22"/>
  <c r="H124" i="22" s="1"/>
  <c r="N63" i="23"/>
  <c r="L19" i="26"/>
  <c r="L22" i="26" s="1"/>
  <c r="L35" i="26" s="1"/>
  <c r="R288" i="36"/>
  <c r="P62" i="21"/>
  <c r="N61" i="17"/>
  <c r="P61" i="17" s="1"/>
  <c r="N61" i="15"/>
  <c r="P61" i="15" s="1"/>
  <c r="N41" i="9"/>
  <c r="N44" i="9" s="1"/>
  <c r="N69" i="23"/>
  <c r="N100" i="15"/>
  <c r="F260" i="4"/>
  <c r="X260" i="4" s="1"/>
  <c r="X327" i="4" s="1"/>
  <c r="P27" i="9"/>
  <c r="P21" i="15"/>
  <c r="H167" i="18"/>
  <c r="J40" i="16"/>
  <c r="L32" i="16"/>
  <c r="L40" i="16" s="1"/>
  <c r="P80" i="17"/>
  <c r="L164" i="18"/>
  <c r="L167" i="18" s="1"/>
  <c r="H63" i="21"/>
  <c r="H71" i="21" s="1"/>
  <c r="J45" i="21"/>
  <c r="L66" i="22"/>
  <c r="L69" i="22" s="1"/>
  <c r="J69" i="22"/>
  <c r="N75" i="15"/>
  <c r="P75" i="15" s="1"/>
  <c r="N75" i="17"/>
  <c r="P75" i="17" s="1"/>
  <c r="N27" i="23"/>
  <c r="L11" i="25"/>
  <c r="J19" i="25"/>
  <c r="J22" i="25" s="1"/>
  <c r="J102" i="18"/>
  <c r="L447" i="36"/>
  <c r="J171" i="4"/>
  <c r="P21" i="17"/>
  <c r="P51" i="23"/>
  <c r="N38" i="23"/>
  <c r="F143" i="4"/>
  <c r="N136" i="4"/>
  <c r="N175" i="4" s="1"/>
  <c r="L11" i="15"/>
  <c r="J40" i="15"/>
  <c r="L32" i="15"/>
  <c r="L155" i="16"/>
  <c r="L162" i="16" s="1"/>
  <c r="J162" i="16"/>
  <c r="J38" i="22"/>
  <c r="L30" i="22"/>
  <c r="L38" i="22" s="1"/>
  <c r="L65" i="21"/>
  <c r="J68" i="21"/>
  <c r="N138" i="4"/>
  <c r="N177" i="4" s="1"/>
  <c r="N74" i="15"/>
  <c r="P74" i="15" s="1"/>
  <c r="N74" i="17"/>
  <c r="N84" i="17" s="1"/>
  <c r="L375" i="36"/>
  <c r="R353" i="33"/>
  <c r="R378" i="33" s="1"/>
  <c r="H447" i="36"/>
  <c r="BD232" i="5"/>
  <c r="N164" i="4"/>
  <c r="N167" i="4" s="1"/>
  <c r="P22" i="11"/>
  <c r="V197" i="4"/>
  <c r="V244" i="4"/>
  <c r="V255" i="4" s="1"/>
  <c r="O73" i="35"/>
  <c r="O81" i="35" s="1"/>
  <c r="O90" i="35" s="1"/>
  <c r="BL177" i="5"/>
  <c r="N78" i="15"/>
  <c r="P78" i="15" s="1"/>
  <c r="N78" i="17"/>
  <c r="P78" i="17" s="1"/>
  <c r="AZ154" i="5"/>
  <c r="BL125" i="5"/>
  <c r="BL226" i="5"/>
  <c r="J144" i="16"/>
  <c r="L138" i="16"/>
  <c r="L144" i="16" s="1"/>
  <c r="L45" i="23"/>
  <c r="J63" i="23"/>
  <c r="R327" i="36"/>
  <c r="J117" i="22"/>
  <c r="L116" i="22"/>
  <c r="L117" i="22" s="1"/>
  <c r="N60" i="15"/>
  <c r="P60" i="15" s="1"/>
  <c r="N60" i="17"/>
  <c r="P60" i="17" s="1"/>
  <c r="BL467" i="5"/>
  <c r="AO34" i="4"/>
  <c r="AO21" i="4"/>
  <c r="BL474" i="5"/>
  <c r="Q509" i="5" l="1"/>
  <c r="BL151" i="5"/>
  <c r="BF481" i="5"/>
  <c r="BF509" i="5" s="1"/>
  <c r="BF232" i="5"/>
  <c r="W509" i="5"/>
  <c r="BL154" i="5"/>
  <c r="BJ403" i="5"/>
  <c r="BJ229" i="5"/>
  <c r="BJ232" i="5" s="1"/>
  <c r="AP260" i="4"/>
  <c r="V325" i="4"/>
  <c r="BH509" i="5"/>
  <c r="F514" i="36"/>
  <c r="M72" i="8"/>
  <c r="M74" i="8" s="1"/>
  <c r="O75" i="8" s="1"/>
  <c r="M58" i="8"/>
  <c r="M60" i="8" s="1"/>
  <c r="O61" i="8" s="1"/>
  <c r="N84" i="15"/>
  <c r="N103" i="15" s="1"/>
  <c r="J72" i="23"/>
  <c r="H167" i="16"/>
  <c r="N68" i="17"/>
  <c r="R164" i="36"/>
  <c r="N68" i="15"/>
  <c r="H514" i="36"/>
  <c r="J182" i="4"/>
  <c r="R517" i="33"/>
  <c r="L514" i="36"/>
  <c r="N119" i="4"/>
  <c r="P14" i="15"/>
  <c r="N127" i="1"/>
  <c r="AP327" i="4"/>
  <c r="AP12" i="4"/>
  <c r="AP21" i="4" s="1"/>
  <c r="AP24" i="4" s="1"/>
  <c r="L133" i="1"/>
  <c r="L137" i="1" s="1"/>
  <c r="N130" i="1"/>
  <c r="N133" i="1" s="1"/>
  <c r="V326" i="4"/>
  <c r="V327" i="4"/>
  <c r="P37" i="9"/>
  <c r="V140" i="4"/>
  <c r="V179" i="4" s="1"/>
  <c r="P65" i="21"/>
  <c r="P68" i="21" s="1"/>
  <c r="V138" i="4"/>
  <c r="V177" i="4" s="1"/>
  <c r="L68" i="21"/>
  <c r="L165" i="16"/>
  <c r="L167" i="16" s="1"/>
  <c r="AN199" i="4"/>
  <c r="J199" i="4"/>
  <c r="L19" i="25"/>
  <c r="L22" i="25" s="1"/>
  <c r="P11" i="25"/>
  <c r="P19" i="25" s="1"/>
  <c r="P22" i="25" s="1"/>
  <c r="J72" i="22"/>
  <c r="P74" i="17"/>
  <c r="P55" i="15"/>
  <c r="V141" i="4"/>
  <c r="V180" i="4" s="1"/>
  <c r="V119" i="4"/>
  <c r="P10" i="13"/>
  <c r="P12" i="13" s="1"/>
  <c r="P15" i="13" s="1"/>
  <c r="L12" i="13"/>
  <c r="L15" i="13" s="1"/>
  <c r="BL403" i="5"/>
  <c r="L42" i="23"/>
  <c r="P41" i="23"/>
  <c r="P42" i="23" s="1"/>
  <c r="L77" i="10"/>
  <c r="L79" i="10" s="1"/>
  <c r="P11" i="19"/>
  <c r="P12" i="19" s="1"/>
  <c r="L12" i="19"/>
  <c r="P32" i="17"/>
  <c r="P40" i="17" s="1"/>
  <c r="L40" i="17"/>
  <c r="N63" i="4"/>
  <c r="R351" i="36"/>
  <c r="J25" i="19"/>
  <c r="J121" i="22"/>
  <c r="J124" i="22" s="1"/>
  <c r="J100" i="15"/>
  <c r="N139" i="4"/>
  <c r="N178" i="4" s="1"/>
  <c r="L87" i="15"/>
  <c r="H146" i="4"/>
  <c r="AE146" i="4" s="1"/>
  <c r="L102" i="16"/>
  <c r="L41" i="11"/>
  <c r="L44" i="11" s="1"/>
  <c r="P11" i="11"/>
  <c r="P41" i="11" s="1"/>
  <c r="P44" i="11" s="1"/>
  <c r="L63" i="23"/>
  <c r="P45" i="23"/>
  <c r="P63" i="23" s="1"/>
  <c r="L40" i="15"/>
  <c r="P32" i="15"/>
  <c r="P40" i="15" s="1"/>
  <c r="J29" i="15"/>
  <c r="L72" i="22"/>
  <c r="N72" i="23"/>
  <c r="P41" i="21"/>
  <c r="P42" i="21" s="1"/>
  <c r="L42" i="21"/>
  <c r="V142" i="4"/>
  <c r="V181" i="4" s="1"/>
  <c r="L56" i="15"/>
  <c r="P54" i="15"/>
  <c r="N103" i="17"/>
  <c r="L38" i="23"/>
  <c r="P30" i="23"/>
  <c r="P38" i="23" s="1"/>
  <c r="V260" i="4"/>
  <c r="BB232" i="5"/>
  <c r="BB509" i="5" s="1"/>
  <c r="BJ481" i="5"/>
  <c r="BJ509" i="5" s="1"/>
  <c r="P73" i="15"/>
  <c r="P11" i="21"/>
  <c r="L27" i="21"/>
  <c r="U26" i="8"/>
  <c r="O57" i="8" s="1"/>
  <c r="O62" i="8" s="1"/>
  <c r="O64" i="8" s="1"/>
  <c r="L56" i="17"/>
  <c r="P54" i="17"/>
  <c r="P56" i="17" s="1"/>
  <c r="L100" i="17"/>
  <c r="P87" i="17"/>
  <c r="P100" i="17" s="1"/>
  <c r="N152" i="4"/>
  <c r="N154" i="4" s="1"/>
  <c r="N156" i="4" s="1"/>
  <c r="V151" i="4"/>
  <c r="V152" i="4" s="1"/>
  <c r="V154" i="4" s="1"/>
  <c r="V156" i="4" s="1"/>
  <c r="L45" i="21"/>
  <c r="J63" i="21"/>
  <c r="P11" i="9"/>
  <c r="L41" i="9"/>
  <c r="L44" i="9" s="1"/>
  <c r="F146" i="4"/>
  <c r="AC146" i="4" s="1"/>
  <c r="U38" i="8"/>
  <c r="U47" i="8" s="1"/>
  <c r="O71" i="8"/>
  <c r="O76" i="8" s="1"/>
  <c r="O78" i="8" s="1"/>
  <c r="N71" i="21"/>
  <c r="P71" i="15"/>
  <c r="P84" i="15" s="1"/>
  <c r="L84" i="15"/>
  <c r="BL323" i="5"/>
  <c r="L84" i="17"/>
  <c r="P71" i="17"/>
  <c r="P84" i="17" s="1"/>
  <c r="P30" i="21"/>
  <c r="P38" i="21" s="1"/>
  <c r="L38" i="21"/>
  <c r="L46" i="21"/>
  <c r="N133" i="4"/>
  <c r="N172" i="4" s="1"/>
  <c r="AZ481" i="5"/>
  <c r="BL477" i="5"/>
  <c r="AZ232" i="5"/>
  <c r="BL229" i="5"/>
  <c r="L68" i="17"/>
  <c r="P59" i="17"/>
  <c r="P68" i="17" s="1"/>
  <c r="N171" i="4"/>
  <c r="F169" i="16"/>
  <c r="U111" i="2"/>
  <c r="U110" i="2"/>
  <c r="J103" i="17"/>
  <c r="L27" i="23"/>
  <c r="P11" i="23"/>
  <c r="P27" i="23" s="1"/>
  <c r="AC11" i="4"/>
  <c r="AR14" i="4"/>
  <c r="AR21" i="4" s="1"/>
  <c r="AR327" i="4"/>
  <c r="J71" i="21"/>
  <c r="J165" i="16"/>
  <c r="L29" i="15"/>
  <c r="V136" i="4"/>
  <c r="V175" i="4" s="1"/>
  <c r="P11" i="15"/>
  <c r="P29" i="15" s="1"/>
  <c r="J143" i="4"/>
  <c r="J146" i="4" s="1"/>
  <c r="AN146" i="4" s="1"/>
  <c r="AT260" i="4"/>
  <c r="X12" i="4"/>
  <c r="J102" i="16"/>
  <c r="L51" i="15"/>
  <c r="P43" i="15"/>
  <c r="P51" i="15" s="1"/>
  <c r="L69" i="23"/>
  <c r="P66" i="23"/>
  <c r="P69" i="23" s="1"/>
  <c r="P72" i="23" s="1"/>
  <c r="L29" i="17"/>
  <c r="P11" i="17"/>
  <c r="P29" i="17" s="1"/>
  <c r="J167" i="18"/>
  <c r="BD509" i="5"/>
  <c r="L51" i="17"/>
  <c r="P43" i="17"/>
  <c r="P51" i="17" s="1"/>
  <c r="L50" i="21"/>
  <c r="N135" i="4"/>
  <c r="N174" i="4" s="1"/>
  <c r="H169" i="16"/>
  <c r="J77" i="10"/>
  <c r="U73" i="35"/>
  <c r="U81" i="35" s="1"/>
  <c r="U90" i="35" s="1"/>
  <c r="U92" i="35" s="1"/>
  <c r="P12" i="21"/>
  <c r="V134" i="4"/>
  <c r="V173" i="4" s="1"/>
  <c r="V63" i="4"/>
  <c r="P59" i="15"/>
  <c r="P68" i="15" s="1"/>
  <c r="L68" i="15"/>
  <c r="V132" i="4"/>
  <c r="P12" i="9"/>
  <c r="AT325" i="4"/>
  <c r="AU325" i="4" s="1"/>
  <c r="X16" i="4"/>
  <c r="AT16" i="4" s="1"/>
  <c r="AU16" i="4" s="1"/>
  <c r="P15" i="19"/>
  <c r="P22" i="19" s="1"/>
  <c r="P25" i="19" s="1"/>
  <c r="L22" i="19"/>
  <c r="L25" i="19" s="1"/>
  <c r="L121" i="22"/>
  <c r="L124" i="22" s="1"/>
  <c r="U100" i="2"/>
  <c r="C99" i="2"/>
  <c r="C100" i="2" s="1"/>
  <c r="C102" i="2" s="1"/>
  <c r="D176" i="4"/>
  <c r="D182" i="4" s="1"/>
  <c r="D199" i="4" s="1"/>
  <c r="D200" i="4" s="1"/>
  <c r="D143" i="4"/>
  <c r="D146" i="4" s="1"/>
  <c r="D147" i="4" s="1"/>
  <c r="BL232" i="5" l="1"/>
  <c r="R375" i="36"/>
  <c r="R514" i="36" s="1"/>
  <c r="O80" i="8"/>
  <c r="P56" i="15"/>
  <c r="V121" i="4"/>
  <c r="AN10" i="4"/>
  <c r="N182" i="4"/>
  <c r="P103" i="17"/>
  <c r="V171" i="4"/>
  <c r="AT12" i="4"/>
  <c r="AU12" i="4" s="1"/>
  <c r="X21" i="4"/>
  <c r="X24" i="4" s="1"/>
  <c r="U112" i="2"/>
  <c r="U113" i="2" s="1"/>
  <c r="N143" i="4"/>
  <c r="N146" i="4" s="1"/>
  <c r="P46" i="21"/>
  <c r="V133" i="4"/>
  <c r="V172" i="4" s="1"/>
  <c r="AC167" i="4"/>
  <c r="AC327" i="4" s="1"/>
  <c r="AT146" i="4"/>
  <c r="AC10" i="4"/>
  <c r="P45" i="21"/>
  <c r="L63" i="21"/>
  <c r="L71" i="21" s="1"/>
  <c r="L103" i="17"/>
  <c r="J103" i="15"/>
  <c r="AN15" i="4"/>
  <c r="AT15" i="4" s="1"/>
  <c r="AU15" i="4" s="1"/>
  <c r="AT199" i="4"/>
  <c r="P27" i="21"/>
  <c r="V261" i="4"/>
  <c r="AU260" i="4"/>
  <c r="V262" i="4"/>
  <c r="AE327" i="4"/>
  <c r="AE10" i="4"/>
  <c r="AE21" i="4" s="1"/>
  <c r="AE24" i="4" s="1"/>
  <c r="L169" i="16"/>
  <c r="P50" i="21"/>
  <c r="V135" i="4"/>
  <c r="V174" i="4" s="1"/>
  <c r="L72" i="23"/>
  <c r="J167" i="16"/>
  <c r="J169" i="16" s="1"/>
  <c r="AR26" i="4"/>
  <c r="AR24" i="4"/>
  <c r="AZ509" i="5"/>
  <c r="BL509" i="5" s="1"/>
  <c r="BL481" i="5"/>
  <c r="P41" i="9"/>
  <c r="P44" i="9" s="1"/>
  <c r="AN156" i="4"/>
  <c r="P87" i="15"/>
  <c r="P100" i="15" s="1"/>
  <c r="P103" i="15" s="1"/>
  <c r="V139" i="4"/>
  <c r="V178" i="4" s="1"/>
  <c r="L100" i="15"/>
  <c r="L103" i="15" s="1"/>
  <c r="U95" i="35"/>
  <c r="U93" i="2"/>
  <c r="N137" i="1"/>
  <c r="AN11" i="4" l="1"/>
  <c r="AT11" i="4" s="1"/>
  <c r="AU11" i="4" s="1"/>
  <c r="AT156" i="4"/>
  <c r="AU156" i="4" s="1"/>
  <c r="AU146" i="4"/>
  <c r="P63" i="21"/>
  <c r="P71" i="21" s="1"/>
  <c r="V182" i="4"/>
  <c r="V199" i="4" s="1"/>
  <c r="AN21" i="4"/>
  <c r="AT10" i="4"/>
  <c r="AU10" i="4" s="1"/>
  <c r="V143" i="4"/>
  <c r="V146" i="4" s="1"/>
  <c r="V147" i="4" s="1"/>
  <c r="AN327" i="4"/>
  <c r="AT167" i="4"/>
  <c r="AU167" i="4" s="1"/>
  <c r="AC14" i="4"/>
  <c r="AT14" i="4" s="1"/>
  <c r="AU14" i="4" s="1"/>
  <c r="AC21" i="4" l="1"/>
  <c r="AC24" i="4" s="1"/>
  <c r="V200" i="4"/>
  <c r="AU199" i="4"/>
</calcChain>
</file>

<file path=xl/sharedStrings.xml><?xml version="1.0" encoding="utf-8"?>
<sst xmlns="http://schemas.openxmlformats.org/spreadsheetml/2006/main" count="5876" uniqueCount="3454">
  <si>
    <t>LOUISVILLE GAS &amp; ELECTRIC COMPANY</t>
  </si>
  <si>
    <t>SUMMARY OF UTILITY PLANT - REGULATORY ACCOUNTING</t>
  </si>
  <si>
    <t>Form 1/3</t>
  </si>
  <si>
    <t>Beginning</t>
  </si>
  <si>
    <t>Transfers/</t>
  </si>
  <si>
    <t>Ending</t>
  </si>
  <si>
    <t>Page</t>
  </si>
  <si>
    <t>Balance</t>
  </si>
  <si>
    <t>Additions</t>
  </si>
  <si>
    <t>Retirements</t>
  </si>
  <si>
    <t>Adjustments</t>
  </si>
  <si>
    <t>Net Additions</t>
  </si>
  <si>
    <t>UTILITY PLANT IN SERVICE</t>
  </si>
  <si>
    <t>Common</t>
  </si>
  <si>
    <t>Common General Plant</t>
  </si>
  <si>
    <t>Common Intangible Plant</t>
  </si>
  <si>
    <t>3h</t>
  </si>
  <si>
    <t>Electric</t>
  </si>
  <si>
    <t>Electric Distribution</t>
  </si>
  <si>
    <t>Electric General Plant</t>
  </si>
  <si>
    <t>Electric Hydro Production</t>
  </si>
  <si>
    <t>Electric Intangible Plant</t>
  </si>
  <si>
    <t>Electric Other Production</t>
  </si>
  <si>
    <t>Electric Steam Production</t>
  </si>
  <si>
    <t>Electric Transmission</t>
  </si>
  <si>
    <t>3c net w/102*</t>
  </si>
  <si>
    <t>Gas</t>
  </si>
  <si>
    <t>Gas Distribution</t>
  </si>
  <si>
    <t>Gas General Plant</t>
  </si>
  <si>
    <t>Gas Intangible Plant</t>
  </si>
  <si>
    <t>Gas Storage</t>
  </si>
  <si>
    <t>Gas Transmission</t>
  </si>
  <si>
    <t>3d</t>
  </si>
  <si>
    <t>Total 101 Accounts</t>
  </si>
  <si>
    <t>PROPERTY UNDER CAPITAL LEASES</t>
  </si>
  <si>
    <t>Capital Leased Property</t>
  </si>
  <si>
    <t>Total 101101</t>
  </si>
  <si>
    <t>Plant Purchased &amp; sold</t>
  </si>
  <si>
    <t>Total 102001</t>
  </si>
  <si>
    <t>*</t>
  </si>
  <si>
    <t>PLANT HELD FOR FUTURE USE</t>
  </si>
  <si>
    <t>Electric - 105001</t>
  </si>
  <si>
    <t>Electric - 105002</t>
  </si>
  <si>
    <t>10c</t>
  </si>
  <si>
    <t>Total 105</t>
  </si>
  <si>
    <t>COMPLETED CONSTRUCTION NOT CLASSIFIED</t>
  </si>
  <si>
    <t>6h</t>
  </si>
  <si>
    <t>6c</t>
  </si>
  <si>
    <t>6d</t>
  </si>
  <si>
    <t>Total 106 Accounts</t>
  </si>
  <si>
    <t>GAS STORED UNDERGROUND-NONCURRENT</t>
  </si>
  <si>
    <t>Gas Stored Nonrecoverable</t>
  </si>
  <si>
    <t>Total 117001</t>
  </si>
  <si>
    <t>NONUTILITY PROPERTY</t>
  </si>
  <si>
    <t>Non Utility Property</t>
  </si>
  <si>
    <t>Total 121001</t>
  </si>
  <si>
    <t>CONSTRUCTION WORK IN PROGRESS</t>
  </si>
  <si>
    <t>Construction Work in Progress</t>
  </si>
  <si>
    <t>11h</t>
  </si>
  <si>
    <t>11c</t>
  </si>
  <si>
    <t>11d</t>
  </si>
  <si>
    <t>Total Plant (Non-CWIP)</t>
  </si>
  <si>
    <t>Total Plant + CWIP</t>
  </si>
  <si>
    <t>Total Plant + CWIP - Non Utiltity (BS)</t>
  </si>
  <si>
    <t>- Gas Stored UG Noncurrent</t>
  </si>
  <si>
    <t>13b</t>
  </si>
  <si>
    <t>ARO</t>
  </si>
  <si>
    <t>RWIP</t>
  </si>
  <si>
    <t>Cost</t>
  </si>
  <si>
    <t>Other</t>
  </si>
  <si>
    <t>Accruals</t>
  </si>
  <si>
    <t>Settlements</t>
  </si>
  <si>
    <t>Transfers Out</t>
  </si>
  <si>
    <t>of Removal</t>
  </si>
  <si>
    <t>Salvage</t>
  </si>
  <si>
    <t>Credits</t>
  </si>
  <si>
    <t>LIFE RESERVE</t>
  </si>
  <si>
    <t>Common General Plant - ARO</t>
  </si>
  <si>
    <t>Electric Distribution - ARO</t>
  </si>
  <si>
    <t>Electric Hydro Production - ARO</t>
  </si>
  <si>
    <t>Electric Other Production - ARO</t>
  </si>
  <si>
    <t>Electric Steam Production - ARO</t>
  </si>
  <si>
    <t>Electric Transmission - ARO</t>
  </si>
  <si>
    <t>Gas Distribution - ARO</t>
  </si>
  <si>
    <t>Gas Storage - ARO</t>
  </si>
  <si>
    <t>Gas Transmission - ARO</t>
  </si>
  <si>
    <t>Non Utility Property (122)</t>
  </si>
  <si>
    <t>16a</t>
  </si>
  <si>
    <t>Non Utility Property (111)</t>
  </si>
  <si>
    <t>COST OF REMOVAL</t>
  </si>
  <si>
    <t>SALVAGE</t>
  </si>
  <si>
    <t>TOTAL RESERVES</t>
  </si>
  <si>
    <t>S/B 0 Net</t>
  </si>
  <si>
    <t>RETIREMENT WORK IN PROGRESS</t>
  </si>
  <si>
    <t>YTD ACTIVITY</t>
  </si>
  <si>
    <t>AMORTIZATION</t>
  </si>
  <si>
    <t>21 h</t>
  </si>
  <si>
    <t>21 c</t>
  </si>
  <si>
    <t>21 d</t>
  </si>
  <si>
    <t>AMORTIZATION TOTAL</t>
  </si>
  <si>
    <t>Depreciation &amp; Amortization Total</t>
  </si>
  <si>
    <t>Depr &amp; Amort - Nonutility for Balance Sheet</t>
  </si>
  <si>
    <t>Utility Plant at Original Cost Less Reserve for</t>
  </si>
  <si>
    <t xml:space="preserve">  Depreciation &amp; Amortization (Excl nonutility)</t>
  </si>
  <si>
    <t>Totals</t>
  </si>
  <si>
    <t>Σ = 16 - 16a</t>
  </si>
  <si>
    <t>18 h</t>
  </si>
  <si>
    <t>33 c</t>
  </si>
  <si>
    <t>Σ = 11</t>
  </si>
  <si>
    <t>33 d</t>
  </si>
  <si>
    <t>Σ = 14</t>
  </si>
  <si>
    <t>18 d</t>
  </si>
  <si>
    <t>33 h</t>
  </si>
  <si>
    <t xml:space="preserve">33 b total includes any Depr on Plant Held for Future Use.  </t>
  </si>
  <si>
    <t>Σ = row 18 on form</t>
  </si>
  <si>
    <t>18 b</t>
  </si>
  <si>
    <t>Depr - 1032 -- run only for Group 131105-Dist Drive - Future Use pg 200 ln 28c</t>
  </si>
  <si>
    <t>Σ = row 20 on form</t>
  </si>
  <si>
    <t>20 b</t>
  </si>
  <si>
    <t>22 b</t>
  </si>
  <si>
    <t>Σ = row 21 on form</t>
  </si>
  <si>
    <t>21 b</t>
  </si>
  <si>
    <t>P356.1</t>
  </si>
  <si>
    <t>28 c</t>
  </si>
  <si>
    <t>Reserve (Less non-utility)</t>
  </si>
  <si>
    <t>key in YTD amount - watch if need multiple years for Form 1</t>
  </si>
  <si>
    <t>18 c - net of Depr on Future Assets</t>
  </si>
  <si>
    <t>Amortization</t>
  </si>
  <si>
    <t>RWIP BY G/L ACCOUNT - REGULATORY ACCOUNTING</t>
  </si>
  <si>
    <t>RWIP ACCOUNT 108099</t>
  </si>
  <si>
    <t>RWIP ACCOUNT 108799</t>
  </si>
  <si>
    <t>RWIP ACCOUNT 108901</t>
  </si>
  <si>
    <t>TOTAL RWIP</t>
  </si>
  <si>
    <t>VARIANCE</t>
  </si>
  <si>
    <t>SUMMARY OF CHANGES FOR CASH FLOW STATEMENT - (REGULATORY)</t>
  </si>
  <si>
    <t>Non-Cash changes</t>
  </si>
  <si>
    <t>Cash Changes</t>
  </si>
  <si>
    <t>Beginning Balance</t>
  </si>
  <si>
    <t>Ending Balance</t>
  </si>
  <si>
    <t>Depreciation/ Amortization Expense (403)</t>
  </si>
  <si>
    <t>Depreciation/ Amortization Expense (403) (PA-Pension)</t>
  </si>
  <si>
    <t>ARO Depr Total Activity (403)</t>
  </si>
  <si>
    <t>ARO 254 Activity (Parent COR)</t>
  </si>
  <si>
    <t>ARO Accretion</t>
  </si>
  <si>
    <t>Unitizations</t>
  </si>
  <si>
    <t>Pension 107001 (PA)</t>
  </si>
  <si>
    <t>Retirements    (FIN BOOKS)</t>
  </si>
  <si>
    <t>Retirements    (PA BOOKS)</t>
  </si>
  <si>
    <t>Gains/(Losses)</t>
  </si>
  <si>
    <t>ARO Revaluation / Addition  (Gross)</t>
  </si>
  <si>
    <t>ARO Transfers</t>
  </si>
  <si>
    <t>Purchase Acct Netting  -  Net Book Value</t>
  </si>
  <si>
    <t xml:space="preserve">Other Transfers </t>
  </si>
  <si>
    <t>Other - Non Depr Exp/Change</t>
  </si>
  <si>
    <t>RWIP - CCR</t>
  </si>
  <si>
    <t>CWIP  Spend</t>
  </si>
  <si>
    <t>Net Change In Account</t>
  </si>
  <si>
    <t>Difference</t>
  </si>
  <si>
    <t>Property, plant and equipment:</t>
  </si>
  <si>
    <t xml:space="preserve"> </t>
  </si>
  <si>
    <t>Regulated utility plant - electric and gas</t>
  </si>
  <si>
    <t>Nonregulated plant</t>
  </si>
  <si>
    <t>Accumulated depreciation</t>
  </si>
  <si>
    <t>Accum depreciation - nonregulated plant</t>
  </si>
  <si>
    <t>CWIP</t>
  </si>
  <si>
    <t>Other long-term intangibles</t>
  </si>
  <si>
    <t>Accumulated cost of removal of utility plant</t>
  </si>
  <si>
    <t>Regulatory Assets-Noncurrent- ARO</t>
  </si>
  <si>
    <t>Current ARO Liability</t>
  </si>
  <si>
    <t>ARO Liability</t>
  </si>
  <si>
    <t>Check</t>
  </si>
  <si>
    <t>Note:</t>
  </si>
  <si>
    <t>Other long-term intangibles includes accounts beginning with 101, 108, and 111</t>
  </si>
  <si>
    <t>Current ARO Liability includes accounts 230022 and 230026.</t>
  </si>
  <si>
    <t>Other balance sheet accounts affected (per Recon Depr Exp to IS)</t>
  </si>
  <si>
    <t>Fuel (151060 &amp; 151061)</t>
  </si>
  <si>
    <t>Other current assets (184315)</t>
  </si>
  <si>
    <t>2540XX Regulatory Liability</t>
  </si>
  <si>
    <t>nets to zero (b/s to b/s entry)</t>
  </si>
  <si>
    <t>RV and Future Use Depr in account 421XXX</t>
  </si>
  <si>
    <t>Total 105001</t>
  </si>
  <si>
    <t xml:space="preserve">Intangible Plant Detail - </t>
  </si>
  <si>
    <t>389.20</t>
  </si>
  <si>
    <t>Common Land Rights</t>
  </si>
  <si>
    <t>350.20</t>
  </si>
  <si>
    <t>Gas Land Rights</t>
  </si>
  <si>
    <t>374.22</t>
  </si>
  <si>
    <t>352.10</t>
  </si>
  <si>
    <t>360.10</t>
  </si>
  <si>
    <t>Land Rights</t>
  </si>
  <si>
    <t>Land Rights - 105002</t>
  </si>
  <si>
    <t>365.20</t>
  </si>
  <si>
    <t>350.10</t>
  </si>
  <si>
    <t>Electric Land Rights</t>
  </si>
  <si>
    <t>302.00</t>
  </si>
  <si>
    <t>Common Franch and Consents</t>
  </si>
  <si>
    <t>Electric Franch and Consent</t>
  </si>
  <si>
    <t>Gas Franch and Consent</t>
  </si>
  <si>
    <t>101 Balance</t>
  </si>
  <si>
    <t>Elect Land Rights</t>
  </si>
  <si>
    <t>108 Balance</t>
  </si>
  <si>
    <t>Other long-term intangibles (net of Depr)</t>
  </si>
  <si>
    <t>Non Utility Property (108)</t>
  </si>
  <si>
    <t>Plus:</t>
  </si>
  <si>
    <t>121.92</t>
  </si>
  <si>
    <t>Nonutility 108</t>
  </si>
  <si>
    <t>Nonutility 111</t>
  </si>
  <si>
    <t>Less:</t>
  </si>
  <si>
    <t>RWIP ACCOUNT 230799</t>
  </si>
  <si>
    <t>Regulatory Liability ARO</t>
  </si>
  <si>
    <t>Electic</t>
  </si>
  <si>
    <t>Addition</t>
  </si>
  <si>
    <t>DETAIL OF TRANSFERS - REGULATORY ACCOUNTING</t>
  </si>
  <si>
    <t>Adjustment</t>
  </si>
  <si>
    <t>Transfer</t>
  </si>
  <si>
    <t>N/A</t>
  </si>
  <si>
    <t>(A)</t>
  </si>
  <si>
    <t>(B)</t>
  </si>
  <si>
    <t>FEBRUARY</t>
  </si>
  <si>
    <t>MARCH</t>
  </si>
  <si>
    <t>APRIL</t>
  </si>
  <si>
    <t>MAY</t>
  </si>
  <si>
    <t>MAY (B)</t>
  </si>
  <si>
    <t>JUNE (A)</t>
  </si>
  <si>
    <t>JUNE (B)</t>
  </si>
  <si>
    <t>JULY (A)</t>
  </si>
  <si>
    <t>JULY (B)</t>
  </si>
  <si>
    <t>AUGUST (A)</t>
  </si>
  <si>
    <t>AUGUST (B)</t>
  </si>
  <si>
    <t>AUGUST (C)</t>
  </si>
  <si>
    <t>SEPTEMBER (A)</t>
  </si>
  <si>
    <t>SEPTEMBER (B)</t>
  </si>
  <si>
    <t>SEPTEMBER (C)</t>
  </si>
  <si>
    <t>OCTOBER (A)</t>
  </si>
  <si>
    <r>
      <t>OCTOBER (</t>
    </r>
    <r>
      <rPr>
        <sz val="10"/>
        <rFont val="Arial"/>
        <family val="2"/>
      </rPr>
      <t>B</t>
    </r>
    <r>
      <rPr>
        <b/>
        <sz val="10"/>
        <rFont val="Arial"/>
        <family val="2"/>
      </rPr>
      <t>)</t>
    </r>
  </si>
  <si>
    <r>
      <t>OCTOBER ('C</t>
    </r>
    <r>
      <rPr>
        <b/>
        <sz val="10"/>
        <rFont val="Arial"/>
        <family val="2"/>
      </rPr>
      <t>)</t>
    </r>
  </si>
  <si>
    <t>OCTOBER (D)</t>
  </si>
  <si>
    <t>NOVEMBER (A)</t>
  </si>
  <si>
    <t>NOVEMBER (B)</t>
  </si>
  <si>
    <t>DECEMBER (A)</t>
  </si>
  <si>
    <t>DECEMBER (B)</t>
  </si>
  <si>
    <t>DECEMBER (C)</t>
  </si>
  <si>
    <t>Total</t>
  </si>
  <si>
    <t>Summary</t>
  </si>
  <si>
    <t>FERC FORM 1 COLUMN CLASSIFICATION:</t>
  </si>
  <si>
    <t>C389.10-Land</t>
  </si>
  <si>
    <t>C389.20-Land Rights</t>
  </si>
  <si>
    <t>C390.10-Struct and Imp-Gen Offices</t>
  </si>
  <si>
    <t>C390.20-Struc and Imp-Transportatio</t>
  </si>
  <si>
    <t>C390.30-Struct and Imp - Stores</t>
  </si>
  <si>
    <t>C390.40-Struct and Imp - Shops</t>
  </si>
  <si>
    <t>C390.60-Struct and Imp - Microwave</t>
  </si>
  <si>
    <t>C391.10-Office Furniture</t>
  </si>
  <si>
    <t>C391.20-Office Equipment</t>
  </si>
  <si>
    <t>C391.30-Computer Equipment</t>
  </si>
  <si>
    <t>C391.31-Personal Computers</t>
  </si>
  <si>
    <t>C391.33 Computer Equip ECR 2006</t>
  </si>
  <si>
    <t>C391.40-Security Equipment</t>
  </si>
  <si>
    <t>C392.00-Cars and Light Trucks</t>
  </si>
  <si>
    <t>C392.10-Heavy Trucks and Other</t>
  </si>
  <si>
    <t xml:space="preserve">C392.20-Trans Equip-Trailers </t>
  </si>
  <si>
    <t>C393.00-Stores Equipment</t>
  </si>
  <si>
    <t>C394.00-Tools, Shop, Garage Equip</t>
  </si>
  <si>
    <t>C395.00-Laboratory Equipment</t>
  </si>
  <si>
    <t>C396.10-Power Op Equip-Hourly Rated</t>
  </si>
  <si>
    <t>C396.20-Power Op Equip - Other</t>
  </si>
  <si>
    <t>C397.00- Microwave, Fiber, Other</t>
  </si>
  <si>
    <t>C397.10-Comm Eq Radios, Telephone</t>
  </si>
  <si>
    <t>C398.00-Miscellaneous Equipment</t>
  </si>
  <si>
    <t>C399.15-ARO Cost Common (L/B)</t>
  </si>
  <si>
    <t>C301.00-Organization</t>
  </si>
  <si>
    <t>C302.00-Franchises and Consents</t>
  </si>
  <si>
    <t>C303.00-Misc Intang Plant-Software</t>
  </si>
  <si>
    <t>C303.10-CCS Software</t>
  </si>
  <si>
    <t>C303.20-Law Library</t>
  </si>
  <si>
    <t>Total Common 101</t>
  </si>
  <si>
    <t>Distribution</t>
  </si>
  <si>
    <t>E360.10-Land Rights</t>
  </si>
  <si>
    <t>E360.20-Land</t>
  </si>
  <si>
    <t>E360.00- Land and Land Rights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</si>
  <si>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</si>
  <si>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</si>
  <si>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</si>
  <si>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</si>
  <si>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</si>
  <si>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</si>
  <si>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</si>
  <si>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E369.10-Underground Services</t>
  </si>
  <si>
    <t>E369.20-Overhead Services</t>
  </si>
  <si>
    <t>E369 - UG/OH Services</t>
  </si>
  <si>
    <t>E370.00-Meters</t>
  </si>
  <si>
    <t>E373.10-Overhead Street Lighting</t>
  </si>
  <si>
    <t>E373.20-Underground Street Lighting</t>
  </si>
  <si>
    <t>E373.40-Street Lighting Transformer</t>
  </si>
  <si>
    <t>E373 - Lighting</t>
  </si>
  <si>
    <t>E374.05-ARO Cost Elec Dist (L/B)</t>
  </si>
  <si>
    <t>E374.07-ARO Cost Elec Dist (Eqp)</t>
  </si>
  <si>
    <t>E374.00-ARO for Dist Plant</t>
  </si>
  <si>
    <t>Total Distribution</t>
  </si>
  <si>
    <t>General</t>
  </si>
  <si>
    <t>E392.00-Cars and Light Trucks</t>
  </si>
  <si>
    <t>E392.10-Transportation - Cars Truck</t>
  </si>
  <si>
    <t>E392.20-Transportation  - Trailers</t>
  </si>
  <si>
    <t>E392 - Transportation</t>
  </si>
  <si>
    <t>E394.00-Tools, Shop, and Garage Equ</t>
  </si>
  <si>
    <t>E395.00-Laboratory Equipment</t>
  </si>
  <si>
    <t>E396.10-Power Op Equip-Lg Mach</t>
  </si>
  <si>
    <t>E396.20-Power Op  Equip-Other</t>
  </si>
  <si>
    <t>E396 - Power Op Equip</t>
  </si>
  <si>
    <t>E397.20-DSM Communication Equipment</t>
  </si>
  <si>
    <t>Total General</t>
  </si>
  <si>
    <t>Hydro</t>
  </si>
  <si>
    <t>E330.20-Land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</si>
  <si>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</si>
  <si>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</si>
  <si>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</si>
  <si>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</si>
  <si>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</si>
  <si>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</si>
  <si>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E337.07-ARO Cost Hydro Prod (Eqp)</t>
  </si>
  <si>
    <t>Total Hydro</t>
  </si>
  <si>
    <t>Intangible</t>
  </si>
  <si>
    <t>E301.00-Organization</t>
  </si>
  <si>
    <t>E302.00-Franchises and Consents</t>
  </si>
  <si>
    <t>Total Intangible</t>
  </si>
  <si>
    <t>Other Production</t>
  </si>
  <si>
    <t>E340.20-Land</t>
  </si>
  <si>
    <t>E341.00-Structures and Improvements</t>
  </si>
  <si>
    <t>E342.00-Fuel Holders, Producers, Ac</t>
  </si>
  <si>
    <t>E343.00-Prime Movers</t>
  </si>
  <si>
    <t>E344.00-Generators</t>
  </si>
  <si>
    <t>E345.00-Accessory Electric Equipmen</t>
  </si>
  <si>
    <t>E346.00-Misc Power Plant Equipment</t>
  </si>
  <si>
    <t>E347.05-ARO Cost Other Prod (L/B)</t>
  </si>
  <si>
    <t>E347.07-ARO Cost Other Prod (Eqp)</t>
  </si>
  <si>
    <t>E347 - ARO  Cost Other Prod</t>
  </si>
  <si>
    <t>Total Other Production</t>
  </si>
  <si>
    <t>Steam Production</t>
  </si>
  <si>
    <t>E310.20-Land</t>
  </si>
  <si>
    <t>E310.25-Land ECR 2005</t>
  </si>
  <si>
    <t>E310.26-Land ECR 2011</t>
  </si>
  <si>
    <t>E310 - Land</t>
  </si>
  <si>
    <t>E311.00-Structures and Improvements</t>
  </si>
  <si>
    <t xml:space="preserve">E311.01-AROP Structures and Improv </t>
  </si>
  <si>
    <t>E311 - Structures &amp; Improvements</t>
  </si>
  <si>
    <t>E312.00-Boiler Plant Equipment</t>
  </si>
  <si>
    <t>E312.01-AROP Boiler Plant Equipment</t>
  </si>
  <si>
    <t>E312 - Boiler Plant</t>
  </si>
  <si>
    <t>E314.00-Turbogenerator Units</t>
  </si>
  <si>
    <t>E315.00-Accessory Electric Equipmen</t>
  </si>
  <si>
    <t>E315.01-AROP Accessory Electric Equipmen</t>
  </si>
  <si>
    <t>E315 - Accessory Elec Equip</t>
  </si>
  <si>
    <t>E316.00-Misc Power Plant Equip</t>
  </si>
  <si>
    <t>E317.07-ARO Cost Steam (Eqp)</t>
  </si>
  <si>
    <t>E317.08-ARO Cost Steam (CCR)</t>
  </si>
  <si>
    <t>Total Steam Production</t>
  </si>
  <si>
    <t>E350.10-Land Rights</t>
  </si>
  <si>
    <t>E350.20-Land</t>
  </si>
  <si>
    <t>E350 - Land &amp; Land Rights</t>
  </si>
  <si>
    <t>E352.10-Struct &amp; Imp-Non Sys Contro</t>
  </si>
  <si>
    <t>E353.10-Station Equipment - Non Sys</t>
  </si>
  <si>
    <t>E353.11-AROP Station Equip Non Sys</t>
  </si>
  <si>
    <t>E353 - Station Equip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</si>
  <si>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</si>
  <si>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</si>
  <si>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</si>
  <si>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</si>
  <si>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</si>
  <si>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</si>
  <si>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</si>
  <si>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E359 - ARO Cost Transm</t>
  </si>
  <si>
    <t>Total Electric Transmission</t>
  </si>
  <si>
    <t>Total Electric 101</t>
  </si>
  <si>
    <t>G374.12-Other Distribution Land</t>
  </si>
  <si>
    <t>G374.22-Other Distribution Land Rig</t>
  </si>
  <si>
    <t>G374 - Other Dist Land &amp; Land Rights</t>
  </si>
  <si>
    <t>G375.10-City Gate Check Station Str</t>
  </si>
  <si>
    <t>G375.20-Other Distribution Structur</t>
  </si>
  <si>
    <t>G375 - Other Distribution Station Structur</t>
  </si>
  <si>
    <t>G376.00-Mains</t>
  </si>
  <si>
    <t>G376.10-Mains</t>
  </si>
  <si>
    <t>G378.00-Meas and Reg Station-Genera</t>
  </si>
  <si>
    <t>G379.00-Meas &amp; Reg Station-City Gat</t>
  </si>
  <si>
    <t>G380.00-Services</t>
  </si>
  <si>
    <t>G380.10-Services</t>
  </si>
  <si>
    <t>G381.00-Meters</t>
  </si>
  <si>
    <t>G383.00-Regulators</t>
  </si>
  <si>
    <t>G385.00-Industrial Measuring and Re</t>
  </si>
  <si>
    <t>G387.00-Other Equipment</t>
  </si>
  <si>
    <t>G388.05-ARO Cost Gas Dist (L/B)</t>
  </si>
  <si>
    <t>G388.07-ARO Cost Gas Dist (Eqp)</t>
  </si>
  <si>
    <t>G388 - ARO Cost Gas Dist</t>
  </si>
  <si>
    <t>Total Gas Distribution</t>
  </si>
  <si>
    <t>G392.00-Cars and Light Trucks</t>
  </si>
  <si>
    <t>G392.10-Transportation Equip-Car/Tr</t>
  </si>
  <si>
    <t>G392.20-Transportation Equip-Traile</t>
  </si>
  <si>
    <t>G392 - Transportation</t>
  </si>
  <si>
    <t>G394.00-Tools, Shop, and Garage Equ</t>
  </si>
  <si>
    <t>G395.00-Laboratory Equipment</t>
  </si>
  <si>
    <t>G396.10-Power Op Equip-Hourly Rated</t>
  </si>
  <si>
    <t>G396.20-Power Op Equip - Other</t>
  </si>
  <si>
    <t>G396 - Power Op Equip</t>
  </si>
  <si>
    <t>G397.20-DSM Communication Equipment</t>
  </si>
  <si>
    <t>Total Gas General Plant</t>
  </si>
  <si>
    <t>G302.00-Franchises and Consents</t>
  </si>
  <si>
    <t>Total Gas Intangible Plant</t>
  </si>
  <si>
    <t>G350.10-Land</t>
  </si>
  <si>
    <t>G350.20-Land Rights</t>
  </si>
  <si>
    <t>G350 - Land &amp; Land Rights</t>
  </si>
  <si>
    <t>G351.20-Compressor Station Structur</t>
  </si>
  <si>
    <t>G351.30-Measuring and Regulat Stat</t>
  </si>
  <si>
    <t>G351.40-Other Structures</t>
  </si>
  <si>
    <t>G351 - Structures &amp; Improvements</t>
  </si>
  <si>
    <t>G352.40-Well Drilling</t>
  </si>
  <si>
    <t>G352.50-Well Equipment ARO</t>
  </si>
  <si>
    <t>G352.55-Well Equipment</t>
  </si>
  <si>
    <t>G352 - Wells</t>
  </si>
  <si>
    <t>G352.10-Storage Leaseholds and Righ</t>
  </si>
  <si>
    <t>G352.20-Reservoirs</t>
  </si>
  <si>
    <t>G352.30-Nonrecoverable Natural Gas</t>
  </si>
  <si>
    <t>G353.00-Lines</t>
  </si>
  <si>
    <t>G354.00-Compressor Station Equipmen</t>
  </si>
  <si>
    <t>G355.00-Measuring and Regulat Equip</t>
  </si>
  <si>
    <t>G356.00-Purification Equipment</t>
  </si>
  <si>
    <t>G357.00-Other Equipment</t>
  </si>
  <si>
    <t>G358.05-ARO Cost Gas UG Store (L/B)</t>
  </si>
  <si>
    <t>G358.07-ARO Cost Gas UG Store (Eqp)</t>
  </si>
  <si>
    <t>G358 - ARO Cost Gas UG Store</t>
  </si>
  <si>
    <t>Total Gas Storage</t>
  </si>
  <si>
    <t>G365.20-Rights of Way</t>
  </si>
  <si>
    <t>G367.00-Mains</t>
  </si>
  <si>
    <t>G372.07-ARO Gas Trans (Eqp)</t>
  </si>
  <si>
    <t>Total Gas Transmission</t>
  </si>
  <si>
    <t>Total Gas 101</t>
  </si>
  <si>
    <t>Plant Purchased &amp; Sold</t>
  </si>
  <si>
    <t>Total 105002</t>
  </si>
  <si>
    <t>C397.00-Communication Equipment</t>
  </si>
  <si>
    <t>C397.10-Communication Equip-Compute</t>
  </si>
  <si>
    <t>Total Common 106</t>
  </si>
  <si>
    <t>E396.10-Power Op Equip-Hourly Rtd</t>
  </si>
  <si>
    <t>E310.25-Land</t>
  </si>
  <si>
    <t>Total Electric 106</t>
  </si>
  <si>
    <t>Total Gas 106</t>
  </si>
  <si>
    <t>Total 107</t>
  </si>
  <si>
    <t>TOTAL 101 + 102 + 106</t>
  </si>
  <si>
    <t xml:space="preserve">Non Utility Property </t>
  </si>
  <si>
    <t>FEB</t>
  </si>
  <si>
    <t>Sale of Beargrass Substation Land</t>
  </si>
  <si>
    <t>Transfer between plant accounts.</t>
  </si>
  <si>
    <t>APRIL (A)</t>
  </si>
  <si>
    <t>Reserve adjustment to clear G/L that should not have been calculated on retirement of office furniture.  See April Closing Binder for additional information</t>
  </si>
  <si>
    <t>APRIL (B)</t>
  </si>
  <si>
    <t>Vehicle Sales (net book value)</t>
  </si>
  <si>
    <t>Reversal of the Reserve adjustment to clear G/L that should not have been calculated on retirement of office furniture.  See April Closing Binder for additional information</t>
  </si>
  <si>
    <t>Transfer Riverport from 105 to 101</t>
  </si>
  <si>
    <t>JUNE(B)</t>
  </si>
  <si>
    <t>July (A)</t>
  </si>
  <si>
    <t>Tramsfer between plant accounts</t>
  </si>
  <si>
    <t>July (B)</t>
  </si>
  <si>
    <t>Reserve adjustment</t>
  </si>
  <si>
    <t>Transfer between plant accounts related to ARO CCR.</t>
  </si>
  <si>
    <t>Transfer to Plant Held for Future Use.</t>
  </si>
  <si>
    <t>SEPT (A)</t>
  </si>
  <si>
    <t>SEPT (B)</t>
  </si>
  <si>
    <t>ARO Revaluation</t>
  </si>
  <si>
    <t>SEPT (C)</t>
  </si>
  <si>
    <t>OCTOBER (B)</t>
  </si>
  <si>
    <t>OCTOBER ©</t>
  </si>
  <si>
    <t>Sale of CR Railcars</t>
  </si>
  <si>
    <t>Sale of Vehicles</t>
  </si>
  <si>
    <t>Transfer between Common and Gas</t>
  </si>
  <si>
    <t>DECEMBER ('C)</t>
  </si>
  <si>
    <t>DSM Write Off</t>
  </si>
  <si>
    <t>Louisville Gas &amp; Electric</t>
  </si>
  <si>
    <t>Land and Vehicle Retirements - 2016-REGULATORY ACCOUNTING</t>
  </si>
  <si>
    <t>Other +</t>
  </si>
  <si>
    <t>Unplanned</t>
  </si>
  <si>
    <t>Actual Cash</t>
  </si>
  <si>
    <t>Booked</t>
  </si>
  <si>
    <t>Vehicles NBV</t>
  </si>
  <si>
    <t>Land Cost</t>
  </si>
  <si>
    <t>Depreciation</t>
  </si>
  <si>
    <t>(Gain)/Loss</t>
  </si>
  <si>
    <t>Received</t>
  </si>
  <si>
    <t>to GL (Y/N)</t>
  </si>
  <si>
    <t>Beargrass Substation (146545)</t>
  </si>
  <si>
    <t>Y</t>
  </si>
  <si>
    <t>Vehicle Auction</t>
  </si>
  <si>
    <t>Gas Vehicle Trade In (150154)</t>
  </si>
  <si>
    <t>CWIP SPEND - YTD - REGULATORY ACCOUNTING</t>
  </si>
  <si>
    <t>Project Number</t>
  </si>
  <si>
    <t>Project Description</t>
  </si>
  <si>
    <t>CWIP Spend</t>
  </si>
  <si>
    <t>001LGE16</t>
  </si>
  <si>
    <t>Access Switch Rotation-LGE16</t>
  </si>
  <si>
    <t>002LGE15</t>
  </si>
  <si>
    <t>Aligne Fuels Reports-LGE15</t>
  </si>
  <si>
    <t>002LGE16</t>
  </si>
  <si>
    <t>Analog Sunset-LGE16</t>
  </si>
  <si>
    <t>003LGE15</t>
  </si>
  <si>
    <t>Aligne Upgrade-LGE15</t>
  </si>
  <si>
    <t>004LGE14</t>
  </si>
  <si>
    <t>Call Center-Route&amp;Report-LGE14</t>
  </si>
  <si>
    <t>005LGE14</t>
  </si>
  <si>
    <t>Cust Comm-text, apps-LGE14</t>
  </si>
  <si>
    <t>006LGE15</t>
  </si>
  <si>
    <t>Bulk Power &amp; Env Systems-LGE15</t>
  </si>
  <si>
    <t>006LGE16</t>
  </si>
  <si>
    <t>Bulk Power &amp; Env Systems-LGE16</t>
  </si>
  <si>
    <t>007LGE16</t>
  </si>
  <si>
    <t>Cabling Server Connect-LGE16</t>
  </si>
  <si>
    <t>009LGE16</t>
  </si>
  <si>
    <t>CERUS IV-LGE16</t>
  </si>
  <si>
    <t>011LGE15</t>
  </si>
  <si>
    <t>CIP Compl Year 5-LGE15</t>
  </si>
  <si>
    <t>011LGE16</t>
  </si>
  <si>
    <t>CIP Compl Year 6-LGE16</t>
  </si>
  <si>
    <t>012LGE15</t>
  </si>
  <si>
    <t>CIP Compl Tools - Year 5-LGE15</t>
  </si>
  <si>
    <t>012LGE16</t>
  </si>
  <si>
    <t>CIP Compl Tools - Year 6-LGE16</t>
  </si>
  <si>
    <t>013LGE16</t>
  </si>
  <si>
    <t>Core Network Infra-LGE16</t>
  </si>
  <si>
    <t>017LGE16</t>
  </si>
  <si>
    <t>Electric Insp Enhan-LGE16</t>
  </si>
  <si>
    <t>019LGE15</t>
  </si>
  <si>
    <t>Design Tool Repl (WIM)-LGE15</t>
  </si>
  <si>
    <t>021LGE15</t>
  </si>
  <si>
    <t>Electric Insp Enhan-LGE15</t>
  </si>
  <si>
    <t>021LGE16</t>
  </si>
  <si>
    <t>Further app virt build-LGE16</t>
  </si>
  <si>
    <t>023LGE16</t>
  </si>
  <si>
    <t>IT Security Infrast-LGE16</t>
  </si>
  <si>
    <t>024LGE15</t>
  </si>
  <si>
    <t>Further app virt build-LGE15</t>
  </si>
  <si>
    <t>025LGE16</t>
  </si>
  <si>
    <t>Lville Electrical Upgr-LGE16</t>
  </si>
  <si>
    <t>026LGE15</t>
  </si>
  <si>
    <t>GIS Enhance and Upgr-LGE15</t>
  </si>
  <si>
    <t>026LGE16</t>
  </si>
  <si>
    <t>Lville Racks &amp; Furn-LGE16</t>
  </si>
  <si>
    <t>029LGE16</t>
  </si>
  <si>
    <t>Microsoft Lic True-up-LGE16</t>
  </si>
  <si>
    <t>031LGE16</t>
  </si>
  <si>
    <t>Mobile Infrastructure-LGE16</t>
  </si>
  <si>
    <t>032LGE14</t>
  </si>
  <si>
    <t>Vulnerability Scanning-LGE14</t>
  </si>
  <si>
    <t>032LGE16</t>
  </si>
  <si>
    <t>Mobile Radio-LGE16</t>
  </si>
  <si>
    <t>033LGE16</t>
  </si>
  <si>
    <t>Mble Rad Syst Replace-LGE16</t>
  </si>
  <si>
    <t>034LGE16</t>
  </si>
  <si>
    <t>Multi-Fun Dev Grow&amp;Ref-LGE16</t>
  </si>
  <si>
    <t>036LGE15</t>
  </si>
  <si>
    <t>Lville Racks &amp; Furn-LGE15</t>
  </si>
  <si>
    <t>037LGE15</t>
  </si>
  <si>
    <t>Mat Failure Track-LGE15</t>
  </si>
  <si>
    <t>037LGE16</t>
  </si>
  <si>
    <t>Ntwrk Acc Dev&amp;Site Infra-LGE16</t>
  </si>
  <si>
    <t>038LGE15</t>
  </si>
  <si>
    <t>Microsoft Lic True-up-LGE15</t>
  </si>
  <si>
    <t>038LGE16</t>
  </si>
  <si>
    <t>Ntwrk Acc Dev &amp; Gate-LGE16</t>
  </si>
  <si>
    <t>039LGE16</t>
  </si>
  <si>
    <t>Network Management-LGE16</t>
  </si>
  <si>
    <t>040LGE16</t>
  </si>
  <si>
    <t>Network Test Equipment-LGE16</t>
  </si>
  <si>
    <t>041LGE15</t>
  </si>
  <si>
    <t>Mobile Radio-LGE15</t>
  </si>
  <si>
    <t>042LGE15</t>
  </si>
  <si>
    <t>Mble Rad Syst RepYr 1/2-LGE15</t>
  </si>
  <si>
    <t>043LGE16</t>
  </si>
  <si>
    <t>Original SW Upgrade-LGE16</t>
  </si>
  <si>
    <t>044LGE16</t>
  </si>
  <si>
    <t>Outside Cable Plant-LGE16</t>
  </si>
  <si>
    <t>046LGE16</t>
  </si>
  <si>
    <t>Pers Product Grow &amp; Ref-LGE16</t>
  </si>
  <si>
    <t>047LGE16</t>
  </si>
  <si>
    <t>Phone Expan/Break Fix-LGE16</t>
  </si>
  <si>
    <t>053LGE15</t>
  </si>
  <si>
    <t>Orcl Ntwk Mgmt Sys Rep-LGE15</t>
  </si>
  <si>
    <t>053LGE16</t>
  </si>
  <si>
    <t>Replace PDUs - BOC-LGE16</t>
  </si>
  <si>
    <t>054LGE15</t>
  </si>
  <si>
    <t>Outside Cable Plant-LGE15</t>
  </si>
  <si>
    <t>055LGE15</t>
  </si>
  <si>
    <t>PeopleSoft Enhancements-LGE15</t>
  </si>
  <si>
    <t>056LGE15</t>
  </si>
  <si>
    <t>Pers Product Grow &amp; Ref-LGE15</t>
  </si>
  <si>
    <t>059LGE16</t>
  </si>
  <si>
    <t>Sec Infra Enhancements-LGE16</t>
  </si>
  <si>
    <t>060LGE16</t>
  </si>
  <si>
    <t>Serv Cap Expan and Rel-LGE16</t>
  </si>
  <si>
    <t>063LGE16</t>
  </si>
  <si>
    <t>Simpsonville Elect Upg-LGE16</t>
  </si>
  <si>
    <t>064LGE16</t>
  </si>
  <si>
    <t>Simpson Furn&amp;Racks-LGE16</t>
  </si>
  <si>
    <t>065LGE16</t>
  </si>
  <si>
    <t>Site Security Improve-LGE16</t>
  </si>
  <si>
    <t>067LGE16</t>
  </si>
  <si>
    <t>TeleRm Data Cent Y1/2-LGE16</t>
  </si>
  <si>
    <t>068LGE16</t>
  </si>
  <si>
    <t>Telecom Shelter Ren-LGE16</t>
  </si>
  <si>
    <t>071LGE14</t>
  </si>
  <si>
    <t>Telecom Shelter Renov-LGE14</t>
  </si>
  <si>
    <t>073LGE15</t>
  </si>
  <si>
    <t>Serv Cap Expan and Rel-LGE15</t>
  </si>
  <si>
    <t>074LGE15</t>
  </si>
  <si>
    <t>Serv HW Refresh-LGE15</t>
  </si>
  <si>
    <t>074LGE16</t>
  </si>
  <si>
    <t>Upgrade Vmware Infra-LGE16</t>
  </si>
  <si>
    <t>076LGE15</t>
  </si>
  <si>
    <t>Simpson Furn&amp;Racks-LGE15</t>
  </si>
  <si>
    <t>076LGE16</t>
  </si>
  <si>
    <t>Vulnerability Scanning-LGE16</t>
  </si>
  <si>
    <t>077LGE15</t>
  </si>
  <si>
    <t>Site Security Impr LGE15</t>
  </si>
  <si>
    <t>077LGE16</t>
  </si>
  <si>
    <t>Wireless Upgrade (WERUS)-LGE16</t>
  </si>
  <si>
    <t>078LGE16</t>
  </si>
  <si>
    <t>WMS Work MGMT Syst-LGE</t>
  </si>
  <si>
    <t>079LGE15</t>
  </si>
  <si>
    <t>Telecom Shelter Ren-LGE15</t>
  </si>
  <si>
    <t>080LGE14</t>
  </si>
  <si>
    <t>Lockout/Tagout (LOTO)-LGE14</t>
  </si>
  <si>
    <t>080LGE16</t>
  </si>
  <si>
    <t>Gas Nomination System-LGE16</t>
  </si>
  <si>
    <t>081LGE16</t>
  </si>
  <si>
    <t>Monitor Replacement-LGE16</t>
  </si>
  <si>
    <t>082LGE15</t>
  </si>
  <si>
    <t>Upgrade Vmware Infra-LGE15</t>
  </si>
  <si>
    <t>082LGE16</t>
  </si>
  <si>
    <t>Tech Ref desktop/laptops-LGE16</t>
  </si>
  <si>
    <t>083LGE16</t>
  </si>
  <si>
    <t>Tower Replacements-LGE16</t>
  </si>
  <si>
    <t>087LGE14</t>
  </si>
  <si>
    <t>EE DSM Filing (Non-AMS)-LGE14</t>
  </si>
  <si>
    <t>093LGE16</t>
  </si>
  <si>
    <t>Server HW Refresh-LGE16</t>
  </si>
  <si>
    <t>100LGE15</t>
  </si>
  <si>
    <t>Replace Edge 95 units-LGE15</t>
  </si>
  <si>
    <t>100LGE16</t>
  </si>
  <si>
    <t>Microsoft EA-LGE16</t>
  </si>
  <si>
    <t>108LGE16</t>
  </si>
  <si>
    <t>SOA Middleware Upgrades-LGE16</t>
  </si>
  <si>
    <t>109LGE15</t>
  </si>
  <si>
    <t>Tech Ref desk&amp;laptops- LGE15</t>
  </si>
  <si>
    <t>109LGE16</t>
  </si>
  <si>
    <t>WallStreet Suite Upgr-LGE16</t>
  </si>
  <si>
    <t>110LGE16</t>
  </si>
  <si>
    <t>Monitoring Project-LGE16</t>
  </si>
  <si>
    <t>111LGE16</t>
  </si>
  <si>
    <t>Gas Tracking and Trace-LGE16</t>
  </si>
  <si>
    <t>113LGE16</t>
  </si>
  <si>
    <t>TOA Enhancements-LGE16</t>
  </si>
  <si>
    <t>117149</t>
  </si>
  <si>
    <t>Trimble County 2</t>
  </si>
  <si>
    <t>117361</t>
  </si>
  <si>
    <t>Accrued Labor - LGE</t>
  </si>
  <si>
    <t>117LGE16</t>
  </si>
  <si>
    <t>TRODS-LGE16</t>
  </si>
  <si>
    <t>118209</t>
  </si>
  <si>
    <t>Trimble 2 Transmission lge</t>
  </si>
  <si>
    <t>119902</t>
  </si>
  <si>
    <t>Clear 12/04 A&amp;G</t>
  </si>
  <si>
    <t>120754</t>
  </si>
  <si>
    <t>Misc. A/R Uncollect - LGE Cap</t>
  </si>
  <si>
    <t>120LGE14</t>
  </si>
  <si>
    <t>UC&amp;C-LGE14</t>
  </si>
  <si>
    <t>120LGE15</t>
  </si>
  <si>
    <t>UC&amp;C-LGE15</t>
  </si>
  <si>
    <t>120LGE16</t>
  </si>
  <si>
    <t>SynerGEE Gas Isolat Mod-LGE16</t>
  </si>
  <si>
    <t>122LGE14</t>
  </si>
  <si>
    <t>Ventyx Mobile Upgrade-LGE14</t>
  </si>
  <si>
    <t>123220</t>
  </si>
  <si>
    <t>LGE BRCT7 A/B Conversion 08</t>
  </si>
  <si>
    <t>125LGE16</t>
  </si>
  <si>
    <t>EMS CIP-LGE16</t>
  </si>
  <si>
    <t>126LGE16</t>
  </si>
  <si>
    <t>Expand EMS Dev System-LGE16</t>
  </si>
  <si>
    <t>127090</t>
  </si>
  <si>
    <t>Ohio Falls Redev. #3</t>
  </si>
  <si>
    <t>127091</t>
  </si>
  <si>
    <t>Ohio Falls Redev. #4</t>
  </si>
  <si>
    <t>127095</t>
  </si>
  <si>
    <t>Ohio Falls Redev. #8</t>
  </si>
  <si>
    <t>127135</t>
  </si>
  <si>
    <t>TC CCP LANDFILL PH1 RAV-LGE</t>
  </si>
  <si>
    <t>127181</t>
  </si>
  <si>
    <t>PeopleSoft Time (LG&amp;E %)</t>
  </si>
  <si>
    <t>127201</t>
  </si>
  <si>
    <t>Ohio Falls Redev. #1</t>
  </si>
  <si>
    <t>127202</t>
  </si>
  <si>
    <t>Ohio Falls Redev. #2</t>
  </si>
  <si>
    <t>127258</t>
  </si>
  <si>
    <t>Third Party PAR</t>
  </si>
  <si>
    <t>127559</t>
  </si>
  <si>
    <t>CANE RUN 7 - LGE</t>
  </si>
  <si>
    <t>127572</t>
  </si>
  <si>
    <t>MC Coal Barge Unloader</t>
  </si>
  <si>
    <t>127LGE16</t>
  </si>
  <si>
    <t>EMS Sys_Monitor Tool-LGE16</t>
  </si>
  <si>
    <t>129LGE16</t>
  </si>
  <si>
    <t>Implement SDE Replace-LGE16</t>
  </si>
  <si>
    <t>130321</t>
  </si>
  <si>
    <t>REPLACE FIBER REACH NODES-LGE</t>
  </si>
  <si>
    <t>130321LGE</t>
  </si>
  <si>
    <t>REPL FIBER NODES-LGE ONLY</t>
  </si>
  <si>
    <t>130875</t>
  </si>
  <si>
    <t>MC1&amp;2 FGD, MC1FF, MC2FF</t>
  </si>
  <si>
    <t>130881</t>
  </si>
  <si>
    <t>MC3 FGD &amp; FABRIC FILTER</t>
  </si>
  <si>
    <t>130896</t>
  </si>
  <si>
    <t>TC1 FABRIC FILTER</t>
  </si>
  <si>
    <t>130LGE15</t>
  </si>
  <si>
    <t>Advanced Malware Detect-LGE15</t>
  </si>
  <si>
    <t>131314</t>
  </si>
  <si>
    <t>Lou Upgr-New Albany-Subs</t>
  </si>
  <si>
    <t>131342</t>
  </si>
  <si>
    <t>Middletown Control House</t>
  </si>
  <si>
    <t>131443</t>
  </si>
  <si>
    <t>KENZIG ROAD</t>
  </si>
  <si>
    <t>131607LGE</t>
  </si>
  <si>
    <t>TC1 SDRS REACTANT TANK ROOF</t>
  </si>
  <si>
    <t>131701</t>
  </si>
  <si>
    <t>Lou Upgrades-Midtown 4th Xfrmr</t>
  </si>
  <si>
    <t>131849</t>
  </si>
  <si>
    <t>CIP-LGE-2015</t>
  </si>
  <si>
    <t>131851</t>
  </si>
  <si>
    <t>CIP-LGE-2016</t>
  </si>
  <si>
    <t>131948</t>
  </si>
  <si>
    <t>GS SL XRay Spectograph</t>
  </si>
  <si>
    <t>132000</t>
  </si>
  <si>
    <t>TC CT HGP Insp #1</t>
  </si>
  <si>
    <t>132001</t>
  </si>
  <si>
    <t>TC CT HGP Insp #2</t>
  </si>
  <si>
    <t>132804</t>
  </si>
  <si>
    <t>MC3 BURNERS 2013</t>
  </si>
  <si>
    <t>132874</t>
  </si>
  <si>
    <t>Paddy's Run Demo</t>
  </si>
  <si>
    <t>132896</t>
  </si>
  <si>
    <t>MC COAL CHUTES 2016</t>
  </si>
  <si>
    <t>132918</t>
  </si>
  <si>
    <t>MC2 Economizer</t>
  </si>
  <si>
    <t>132920</t>
  </si>
  <si>
    <t>MC3 Boiler Extended Arch</t>
  </si>
  <si>
    <t>132923</t>
  </si>
  <si>
    <t>MC4 Boiler Extended Arch</t>
  </si>
  <si>
    <t>132927</t>
  </si>
  <si>
    <t>MC3 Service Water Piping</t>
  </si>
  <si>
    <t>132928</t>
  </si>
  <si>
    <t>GS CDM Aurora Mit LGE</t>
  </si>
  <si>
    <t>132936</t>
  </si>
  <si>
    <t>MC4 Service Water Piping</t>
  </si>
  <si>
    <t>132938</t>
  </si>
  <si>
    <t>MC2 Exp Joints 2016</t>
  </si>
  <si>
    <t>132939</t>
  </si>
  <si>
    <t>MC3 Exp Joints 2016</t>
  </si>
  <si>
    <t>132941</t>
  </si>
  <si>
    <t>MC4 Exp Joints 2016</t>
  </si>
  <si>
    <t>132951</t>
  </si>
  <si>
    <t>MC3 Condenser 2016</t>
  </si>
  <si>
    <t>132957</t>
  </si>
  <si>
    <t>MC3 SCR Catalyst Layer 3</t>
  </si>
  <si>
    <t>132995</t>
  </si>
  <si>
    <t>MC 3 &amp; 4 Field Instrumentation</t>
  </si>
  <si>
    <t>133614</t>
  </si>
  <si>
    <t>MC4 FGD, FF</t>
  </si>
  <si>
    <t>133671</t>
  </si>
  <si>
    <t>EFFLUENT WATER STUDY-MC</t>
  </si>
  <si>
    <t>133679</t>
  </si>
  <si>
    <t>EFFLUENT WATER STUDY-TC LGE</t>
  </si>
  <si>
    <t>133712</t>
  </si>
  <si>
    <t>TC1 SCR CAT L3 RE-GEN</t>
  </si>
  <si>
    <t>134111LGE</t>
  </si>
  <si>
    <t>TC2 SCR L2 REPLACEMENT</t>
  </si>
  <si>
    <t>134232LGE</t>
  </si>
  <si>
    <t>TC2 LGE Boiler Metal Overlay</t>
  </si>
  <si>
    <t>134242</t>
  </si>
  <si>
    <t>CIP Test Lab-LGE-2013</t>
  </si>
  <si>
    <t>134624</t>
  </si>
  <si>
    <t>New 138kV CR7 SW Yard-Network</t>
  </si>
  <si>
    <t>134857</t>
  </si>
  <si>
    <t>DRKY FARM POT REMOVAL</t>
  </si>
  <si>
    <t>134LGE15</t>
  </si>
  <si>
    <t>Cascade Corp Sec Assets-LGE15</t>
  </si>
  <si>
    <t>135LGE16</t>
  </si>
  <si>
    <t>Rate Case 2016-LGE16</t>
  </si>
  <si>
    <t>136550</t>
  </si>
  <si>
    <t>GS SL Gas Chrmgrph LGE</t>
  </si>
  <si>
    <t>136637</t>
  </si>
  <si>
    <t>MC4 SCR Catalyst Layer 2 2016</t>
  </si>
  <si>
    <t>136648</t>
  </si>
  <si>
    <t>MC3 Final SH Pendants</t>
  </si>
  <si>
    <t>136650</t>
  </si>
  <si>
    <t>MC CH Railroad Track 2016</t>
  </si>
  <si>
    <t>136663</t>
  </si>
  <si>
    <t>MC1 DCS Hardware 2016</t>
  </si>
  <si>
    <t>137003</t>
  </si>
  <si>
    <t>TC1 SCR CATALYST L1</t>
  </si>
  <si>
    <t>137045LGE</t>
  </si>
  <si>
    <t>TC2 REPL AIR HEATER BASKETS</t>
  </si>
  <si>
    <t>137491</t>
  </si>
  <si>
    <t>TC Landfill Add'l Land LGE</t>
  </si>
  <si>
    <t>137503</t>
  </si>
  <si>
    <t>CR AP &amp; LF Capping &amp; Closure</t>
  </si>
  <si>
    <t>137642</t>
  </si>
  <si>
    <t>TC1 REPL GEN PROTECT RELAY</t>
  </si>
  <si>
    <t>137662LGE</t>
  </si>
  <si>
    <t>TC2 SUB SCRAPER CONVEYOR</t>
  </si>
  <si>
    <t>137709</t>
  </si>
  <si>
    <t>Ckt FA1123</t>
  </si>
  <si>
    <t>137976</t>
  </si>
  <si>
    <t>REPL ALDYL-A PIPE CENT,SAV,CAN</t>
  </si>
  <si>
    <t>137980</t>
  </si>
  <si>
    <t>REPLACE 8" LINE IN INDIANA</t>
  </si>
  <si>
    <t>137985</t>
  </si>
  <si>
    <t>INST CTRL VALV GAS STOR WELLS</t>
  </si>
  <si>
    <t>138002</t>
  </si>
  <si>
    <t>B-TOWN RD CITY GATE STA</t>
  </si>
  <si>
    <t>138012</t>
  </si>
  <si>
    <t>GAS REG FAC UPGR PROJ</t>
  </si>
  <si>
    <t>138015</t>
  </si>
  <si>
    <t>UPGR BELLS LN REG STATION</t>
  </si>
  <si>
    <t>138033</t>
  </si>
  <si>
    <t>INLINE INSP-BALLARDSVILLE LINE</t>
  </si>
  <si>
    <t>138136</t>
  </si>
  <si>
    <t>DSP LYNDON S SUBST PROJ</t>
  </si>
  <si>
    <t>138137</t>
  </si>
  <si>
    <t>DSP MANSLICK CIRCUIT WORK</t>
  </si>
  <si>
    <t>138138</t>
  </si>
  <si>
    <t>DSP MANSLICK SUBST EXPAN</t>
  </si>
  <si>
    <t>138393</t>
  </si>
  <si>
    <t>TC1 UPPER ARCH</t>
  </si>
  <si>
    <t>138439</t>
  </si>
  <si>
    <t>DLC - LG&amp;E Electric</t>
  </si>
  <si>
    <t>138552</t>
  </si>
  <si>
    <t>CARPET/FLOORIN REPL LGE 2014</t>
  </si>
  <si>
    <t>138554</t>
  </si>
  <si>
    <t>LGE SRV CTR FURNITURE 2014</t>
  </si>
  <si>
    <t>138674</t>
  </si>
  <si>
    <t>EAST END OHIO RVR BRIDGES ELEC</t>
  </si>
  <si>
    <t>138675</t>
  </si>
  <si>
    <t>EAST END OHIO RVR BRIDGES GAS</t>
  </si>
  <si>
    <t>138685</t>
  </si>
  <si>
    <t>Ohio Falls Upgrade #6</t>
  </si>
  <si>
    <t>138686</t>
  </si>
  <si>
    <t>Ohio Falls Upgrade #7</t>
  </si>
  <si>
    <t>138898LGE</t>
  </si>
  <si>
    <t>Enterprise Info Mgmt-LGE12</t>
  </si>
  <si>
    <t>138LGE16</t>
  </si>
  <si>
    <t>PowerPlant Module Upgr-LGE16</t>
  </si>
  <si>
    <t>139045</t>
  </si>
  <si>
    <t>TC2 DSI System - LGE</t>
  </si>
  <si>
    <t>139119</t>
  </si>
  <si>
    <t>THIRD PARTY POLE ATTACH 2013</t>
  </si>
  <si>
    <t>139218</t>
  </si>
  <si>
    <t>New 138kV CR7 SW Yard-Intrcn</t>
  </si>
  <si>
    <t>139595</t>
  </si>
  <si>
    <t>GS GE DME Phase II LGE</t>
  </si>
  <si>
    <t>139598</t>
  </si>
  <si>
    <t>GS GE Aux Trans Prot LGE</t>
  </si>
  <si>
    <t>139600</t>
  </si>
  <si>
    <t>GS CDM PRC-05 Collect LGE</t>
  </si>
  <si>
    <t>139654</t>
  </si>
  <si>
    <t>DOWNTOWN OHIO RVR BRIDGE ELEC</t>
  </si>
  <si>
    <t>139655</t>
  </si>
  <si>
    <t>DOWNTOWN OHIO RVR BRIDGE GAS</t>
  </si>
  <si>
    <t>139670</t>
  </si>
  <si>
    <t>GS CDM CIP Ver 6.0 LGE</t>
  </si>
  <si>
    <t>139688</t>
  </si>
  <si>
    <t>Test Lab Equipment-2015-LGE</t>
  </si>
  <si>
    <t>139720</t>
  </si>
  <si>
    <t>MC3 &amp; MC4 Compressed Air</t>
  </si>
  <si>
    <t>139721</t>
  </si>
  <si>
    <t>MC 3C GSU Transformer</t>
  </si>
  <si>
    <t>139763LGE</t>
  </si>
  <si>
    <t>TC ACID INJECTION FLYASH</t>
  </si>
  <si>
    <t>139764</t>
  </si>
  <si>
    <t>BALLARDSVILLE PIG AT ZORN</t>
  </si>
  <si>
    <t>139771LGE</t>
  </si>
  <si>
    <t>TC2 CO MONITOR SYSTEM</t>
  </si>
  <si>
    <t>139783</t>
  </si>
  <si>
    <t>TC1 REBUILD BURNER WINDBXS 1&amp;3</t>
  </si>
  <si>
    <t>139788LGE</t>
  </si>
  <si>
    <t>TC COAL HANDLING PLC REPL</t>
  </si>
  <si>
    <t>139789LGE</t>
  </si>
  <si>
    <t>TC RADIO SYST COAL BLEND TUNL</t>
  </si>
  <si>
    <t>139821</t>
  </si>
  <si>
    <t>MC3 SCR Catalyst L2</t>
  </si>
  <si>
    <t>139852</t>
  </si>
  <si>
    <t>MC3A GSU XFRMR</t>
  </si>
  <si>
    <t>139864LGE</t>
  </si>
  <si>
    <t>BRCT GT24 Evap Media Repl LGE</t>
  </si>
  <si>
    <t>139LGE15</t>
  </si>
  <si>
    <t>CTS/AFB-Accting Enhance-LGE15</t>
  </si>
  <si>
    <t>139LGE16</t>
  </si>
  <si>
    <t>Central Firewall Mgmt-LGE16</t>
  </si>
  <si>
    <t>140017</t>
  </si>
  <si>
    <t>Dix Upgrade - LGE 2014</t>
  </si>
  <si>
    <t>140097</t>
  </si>
  <si>
    <t>EMS OPERATOR MONITORS-LGE-2016</t>
  </si>
  <si>
    <t>140107</t>
  </si>
  <si>
    <t>OF Station Gantry Crane</t>
  </si>
  <si>
    <t>140401</t>
  </si>
  <si>
    <t>OG VEHICLE PURCH 16</t>
  </si>
  <si>
    <t>140409</t>
  </si>
  <si>
    <t>GS TRN PPD-Trans Trng Cntr</t>
  </si>
  <si>
    <t>140446</t>
  </si>
  <si>
    <t>ILI PIPELINE RIVERPORT LINE</t>
  </si>
  <si>
    <t>140454</t>
  </si>
  <si>
    <t>DOE VALLEY LINE PIGGABILITY</t>
  </si>
  <si>
    <t>140458</t>
  </si>
  <si>
    <t>INT CORR MAG FIELD PRESS MON</t>
  </si>
  <si>
    <t>140460</t>
  </si>
  <si>
    <t>2014 REGULATORY TOOLS</t>
  </si>
  <si>
    <t>140502</t>
  </si>
  <si>
    <t>SCM MODIFY CANE RUN 14KV PLANT</t>
  </si>
  <si>
    <t>140537</t>
  </si>
  <si>
    <t>SCM2015 LGE CO RELAY REPLACE</t>
  </si>
  <si>
    <t>140539</t>
  </si>
  <si>
    <t>SCM2015 LGE RTU REPLACEMENTS</t>
  </si>
  <si>
    <t>140540</t>
  </si>
  <si>
    <t>SCM2015 LGE REPL AIR MAG BRKRS</t>
  </si>
  <si>
    <t>140544</t>
  </si>
  <si>
    <t>SCM2015 LGE REPL SUB BATTERY</t>
  </si>
  <si>
    <t>140553</t>
  </si>
  <si>
    <t>SCM2015 LGE SUB BLDNG &amp; GND</t>
  </si>
  <si>
    <t>140568</t>
  </si>
  <si>
    <t>MT WASHI LEBANON JCTN</t>
  </si>
  <si>
    <t>140599LGE</t>
  </si>
  <si>
    <t>TC2 PEGGING STEAM SUPPLY</t>
  </si>
  <si>
    <t>140625</t>
  </si>
  <si>
    <t>SCM2015 LGE LTC OIL FILT ADDS</t>
  </si>
  <si>
    <t>140626</t>
  </si>
  <si>
    <t>SCM2015 LGE MISC CAPITAL SUB</t>
  </si>
  <si>
    <t>140643</t>
  </si>
  <si>
    <t>SCM2015 LGE TOOLS &amp; EQUIPMENT</t>
  </si>
  <si>
    <t>140650</t>
  </si>
  <si>
    <t>MANHOLE COVER REPL PROG 2015</t>
  </si>
  <si>
    <t>140655</t>
  </si>
  <si>
    <t>GS GE TCCT Hrdng LGE</t>
  </si>
  <si>
    <t>140658LGE</t>
  </si>
  <si>
    <t>TC CT LCI UPGRADE #1</t>
  </si>
  <si>
    <t>140833</t>
  </si>
  <si>
    <t>MULD SUCTION DISCHARGE HEAD</t>
  </si>
  <si>
    <t>140847</t>
  </si>
  <si>
    <t>BOILER BLOW DOWN TANKS</t>
  </si>
  <si>
    <t>140856</t>
  </si>
  <si>
    <t>TRANS VALVES LEES AND KRAMERS</t>
  </si>
  <si>
    <t>140859</t>
  </si>
  <si>
    <t>TURBINE VIBRATION MONITORS</t>
  </si>
  <si>
    <t>140875</t>
  </si>
  <si>
    <t>VARIABLE SPARK IGNITIONS</t>
  </si>
  <si>
    <t>140878</t>
  </si>
  <si>
    <t>TANK LEVEL WIRELESS TRANS</t>
  </si>
  <si>
    <t>140910</t>
  </si>
  <si>
    <t>REPL TRANSITE PANELS W METAL</t>
  </si>
  <si>
    <t>140911</t>
  </si>
  <si>
    <t>PAVING</t>
  </si>
  <si>
    <t>140943</t>
  </si>
  <si>
    <t>CHARCOAL FILTERS DEHYs</t>
  </si>
  <si>
    <t>140944</t>
  </si>
  <si>
    <t>LEAK SURVEY INSTRUMENTS</t>
  </si>
  <si>
    <t>140951</t>
  </si>
  <si>
    <t>TANK SHEDS</t>
  </si>
  <si>
    <t>140956</t>
  </si>
  <si>
    <t>MAG BACKUP GENERATORS</t>
  </si>
  <si>
    <t>140968</t>
  </si>
  <si>
    <t>BELTLINE SEPARATION</t>
  </si>
  <si>
    <t>141004</t>
  </si>
  <si>
    <t>ST HELEN FACILITY</t>
  </si>
  <si>
    <t>141195</t>
  </si>
  <si>
    <t>PILC 2014 LGE UG Cable Replace</t>
  </si>
  <si>
    <t>141392</t>
  </si>
  <si>
    <t>LGE FURNITURE PROJ</t>
  </si>
  <si>
    <t>141405</t>
  </si>
  <si>
    <t>INSTALL RTU DISPLAYS CG</t>
  </si>
  <si>
    <t>141419</t>
  </si>
  <si>
    <t>CARPET REPLACEMENT 2015</t>
  </si>
  <si>
    <t>141423</t>
  </si>
  <si>
    <t>LGE REPLACE FAILED EQP 2015</t>
  </si>
  <si>
    <t>141424</t>
  </si>
  <si>
    <t>LGE REPL FAILED EQP 2016</t>
  </si>
  <si>
    <t>141425</t>
  </si>
  <si>
    <t>A/V EQUIP - LG&amp;E 2015</t>
  </si>
  <si>
    <t>141440</t>
  </si>
  <si>
    <t>LGE FURN/CHAIRS 2016</t>
  </si>
  <si>
    <t>142356</t>
  </si>
  <si>
    <t>Retail Hardware LG&amp;E 2016</t>
  </si>
  <si>
    <t>142496</t>
  </si>
  <si>
    <t>TC BENTLY NEVADA PHASE II</t>
  </si>
  <si>
    <t>142626</t>
  </si>
  <si>
    <t>MC Clg Tower Fan GB 2013</t>
  </si>
  <si>
    <t>142726</t>
  </si>
  <si>
    <t>DIST-NA-FRNVLY-WTSN</t>
  </si>
  <si>
    <t>142753LGE</t>
  </si>
  <si>
    <t>TC2 GAS IGNITE FUEL 2015</t>
  </si>
  <si>
    <t>142759</t>
  </si>
  <si>
    <t>Rplce EMS Wkstations-LGE-2013</t>
  </si>
  <si>
    <t>142891</t>
  </si>
  <si>
    <t>DIST-NA-AHBY-PLSRDG</t>
  </si>
  <si>
    <t>142LGE16</t>
  </si>
  <si>
    <t>UC4 Upgrade to V10-LGE16</t>
  </si>
  <si>
    <t>143042</t>
  </si>
  <si>
    <t>Brown Solar Facility - LGE</t>
  </si>
  <si>
    <t>143279</t>
  </si>
  <si>
    <t>MG1327 LGE</t>
  </si>
  <si>
    <t>143282</t>
  </si>
  <si>
    <t>AB1202 LGE</t>
  </si>
  <si>
    <t>143286</t>
  </si>
  <si>
    <t>FERN VALLEY (FV) 1143 LGE</t>
  </si>
  <si>
    <t>143287</t>
  </si>
  <si>
    <t>SM1232 LGE</t>
  </si>
  <si>
    <t>143507</t>
  </si>
  <si>
    <t>TIPTOP3311 (TT3311) REBLD SEC</t>
  </si>
  <si>
    <t>143577</t>
  </si>
  <si>
    <t>INT CORR MULD FIELD PRESS MON</t>
  </si>
  <si>
    <t>143613</t>
  </si>
  <si>
    <t>MC Coal Hndlg Fire Protection</t>
  </si>
  <si>
    <t>143614</t>
  </si>
  <si>
    <t>MC1 Fire Protection System</t>
  </si>
  <si>
    <t>143615</t>
  </si>
  <si>
    <t>MC3 Fire Protection System</t>
  </si>
  <si>
    <t>143616</t>
  </si>
  <si>
    <t>MC2 Fire Protection System</t>
  </si>
  <si>
    <t>143617</t>
  </si>
  <si>
    <t>MC4 Fire Protection System</t>
  </si>
  <si>
    <t>143640</t>
  </si>
  <si>
    <t>CR7 NGCC Inventory</t>
  </si>
  <si>
    <t>143790</t>
  </si>
  <si>
    <t>MC City Water Line</t>
  </si>
  <si>
    <t>143864</t>
  </si>
  <si>
    <t>PR Gas Pipe Line</t>
  </si>
  <si>
    <t>143866</t>
  </si>
  <si>
    <t>Trimble County TR6 Cleanup/Rpl</t>
  </si>
  <si>
    <t>143LGE16</t>
  </si>
  <si>
    <t>Light Table Licenses-LGE16</t>
  </si>
  <si>
    <t>144036</t>
  </si>
  <si>
    <t>KY61 PRESTON HWY GAS DIST</t>
  </si>
  <si>
    <t>144037</t>
  </si>
  <si>
    <t>KY61 PRESTON HWY ELECT DIST</t>
  </si>
  <si>
    <t>144110</t>
  </si>
  <si>
    <t>BACKUP CC V_WALL RPLC-LGE-2016</t>
  </si>
  <si>
    <t>144122</t>
  </si>
  <si>
    <t>MC2 Environmental Spares</t>
  </si>
  <si>
    <t>144123</t>
  </si>
  <si>
    <t>MC3 Environmental Spares</t>
  </si>
  <si>
    <t>144124</t>
  </si>
  <si>
    <t>MC4 Environmental Spares</t>
  </si>
  <si>
    <t>144126</t>
  </si>
  <si>
    <t>Rpl Mud Lane 6676 &amp; 3877 Brkrs</t>
  </si>
  <si>
    <t>144127</t>
  </si>
  <si>
    <t>Rpl South Park 6676 Brkr</t>
  </si>
  <si>
    <t>144130</t>
  </si>
  <si>
    <t>Rpl (5) Cloverport 138kV Brks</t>
  </si>
  <si>
    <t>144132</t>
  </si>
  <si>
    <t>Rpl TC-138kV BUS TIE Brkr</t>
  </si>
  <si>
    <t>144159</t>
  </si>
  <si>
    <t>Rpl Seminole Fence</t>
  </si>
  <si>
    <t>144330</t>
  </si>
  <si>
    <t>New 69kV Bkr Station MC-CRSW</t>
  </si>
  <si>
    <t>144475</t>
  </si>
  <si>
    <t>GS GE CORS</t>
  </si>
  <si>
    <t>144550</t>
  </si>
  <si>
    <t>Rpl Paddys Run Fence</t>
  </si>
  <si>
    <t>144568</t>
  </si>
  <si>
    <t>AUBURNDALE HVAC 2015</t>
  </si>
  <si>
    <t>144585</t>
  </si>
  <si>
    <t>SSC RENOVATIONS</t>
  </si>
  <si>
    <t>144586</t>
  </si>
  <si>
    <t>SIMPSONVILLE FENCE LGE IT</t>
  </si>
  <si>
    <t>144622</t>
  </si>
  <si>
    <t>LGE OFFICE FURN &amp; CHAIRS 2015</t>
  </si>
  <si>
    <t>144628</t>
  </si>
  <si>
    <t>MILL CREEK RELOCATION</t>
  </si>
  <si>
    <t>144643</t>
  </si>
  <si>
    <t>MK1299</t>
  </si>
  <si>
    <t>144683</t>
  </si>
  <si>
    <t>TEP-DFR Replace MODs-LGE</t>
  </si>
  <si>
    <t>144761</t>
  </si>
  <si>
    <t>TLEQ340 - 2016</t>
  </si>
  <si>
    <t>144811</t>
  </si>
  <si>
    <t>INT CORR CENTER FLD PRESS MON</t>
  </si>
  <si>
    <t>144827</t>
  </si>
  <si>
    <t>SCM2016 LGE CAP&amp;PIN INSUL UPGD</t>
  </si>
  <si>
    <t>144830</t>
  </si>
  <si>
    <t>SCM2016 LGE REPL AIR MAG BRKR</t>
  </si>
  <si>
    <t>144831</t>
  </si>
  <si>
    <t>SCM2016 LGE REPL SUB BATTERY</t>
  </si>
  <si>
    <t>144832</t>
  </si>
  <si>
    <t>SCM2016 LGE TR DIFF RELAY REPL</t>
  </si>
  <si>
    <t>144833</t>
  </si>
  <si>
    <t>SCM2016 LGE REPL LGCY OIL BRKR</t>
  </si>
  <si>
    <t>144834</t>
  </si>
  <si>
    <t>SCM2016 LGE REPL LGCY RTU</t>
  </si>
  <si>
    <t>144847</t>
  </si>
  <si>
    <t>BLOW TANK FOR DRIPS</t>
  </si>
  <si>
    <t>144848</t>
  </si>
  <si>
    <t>BACKUP GENERATOR</t>
  </si>
  <si>
    <t>144849</t>
  </si>
  <si>
    <t>ENGINE AND COMPR UPGR</t>
  </si>
  <si>
    <t>144851</t>
  </si>
  <si>
    <t>BTEX FLARE</t>
  </si>
  <si>
    <t>144852</t>
  </si>
  <si>
    <t>REPL AERIAL COOLERS H2S</t>
  </si>
  <si>
    <t>144856</t>
  </si>
  <si>
    <t>CATHODIC PROTECTION SYS</t>
  </si>
  <si>
    <t>144862</t>
  </si>
  <si>
    <t>ODORANT SYS MAX METERS</t>
  </si>
  <si>
    <t>144889</t>
  </si>
  <si>
    <t>SCM2016 LGE LTC OIL FILT ADDS</t>
  </si>
  <si>
    <t>144890</t>
  </si>
  <si>
    <t>SCM2016 LGE MISC CAPITAL SUB</t>
  </si>
  <si>
    <t>144891</t>
  </si>
  <si>
    <t>SCM2016 LGE MISC NESC COMPL</t>
  </si>
  <si>
    <t>144892</t>
  </si>
  <si>
    <t>SCM2016 LGE OIL CONTAIN UPGRD</t>
  </si>
  <si>
    <t>144893</t>
  </si>
  <si>
    <t>SCM2016 LGE REPL ABB VHK MECH</t>
  </si>
  <si>
    <t>144894</t>
  </si>
  <si>
    <t>SCM2016 LGE SUB BLDNG &amp; GND</t>
  </si>
  <si>
    <t>144895</t>
  </si>
  <si>
    <t>SCM2016 LGE WILDLIFE PROTECT</t>
  </si>
  <si>
    <t>144906</t>
  </si>
  <si>
    <t>SCM2016 LGE TOOLS &amp; EQUIPMENT</t>
  </si>
  <si>
    <t>144917</t>
  </si>
  <si>
    <t>LEO PADMOUNT SWITCHGEAR 2015</t>
  </si>
  <si>
    <t>144918</t>
  </si>
  <si>
    <t>LEO DWNTN NTWRK VAULT RPR 2015</t>
  </si>
  <si>
    <t>144920</t>
  </si>
  <si>
    <t>DIST CAPACITORS LGE - 2016</t>
  </si>
  <si>
    <t>144921</t>
  </si>
  <si>
    <t>LEO PADMOUNT SWITCHGEAR 2016</t>
  </si>
  <si>
    <t>144922</t>
  </si>
  <si>
    <t>LEO DWNTN NTWRK VAULT RPR 2016</t>
  </si>
  <si>
    <t>144925</t>
  </si>
  <si>
    <t>ALL TERRAIN VEHICLE MULD</t>
  </si>
  <si>
    <t>144934</t>
  </si>
  <si>
    <t>CENTER DEHYDRATOR RELOCATION</t>
  </si>
  <si>
    <t>144937</t>
  </si>
  <si>
    <t>ENGINE ROOM VENTILATION</t>
  </si>
  <si>
    <t>144939</t>
  </si>
  <si>
    <t>H2S TREATMENT CENTER</t>
  </si>
  <si>
    <t>144940</t>
  </si>
  <si>
    <t>2015 MAGNOLIA TOOLS</t>
  </si>
  <si>
    <t>144948</t>
  </si>
  <si>
    <t>H2S TREATMENT MAGNOLIA</t>
  </si>
  <si>
    <t>144961</t>
  </si>
  <si>
    <t>2016 REGULATORY TOOLS</t>
  </si>
  <si>
    <t>144967</t>
  </si>
  <si>
    <t>LEBANON JUNCTION WASHOUT</t>
  </si>
  <si>
    <t>144980</t>
  </si>
  <si>
    <t>SMALL TOOLS 2016 - 004190</t>
  </si>
  <si>
    <t>144982</t>
  </si>
  <si>
    <t>SMALL TOOLS 2016 - 004060</t>
  </si>
  <si>
    <t>144987</t>
  </si>
  <si>
    <t>LGE CAMERAS 2015</t>
  </si>
  <si>
    <t>144991</t>
  </si>
  <si>
    <t>LGE SECURITY EQUIPMENT 2015</t>
  </si>
  <si>
    <t>144993</t>
  </si>
  <si>
    <t>LGE CAMERAS 2016</t>
  </si>
  <si>
    <t>144995</t>
  </si>
  <si>
    <t>LGE FIRE SYSTEMS 2016</t>
  </si>
  <si>
    <t>144997</t>
  </si>
  <si>
    <t>LGE SECURITY EQUIPMENT 2016</t>
  </si>
  <si>
    <t>145040</t>
  </si>
  <si>
    <t>2015 TOOLS SR&amp;O</t>
  </si>
  <si>
    <t>145404</t>
  </si>
  <si>
    <t>Adv Meter Sys LG&amp;E 2015</t>
  </si>
  <si>
    <t>145796</t>
  </si>
  <si>
    <t>Mud Lane TR4 Transformer Rpl</t>
  </si>
  <si>
    <t>145855LGE</t>
  </si>
  <si>
    <t>TC LAB MONITORS 2015</t>
  </si>
  <si>
    <t>146001LGE</t>
  </si>
  <si>
    <t>TC LAB EQUIPMENT 2016</t>
  </si>
  <si>
    <t>146002LGE</t>
  </si>
  <si>
    <t>TC LAB MONITORS 2016</t>
  </si>
  <si>
    <t>146004LGE</t>
  </si>
  <si>
    <t>TC PREDICTIVE MAINT DEV 2016</t>
  </si>
  <si>
    <t>146005LGE</t>
  </si>
  <si>
    <t>TC SAFETY ERT EQUIP 2016</t>
  </si>
  <si>
    <t>146020</t>
  </si>
  <si>
    <t>WHISKEY ROW NETWORK VAULT</t>
  </si>
  <si>
    <t>146070</t>
  </si>
  <si>
    <t>CL 1232</t>
  </si>
  <si>
    <t>146252</t>
  </si>
  <si>
    <t>FAIRMOUNT (FM) 1256</t>
  </si>
  <si>
    <t>146253</t>
  </si>
  <si>
    <t>FA 1215</t>
  </si>
  <si>
    <t>146255</t>
  </si>
  <si>
    <t>Stewart (SW)1190 Ckt Hardening</t>
  </si>
  <si>
    <t>146281</t>
  </si>
  <si>
    <t>NATURAL GAS OF KY SYS</t>
  </si>
  <si>
    <t>146329</t>
  </si>
  <si>
    <t>REL 345 ROW WIDENING</t>
  </si>
  <si>
    <t>146342</t>
  </si>
  <si>
    <t>SSC FURNITURE &amp; RECONFIG</t>
  </si>
  <si>
    <t>146423</t>
  </si>
  <si>
    <t>LGE 2015 PITP project</t>
  </si>
  <si>
    <t>146442</t>
  </si>
  <si>
    <t>PILC 2015 LGE UG CABLE REPL</t>
  </si>
  <si>
    <t>146484</t>
  </si>
  <si>
    <t>BOC METER SHOP RENO</t>
  </si>
  <si>
    <t>146523</t>
  </si>
  <si>
    <t>REPL TOOLS PARTS BLDG FIRE</t>
  </si>
  <si>
    <t>146605</t>
  </si>
  <si>
    <t>DIXIE CKT1222(DX-1222) SM WIRE</t>
  </si>
  <si>
    <t>146659</t>
  </si>
  <si>
    <t>TC1 OXIDATION AIR IMPELLER</t>
  </si>
  <si>
    <t>146686</t>
  </si>
  <si>
    <t>REL 345 ROW Blue Lck-Mdtwn</t>
  </si>
  <si>
    <t>146714LGE</t>
  </si>
  <si>
    <t>TC OFFICE REBUILD 2015</t>
  </si>
  <si>
    <t>146730</t>
  </si>
  <si>
    <t>MC GSU Transformers</t>
  </si>
  <si>
    <t>146732</t>
  </si>
  <si>
    <t>LEO 2015 CABLE REJUV/REPL</t>
  </si>
  <si>
    <t>146739</t>
  </si>
  <si>
    <t>2015 UPGR MULD RTUs</t>
  </si>
  <si>
    <t>146743</t>
  </si>
  <si>
    <t>MILL CREEK CKT 1261 (MC1261)</t>
  </si>
  <si>
    <t>146745</t>
  </si>
  <si>
    <t>HILLCREST CKT 1290 (HC1290)</t>
  </si>
  <si>
    <t>146747</t>
  </si>
  <si>
    <t>NACHAND CKT 1269 (NA1269)</t>
  </si>
  <si>
    <t>146748</t>
  </si>
  <si>
    <t>AIKEN CKT 1296 (AK1296)</t>
  </si>
  <si>
    <t>146749</t>
  </si>
  <si>
    <t>OXMOOR CKT 1273 (OX1273)</t>
  </si>
  <si>
    <t>146751</t>
  </si>
  <si>
    <t>JEFFERSONTOWN CKT1123 (JT1123)</t>
  </si>
  <si>
    <t>146755</t>
  </si>
  <si>
    <t>2015 UPGR CG LG REG ST ELEC</t>
  </si>
  <si>
    <t>146756</t>
  </si>
  <si>
    <t>2015 PURCH ELEC RECORDERS</t>
  </si>
  <si>
    <t>146788</t>
  </si>
  <si>
    <t>BOC FURNITURE-LGE</t>
  </si>
  <si>
    <t>146801</t>
  </si>
  <si>
    <t>KY22 AT BRIDGE HILL - GAS</t>
  </si>
  <si>
    <t>146814</t>
  </si>
  <si>
    <t>STAUFFER INSULATOR</t>
  </si>
  <si>
    <t>146817</t>
  </si>
  <si>
    <t>THIRD PARTY POLE ATTACH 2015</t>
  </si>
  <si>
    <t>146819</t>
  </si>
  <si>
    <t>MAG 20" CUT OUTS</t>
  </si>
  <si>
    <t>146828</t>
  </si>
  <si>
    <t>HILLCREST TR1 TC525 LTC UPGRD</t>
  </si>
  <si>
    <t>146840</t>
  </si>
  <si>
    <t>HRDS CRK-HRMNY LNDG P2</t>
  </si>
  <si>
    <t>146844</t>
  </si>
  <si>
    <t>TIP TOP PHASE #3</t>
  </si>
  <si>
    <t>146882</t>
  </si>
  <si>
    <t>UPG CG STAT VLV ACTUATORS</t>
  </si>
  <si>
    <t>146883</t>
  </si>
  <si>
    <t>UPG CG STAT TRANSMITTERS</t>
  </si>
  <si>
    <t>146884</t>
  </si>
  <si>
    <t>UPG REMOTE DATA COMM SITE</t>
  </si>
  <si>
    <t>146926</t>
  </si>
  <si>
    <t>UPGR MAG ANALYZER MA TO PA</t>
  </si>
  <si>
    <t>146981</t>
  </si>
  <si>
    <t>HWY 44 RELO 2015</t>
  </si>
  <si>
    <t>146986</t>
  </si>
  <si>
    <t>CF - 1204</t>
  </si>
  <si>
    <t>146987</t>
  </si>
  <si>
    <t>CRESTWOOD (CW)1222 CIFI 2015</t>
  </si>
  <si>
    <t>146990</t>
  </si>
  <si>
    <t>Skylight (SK) 1128 CIFI 2015</t>
  </si>
  <si>
    <t>146LGE16</t>
  </si>
  <si>
    <t>MR Hardware-LGE16</t>
  </si>
  <si>
    <t>147009</t>
  </si>
  <si>
    <t>BOC SECURITY RENOVATION-LGE</t>
  </si>
  <si>
    <t>147023</t>
  </si>
  <si>
    <t>MC Landfill 2016/2017</t>
  </si>
  <si>
    <t>147034</t>
  </si>
  <si>
    <t>MC4 Boiler Lower Slope</t>
  </si>
  <si>
    <t>147037</t>
  </si>
  <si>
    <t>MC1 HSWP Strainers</t>
  </si>
  <si>
    <t>147038</t>
  </si>
  <si>
    <t>MC2 HSWP Strainers</t>
  </si>
  <si>
    <t>147039</t>
  </si>
  <si>
    <t>MC3 HSWP Strainers</t>
  </si>
  <si>
    <t>147040</t>
  </si>
  <si>
    <t>MC3 LSSWP Strainers</t>
  </si>
  <si>
    <t>147041</t>
  </si>
  <si>
    <t>MC4 LSSWP Strainers</t>
  </si>
  <si>
    <t>147044</t>
  </si>
  <si>
    <t>MC 3A Condenser Vacuum Pump</t>
  </si>
  <si>
    <t>147045</t>
  </si>
  <si>
    <t>MC 3B Condenser Vacuum Pump</t>
  </si>
  <si>
    <t>147050</t>
  </si>
  <si>
    <t>MC3 &amp; MC4 Roof Exhausters</t>
  </si>
  <si>
    <t>147065</t>
  </si>
  <si>
    <t>MC Sewage Piping</t>
  </si>
  <si>
    <t>147086</t>
  </si>
  <si>
    <t>LGE NALCO ENGINEERING</t>
  </si>
  <si>
    <t>147091</t>
  </si>
  <si>
    <t>GS GE CORS ENG</t>
  </si>
  <si>
    <t>147118</t>
  </si>
  <si>
    <t>MC 4503 &amp; 4503-33 TIE Brkrs</t>
  </si>
  <si>
    <t>147122</t>
  </si>
  <si>
    <t>ALGOOD SYS ENHANCE</t>
  </si>
  <si>
    <t>147126</t>
  </si>
  <si>
    <t>DOWNTOWN NETWORK SWITCHES PROJ</t>
  </si>
  <si>
    <t>147127</t>
  </si>
  <si>
    <t>BURKSHIRE TERRCE UG CABLE REPL</t>
  </si>
  <si>
    <t>147145</t>
  </si>
  <si>
    <t>WP 1104 CIFI 2015</t>
  </si>
  <si>
    <t>147150</t>
  </si>
  <si>
    <t>SM 1233 CIFI 2015</t>
  </si>
  <si>
    <t>147164</t>
  </si>
  <si>
    <t>HOLIDAY INN EXPRESS VAULT</t>
  </si>
  <si>
    <t>147180LGE</t>
  </si>
  <si>
    <t>TC BAP/GSP SLOPE IMPROVE</t>
  </si>
  <si>
    <t>147213</t>
  </si>
  <si>
    <t>KINDRED OFFICE BLDG VAULT</t>
  </si>
  <si>
    <t>147244</t>
  </si>
  <si>
    <t>TEP ETHEL-NACHAND 69kV-</t>
  </si>
  <si>
    <t>147287LGE</t>
  </si>
  <si>
    <t>TC REROUTE WATER FLOW</t>
  </si>
  <si>
    <t>147301</t>
  </si>
  <si>
    <t>SIMPSONVILLE FENCE LGE TR</t>
  </si>
  <si>
    <t>147308</t>
  </si>
  <si>
    <t>Lyndon S Potential Xfrmr Rpl</t>
  </si>
  <si>
    <t>147312</t>
  </si>
  <si>
    <t>Mill Creek 532 Line CCVT Rpl</t>
  </si>
  <si>
    <t>147328</t>
  </si>
  <si>
    <t>PR Trimble Co-Centerfield</t>
  </si>
  <si>
    <t>147330</t>
  </si>
  <si>
    <t>PR Harmony Landing-Skylight</t>
  </si>
  <si>
    <t>147352</t>
  </si>
  <si>
    <t>AJAX COMPRESSION</t>
  </si>
  <si>
    <t>147353</t>
  </si>
  <si>
    <t>Paddy's Run Bushings</t>
  </si>
  <si>
    <t>147357</t>
  </si>
  <si>
    <t>Mud Lane Insulator Rpl</t>
  </si>
  <si>
    <t>147358</t>
  </si>
  <si>
    <t>MULD &amp; DOE RUN METER RUNS</t>
  </si>
  <si>
    <t>147942LGE</t>
  </si>
  <si>
    <t>BRCT5 C Insp &amp; Parts Recon LGE</t>
  </si>
  <si>
    <t>147971</t>
  </si>
  <si>
    <t>MC CCR RULING NON MECH</t>
  </si>
  <si>
    <t>147972</t>
  </si>
  <si>
    <t>TC LGE CCR RULING NON MECH</t>
  </si>
  <si>
    <t>147986LGE</t>
  </si>
  <si>
    <t>TC PROXIMITY READERS INSTALL</t>
  </si>
  <si>
    <t>147997</t>
  </si>
  <si>
    <t>TEP-Rpl TC 345kV Switches</t>
  </si>
  <si>
    <t>147LGE16</t>
  </si>
  <si>
    <t>MV90 upgrade-LGE16</t>
  </si>
  <si>
    <t>148016</t>
  </si>
  <si>
    <t>CONSTRUCT ELEVATOR - AOC</t>
  </si>
  <si>
    <t>148018</t>
  </si>
  <si>
    <t>REPL AIR HANDLERS-BOC MAIN</t>
  </si>
  <si>
    <t>148022</t>
  </si>
  <si>
    <t>RESTROOM RENOVATIONS-BOC</t>
  </si>
  <si>
    <t>148028</t>
  </si>
  <si>
    <t>CARPET/FLOORING - LGE 2016</t>
  </si>
  <si>
    <t>148047</t>
  </si>
  <si>
    <t>XEROX EQ-MAILROOM 2016</t>
  </si>
  <si>
    <t>148082</t>
  </si>
  <si>
    <t>CR GT11 Control Room</t>
  </si>
  <si>
    <t>148088</t>
  </si>
  <si>
    <t>PR Admin Building</t>
  </si>
  <si>
    <t>148195</t>
  </si>
  <si>
    <t>TC1 CONDENS TUBE SHEET REFURB</t>
  </si>
  <si>
    <t>148496</t>
  </si>
  <si>
    <t>LGE SMAC 2016 PROJECT</t>
  </si>
  <si>
    <t>148497</t>
  </si>
  <si>
    <t>PILC 2016 LGE CABLE REPL</t>
  </si>
  <si>
    <t>148502</t>
  </si>
  <si>
    <t>EMS CHNL EXPANSION-LGE-2015</t>
  </si>
  <si>
    <t>148594</t>
  </si>
  <si>
    <t>SCM2016 LGE FPE TAPCH RPL REIN</t>
  </si>
  <si>
    <t>148597</t>
  </si>
  <si>
    <t>SCM2016 LGE REPL 34KV BRKR</t>
  </si>
  <si>
    <t>148614</t>
  </si>
  <si>
    <t>SCM2016 LGE REPL 15KV DH BRKR</t>
  </si>
  <si>
    <t>148618</t>
  </si>
  <si>
    <t>DIST ATTACH TRAN-ADRIENNE WY</t>
  </si>
  <si>
    <t>148620</t>
  </si>
  <si>
    <t>URD CABLE REPL/REJUV LGE 2016</t>
  </si>
  <si>
    <t>148633</t>
  </si>
  <si>
    <t>SCM2016 LGE REPL XFMR FANS</t>
  </si>
  <si>
    <t>148641</t>
  </si>
  <si>
    <t>VACTRON FOR VLT &amp; MANHOLE MAIN</t>
  </si>
  <si>
    <t>148857</t>
  </si>
  <si>
    <t>Oxmoor Underground Repl</t>
  </si>
  <si>
    <t>148971</t>
  </si>
  <si>
    <t>PWR QLTY/LOAD LOG/VOLT MTR 16</t>
  </si>
  <si>
    <t>148988</t>
  </si>
  <si>
    <t>Blue Lick DFR</t>
  </si>
  <si>
    <t>148LGE16</t>
  </si>
  <si>
    <t>Implement Corp. SIEM-LGE16</t>
  </si>
  <si>
    <t>149028</t>
  </si>
  <si>
    <t>TEP-LGE DFR 2016</t>
  </si>
  <si>
    <t>149031</t>
  </si>
  <si>
    <t>CCS UPGRADE FURNITURE</t>
  </si>
  <si>
    <t>149041</t>
  </si>
  <si>
    <t>ELECTRIC UTILITY VEHICLE-AOC</t>
  </si>
  <si>
    <t>149100</t>
  </si>
  <si>
    <t>GAS CONTROL &amp; STOR RENOV</t>
  </si>
  <si>
    <t>149110</t>
  </si>
  <si>
    <t>HURSTBOURNE HB1147 EXT CBL RPL</t>
  </si>
  <si>
    <t>149123LGE</t>
  </si>
  <si>
    <t>TC CT INSTALL 345KV MODS</t>
  </si>
  <si>
    <t>149146</t>
  </si>
  <si>
    <t>REPL DUMP TRUCK</t>
  </si>
  <si>
    <t>149147</t>
  </si>
  <si>
    <t>REPL KUBOTAS &amp; TRAILERS</t>
  </si>
  <si>
    <t>149148</t>
  </si>
  <si>
    <t>REPL COMBUST GAS INDICATOR</t>
  </si>
  <si>
    <t>149154</t>
  </si>
  <si>
    <t>REPL KUBOTAS TRAILERS 2017</t>
  </si>
  <si>
    <t>149172</t>
  </si>
  <si>
    <t>INST CONTR VLVS WELLS</t>
  </si>
  <si>
    <t>149173</t>
  </si>
  <si>
    <t>CONV DR DEEP TO UPPER 2016</t>
  </si>
  <si>
    <t>149176</t>
  </si>
  <si>
    <t>MAGNOLIA FIELD STUDY</t>
  </si>
  <si>
    <t>149187LGE</t>
  </si>
  <si>
    <t>BRCT Office Building Repl LGE</t>
  </si>
  <si>
    <t>149189</t>
  </si>
  <si>
    <t>WK A 16" WATTERSON CREEK</t>
  </si>
  <si>
    <t>149190</t>
  </si>
  <si>
    <t>WK A 22" KENDALL RD CRK XING</t>
  </si>
  <si>
    <t>149260</t>
  </si>
  <si>
    <t>SCENIC VIEW WATER DISP PIPING</t>
  </si>
  <si>
    <t>149262</t>
  </si>
  <si>
    <t>MULD ENG &amp; COMP UPGR 2016</t>
  </si>
  <si>
    <t>149265</t>
  </si>
  <si>
    <t>MULD HEAT TRACE IMPROV 2016</t>
  </si>
  <si>
    <t>149272</t>
  </si>
  <si>
    <t>MULD INSULATION BLKTS 2016</t>
  </si>
  <si>
    <t>149275</t>
  </si>
  <si>
    <t>COMMON HEADER BTW 2 &amp; 3 BOILER</t>
  </si>
  <si>
    <t>149276</t>
  </si>
  <si>
    <t>REPL BOILER PUR PLANT #2</t>
  </si>
  <si>
    <t>149287</t>
  </si>
  <si>
    <t>RADCLIFF GAS SYS REINFORCEMENT</t>
  </si>
  <si>
    <t>149288</t>
  </si>
  <si>
    <t>MULD STAT &amp; FLD WASTE TANKS</t>
  </si>
  <si>
    <t>149289</t>
  </si>
  <si>
    <t>DR IN FLOW METER RVR CROSSING</t>
  </si>
  <si>
    <t>149295</t>
  </si>
  <si>
    <t>MULD UPGR STATN AIR COMPRESSOR</t>
  </si>
  <si>
    <t>149300</t>
  </si>
  <si>
    <t>MULD REPL LAB BUILDING</t>
  </si>
  <si>
    <t>149301</t>
  </si>
  <si>
    <t>MAG REPL ENG ROOM PIP SUP</t>
  </si>
  <si>
    <t>149302</t>
  </si>
  <si>
    <t>MAG TIE IN STATN AIR W BOOSTER</t>
  </si>
  <si>
    <t>149303</t>
  </si>
  <si>
    <t>COOLER HANDRAILS/PLATFORMS</t>
  </si>
  <si>
    <t>149319</t>
  </si>
  <si>
    <t>MAG CNG STORAGE TRAILER</t>
  </si>
  <si>
    <t>149320</t>
  </si>
  <si>
    <t>MAG ARTICULATED AERIAL LIFT</t>
  </si>
  <si>
    <t>149322</t>
  </si>
  <si>
    <t>MAG 2016 SMALL TOOLS</t>
  </si>
  <si>
    <t>149324</t>
  </si>
  <si>
    <t>GAS REG 2016 SMALL TOOLS</t>
  </si>
  <si>
    <t>149328</t>
  </si>
  <si>
    <t>MULD NEW TRACK HOE</t>
  </si>
  <si>
    <t>149330</t>
  </si>
  <si>
    <t>MAG REPL LOWBOY TRAILER</t>
  </si>
  <si>
    <t>149355</t>
  </si>
  <si>
    <t>MC 1/2 HG CONTROL INJECTION</t>
  </si>
  <si>
    <t>149356</t>
  </si>
  <si>
    <t>MC 3 HG CONTROL INJECTION</t>
  </si>
  <si>
    <t>149357</t>
  </si>
  <si>
    <t>MC 4 HG CONTROL INJECTION</t>
  </si>
  <si>
    <t>149358</t>
  </si>
  <si>
    <t>TC1 HG CONTROL INJECTION</t>
  </si>
  <si>
    <t>149387</t>
  </si>
  <si>
    <t>HWY 421 EXPOSURE</t>
  </si>
  <si>
    <t>149388</t>
  </si>
  <si>
    <t>TAYLORSVILLE YORK REG FAC</t>
  </si>
  <si>
    <t>149389</t>
  </si>
  <si>
    <t>MIDLAND AVE REPLACEMENT</t>
  </si>
  <si>
    <t>149407</t>
  </si>
  <si>
    <t>2016 PURCH ELEC RECORD GAUGE</t>
  </si>
  <si>
    <t>149410</t>
  </si>
  <si>
    <t>2016 UPG CG &amp; LRG REG STA RTU</t>
  </si>
  <si>
    <t>149413</t>
  </si>
  <si>
    <t>2016 UPG CG STA VLV ACTUATORS</t>
  </si>
  <si>
    <t>149416</t>
  </si>
  <si>
    <t>2016 UPG CG STA TRANSMITTERS</t>
  </si>
  <si>
    <t>149422</t>
  </si>
  <si>
    <t>2016 SCADA HARDWARE RPLC</t>
  </si>
  <si>
    <t>149432</t>
  </si>
  <si>
    <t>UPGR MONROE CG FOR WINTER OPS</t>
  </si>
  <si>
    <t>149436</t>
  </si>
  <si>
    <t>2016 IM&amp;E SMALL TOOLS</t>
  </si>
  <si>
    <t>149439</t>
  </si>
  <si>
    <t>2016 SR&amp;O SMALL TOOLS</t>
  </si>
  <si>
    <t>149465</t>
  </si>
  <si>
    <t>LGE HW/SW 2016 ASSET MGMT</t>
  </si>
  <si>
    <t>149551</t>
  </si>
  <si>
    <t>MR 2016 FieldNet LG&amp;E</t>
  </si>
  <si>
    <t>149703</t>
  </si>
  <si>
    <t>KUGO CCS UPGRADE - LGE</t>
  </si>
  <si>
    <t>149734</t>
  </si>
  <si>
    <t>BOC GAS CONTR BRKRM</t>
  </si>
  <si>
    <t>149750</t>
  </si>
  <si>
    <t>Simpsonville Guard Station-LGE</t>
  </si>
  <si>
    <t>149784</t>
  </si>
  <si>
    <t>BALLARDSVILLE RA G563D</t>
  </si>
  <si>
    <t>149787</t>
  </si>
  <si>
    <t>PEN-PRES RA G18729</t>
  </si>
  <si>
    <t>149788</t>
  </si>
  <si>
    <t>PRESTON - PIC</t>
  </si>
  <si>
    <t>149789</t>
  </si>
  <si>
    <t>BALLARDSVILLE 42N</t>
  </si>
  <si>
    <t>149791</t>
  </si>
  <si>
    <t>BOC PARKING LOT RECONFIG</t>
  </si>
  <si>
    <t>149863</t>
  </si>
  <si>
    <t>KINDRED BLDG VAULT CUST PAY</t>
  </si>
  <si>
    <t>149886</t>
  </si>
  <si>
    <t>MC 1&amp;2 Flyash Blower Spare</t>
  </si>
  <si>
    <t>149887</t>
  </si>
  <si>
    <t>HWY 421 EXPOSURE #2</t>
  </si>
  <si>
    <t>149888</t>
  </si>
  <si>
    <t>FORD PLANT EXPOSURE</t>
  </si>
  <si>
    <t>149889</t>
  </si>
  <si>
    <t>El Veh Chg Station LG&amp;E 2015</t>
  </si>
  <si>
    <t>149908</t>
  </si>
  <si>
    <t>TC1 SCR STRUCTURAL STEEL BYPS</t>
  </si>
  <si>
    <t>149909LGE</t>
  </si>
  <si>
    <t>TC RO UV LIGHT</t>
  </si>
  <si>
    <t>149921</t>
  </si>
  <si>
    <t>EOC MAINTENANCE OFFICE RENO</t>
  </si>
  <si>
    <t>149948</t>
  </si>
  <si>
    <t>UNIVERSITY OF LOU STREETSCAPE</t>
  </si>
  <si>
    <t>149950</t>
  </si>
  <si>
    <t>BOC-GAS CONTROL OFFICE RENO</t>
  </si>
  <si>
    <t>149966</t>
  </si>
  <si>
    <t>SEMINOLE(SM)1361 EXIT CBL REPL</t>
  </si>
  <si>
    <t>149972</t>
  </si>
  <si>
    <t>GS GE ME Remote Vibr</t>
  </si>
  <si>
    <t>149974</t>
  </si>
  <si>
    <t>REPLACE LTC AT TERRY TR2</t>
  </si>
  <si>
    <t>149982</t>
  </si>
  <si>
    <t>CENTERFIELD(CF)1201 EXT CBLRPL</t>
  </si>
  <si>
    <t>149995</t>
  </si>
  <si>
    <t>BRANDENBURG BARE STEEL REPL</t>
  </si>
  <si>
    <t>150003</t>
  </si>
  <si>
    <t>REPLACE CLAY TRANSFORMER TR2</t>
  </si>
  <si>
    <t>150006</t>
  </si>
  <si>
    <t>MC Barge Unloader Drainage</t>
  </si>
  <si>
    <t>150007</t>
  </si>
  <si>
    <t>Zorn Starter Batteries Repl</t>
  </si>
  <si>
    <t>150008</t>
  </si>
  <si>
    <t>PR13 AC Air Handler Repl</t>
  </si>
  <si>
    <t>150012LGE</t>
  </si>
  <si>
    <t>TC2 BOX HEADER AT DIPPER PLATE</t>
  </si>
  <si>
    <t>150018</t>
  </si>
  <si>
    <t>TC1 1B HPAWP MODIFICATION</t>
  </si>
  <si>
    <t>150019</t>
  </si>
  <si>
    <t>BOC BREAK ROOM &amp; 2ND FL SHOWER</t>
  </si>
  <si>
    <t>150024</t>
  </si>
  <si>
    <t>PLAINVIEW(PV) 1252 EXT CBL RPL</t>
  </si>
  <si>
    <t>150025</t>
  </si>
  <si>
    <t>ZORN AVE CROSSOVER RETIRE</t>
  </si>
  <si>
    <t>150028</t>
  </si>
  <si>
    <t>CLAY TR2 TRANSFORMER</t>
  </si>
  <si>
    <t>150029</t>
  </si>
  <si>
    <t>HWY 44 RELO-BELLS MILL</t>
  </si>
  <si>
    <t>150030LGE</t>
  </si>
  <si>
    <t>TC FA BARGE LO DUST COLLECT</t>
  </si>
  <si>
    <t>150037LGE</t>
  </si>
  <si>
    <t>TC RACK SYS PW SWITCHGEAR</t>
  </si>
  <si>
    <t>150046LGE</t>
  </si>
  <si>
    <t>TC MACH SHOP WELDING BOOTH</t>
  </si>
  <si>
    <t>150047</t>
  </si>
  <si>
    <t>GS GE 2016 Explorer 1</t>
  </si>
  <si>
    <t>150079</t>
  </si>
  <si>
    <t>GS GE ME Oil Skid</t>
  </si>
  <si>
    <t>150080</t>
  </si>
  <si>
    <t>GS GE BlackStart</t>
  </si>
  <si>
    <t>150082</t>
  </si>
  <si>
    <t>PR Knob Creek-Tip Top</t>
  </si>
  <si>
    <t>150096</t>
  </si>
  <si>
    <t>FUL UPGRD EMS SWARE-LGE-2016</t>
  </si>
  <si>
    <t>150109</t>
  </si>
  <si>
    <t>ESC SAFETY OFFICE RENO</t>
  </si>
  <si>
    <t>150123</t>
  </si>
  <si>
    <t>MC Stacker/Reclaimer Cab</t>
  </si>
  <si>
    <t>150136</t>
  </si>
  <si>
    <t>Compressed Air Heat Exchanger</t>
  </si>
  <si>
    <t>150150</t>
  </si>
  <si>
    <t>MC F1 Coal Conveyor Belt 2015</t>
  </si>
  <si>
    <t>150151</t>
  </si>
  <si>
    <t>BOC ANNEX SPRINKLER</t>
  </si>
  <si>
    <t>150154</t>
  </si>
  <si>
    <t>GAS DIST EQUIPMENT 2015</t>
  </si>
  <si>
    <t>150202</t>
  </si>
  <si>
    <t>GS GE MET LAB REFURB</t>
  </si>
  <si>
    <t>150210</t>
  </si>
  <si>
    <t>BOC ANNEX TRNG &amp; CONF RM RENO</t>
  </si>
  <si>
    <t>150216</t>
  </si>
  <si>
    <t>MC 3B Burner Nozzles 2016</t>
  </si>
  <si>
    <t>150220</t>
  </si>
  <si>
    <t>LGE Ky Wired Non-Reimb</t>
  </si>
  <si>
    <t>150222</t>
  </si>
  <si>
    <t>LGE Ky Wired Reimbursable</t>
  </si>
  <si>
    <t>150231</t>
  </si>
  <si>
    <t>TC1 HYDROVEYOR UPGRADE</t>
  </si>
  <si>
    <t>150233</t>
  </si>
  <si>
    <t>MC1 LSSWP Strainers 2015</t>
  </si>
  <si>
    <t>150234</t>
  </si>
  <si>
    <t>MC2 LSSWP Strainers 2015</t>
  </si>
  <si>
    <t>150274</t>
  </si>
  <si>
    <t>ELECTRICAL WORK IN XEROX AREA</t>
  </si>
  <si>
    <t>150284</t>
  </si>
  <si>
    <t>LGE PITP 2016</t>
  </si>
  <si>
    <t>150286</t>
  </si>
  <si>
    <t>CNG FILL STATION MAG 2015</t>
  </si>
  <si>
    <t>150306</t>
  </si>
  <si>
    <t>BW Drafting Printer - LG&amp;E</t>
  </si>
  <si>
    <t>150311</t>
  </si>
  <si>
    <t>PURCHASE FORKLIFT</t>
  </si>
  <si>
    <t>150330</t>
  </si>
  <si>
    <t>LGE FIBERTECH NON-REIMB</t>
  </si>
  <si>
    <t>150332</t>
  </si>
  <si>
    <t>LGE FIBERTECH REIMBURSABLE</t>
  </si>
  <si>
    <t>150334</t>
  </si>
  <si>
    <t>CRESTWOOD CKT 1225 (CW1225)</t>
  </si>
  <si>
    <t>150383LGE</t>
  </si>
  <si>
    <t>TC2 3RD STAGE BUCKETS 2A FPT</t>
  </si>
  <si>
    <t>150404</t>
  </si>
  <si>
    <t>MC EHC Hy-Pro Dryers</t>
  </si>
  <si>
    <t>150405</t>
  </si>
  <si>
    <t>MC Ammonia Slippage Equip</t>
  </si>
  <si>
    <t>150408</t>
  </si>
  <si>
    <t>BRCT 5 Gas Detection Syst Repl</t>
  </si>
  <si>
    <t>150423</t>
  </si>
  <si>
    <t>A/V EQ UPGRADE EOC</t>
  </si>
  <si>
    <t>150444</t>
  </si>
  <si>
    <t>TPPA2016 - TWC</t>
  </si>
  <si>
    <t>150445</t>
  </si>
  <si>
    <t>TPPA2016 - Fibertech</t>
  </si>
  <si>
    <t>150446</t>
  </si>
  <si>
    <t>TPPA2016 - CROWN CASTLE</t>
  </si>
  <si>
    <t>150447</t>
  </si>
  <si>
    <t>TPPA2016 - OTHER</t>
  </si>
  <si>
    <t>150467</t>
  </si>
  <si>
    <t>Comp-related Equip LGE 2016</t>
  </si>
  <si>
    <t>150484</t>
  </si>
  <si>
    <t>DOE VALLEY 8" ILI REPAIRS</t>
  </si>
  <si>
    <t>150637</t>
  </si>
  <si>
    <t>TEP-Middletown Brkr Rpl (3)</t>
  </si>
  <si>
    <t>150649LGE</t>
  </si>
  <si>
    <t>TC CT9 GEN FIELD REWIND</t>
  </si>
  <si>
    <t>150650</t>
  </si>
  <si>
    <t>PR Middletown-Centerfield</t>
  </si>
  <si>
    <t>150655</t>
  </si>
  <si>
    <t>Rebuild TT3311 MU1104 Ph4</t>
  </si>
  <si>
    <t>150661</t>
  </si>
  <si>
    <t>BOC CIP BADGING REMODEL</t>
  </si>
  <si>
    <t>150673</t>
  </si>
  <si>
    <t>11TH FL RECONFIG LGE CTR</t>
  </si>
  <si>
    <t>150679LGE</t>
  </si>
  <si>
    <t>TC F1 CONV MTR REWND</t>
  </si>
  <si>
    <t>150681LGE</t>
  </si>
  <si>
    <t>TC2 EXPANSION JOINT REPLACE</t>
  </si>
  <si>
    <t>150721</t>
  </si>
  <si>
    <t>SUPPLY CHAIN OFFICE RENO LGE</t>
  </si>
  <si>
    <t>150734</t>
  </si>
  <si>
    <t>Middletown TR2 Bushing Rpl</t>
  </si>
  <si>
    <t>150735</t>
  </si>
  <si>
    <t>Waterside West Lighting</t>
  </si>
  <si>
    <t>150744</t>
  </si>
  <si>
    <t>MC S/R Boom Conv Belt 2016</t>
  </si>
  <si>
    <t>150746</t>
  </si>
  <si>
    <t>TRAILER AT SOUTH SRV CTR</t>
  </si>
  <si>
    <t>150751</t>
  </si>
  <si>
    <t>BOC FAILED EQ/FURNITURE</t>
  </si>
  <si>
    <t>150760</t>
  </si>
  <si>
    <t>MULD REPLACE INLET VALVE</t>
  </si>
  <si>
    <t>150768</t>
  </si>
  <si>
    <t>BRECKINRIDGE SIX MILE REG</t>
  </si>
  <si>
    <t>150769</t>
  </si>
  <si>
    <t>HWY 44 FISHER REG FACILITY</t>
  </si>
  <si>
    <t>150771</t>
  </si>
  <si>
    <t>US 31 CALVARY LINE RELO</t>
  </si>
  <si>
    <t>150776LGE</t>
  </si>
  <si>
    <t>TC MILLING MACHINE</t>
  </si>
  <si>
    <t>150780</t>
  </si>
  <si>
    <t>EOC Security Access Doorway</t>
  </si>
  <si>
    <t>150781</t>
  </si>
  <si>
    <t>Seminole SM1235 Exit Circuit</t>
  </si>
  <si>
    <t>150784</t>
  </si>
  <si>
    <t>TA1106</t>
  </si>
  <si>
    <t>150804</t>
  </si>
  <si>
    <t>OATI Software Change - LGE</t>
  </si>
  <si>
    <t>150849</t>
  </si>
  <si>
    <t>DEL PARK TR1 UTT LTC</t>
  </si>
  <si>
    <t>150852</t>
  </si>
  <si>
    <t>Omni West 480V Vault</t>
  </si>
  <si>
    <t>150853</t>
  </si>
  <si>
    <t>Omni South/East 480V Vault</t>
  </si>
  <si>
    <t>150854</t>
  </si>
  <si>
    <t>Omni North/East 480V Vault</t>
  </si>
  <si>
    <t>150864</t>
  </si>
  <si>
    <t>MC3 Turbine Network Switches</t>
  </si>
  <si>
    <t>150865</t>
  </si>
  <si>
    <t>MC1 &amp; MC2 CO Analyzers</t>
  </si>
  <si>
    <t>150866LGE</t>
  </si>
  <si>
    <t>TC FA COMBO MTR STARTERS</t>
  </si>
  <si>
    <t>150874</t>
  </si>
  <si>
    <t>Okolona Ok1272 Exit Circuit</t>
  </si>
  <si>
    <t>150880</t>
  </si>
  <si>
    <t>BELLS LANE RETIREMENT</t>
  </si>
  <si>
    <t>150882</t>
  </si>
  <si>
    <t>CONSTRUCT WALL XEROX AREA</t>
  </si>
  <si>
    <t>150923</t>
  </si>
  <si>
    <t>RECEIVE 1 XFRM FROM KU</t>
  </si>
  <si>
    <t>150979</t>
  </si>
  <si>
    <t>GS GE Lab Equip 2016</t>
  </si>
  <si>
    <t>151086LGE</t>
  </si>
  <si>
    <t>TC COAL HANDLING ROOF</t>
  </si>
  <si>
    <t>151093</t>
  </si>
  <si>
    <t>RIVERPORT FAILED EQUIP</t>
  </si>
  <si>
    <t>151096</t>
  </si>
  <si>
    <t>Lynn Subst (LN0003) Exit Cable</t>
  </si>
  <si>
    <t>151102LGE</t>
  </si>
  <si>
    <t>TC LIMESTONE CONV BELT</t>
  </si>
  <si>
    <t>151106</t>
  </si>
  <si>
    <t>LGE Spare Relay Clocks-2016</t>
  </si>
  <si>
    <t>151107</t>
  </si>
  <si>
    <t>FL1495 (Floyd Sub) Exit Cable</t>
  </si>
  <si>
    <t>151108</t>
  </si>
  <si>
    <t>BR1352 Exit Cable</t>
  </si>
  <si>
    <t>151111</t>
  </si>
  <si>
    <t>SIMP AWNING PAD READER-LGE</t>
  </si>
  <si>
    <t>151115</t>
  </si>
  <si>
    <t>TC CCRT - BOTTOM ASH LGE</t>
  </si>
  <si>
    <t>151116</t>
  </si>
  <si>
    <t>TC CCRT - FLY ASH LGE</t>
  </si>
  <si>
    <t>151117</t>
  </si>
  <si>
    <t>TC CCRT - GYPSUM LGE</t>
  </si>
  <si>
    <t>151118</t>
  </si>
  <si>
    <t>TC CCRT - TRANSPORT LGE</t>
  </si>
  <si>
    <t>151119</t>
  </si>
  <si>
    <t>TC CCRT - LANDFILL LGE</t>
  </si>
  <si>
    <t>151126</t>
  </si>
  <si>
    <t>GS GE Black Start TC</t>
  </si>
  <si>
    <t>151133</t>
  </si>
  <si>
    <t>MC VEHICLES 2016</t>
  </si>
  <si>
    <t>151149</t>
  </si>
  <si>
    <t>Meter Shop 2016 LG&amp;E Electric</t>
  </si>
  <si>
    <t>151154LGE</t>
  </si>
  <si>
    <t>TC CT9 GEN STATOR RE-WEDGE</t>
  </si>
  <si>
    <t>151160</t>
  </si>
  <si>
    <t>SIMP COMM CTR RECONF-LGE</t>
  </si>
  <si>
    <t>151168LGE</t>
  </si>
  <si>
    <t>LGE Power Maint Trainer</t>
  </si>
  <si>
    <t>151173</t>
  </si>
  <si>
    <t>MC LD1 Limestone Belt 2016</t>
  </si>
  <si>
    <t>151176</t>
  </si>
  <si>
    <t>OF Land Purchase</t>
  </si>
  <si>
    <t>151191</t>
  </si>
  <si>
    <t>TC1 COAL MILL SPRING CANS</t>
  </si>
  <si>
    <t>151192LGE</t>
  </si>
  <si>
    <t>TC2 HPFW PIPE PLATFORMS</t>
  </si>
  <si>
    <t>151194LGE</t>
  </si>
  <si>
    <t>TC2 TURB SHAFT VOLT MONITOR</t>
  </si>
  <si>
    <t>151202</t>
  </si>
  <si>
    <t>MC "C" Conv Gearbox 2016</t>
  </si>
  <si>
    <t>151203</t>
  </si>
  <si>
    <t>MC G2 Conv Gearbox 2016</t>
  </si>
  <si>
    <t>151204</t>
  </si>
  <si>
    <t>MC4 Burners 2016</t>
  </si>
  <si>
    <t>151205LGE</t>
  </si>
  <si>
    <t>TC BAP/GSP IMPROVEMENTS 2016</t>
  </si>
  <si>
    <t>151208</t>
  </si>
  <si>
    <t>Mill Creek 4533 Brk Rpl</t>
  </si>
  <si>
    <t>151211</t>
  </si>
  <si>
    <t>BOC CAFE RENOVATION</t>
  </si>
  <si>
    <t>151219</t>
  </si>
  <si>
    <t>ERTs for LG&amp;E (Electric) 2016</t>
  </si>
  <si>
    <t>151221</t>
  </si>
  <si>
    <t>ERTs 2016 for LG&amp;E (Gas)</t>
  </si>
  <si>
    <t>151237</t>
  </si>
  <si>
    <t>GS GE Pathfinder Software</t>
  </si>
  <si>
    <t>151289</t>
  </si>
  <si>
    <t>GS GE Dam Impnd '16 TC</t>
  </si>
  <si>
    <t>151298</t>
  </si>
  <si>
    <t>MC 3B GSU XFMR HV Bushing</t>
  </si>
  <si>
    <t>151305</t>
  </si>
  <si>
    <t>Algonquin PT Rpl</t>
  </si>
  <si>
    <t>151306</t>
  </si>
  <si>
    <t>Paddys Run PT Rpl</t>
  </si>
  <si>
    <t>151307</t>
  </si>
  <si>
    <t>Clay 69kV BUS TIE Bush Rpl</t>
  </si>
  <si>
    <t>151314</t>
  </si>
  <si>
    <t>SPOOL TRAILER</t>
  </si>
  <si>
    <t>151329</t>
  </si>
  <si>
    <t>CR7 Service Water Line</t>
  </si>
  <si>
    <t>151331</t>
  </si>
  <si>
    <t>CR7 Station Buildings</t>
  </si>
  <si>
    <t>151349</t>
  </si>
  <si>
    <t>LG&amp;E BLDG A/V EQ - 2016 LG&amp;E</t>
  </si>
  <si>
    <t>151448</t>
  </si>
  <si>
    <t>TC1 480V BREAKER UPGRADE</t>
  </si>
  <si>
    <t>151449LGE</t>
  </si>
  <si>
    <t>TC COMMON 480V BREAKER UPGRADE</t>
  </si>
  <si>
    <t>151467</t>
  </si>
  <si>
    <t>Cane Run SW CT Add</t>
  </si>
  <si>
    <t>151473</t>
  </si>
  <si>
    <t>TRAILER WELL WORK</t>
  </si>
  <si>
    <t>151559</t>
  </si>
  <si>
    <t>GS GE Alarm Mgmt TC</t>
  </si>
  <si>
    <t>151563</t>
  </si>
  <si>
    <t>GS GE Alarm Mgmt CR</t>
  </si>
  <si>
    <t>151597</t>
  </si>
  <si>
    <t>MC Skid Steer Loader 2016</t>
  </si>
  <si>
    <t>151601</t>
  </si>
  <si>
    <t>Louisville RFL9300 RPLS</t>
  </si>
  <si>
    <t>151610</t>
  </si>
  <si>
    <t>LEO Mini Excavator and Trailer</t>
  </si>
  <si>
    <t>151611</t>
  </si>
  <si>
    <t>LEO Pole Trailer</t>
  </si>
  <si>
    <t>151653</t>
  </si>
  <si>
    <t>RECEIVE 2 REGULATORS FROM KU</t>
  </si>
  <si>
    <t>151817</t>
  </si>
  <si>
    <t>Homewood Suites Vault</t>
  </si>
  <si>
    <t>151896</t>
  </si>
  <si>
    <t>Danville Drafting Plotter-LGE</t>
  </si>
  <si>
    <t>151953</t>
  </si>
  <si>
    <t>VLV REPL - MAG 16" HWY 1135</t>
  </si>
  <si>
    <t>151955LGE</t>
  </si>
  <si>
    <t>TC2 GENERATOR FIELD RWND</t>
  </si>
  <si>
    <t>151957LGE</t>
  </si>
  <si>
    <t>TC2 GENERATOR STATOR</t>
  </si>
  <si>
    <t>151975</t>
  </si>
  <si>
    <t>CR7 SEE Transformer</t>
  </si>
  <si>
    <t>151LGE16</t>
  </si>
  <si>
    <t>Entrprs Data Domain Expn-LGE16</t>
  </si>
  <si>
    <t>152000LGE</t>
  </si>
  <si>
    <t>TC CT REPL GEN PROT RELAY</t>
  </si>
  <si>
    <t>152002LGE</t>
  </si>
  <si>
    <t>TC CT EX2000 DIGITAL FE CT5</t>
  </si>
  <si>
    <t>152003LGE</t>
  </si>
  <si>
    <t>TC CT EX2000 DIGITAL FE CT6</t>
  </si>
  <si>
    <t>152012LGE</t>
  </si>
  <si>
    <t>TC CT MARK VI UPGD CT6</t>
  </si>
  <si>
    <t>152049LGE</t>
  </si>
  <si>
    <t>TC2 BOILER WATER WALL REPL</t>
  </si>
  <si>
    <t>152099LGE</t>
  </si>
  <si>
    <t>TC2 HP TURBINE BLADES LGE</t>
  </si>
  <si>
    <t>152132</t>
  </si>
  <si>
    <t>LEO Forklift</t>
  </si>
  <si>
    <t>152133</t>
  </si>
  <si>
    <t>MC Limestone Gear box 2016</t>
  </si>
  <si>
    <t>152187</t>
  </si>
  <si>
    <t>PBR-TC Sw 138kV Brk Rpl</t>
  </si>
  <si>
    <t>152218</t>
  </si>
  <si>
    <t>MC Synthetic Material Plant</t>
  </si>
  <si>
    <t>152221</t>
  </si>
  <si>
    <t>MC 4532 and 4504-60 TIE Brkr</t>
  </si>
  <si>
    <t>152222</t>
  </si>
  <si>
    <t>BL 345kV 4532-38 TIE Brkr Rpl</t>
  </si>
  <si>
    <t>152240</t>
  </si>
  <si>
    <t>MC 3C Primary Air Fan Mtr 2015</t>
  </si>
  <si>
    <t>152265</t>
  </si>
  <si>
    <t>SCADA PRIVATE NTWK_LGE_2016</t>
  </si>
  <si>
    <t>152269</t>
  </si>
  <si>
    <t>FLAT ROCK ROAD</t>
  </si>
  <si>
    <t>152271LGE</t>
  </si>
  <si>
    <t>TC2 ID FAN REFURBISHMENT LGE</t>
  </si>
  <si>
    <t>152273LGE</t>
  </si>
  <si>
    <t>TC2 FD FAN REBUILD LGE</t>
  </si>
  <si>
    <t>152276</t>
  </si>
  <si>
    <t>Trimble R8S GPS Survey</t>
  </si>
  <si>
    <t>152289</t>
  </si>
  <si>
    <t>BR Solar Land Purch</t>
  </si>
  <si>
    <t>152314</t>
  </si>
  <si>
    <t>CREDIT UNION - CONSTRUCT WALL</t>
  </si>
  <si>
    <t>152327</t>
  </si>
  <si>
    <t>LG&amp;E COMMON ASSETS - BOC</t>
  </si>
  <si>
    <t>152330</t>
  </si>
  <si>
    <t>MC Gypsum Dewatering Non-ECR</t>
  </si>
  <si>
    <t>152366</t>
  </si>
  <si>
    <t>BOC ROOF REPLACEMENT SECTION A</t>
  </si>
  <si>
    <t>152374</t>
  </si>
  <si>
    <t>NORTH TRENCH DRAIN SSC</t>
  </si>
  <si>
    <t>152381</t>
  </si>
  <si>
    <t>MC Process Water</t>
  </si>
  <si>
    <t>152384</t>
  </si>
  <si>
    <t>TC LGE Process Water</t>
  </si>
  <si>
    <t>152410</t>
  </si>
  <si>
    <t>MC 2A Boiler Feed Pump Mtr</t>
  </si>
  <si>
    <t>152493</t>
  </si>
  <si>
    <t>SOLITE TRANSFORMER</t>
  </si>
  <si>
    <t>152612</t>
  </si>
  <si>
    <t>MC RO DCS Station</t>
  </si>
  <si>
    <t>152731</t>
  </si>
  <si>
    <t>PR Telehandler 4x4</t>
  </si>
  <si>
    <t>152733</t>
  </si>
  <si>
    <t>CR7 Site Fencing</t>
  </si>
  <si>
    <t>152765</t>
  </si>
  <si>
    <t>VE0002 Vermont Exit Circuit</t>
  </si>
  <si>
    <t>152766</t>
  </si>
  <si>
    <t>Dahlia DA1239 Exit Circuit</t>
  </si>
  <si>
    <t>152767</t>
  </si>
  <si>
    <t>Grady GR1466 Exit Circuit</t>
  </si>
  <si>
    <t>152901</t>
  </si>
  <si>
    <t>MC CCR New Construction</t>
  </si>
  <si>
    <t>152902</t>
  </si>
  <si>
    <t>TC CCR New Construction LGE</t>
  </si>
  <si>
    <t>152940</t>
  </si>
  <si>
    <t>MC Beneficial Reuse USG</t>
  </si>
  <si>
    <t>152946</t>
  </si>
  <si>
    <t>CR7 Annual Outage (2016)</t>
  </si>
  <si>
    <t>152974</t>
  </si>
  <si>
    <t>Spare Transformers LGE</t>
  </si>
  <si>
    <t>152978</t>
  </si>
  <si>
    <t>Tip Top 6619 Brkr Overhaul</t>
  </si>
  <si>
    <t>152979</t>
  </si>
  <si>
    <t>Purchase Cable Hog</t>
  </si>
  <si>
    <t>152980</t>
  </si>
  <si>
    <t>PR Watterson-Pleasant Grove</t>
  </si>
  <si>
    <t>152LGE16</t>
  </si>
  <si>
    <t>Mbl &amp; Wrkst Lic True-up-LGE16</t>
  </si>
  <si>
    <t>153000LGE</t>
  </si>
  <si>
    <t>TC SITE AMBULANCE</t>
  </si>
  <si>
    <t>153007</t>
  </si>
  <si>
    <t>TC1 CEM DATA LOG CHANGEOUT</t>
  </si>
  <si>
    <t>153014LGE</t>
  </si>
  <si>
    <t>TC2 SCR NOX VIM WARE CHANGEOUT</t>
  </si>
  <si>
    <t>153051</t>
  </si>
  <si>
    <t>TC1 NATURAL GAS CONVERSION</t>
  </si>
  <si>
    <t>153067LGE</t>
  </si>
  <si>
    <t>TC2 ACOUSTIC MONITOR</t>
  </si>
  <si>
    <t>153068LGE</t>
  </si>
  <si>
    <t>TC REPL A CHILLER</t>
  </si>
  <si>
    <t>153075</t>
  </si>
  <si>
    <t>Volt/VAR Optimization Non-DSM</t>
  </si>
  <si>
    <t>153075LGE</t>
  </si>
  <si>
    <t>TC2 TDBFP TRIP BLOCK</t>
  </si>
  <si>
    <t>153102</t>
  </si>
  <si>
    <t>COMPACT TRACK LOADER MAG 2016</t>
  </si>
  <si>
    <t>153103LGE</t>
  </si>
  <si>
    <t>TC CT6  REBUILD EXHAUST</t>
  </si>
  <si>
    <t>153106</t>
  </si>
  <si>
    <t>MC1 O2 Probe Grid</t>
  </si>
  <si>
    <t>153110</t>
  </si>
  <si>
    <t>MC2 O2 Probe Grid</t>
  </si>
  <si>
    <t>153173</t>
  </si>
  <si>
    <t>MC LE Limestone Conv Belt 2016</t>
  </si>
  <si>
    <t>153174</t>
  </si>
  <si>
    <t>MC D1 Coal Conv Gearbox 2016</t>
  </si>
  <si>
    <t>153179</t>
  </si>
  <si>
    <t>MC 1A HSWP Motor 2016</t>
  </si>
  <si>
    <t>153180</t>
  </si>
  <si>
    <t>3RD FLOOR BREAKROOM RENO</t>
  </si>
  <si>
    <t>153189</t>
  </si>
  <si>
    <t>PADDYS RUN TRANSFORMER</t>
  </si>
  <si>
    <t>153206</t>
  </si>
  <si>
    <t>MC Video Conference System</t>
  </si>
  <si>
    <t>153207</t>
  </si>
  <si>
    <t>MC4 Switchgear Cable</t>
  </si>
  <si>
    <t>153255</t>
  </si>
  <si>
    <t>Bristol Louisville on Main</t>
  </si>
  <si>
    <t>153268</t>
  </si>
  <si>
    <t>RELAY TEST EQUIPMENT</t>
  </si>
  <si>
    <t>153270</t>
  </si>
  <si>
    <t>A/V EQUIPMENT - EOC 2016</t>
  </si>
  <si>
    <t>153278</t>
  </si>
  <si>
    <t>REPLACE EXT DOORS - BOC 2016</t>
  </si>
  <si>
    <t>153285</t>
  </si>
  <si>
    <t>HWY 53 MAIN RELOCATION</t>
  </si>
  <si>
    <t>153296</t>
  </si>
  <si>
    <t>MC Gypsum Shuttle Conv 2016</t>
  </si>
  <si>
    <t>153304</t>
  </si>
  <si>
    <t>REPL CHILL WTR PIPE INSULATION</t>
  </si>
  <si>
    <t>153312</t>
  </si>
  <si>
    <t>CSS Equipment</t>
  </si>
  <si>
    <t>153326</t>
  </si>
  <si>
    <t>MC2 Closed Cooling Wtr Piping</t>
  </si>
  <si>
    <t>153330</t>
  </si>
  <si>
    <t>MC Mechanical Exhauster 2016</t>
  </si>
  <si>
    <t>153333</t>
  </si>
  <si>
    <t>DCC COBRA Testing - LGE</t>
  </si>
  <si>
    <t>153341</t>
  </si>
  <si>
    <t>RECEIVE ONE TRANS FROM KU</t>
  </si>
  <si>
    <t>153342</t>
  </si>
  <si>
    <t>MC Two-Way Radio Station</t>
  </si>
  <si>
    <t>153352</t>
  </si>
  <si>
    <t>BIG FANS - AOC WAREHOUSE</t>
  </si>
  <si>
    <t>153365</t>
  </si>
  <si>
    <t>LGE Relay Rpl-2017</t>
  </si>
  <si>
    <t>153380</t>
  </si>
  <si>
    <t>WATER LINE REPL-SIMP LGE</t>
  </si>
  <si>
    <t>153391LGE</t>
  </si>
  <si>
    <t>TC CATHODIC PROTECT 2016</t>
  </si>
  <si>
    <t>153393</t>
  </si>
  <si>
    <t>TRAILER &amp; EXCAVATOR</t>
  </si>
  <si>
    <t>153395</t>
  </si>
  <si>
    <t>CSS Overhead Fan</t>
  </si>
  <si>
    <t>153397</t>
  </si>
  <si>
    <t>Gravel Road at East Oper</t>
  </si>
  <si>
    <t>153400</t>
  </si>
  <si>
    <t>EOC CHAIRS CONF RM</t>
  </si>
  <si>
    <t>153401</t>
  </si>
  <si>
    <t>TC1 CEM UMBILLICAL</t>
  </si>
  <si>
    <t>153403</t>
  </si>
  <si>
    <t>FENCING EOC GAS EQUIPMENT</t>
  </si>
  <si>
    <t>153407</t>
  </si>
  <si>
    <t>BOC 1 ATRIUM WINDOWS</t>
  </si>
  <si>
    <t>153408</t>
  </si>
  <si>
    <t>BOC SIDEWALK</t>
  </si>
  <si>
    <t>153410</t>
  </si>
  <si>
    <t>SIMP PARKING LOT LED LGE</t>
  </si>
  <si>
    <t>153415</t>
  </si>
  <si>
    <t>MULDRAUGH BLDGING AT GATE</t>
  </si>
  <si>
    <t>153416</t>
  </si>
  <si>
    <t>MULD BOILER FEEDER PUMPS</t>
  </si>
  <si>
    <t>153419</t>
  </si>
  <si>
    <t>PGG-Cane Run SW GG Iso</t>
  </si>
  <si>
    <t>153456</t>
  </si>
  <si>
    <t>MC LA Conveyor Belt 2016</t>
  </si>
  <si>
    <t>153469</t>
  </si>
  <si>
    <t>BOC 3 EMRGNCY PWR CALL CTR LGE</t>
  </si>
  <si>
    <t>153472</t>
  </si>
  <si>
    <t>CR7 Chemical Storage Tank</t>
  </si>
  <si>
    <t>153474</t>
  </si>
  <si>
    <t>Lantech Q-300 Stretch Wrapper</t>
  </si>
  <si>
    <t>153475</t>
  </si>
  <si>
    <t>S-22 Straddle Truck</t>
  </si>
  <si>
    <t>153494</t>
  </si>
  <si>
    <t>MC Safety Fall Protection</t>
  </si>
  <si>
    <t>153497</t>
  </si>
  <si>
    <t>CIP IP Connectivity - LGE</t>
  </si>
  <si>
    <t>153503</t>
  </si>
  <si>
    <t>INSTALL SHOWER AT BARDSTOWN</t>
  </si>
  <si>
    <t>153508</t>
  </si>
  <si>
    <t>TC1 D COAL MILL MTR RWND</t>
  </si>
  <si>
    <t>153510</t>
  </si>
  <si>
    <t>TC1 HL Compressor Dryer</t>
  </si>
  <si>
    <t>153511LGE</t>
  </si>
  <si>
    <t>TC M11 MOORING CELL REFURB</t>
  </si>
  <si>
    <t>153513LGE</t>
  </si>
  <si>
    <t>TC2 WESP ROOF REPLACE</t>
  </si>
  <si>
    <t>153520</t>
  </si>
  <si>
    <t>MC D &amp; E Coal Conveyor Scales</t>
  </si>
  <si>
    <t>153524</t>
  </si>
  <si>
    <t>MC ERT SCBA Air Compressor</t>
  </si>
  <si>
    <t>153526</t>
  </si>
  <si>
    <t>FILL PIPELINE CASINGS WITH WAX</t>
  </si>
  <si>
    <t>153528</t>
  </si>
  <si>
    <t>MC Utility Vehicles 2016</t>
  </si>
  <si>
    <t>153537</t>
  </si>
  <si>
    <t>OMN-Ashbottom TR2 Monitor</t>
  </si>
  <si>
    <t>153543</t>
  </si>
  <si>
    <t>MC Operations Vehicle 2016</t>
  </si>
  <si>
    <t>153561</t>
  </si>
  <si>
    <t>DCC ENHANCEMENT LGE</t>
  </si>
  <si>
    <t>153588</t>
  </si>
  <si>
    <t>TIP TOP RTU Reimbursable</t>
  </si>
  <si>
    <t>153591</t>
  </si>
  <si>
    <t>FTR-Beargrass T01 Xfmr Rpl</t>
  </si>
  <si>
    <t>153607</t>
  </si>
  <si>
    <t>MC Gasoline Pumps/Tanks</t>
  </si>
  <si>
    <t>153614</t>
  </si>
  <si>
    <t>MC Coal Fineness Analyzer</t>
  </si>
  <si>
    <t>153623</t>
  </si>
  <si>
    <t>Meter Shop Toyota Forklift</t>
  </si>
  <si>
    <t>153627</t>
  </si>
  <si>
    <t>SIMPSONVILLE CRAC TRANS LGE</t>
  </si>
  <si>
    <t>153629</t>
  </si>
  <si>
    <t>SIMSPONVILLE CRAC IT LGE</t>
  </si>
  <si>
    <t>153638LGE</t>
  </si>
  <si>
    <t>TC RESIDENT OFFICE CONSTRUCT</t>
  </si>
  <si>
    <t>153640LGE</t>
  </si>
  <si>
    <t>TC I/E MAINT SHOP OFFICE SPACE</t>
  </si>
  <si>
    <t>153645</t>
  </si>
  <si>
    <t>MC "A" Coal Conveyor Belt 2016</t>
  </si>
  <si>
    <t>153646</t>
  </si>
  <si>
    <t>LEO Mini Excavator 2016</t>
  </si>
  <si>
    <t>153647</t>
  </si>
  <si>
    <t>MC2 Turbine CV Studs</t>
  </si>
  <si>
    <t>153654</t>
  </si>
  <si>
    <t>CSS Torque wrench</t>
  </si>
  <si>
    <t>153656</t>
  </si>
  <si>
    <t>KUBOTAS &amp; EXCAVATORS</t>
  </si>
  <si>
    <t>153660</t>
  </si>
  <si>
    <t>RADCLIFF VINE GROVE REINF</t>
  </si>
  <si>
    <t>153662</t>
  </si>
  <si>
    <t>BULLITT CO SYSTEM REINFORCE</t>
  </si>
  <si>
    <t>153665</t>
  </si>
  <si>
    <t>TC1 ELECTRO MECH RELAY 2017</t>
  </si>
  <si>
    <t>153667</t>
  </si>
  <si>
    <t>POR-Cane Run Sw Insulator/C&amp;P</t>
  </si>
  <si>
    <t>153681</t>
  </si>
  <si>
    <t>GAS CONTROL CREW ROOM RENO</t>
  </si>
  <si>
    <t>153682</t>
  </si>
  <si>
    <t>Polaris Crew Cab and Trailer</t>
  </si>
  <si>
    <t>153686</t>
  </si>
  <si>
    <t>GS CDM CALLBOX OTH PROD</t>
  </si>
  <si>
    <t>153690</t>
  </si>
  <si>
    <t>Gas Monitoring Cameras LGE</t>
  </si>
  <si>
    <t>153695</t>
  </si>
  <si>
    <t>P&amp;C Computer-2016-LGE</t>
  </si>
  <si>
    <t>153703</t>
  </si>
  <si>
    <t>GS GE Alloy Analyzer 2016 LGE</t>
  </si>
  <si>
    <t>153714</t>
  </si>
  <si>
    <t>SCISSOR LIFT FOR AOC</t>
  </si>
  <si>
    <t>153718</t>
  </si>
  <si>
    <t>MC2 Gen HV Bushings T1 &amp; T6</t>
  </si>
  <si>
    <t>153722</t>
  </si>
  <si>
    <t>LGE CTR FURNITURE 2015-LGE</t>
  </si>
  <si>
    <t>153726</t>
  </si>
  <si>
    <t>CIP Intrusion Detect Trans LGE</t>
  </si>
  <si>
    <t>153728</t>
  </si>
  <si>
    <t>CIP Intrusion Detect IT LGE</t>
  </si>
  <si>
    <t>153737</t>
  </si>
  <si>
    <t>MC Fork Truck for RO Area</t>
  </si>
  <si>
    <t>153738</t>
  </si>
  <si>
    <t>MC Alignment Machine</t>
  </si>
  <si>
    <t>153740</t>
  </si>
  <si>
    <t>EMERGENCY RESPONSE TRAILER</t>
  </si>
  <si>
    <t>153742</t>
  </si>
  <si>
    <t>2016 Purchase Garage Equip</t>
  </si>
  <si>
    <t>153782</t>
  </si>
  <si>
    <t>S30 Floor Sweeper</t>
  </si>
  <si>
    <t>153LGE15</t>
  </si>
  <si>
    <t>IT Sec Infrast Enhance-LGE15</t>
  </si>
  <si>
    <t>157LGE15</t>
  </si>
  <si>
    <t>EMS CIP-LGE15</t>
  </si>
  <si>
    <t>158LGE15</t>
  </si>
  <si>
    <t>FIM Replacement-LGE15</t>
  </si>
  <si>
    <t>159LGE15</t>
  </si>
  <si>
    <t>LOAD Vendor Upgrade-LGE15</t>
  </si>
  <si>
    <t>159LGE16</t>
  </si>
  <si>
    <t>Cascade Impl Gen Relays-LGE16</t>
  </si>
  <si>
    <t>161001LGE</t>
  </si>
  <si>
    <t>TC2 TURBINE PREP COUPLINGS</t>
  </si>
  <si>
    <t>161LGE15</t>
  </si>
  <si>
    <t>Reliability Report Enh-LGE15</t>
  </si>
  <si>
    <t>161LGE16</t>
  </si>
  <si>
    <t>HP QC Upgr to ALM-LGE16</t>
  </si>
  <si>
    <t>164LGE15</t>
  </si>
  <si>
    <t>TRODS-LGE15</t>
  </si>
  <si>
    <t>164LGE16</t>
  </si>
  <si>
    <t>Plant Mobile-Trimble-LGE16</t>
  </si>
  <si>
    <t>165LGE16</t>
  </si>
  <si>
    <t>Non-SCADA Load Data-LGE16</t>
  </si>
  <si>
    <t>166LGE16</t>
  </si>
  <si>
    <t>Tower Replace-LGE16</t>
  </si>
  <si>
    <t>167LGE15</t>
  </si>
  <si>
    <t>Gas Training System-LGE15</t>
  </si>
  <si>
    <t>169LGE15</t>
  </si>
  <si>
    <t>Expand My Account &amp; Apps-LGE15</t>
  </si>
  <si>
    <t>170LGE15</t>
  </si>
  <si>
    <t>Low Income Assist Portal-LGE15</t>
  </si>
  <si>
    <t>178LGE15</t>
  </si>
  <si>
    <t>Upgrade Quest Server-LGE15</t>
  </si>
  <si>
    <t>200LGE15</t>
  </si>
  <si>
    <t>Customer Bill Redesign-LGE15</t>
  </si>
  <si>
    <t>200LGE16</t>
  </si>
  <si>
    <t>Application Sec Enhance-LGE16</t>
  </si>
  <si>
    <t>201LGE14</t>
  </si>
  <si>
    <t>Auto Pymt Arrangements-LGE14</t>
  </si>
  <si>
    <t>202LGE15</t>
  </si>
  <si>
    <t>Trans OATT Billing Tool-LGE15</t>
  </si>
  <si>
    <t>203LGE15</t>
  </si>
  <si>
    <t>PowerPlant Upgrade-LGE15</t>
  </si>
  <si>
    <t>203LGE16</t>
  </si>
  <si>
    <t>PS 9.2 Upgrade-LGE16</t>
  </si>
  <si>
    <t>204LGE16</t>
  </si>
  <si>
    <t>SAP CRM/ECC Upgr-LGE16</t>
  </si>
  <si>
    <t>220LGE14</t>
  </si>
  <si>
    <t>IOC Enhancements-LGE14</t>
  </si>
  <si>
    <t>234LGE14</t>
  </si>
  <si>
    <t>Damage Assess Enhance-LGE14</t>
  </si>
  <si>
    <t>241LGE14</t>
  </si>
  <si>
    <t>Legal Hold-LGE14</t>
  </si>
  <si>
    <t>262LGE14</t>
  </si>
  <si>
    <t>Redact-It Implement-LGE14</t>
  </si>
  <si>
    <t>400LGE16</t>
  </si>
  <si>
    <t>OTN Core Rings Y2/2 LOU-LGE15</t>
  </si>
  <si>
    <t>700LGE15</t>
  </si>
  <si>
    <t>Fidelity Pension-LGE15</t>
  </si>
  <si>
    <t>700LGE16</t>
  </si>
  <si>
    <t>Varigance Mist-LGE16</t>
  </si>
  <si>
    <t>701LGE16</t>
  </si>
  <si>
    <t>ShareGate-LGE16</t>
  </si>
  <si>
    <t>702LGE16</t>
  </si>
  <si>
    <t>CA API-LGE16</t>
  </si>
  <si>
    <t>703LGE16</t>
  </si>
  <si>
    <t>Aspect Workforce Lic-LGE16</t>
  </si>
  <si>
    <t>704LGE15</t>
  </si>
  <si>
    <t>AIS Enhancement-LGE15</t>
  </si>
  <si>
    <t>705LGE15</t>
  </si>
  <si>
    <t>Trans Lines Mobile App-LGE15</t>
  </si>
  <si>
    <t>706LGE15</t>
  </si>
  <si>
    <t>AOC Telecom Renovation-LGE15</t>
  </si>
  <si>
    <t>706LGE16</t>
  </si>
  <si>
    <t>EMC TLA-LGE16</t>
  </si>
  <si>
    <t>707LGE15</t>
  </si>
  <si>
    <t>PACSs for Substations-LGE15</t>
  </si>
  <si>
    <t>707LGE16</t>
  </si>
  <si>
    <t>IVR Designer Tool Upgr-LGE16</t>
  </si>
  <si>
    <t>708LGE16</t>
  </si>
  <si>
    <t>Microsoft Project Server-LGE16</t>
  </si>
  <si>
    <t>709LGE16</t>
  </si>
  <si>
    <t>Lightning Fall License-LGE16</t>
  </si>
  <si>
    <t>710LGE16</t>
  </si>
  <si>
    <t>NMS Enhancement-LGE16</t>
  </si>
  <si>
    <t>712LGE16</t>
  </si>
  <si>
    <t>OpenText OCR Licenses-LGE16</t>
  </si>
  <si>
    <t>714LGE16</t>
  </si>
  <si>
    <t>Citect Scada Lic-LGE16</t>
  </si>
  <si>
    <t>715LGE16</t>
  </si>
  <si>
    <t>ArcGIS Spatial Licenses-LGE16</t>
  </si>
  <si>
    <t>716LGE15</t>
  </si>
  <si>
    <t>Res Contractor Invoicing-LGE15</t>
  </si>
  <si>
    <t>716LGE16</t>
  </si>
  <si>
    <t>Adobe Robohelp Licenses-LGE16</t>
  </si>
  <si>
    <t>717LGE15</t>
  </si>
  <si>
    <t>Maximo BI-LGE15</t>
  </si>
  <si>
    <t>717LGE16</t>
  </si>
  <si>
    <t>Gas Pipeline ESRI Lic-LGE16</t>
  </si>
  <si>
    <t>718LGE15</t>
  </si>
  <si>
    <t>PowerPlant BI-LGE15</t>
  </si>
  <si>
    <t>718LGE16</t>
  </si>
  <si>
    <t>Net Motion Mobility-LGE16</t>
  </si>
  <si>
    <t>719LGE15</t>
  </si>
  <si>
    <t>CTS Upload Automation-LGE15</t>
  </si>
  <si>
    <t>719LGE16</t>
  </si>
  <si>
    <t>PI Alarm Mgmt-LGE16</t>
  </si>
  <si>
    <t>720LGE15</t>
  </si>
  <si>
    <t>NAS Analytics Tool-LGE15</t>
  </si>
  <si>
    <t>720LGE16</t>
  </si>
  <si>
    <t>Mobile Dispatch Map-LGE16</t>
  </si>
  <si>
    <t>722LGE15</t>
  </si>
  <si>
    <t>Microsoft Prj Svr 2013-LGE15</t>
  </si>
  <si>
    <t>722LGE16</t>
  </si>
  <si>
    <t>Single Sign On Lic-LGE16</t>
  </si>
  <si>
    <t>723LGE15</t>
  </si>
  <si>
    <t>AutoDesk Revit-LGE15</t>
  </si>
  <si>
    <t>723LGE16</t>
  </si>
  <si>
    <t>SSO License Bellomy-LGE16</t>
  </si>
  <si>
    <t>724LGE15</t>
  </si>
  <si>
    <t>Data Copy Tool for SAP-LGE15</t>
  </si>
  <si>
    <t>724LGE16</t>
  </si>
  <si>
    <t>PI Lic for Access Perm-LGE16</t>
  </si>
  <si>
    <t>725LGE16</t>
  </si>
  <si>
    <t>Veg Mgmt ROW Layer Dev-LGE16</t>
  </si>
  <si>
    <t>727LGE16</t>
  </si>
  <si>
    <t>Articulate Storybook Lic-LGE16</t>
  </si>
  <si>
    <t>728LGE15</t>
  </si>
  <si>
    <t>EE Rebate Checks-LGE15</t>
  </si>
  <si>
    <t>728LGE16</t>
  </si>
  <si>
    <t>Trading Floor Monitors-LGE16</t>
  </si>
  <si>
    <t>729LGE16</t>
  </si>
  <si>
    <t>Solar Share Program-LGE16</t>
  </si>
  <si>
    <t>730LGE16</t>
  </si>
  <si>
    <t>ABB Post Impl Enhance-LGE16</t>
  </si>
  <si>
    <t>731LGE16</t>
  </si>
  <si>
    <t>Touch Screen Displays-LGE16</t>
  </si>
  <si>
    <t>732LGE16</t>
  </si>
  <si>
    <t>EIS Licenses-LGE16</t>
  </si>
  <si>
    <t>734LGE16</t>
  </si>
  <si>
    <t>Cust Serv Training Tools-LGE16</t>
  </si>
  <si>
    <t>735LGE16</t>
  </si>
  <si>
    <t>Pitney Bowes Licenses-LGE16</t>
  </si>
  <si>
    <t>736LGE16</t>
  </si>
  <si>
    <t>Brown/Dix Campus Sonet-LGE16</t>
  </si>
  <si>
    <t>738LGE16</t>
  </si>
  <si>
    <t>Primavera Licenses-LGE16</t>
  </si>
  <si>
    <t>739LGE15</t>
  </si>
  <si>
    <t>OCC Licenses-LGE15</t>
  </si>
  <si>
    <t>739LGE16</t>
  </si>
  <si>
    <t>Global Mapper Upgrade-LGE16</t>
  </si>
  <si>
    <t>741LGE16</t>
  </si>
  <si>
    <t>Bluecoat Proxy Security-LGE16</t>
  </si>
  <si>
    <t>742LGE16</t>
  </si>
  <si>
    <t>Insight CM Expansion-LGE16</t>
  </si>
  <si>
    <t>743LGE15</t>
  </si>
  <si>
    <t>Video Streaming Appl-LGE15</t>
  </si>
  <si>
    <t>743LGE16</t>
  </si>
  <si>
    <t>PMO Plotters-LGE16</t>
  </si>
  <si>
    <t>744LGE16</t>
  </si>
  <si>
    <t>Reader Boards-LGE16</t>
  </si>
  <si>
    <t>745LGE15</t>
  </si>
  <si>
    <t>PEPSE Upgrade-LGE15</t>
  </si>
  <si>
    <t>745LGE16</t>
  </si>
  <si>
    <t>Metalogix-LGE16</t>
  </si>
  <si>
    <t>746LGE16</t>
  </si>
  <si>
    <t>Nintex Licenses-LGE16</t>
  </si>
  <si>
    <t>747LGE15</t>
  </si>
  <si>
    <t>SKM PowerTools-LGE15</t>
  </si>
  <si>
    <t>747LGE16</t>
  </si>
  <si>
    <t>TRAC Enhancements-LGE16</t>
  </si>
  <si>
    <t>748LGE16</t>
  </si>
  <si>
    <t>NMS Training Simulator-LGE16</t>
  </si>
  <si>
    <t>749LGE16</t>
  </si>
  <si>
    <t>AMS SAP Licenses-LGE16</t>
  </si>
  <si>
    <t>750LGE16</t>
  </si>
  <si>
    <t>AMS SAP Hardware-LGE16</t>
  </si>
  <si>
    <t>752LGE16</t>
  </si>
  <si>
    <t>Portable Doc Format Lic-LGE16</t>
  </si>
  <si>
    <t>AMR414</t>
  </si>
  <si>
    <t>ALDYL-A MAIN REPLACEMENT</t>
  </si>
  <si>
    <t>CACMIT445</t>
  </si>
  <si>
    <t>AC_MITIGATION</t>
  </si>
  <si>
    <t>CCAPAC451</t>
  </si>
  <si>
    <t>GAS REG CAPACITY PRO</t>
  </si>
  <si>
    <t>CCAPR340</t>
  </si>
  <si>
    <t>Capital CAP/REG/RECL - 003400</t>
  </si>
  <si>
    <t>CCAPR429</t>
  </si>
  <si>
    <t>Gas Regulators Blanket</t>
  </si>
  <si>
    <t>CCGUPG451</t>
  </si>
  <si>
    <t>UPGR FACIL CG STATION 2017</t>
  </si>
  <si>
    <t>CCOCNT451</t>
  </si>
  <si>
    <t>RET/REPL CONTR CG STA 2017</t>
  </si>
  <si>
    <t>CCPIMP445</t>
  </si>
  <si>
    <t>CP IMPRESSED CUR SYS IMPROVE</t>
  </si>
  <si>
    <t>CCSO419</t>
  </si>
  <si>
    <t>REPL EXIST CUST SRV W RISER</t>
  </si>
  <si>
    <t>CCSO421</t>
  </si>
  <si>
    <t>REPL EXIST CS WITH RISER-MUL</t>
  </si>
  <si>
    <t>CCSO4485</t>
  </si>
  <si>
    <t>REPL EXIST CS &amp; RISER-4485</t>
  </si>
  <si>
    <t>CDEFEQ447</t>
  </si>
  <si>
    <t>MULDR FAC IMP/EQ REPLACE</t>
  </si>
  <si>
    <t>CDEFEQ448</t>
  </si>
  <si>
    <t>MAG FAC IMP/EQ REPL</t>
  </si>
  <si>
    <t>CEBREG451</t>
  </si>
  <si>
    <t>PURCHASE REGULATORS EXIST CUST</t>
  </si>
  <si>
    <t>CEMTR134</t>
  </si>
  <si>
    <t>LGE Electric Meters - 001340</t>
  </si>
  <si>
    <t>CFTCUS450</t>
  </si>
  <si>
    <t>FT CUSTOMER CONVERSIONS</t>
  </si>
  <si>
    <t>CGME406</t>
  </si>
  <si>
    <t>NB Gas Main Ext - 004060</t>
  </si>
  <si>
    <t>CGMTR134</t>
  </si>
  <si>
    <t>LGE Gas Meters - 001340</t>
  </si>
  <si>
    <t>CHPSRV451</t>
  </si>
  <si>
    <t>COMM HIGH PRES GAS SRV UPGR 17</t>
  </si>
  <si>
    <t>CLM020414</t>
  </si>
  <si>
    <t>LGE MAJOR STORM 020414</t>
  </si>
  <si>
    <t>CLM040216</t>
  </si>
  <si>
    <t>LGE MAJOR STORM 040216</t>
  </si>
  <si>
    <t>CLM061216</t>
  </si>
  <si>
    <t>LGE MAJOR STORM 061216</t>
  </si>
  <si>
    <t>CLM071715</t>
  </si>
  <si>
    <t>LGE MAJOR STORM 071715</t>
  </si>
  <si>
    <t>CNBCBL341</t>
  </si>
  <si>
    <t>Joint Trench - 003410</t>
  </si>
  <si>
    <t>CNBCD340O</t>
  </si>
  <si>
    <t>NB Comm OH - 003400</t>
  </si>
  <si>
    <t>CNBCD340U</t>
  </si>
  <si>
    <t>NB Comm UG - 003400</t>
  </si>
  <si>
    <t>CNBCS419</t>
  </si>
  <si>
    <t>NB CUST SRV LINE &amp; GAS RISER</t>
  </si>
  <si>
    <t>CNBCS421</t>
  </si>
  <si>
    <t>NB INST CUST SERV LINE &amp; RSR</t>
  </si>
  <si>
    <t>CNBCS4485</t>
  </si>
  <si>
    <t>INST CUST SRV - MAGNOLIA</t>
  </si>
  <si>
    <t>CNBGS419</t>
  </si>
  <si>
    <t>NB Gas Services - 004190</t>
  </si>
  <si>
    <t>CNBGS421</t>
  </si>
  <si>
    <t>NB Gas Services - 004210</t>
  </si>
  <si>
    <t>CNBRD340O</t>
  </si>
  <si>
    <t>NB Resid OH - 003400</t>
  </si>
  <si>
    <t>CNBRD341U</t>
  </si>
  <si>
    <t>NB Resid UG - 003410</t>
  </si>
  <si>
    <t>CNBREG451</t>
  </si>
  <si>
    <t>PURCH REGULATORS - 004510</t>
  </si>
  <si>
    <t>CNBSV340O</t>
  </si>
  <si>
    <t>NB Elect Serv OH - 003400</t>
  </si>
  <si>
    <t>CNBSV340U</t>
  </si>
  <si>
    <t>NB Elect Serv UG - 003400</t>
  </si>
  <si>
    <t>CNBVLT343</t>
  </si>
  <si>
    <t>NB Network Vaults - 003430</t>
  </si>
  <si>
    <t>CPBWK340</t>
  </si>
  <si>
    <t>El Public Works - 003400</t>
  </si>
  <si>
    <t>CPBWK406G</t>
  </si>
  <si>
    <t>Gas Public Works - 004060</t>
  </si>
  <si>
    <t>CRCST340</t>
  </si>
  <si>
    <t>Cust Requested - 003400</t>
  </si>
  <si>
    <t>CRCST406G</t>
  </si>
  <si>
    <t>Cust Requested - 004060</t>
  </si>
  <si>
    <t>CRDCBL340</t>
  </si>
  <si>
    <t>Repl Defective Cable - 003400</t>
  </si>
  <si>
    <t>CRDD340O</t>
  </si>
  <si>
    <t>Capital Rep Def OH - 003400</t>
  </si>
  <si>
    <t>CRDD340U</t>
  </si>
  <si>
    <t>Capital Rep Def UG - 003400</t>
  </si>
  <si>
    <t>CREGFC451</t>
  </si>
  <si>
    <t>GAS REG FAC UPGRADE BLKT 2017</t>
  </si>
  <si>
    <t>CREGST451</t>
  </si>
  <si>
    <t>UPGR FACIL DIST REG STATIONS</t>
  </si>
  <si>
    <t>CRELD340</t>
  </si>
  <si>
    <t>Capital Reliability - 003400</t>
  </si>
  <si>
    <t>CRELI4475</t>
  </si>
  <si>
    <t>RELINE GAS STORAGE WELLS 2016</t>
  </si>
  <si>
    <t>CROTAR451</t>
  </si>
  <si>
    <t>UPRG OBSOL ROTARY METERS</t>
  </si>
  <si>
    <t>CRPOLE340</t>
  </si>
  <si>
    <t>Pole Repair/Replace - 003400</t>
  </si>
  <si>
    <t>CRSTLT332</t>
  </si>
  <si>
    <t>Repair Street Lights - 003320</t>
  </si>
  <si>
    <t>CSTATN447</t>
  </si>
  <si>
    <t>MULD STATION BLKT</t>
  </si>
  <si>
    <t>CSTATN448</t>
  </si>
  <si>
    <t>MAGNOLIA STATION BLKT</t>
  </si>
  <si>
    <t>CSTLT332</t>
  </si>
  <si>
    <t>NB Street Lights - 003320</t>
  </si>
  <si>
    <t>CSTOR447</t>
  </si>
  <si>
    <t>MULD STOR FIELD/TRANS BLKT</t>
  </si>
  <si>
    <t>CSTOR448</t>
  </si>
  <si>
    <t>MAG STOR FIELD/TRANS BLKT</t>
  </si>
  <si>
    <t>CSTRM323</t>
  </si>
  <si>
    <t>Cap Minor Storms - 003230</t>
  </si>
  <si>
    <t>CSYSEN340</t>
  </si>
  <si>
    <t>Sys Enh - 003400</t>
  </si>
  <si>
    <t>CSYSEN406</t>
  </si>
  <si>
    <t>Sys Enh - 004060</t>
  </si>
  <si>
    <t>CTBRD340O</t>
  </si>
  <si>
    <t>Cap Trouble Orders OH - 003400</t>
  </si>
  <si>
    <t>CTBRD340U</t>
  </si>
  <si>
    <t>Cap Trouble Orders UG - 003400</t>
  </si>
  <si>
    <t>CTBRD419</t>
  </si>
  <si>
    <t>Cap Trbl Orders Gas - 004190</t>
  </si>
  <si>
    <t>CTPD340</t>
  </si>
  <si>
    <t>Capital Thrd Party - 003400</t>
  </si>
  <si>
    <t>CTPD419</t>
  </si>
  <si>
    <t>Capital Thrd Party - 004190</t>
  </si>
  <si>
    <t>CVLT343</t>
  </si>
  <si>
    <t>Capital Network Vlts - 003430</t>
  </si>
  <si>
    <t>CXFRM311</t>
  </si>
  <si>
    <t>LGE Line Transformers</t>
  </si>
  <si>
    <t>CXFRM340</t>
  </si>
  <si>
    <t>NB Transformers - 003400</t>
  </si>
  <si>
    <t>DLSMR414</t>
  </si>
  <si>
    <t>DWNTWN LRG SCALE MAIN</t>
  </si>
  <si>
    <t>GASRSR414</t>
  </si>
  <si>
    <t>GAS SERVICE RISER REPL &amp; CSO</t>
  </si>
  <si>
    <t>IT0033L</t>
  </si>
  <si>
    <t>Enterprise Strg Sys Refr-LGE17</t>
  </si>
  <si>
    <t>IT0057L</t>
  </si>
  <si>
    <t>Mob 5500 Netscale HW Ref-LGE16</t>
  </si>
  <si>
    <t>IT0077L</t>
  </si>
  <si>
    <t>Oracle NMS Upgrade-LGE17</t>
  </si>
  <si>
    <t>IT0078L</t>
  </si>
  <si>
    <t>OTN DWDM Repl (Encrypt)-LGE17</t>
  </si>
  <si>
    <t>IT0094L</t>
  </si>
  <si>
    <t>Server Hardware Refr-LGE17</t>
  </si>
  <si>
    <t>IT0103L</t>
  </si>
  <si>
    <t>Sys Lab software replace-LGE16</t>
  </si>
  <si>
    <t>IT0112L</t>
  </si>
  <si>
    <t>Trans Map Land Use-LGE17</t>
  </si>
  <si>
    <t>L5-2013</t>
  </si>
  <si>
    <t>RELOCATION T-LINES</t>
  </si>
  <si>
    <t>L5-2015</t>
  </si>
  <si>
    <t>RELOCATION T-LINES LG&amp;E 2015</t>
  </si>
  <si>
    <t>L5-2016</t>
  </si>
  <si>
    <t>RELOCATIONS T-LINES LG&amp;E 2016</t>
  </si>
  <si>
    <t>L8-2016</t>
  </si>
  <si>
    <t>STORM DAMAGE T-LINE LGE 2016</t>
  </si>
  <si>
    <t>L9-2015</t>
  </si>
  <si>
    <t>PRIORITY REPL T-LINES LGE 2015</t>
  </si>
  <si>
    <t>L9-2016</t>
  </si>
  <si>
    <t>PRIORITY REPL T-LINES LGE 2016</t>
  </si>
  <si>
    <t>LARM-2016</t>
  </si>
  <si>
    <t>Priority Repl X-Arms LGE 2016</t>
  </si>
  <si>
    <t>LBRFAIL14</t>
  </si>
  <si>
    <t>LGE-Brkr Fail-2014</t>
  </si>
  <si>
    <t>LBRFAIL15</t>
  </si>
  <si>
    <t>LGE-Brkr Fail-2015</t>
  </si>
  <si>
    <t>LBRFAIL16</t>
  </si>
  <si>
    <t>LGE-Brkr Fail-2016</t>
  </si>
  <si>
    <t>LINS-2016</t>
  </si>
  <si>
    <t>Priority Repl Insltrs LGE 2016</t>
  </si>
  <si>
    <t>LOTFAIL14</t>
  </si>
  <si>
    <t>LGE-OtherFail-2014</t>
  </si>
  <si>
    <t>LOTFAIL16</t>
  </si>
  <si>
    <t>LGE-OtherFail-2016</t>
  </si>
  <si>
    <t>LOTH-2016</t>
  </si>
  <si>
    <t>Priority Repl Other LGE 2016</t>
  </si>
  <si>
    <t>L-OTHER14</t>
  </si>
  <si>
    <t>LGE-Other-2014</t>
  </si>
  <si>
    <t>L-OTHER15</t>
  </si>
  <si>
    <t>LGE-Other-2015</t>
  </si>
  <si>
    <t>LOTPR14</t>
  </si>
  <si>
    <t>LG&amp;E Other Prot Blanket 2014</t>
  </si>
  <si>
    <t>LOTPR15</t>
  </si>
  <si>
    <t>LG&amp;E Other Prot Blanket 2015</t>
  </si>
  <si>
    <t>LOTPR16</t>
  </si>
  <si>
    <t>LG&amp;E Other Prot Blanket 2016</t>
  </si>
  <si>
    <t>LOTPRFL16</t>
  </si>
  <si>
    <t>LG&amp;E Oth Prot Fail 2016</t>
  </si>
  <si>
    <t>LRELAY-14</t>
  </si>
  <si>
    <t>Relay Replacements-LG&amp;E-2014</t>
  </si>
  <si>
    <t>LRELAY-15</t>
  </si>
  <si>
    <t>Relay Replacements-LG&amp;E-2015</t>
  </si>
  <si>
    <t>LREL-FL15</t>
  </si>
  <si>
    <t>LG&amp;E Relay Failures-2015</t>
  </si>
  <si>
    <t>LREL-FL16</t>
  </si>
  <si>
    <t>LG&amp;E Relay Failures-2016</t>
  </si>
  <si>
    <t>LSMR414</t>
  </si>
  <si>
    <t>Large Scale Main Replacements</t>
  </si>
  <si>
    <t>LTFFAIL16</t>
  </si>
  <si>
    <t>LGE-Xfrmr Fail-2016</t>
  </si>
  <si>
    <t>PMR414</t>
  </si>
  <si>
    <t>Priority Main Replacement</t>
  </si>
  <si>
    <t>RDSTLT332</t>
  </si>
  <si>
    <t>REPAIR STREET LIGHTING</t>
  </si>
  <si>
    <t>RRCS419G</t>
  </si>
  <si>
    <t>REP CO GAS SERV 419</t>
  </si>
  <si>
    <t>RECONCILIATION OF SUMMARY OF UTILITY PLANT TO INCOME STATEMENT DEPRECIATION AND AMORTIZATION - REGULATORY ACCOUNTING</t>
  </si>
  <si>
    <t>YTD</t>
  </si>
  <si>
    <t>IS Neutrality</t>
  </si>
  <si>
    <t>Locomotives</t>
  </si>
  <si>
    <t>Railcar</t>
  </si>
  <si>
    <t>Gas Pipeline</t>
  </si>
  <si>
    <t>Transportation</t>
  </si>
  <si>
    <t>Anniversary RV</t>
  </si>
  <si>
    <t>Future Use Dist Dr</t>
  </si>
  <si>
    <t>Acct - 254</t>
  </si>
  <si>
    <t>ARO Child Depr.</t>
  </si>
  <si>
    <t>Acct - 151060</t>
  </si>
  <si>
    <t>Acct - 151061</t>
  </si>
  <si>
    <t>Acct - 184315</t>
  </si>
  <si>
    <t>Acct - 421005</t>
  </si>
  <si>
    <t>Acct - 421201</t>
  </si>
  <si>
    <t>End Balance</t>
  </si>
  <si>
    <t>DEPRECIATION</t>
  </si>
  <si>
    <t>Total Common</t>
  </si>
  <si>
    <t>ELECTRIC</t>
  </si>
  <si>
    <t>Total Electric</t>
  </si>
  <si>
    <t>Total Gas</t>
  </si>
  <si>
    <t>Total Reserves</t>
  </si>
  <si>
    <t>TOTAL ACCRUAL &amp; AMORTIZATION</t>
  </si>
  <si>
    <t>Reconciliation to Income Statement - Amortization Expense</t>
  </si>
  <si>
    <t>Reconciliation to Income Statement</t>
  </si>
  <si>
    <t>Electric Rev &amp; Exp:</t>
  </si>
  <si>
    <t>Amort YTD</t>
  </si>
  <si>
    <t>Depreciation YTD</t>
  </si>
  <si>
    <t>ARO Depreciation</t>
  </si>
  <si>
    <t>Per Above Reserve listing:</t>
  </si>
  <si>
    <t>Common Alloc (70%)</t>
  </si>
  <si>
    <t xml:space="preserve">  ECR Depr - Comm</t>
  </si>
  <si>
    <t>Variance;</t>
  </si>
  <si>
    <t xml:space="preserve">   Common Alloc</t>
  </si>
  <si>
    <t>Gas Rev &amp; Exp:</t>
  </si>
  <si>
    <t>Total Gas:</t>
  </si>
  <si>
    <t>Common Alloc (30%)</t>
  </si>
  <si>
    <t>TOTAL COMPANY PLANT IN SERVICE - COMMON - NBV -REGULATORY ACCOUNTING</t>
  </si>
  <si>
    <t>Total Plant in Service</t>
  </si>
  <si>
    <t>KENTUCKY &amp; INDIANA</t>
  </si>
  <si>
    <t>Reserve</t>
  </si>
  <si>
    <t>Net Book Value</t>
  </si>
  <si>
    <t>Total 101 &amp; 106</t>
  </si>
  <si>
    <t>Plant in Service</t>
  </si>
  <si>
    <t>Common General</t>
  </si>
  <si>
    <t>C396.10-Power Op Equip-Lg Machinery</t>
  </si>
  <si>
    <t>Total Common Plant in Service</t>
  </si>
  <si>
    <t>TOTAL PLANT IN SERVICE - COMMON - REGULATORY ACCOUNTING</t>
  </si>
  <si>
    <t>Total 101</t>
  </si>
  <si>
    <t>Total 106</t>
  </si>
  <si>
    <t>C392.10-Trans Equip-Cars and Trucks</t>
  </si>
  <si>
    <t>KENTUCKY - TOTAL PLANT IN SERVICE - COMMON - NBV - REGULATORY ACCOUNTING</t>
  </si>
  <si>
    <t>Total Common Plant in Service - KY</t>
  </si>
  <si>
    <t>KENTUCKY - PLANT IN SERVICE - COMMON -REGULATORY ACCOUNTING</t>
  </si>
  <si>
    <t>101 Plant in Service</t>
  </si>
  <si>
    <t>C389.10-Land - 101</t>
  </si>
  <si>
    <t>C389.20-Land Rights - 101</t>
  </si>
  <si>
    <t>C390.10-Struct and Imp-Gen Offices - 101</t>
  </si>
  <si>
    <t>C390.20-Struc and Imp-Transportatio - 101</t>
  </si>
  <si>
    <t>C390.30-Struct and Imp - Stores - 101</t>
  </si>
  <si>
    <t>C390.40-Struct and Imp - Shops - 101</t>
  </si>
  <si>
    <t>C390.60-Struct and Imp - Microwave - 101</t>
  </si>
  <si>
    <t>C391.10-Office Furniture - 101</t>
  </si>
  <si>
    <t>C391.20-Office Equipment - 101</t>
  </si>
  <si>
    <t>C391.30-Computer Equipment - 101</t>
  </si>
  <si>
    <t>C391.31-Personal Computers - 101</t>
  </si>
  <si>
    <t>C391.33-Computer Equip ECR 2006 - 101</t>
  </si>
  <si>
    <t>C391.40-Security Equipment - 101</t>
  </si>
  <si>
    <t>C392.00-Cars and Light Trucks - 101</t>
  </si>
  <si>
    <t>C392.10-Heavy Trucks and Other - 101</t>
  </si>
  <si>
    <t>C392.20-Trans Equip-Trailers  - 101</t>
  </si>
  <si>
    <t>C393.00-Stores Equipment - 101</t>
  </si>
  <si>
    <t>C394.00-Tools, Shop, Garage Equip - 101</t>
  </si>
  <si>
    <t>C395.00-Laboratory Equipment - 101</t>
  </si>
  <si>
    <t>C396.10-Power Op Equip-Lg Machinery - 101</t>
  </si>
  <si>
    <t>C396.20-Power Op Equip - Other - 101</t>
  </si>
  <si>
    <t>C397.00- Microwave, Fiber, Other - 101</t>
  </si>
  <si>
    <t>C397.10-Comm Eq Radios, Telephone - 101</t>
  </si>
  <si>
    <t>C398.00-Miscellaneous Equipment - 101</t>
  </si>
  <si>
    <t>C399.15-ARO Cost Common (L/B) - 101</t>
  </si>
  <si>
    <t>C301.00-Organization - 101</t>
  </si>
  <si>
    <t>C302.00-Franchises and Consents - 101</t>
  </si>
  <si>
    <t>C303.00-Misc Intang Plant-Software - 101</t>
  </si>
  <si>
    <t>C303.10-CCS Software - 101</t>
  </si>
  <si>
    <t>C303.20-Law Library - 101</t>
  </si>
  <si>
    <t>Total 101 Plant in Service - Common - KY</t>
  </si>
  <si>
    <t>106 Construction Completed Not Classified</t>
  </si>
  <si>
    <t>C390.10-Struct and Imp-Gen Offices - 106</t>
  </si>
  <si>
    <t>C390.20-Struc and Imp-Transportatio - 106</t>
  </si>
  <si>
    <t>C390.30-Struct and Imp - Stores - 106</t>
  </si>
  <si>
    <t>C390.40-Struct and Imp - Shops - 106</t>
  </si>
  <si>
    <t>C390.60-Struct and Imp - Microwave - 106</t>
  </si>
  <si>
    <t>C391.10-Office Furniture - 106</t>
  </si>
  <si>
    <t>C391.20-Office Equipment - 106</t>
  </si>
  <si>
    <t>C391.30-Computer Equipment - 106</t>
  </si>
  <si>
    <t>C391.31-Personal Computers - 106</t>
  </si>
  <si>
    <t>C391.40-Security Equipment - 106</t>
  </si>
  <si>
    <t>C392.20-Trans Equip-Trailers  - 106</t>
  </si>
  <si>
    <t>C393.00-Stores Equipment - 106</t>
  </si>
  <si>
    <t>C394.00-Tools, Shop, Garage Equip - 106</t>
  </si>
  <si>
    <t>C397.00- Microwave, Fiber, Other - 106</t>
  </si>
  <si>
    <t>C397.10-Comm Eq Radios, Telephone - 106</t>
  </si>
  <si>
    <t>C398.00-Miscellaneous Equipment - 106</t>
  </si>
  <si>
    <t>C303.00-Misc Intang Plant-Software - 106</t>
  </si>
  <si>
    <t>C303.10-CCS Software - 106</t>
  </si>
  <si>
    <t>Total 106 Plant in Service - Common - KY</t>
  </si>
  <si>
    <t>INDIANA - TOTAL PLANT IN SERVICE - COMMON - NBV - REGULATORY ACCOUNTING</t>
  </si>
  <si>
    <t>Total Common - Indiana</t>
  </si>
  <si>
    <t>INDIANA - PLANT IN SERVICE - COMMON - REGULATORY ACCOUNTING</t>
  </si>
  <si>
    <t xml:space="preserve">101 Plant in Service </t>
  </si>
  <si>
    <t>Total 101 Plant in Service - Common - IN</t>
  </si>
  <si>
    <t>Total 106 Plant in Service - Common - IN</t>
  </si>
  <si>
    <t>Total Common Plant in Service - IN</t>
  </si>
  <si>
    <t>TOTAL COMPANY PLANT IN SERVICE - ELECTRIC - NBV -REGULATORY ACCOUNTING</t>
  </si>
  <si>
    <t>E370.01-AMS Meters</t>
  </si>
  <si>
    <t>E374.07-ARO Cost Elect Dist (Eqp)</t>
  </si>
  <si>
    <t>E392.10-Heavy Trucks and Other</t>
  </si>
  <si>
    <t>E353.20-Station Equip-Sys Control</t>
  </si>
  <si>
    <t>Total Electric Plant in Service</t>
  </si>
  <si>
    <t>TOTAL PLANT IN SERVICE - ELECTRIC - REGULATORY ACCOUNTING</t>
  </si>
  <si>
    <t>Total Electric Plant in Service - 101</t>
  </si>
  <si>
    <t>106 Construction Completed not Classified</t>
  </si>
  <si>
    <t>E370.01-Meters AMS</t>
  </si>
  <si>
    <t>Electric General</t>
  </si>
  <si>
    <t>E394.00-Tools, Shop and Garage Equip</t>
  </si>
  <si>
    <t>E335.00-Misc PowerPlant Equip</t>
  </si>
  <si>
    <t>E345.00-Accessory Electric Equip</t>
  </si>
  <si>
    <t>E346.00-Misc Power Plant Equip</t>
  </si>
  <si>
    <t>E311.01-AROP Structures and Improvements</t>
  </si>
  <si>
    <t>Transmission</t>
  </si>
  <si>
    <t>Total 106 Construction Completed not Classified</t>
  </si>
  <si>
    <t>TOTAL PLANT IN SERVICE</t>
  </si>
  <si>
    <t>KENTUCKY - TOTAL PLANT IN SERVICE - ELECTRIC - NBV - REGULATORY ACCOUNTING</t>
  </si>
  <si>
    <t>E353.20-Station Equip-Sys Control - 106</t>
  </si>
  <si>
    <t>Total Electric Plant in Service - KY</t>
  </si>
  <si>
    <t>KENTUCKY - PLANT IN SERVICE - ELECTRIC - REGULATORY ACCOUNTING</t>
  </si>
  <si>
    <t>E360.10-Land Rights - 101</t>
  </si>
  <si>
    <t>E360.20-Land - 101</t>
  </si>
  <si>
    <t>E361.00-Structures and Improvements - 101</t>
  </si>
  <si>
    <t>E362.00-Station Equipment - 101</t>
  </si>
  <si>
    <t>E364.00-Poles, Towers, and Fixtures - 101</t>
  </si>
  <si>
    <t>E365.00-OH Conductors and Devices - 101</t>
  </si>
  <si>
    <t>E366.00-Underground Conduit - 101</t>
  </si>
  <si>
    <t>E367.00-UG Conductors and Devices - 101</t>
  </si>
  <si>
    <t>E368.00-Line Transformers - 101</t>
  </si>
  <si>
    <t>E369.10-Underground Services - 101</t>
  </si>
  <si>
    <t>E369.20-Overhead Services - 101</t>
  </si>
  <si>
    <t>E370.00-Meters - 101</t>
  </si>
  <si>
    <t>E370.01-Meters AMS - 101</t>
  </si>
  <si>
    <t>E373.10-Overhead Street Lighting - 101</t>
  </si>
  <si>
    <t>E373.20-Underground Street Lighting - 101</t>
  </si>
  <si>
    <t>E373.40-Street Lighting Transformer - 101</t>
  </si>
  <si>
    <t>E374.05-ARO Cost Elec Dist (L/B) - 101</t>
  </si>
  <si>
    <t>E374.07-ARO Cost Elec Dist (Eqp) - 101</t>
  </si>
  <si>
    <t>E392.00-Cars and Light Trucks - 101</t>
  </si>
  <si>
    <t>E392.10-Heavy Trucks and Other - 101</t>
  </si>
  <si>
    <t>E392.20-Transportation  - Trailers - 101</t>
  </si>
  <si>
    <t>E394.00-Tools, Shop, and Garage Equ - 101</t>
  </si>
  <si>
    <t>E395.00-Laboratory Equipment - 101</t>
  </si>
  <si>
    <t>E396.10-Power Op Equip-Lg Mach - 101</t>
  </si>
  <si>
    <t>E396.20-Power Op  Equip-Other - 101</t>
  </si>
  <si>
    <t>E397.20-DSM Communication Equipment - 101</t>
  </si>
  <si>
    <t>E330.20-Land - 101</t>
  </si>
  <si>
    <t>E331.00-Structures and Improvements - 101</t>
  </si>
  <si>
    <t>E332.00-Reservoirs, Dams, and Water - 101</t>
  </si>
  <si>
    <t>E333.00-Water Wheels, Turbines, Gen - 101</t>
  </si>
  <si>
    <t>E334.00-Accessory Electric Equipmen - 101</t>
  </si>
  <si>
    <t>E335.00-Misc Power Plant Equipment - 101</t>
  </si>
  <si>
    <t>E336.00-Roads, Railroads, and Bridg - 101</t>
  </si>
  <si>
    <t>E337.07-ARO Cost Hydro Prod (Eqp) - 101</t>
  </si>
  <si>
    <t>E301.00-Organization - 101</t>
  </si>
  <si>
    <t>E302.00-Franchises and Consents - 101</t>
  </si>
  <si>
    <t>E340.20-Land - 101</t>
  </si>
  <si>
    <t>E341.00-Structures and Improvements - 101</t>
  </si>
  <si>
    <t>E342.00-Fuel Holders, Producers, Ac - 101</t>
  </si>
  <si>
    <t>E343.00-Prime Movers - 101</t>
  </si>
  <si>
    <t>E344.00-Generators - 101</t>
  </si>
  <si>
    <t>E345.00-Accessory Electric Equipmen - 101</t>
  </si>
  <si>
    <t>E346.00-Misc Power Plant Equipment - 101</t>
  </si>
  <si>
    <t>E347.05-ARO Cost Other Prod (L/B) - 101</t>
  </si>
  <si>
    <t>E347.07-ARO Cost Other Prod (Eqp) - 101</t>
  </si>
  <si>
    <t>E310.20-Land - 101</t>
  </si>
  <si>
    <t>E310.25-Land ECR 2005 - 101</t>
  </si>
  <si>
    <t>E310.26-Land ECR 2011 - 101</t>
  </si>
  <si>
    <t>E311.00-Structures and Improvements - 101</t>
  </si>
  <si>
    <t>E311.01-AROP Structures and Improv  - 101</t>
  </si>
  <si>
    <t>E312.00-Boiler Plant Equipment - 101</t>
  </si>
  <si>
    <t>E312.01-AROP Boiler Plant Equipment - 101</t>
  </si>
  <si>
    <t>E314.00-Turbogenerator Units - 101</t>
  </si>
  <si>
    <t>E315.00-Accessory Electric Equipmen - 101</t>
  </si>
  <si>
    <t>E315.01-AROP Accessory Elec Equip  - 101</t>
  </si>
  <si>
    <t>E316.00-Misc Power Plant Equip - 101</t>
  </si>
  <si>
    <t>E317.07-ARO Cost Steam (Eqp) - 101</t>
  </si>
  <si>
    <t>E317.08-ARO Cost Steam (CCR) - 101</t>
  </si>
  <si>
    <t>E350.10-Land Rights - 101</t>
  </si>
  <si>
    <t>E350.20-Land - 101</t>
  </si>
  <si>
    <t>E352.10-Struct &amp; Imp-Non Sys Contro - 101</t>
  </si>
  <si>
    <t>E353.10-Station Equipment - Non Sys - 101</t>
  </si>
  <si>
    <t>E353.11-AROP Station Equip Non Sys - 101</t>
  </si>
  <si>
    <t>E354.00-Towers and Fixtures - 101</t>
  </si>
  <si>
    <t>E355.00-Poles and Fixtures - 101</t>
  </si>
  <si>
    <t>E356.00-OH Conductors and Devices - 101</t>
  </si>
  <si>
    <t>E357.00-Underground Conduit - 101</t>
  </si>
  <si>
    <t>E358.00-UG Conductors and Devices - 101</t>
  </si>
  <si>
    <t>E359.15-ARO Cost Transm (L/B) - 101</t>
  </si>
  <si>
    <t>E359.17-ARO Cost Transm (Eqp) - 101</t>
  </si>
  <si>
    <t>Total 101 Electric Plant in Service - KY</t>
  </si>
  <si>
    <t>E361.00-Structures and Improvements - 106</t>
  </si>
  <si>
    <t>E362.00-Station Equipment - 106</t>
  </si>
  <si>
    <t>E364.00-Poles, Towers, and Fixtures - 106</t>
  </si>
  <si>
    <t>E365.00-OH Conductors and Devices - 106</t>
  </si>
  <si>
    <t>E366.00-Underground Conduit - 106</t>
  </si>
  <si>
    <t>E367.00-UG Conductors and Devices - 106</t>
  </si>
  <si>
    <t>E368.00-Line Transformers - 106</t>
  </si>
  <si>
    <t>E369.10-Underground Services - 106</t>
  </si>
  <si>
    <t>E370.00-Meters - 106</t>
  </si>
  <si>
    <t>E370.01-Meters AMS - 106</t>
  </si>
  <si>
    <t>E373.10-Overhead Street Lighting - 106</t>
  </si>
  <si>
    <t>E373.20-Underground Street Lighting - 106</t>
  </si>
  <si>
    <t>E392.20-Transportation  - Trailers - 106</t>
  </si>
  <si>
    <t>E394.00-Tools, Shop, and Garage Equ - 106</t>
  </si>
  <si>
    <t>E395.00-Laboratory Equipment - 106</t>
  </si>
  <si>
    <t>E396.20-Power Op  Equip-Other - 106</t>
  </si>
  <si>
    <t>E397.20-DSM Communication Equipment - 106</t>
  </si>
  <si>
    <t>E331.00-Structures and Improvements - 106</t>
  </si>
  <si>
    <t>E332.00-Reservoirs, Dams, and Water - 106</t>
  </si>
  <si>
    <t>E333.00-Water Wheels, Turbines, Gen - 106</t>
  </si>
  <si>
    <t>E334.00-Accessory Electric Equipmen - 106</t>
  </si>
  <si>
    <t>E335.00-Misc Power Plant Equipment - 106</t>
  </si>
  <si>
    <t>E341.00-Structures and Improvements - 106</t>
  </si>
  <si>
    <t>E342.00-Fuel Holders, Producers, Ac - 106</t>
  </si>
  <si>
    <t>E343.00-Prime Movers - 106</t>
  </si>
  <si>
    <t>E344.00-Generators - 106</t>
  </si>
  <si>
    <t>E345.00-Accessory Electric Equipmen - 106</t>
  </si>
  <si>
    <t>E346.00-Misc Power Plant Equipment - 106</t>
  </si>
  <si>
    <t>E311.00-Structures and Improvements - 106</t>
  </si>
  <si>
    <t>E311.01-AROP Structures and Improv  - 106</t>
  </si>
  <si>
    <t>E312.00-Boiler Plant Equipment - 106</t>
  </si>
  <si>
    <t>E314.00-Turbogenerator Units - 106</t>
  </si>
  <si>
    <t>E315.00-Accessory Electric Equipmen - 106</t>
  </si>
  <si>
    <t>E316.00-Misc Power Plant Equip - 106</t>
  </si>
  <si>
    <t>E350.20-Land - 106</t>
  </si>
  <si>
    <t>E352.10-Struct &amp; Imp-Non Sys Contro - 106</t>
  </si>
  <si>
    <t>E353.10-Station Equipment - Non Sys - 106</t>
  </si>
  <si>
    <t>E354.00-Towers and Fixtures - 106</t>
  </si>
  <si>
    <t>E355.00-Poles and Fixtures - 106</t>
  </si>
  <si>
    <t>E356.00-OH Conductors and Devices - 106</t>
  </si>
  <si>
    <t>Total Plant in Service - KY</t>
  </si>
  <si>
    <t>INDIANA - TOTAL PLANT IN SERVICE - ELECTRIC - NBV - REGULATORY ACCOUNTING</t>
  </si>
  <si>
    <t>Total Electric - Indiana</t>
  </si>
  <si>
    <t>INDIANA - PLANT IN SERVICE - ELECTRIC - REGULATORY ACCOUNTING</t>
  </si>
  <si>
    <t>Total 101 Plant in Service - Electric - IN</t>
  </si>
  <si>
    <t>Total 106 Plant in Service - Electric - IN</t>
  </si>
  <si>
    <t>TOTAL COMPANY PLANT IN SERVICE - GAS - NBV - REGULATORY ACCOUNTING</t>
  </si>
  <si>
    <t xml:space="preserve">G392.00-Cars and Light Trucks </t>
  </si>
  <si>
    <t>G392.10-Heavy Trucks and Other</t>
  </si>
  <si>
    <t>G396.10-Power Op Equip-Larg Mach</t>
  </si>
  <si>
    <t>G372.07-ARO Cost Gas Trans (Eqp)</t>
  </si>
  <si>
    <t>Total Gas Plant in Service</t>
  </si>
  <si>
    <t>TOTAL - PLANT IN SERVICE - GAS - REGULATORY ACCOUNTING</t>
  </si>
  <si>
    <t>G396.10-Power Op Equip-Lg Mach</t>
  </si>
  <si>
    <t>Total 101 Plant in Service - Gas</t>
  </si>
  <si>
    <t>G375.20-Oth Dist Structur</t>
  </si>
  <si>
    <t>G351.30-Compressor Station Structur</t>
  </si>
  <si>
    <t>Total 106 Const Completed not Classified - Gas</t>
  </si>
  <si>
    <t>Total Plant in Service - Gas</t>
  </si>
  <si>
    <t>KENTUCKY - TOTAL PLANT IN SERVICE - GAS - NBV - REGULATORY ACCOUNTING</t>
  </si>
  <si>
    <t>Total Gas Plant in Service - KY</t>
  </si>
  <si>
    <t>KENTUCKY - PLANT IN SERVICE - GAS - REGULATORY ACCOUNTING</t>
  </si>
  <si>
    <t>G374.12-Other Distribution Land - 101</t>
  </si>
  <si>
    <t>G374.22-Other Distribution Land Rig - 101</t>
  </si>
  <si>
    <t>G375.10-City Gate Check Station Str - 101</t>
  </si>
  <si>
    <t>G375.20-Other Distribution Structur - 101</t>
  </si>
  <si>
    <t>G376.00-Mains Distribution - 101</t>
  </si>
  <si>
    <t>G376.10-Mains Distribution - 101</t>
  </si>
  <si>
    <t>G378.00-Meas and Reg Station-Genera - 101</t>
  </si>
  <si>
    <t>G379.00-Meas &amp; Reg Station-City Gat - 101</t>
  </si>
  <si>
    <t>G380.00-Services - 101</t>
  </si>
  <si>
    <t>G380.10-Services - 101</t>
  </si>
  <si>
    <t>G381.00-Meters - 101</t>
  </si>
  <si>
    <t>G383.00-Regulators - 101</t>
  </si>
  <si>
    <t>G385.00-Industrial Measuring and Re - 101</t>
  </si>
  <si>
    <t>G387.00-Other Equipment - 101</t>
  </si>
  <si>
    <t>G388.05-ARO Cost Gas Dist (L/B) - 101</t>
  </si>
  <si>
    <t>G388.07-ARO Cost Gas Dist (Eqp) - 101</t>
  </si>
  <si>
    <t>G392.00-Cars and Light Trucks - 101</t>
  </si>
  <si>
    <t>G392.10-Heavy Trucks and Other - 101</t>
  </si>
  <si>
    <t>G392.20-Transportation Equip-Traile - 101</t>
  </si>
  <si>
    <t>G394.00-Tools, Shop, and Garage Equ - 101</t>
  </si>
  <si>
    <t>G395.00-Laboratory Equipment - 101</t>
  </si>
  <si>
    <t>G396.10-Power Op Equip-Lg Mach - 101</t>
  </si>
  <si>
    <t>G396.20-Power Op Equip - Other - 101</t>
  </si>
  <si>
    <t>G397.20-DSM Communication Equipment - 106</t>
  </si>
  <si>
    <t>G302.00-Franchises and Consents - 101</t>
  </si>
  <si>
    <t>G350.10-Land - 101</t>
  </si>
  <si>
    <t>G350.20-Land Rights - 101</t>
  </si>
  <si>
    <t>G351.20-Compressor Station Structur - 101</t>
  </si>
  <si>
    <t>G351.30-Measuring and Regulat Stat - 101</t>
  </si>
  <si>
    <t>G351.40-Other Structures - 101</t>
  </si>
  <si>
    <t>G352.10-Storage Leaseholds and Righ - 101</t>
  </si>
  <si>
    <t>G352.20-Reservoirs - 101</t>
  </si>
  <si>
    <t>G352.30-Nonrecoverable Natural Gas - 101</t>
  </si>
  <si>
    <t>G352.40-Well Drilling - 101</t>
  </si>
  <si>
    <t>G352.50-Well Equipment ARO - 101</t>
  </si>
  <si>
    <t>G352.55-Well Equipment - 101</t>
  </si>
  <si>
    <t>G353.00-Lines - 101</t>
  </si>
  <si>
    <t>G354.00-Compressor Station Equipmen - 101</t>
  </si>
  <si>
    <t>G355.00-Measuring and Regulat Equip - 101</t>
  </si>
  <si>
    <t>G356.00-Purification Equipment - 101</t>
  </si>
  <si>
    <t>G357.00-Other Equipment - 101</t>
  </si>
  <si>
    <t>G358.05-ARO Cost Gas UG Store (L/B) - 101</t>
  </si>
  <si>
    <t>G358.07-ARO Cost Gas UG Store (Eqp) - 101</t>
  </si>
  <si>
    <t>G365.20-Rights of Way - 101</t>
  </si>
  <si>
    <t>G367.00-Mains Transmission - 101</t>
  </si>
  <si>
    <t>G372.07-ARO Cost Gas Trans (Eqp) - 101</t>
  </si>
  <si>
    <t>Total 101 Plant in Service - Gas - KY</t>
  </si>
  <si>
    <t>G375.10-City Gate Check Station Str - 106</t>
  </si>
  <si>
    <t>G375.20-Other Distribution Structur - 106</t>
  </si>
  <si>
    <t>G376.00-Mains Distribution - 106</t>
  </si>
  <si>
    <t>G376.10-Mains Distribution - 106</t>
  </si>
  <si>
    <t>G378.00-Meas and Reg Station-Genera - 106</t>
  </si>
  <si>
    <t>G379.00-Meas &amp; Reg Station-City Gat - 106</t>
  </si>
  <si>
    <t>G380.00-Services - 106</t>
  </si>
  <si>
    <t>G380.10-Services - 106</t>
  </si>
  <si>
    <t>G381.00-Meters - 106</t>
  </si>
  <si>
    <t>G383.00-Regulators - 106</t>
  </si>
  <si>
    <t>G385.00-Industrial Measuring and Re - 106</t>
  </si>
  <si>
    <t>G387.00-Other Equipment - 106</t>
  </si>
  <si>
    <t>G392.10-Transportation Equip-Car/Tr - 106</t>
  </si>
  <si>
    <t>G392.20-Transportation Equip-Traile - 106</t>
  </si>
  <si>
    <t>G394.00-Tools, Shop, and Garage Equ - 106</t>
  </si>
  <si>
    <t>G395.00-Laboratory Equipment - 106</t>
  </si>
  <si>
    <t>G396.10-Power Op Equip-Hourly Rated - 106</t>
  </si>
  <si>
    <t>G396.20-Power Op Equip - Other - 106</t>
  </si>
  <si>
    <t>G351.20-Compressor Station Structur - 106</t>
  </si>
  <si>
    <t>G351.30-Measuring and Regulat Stat - 106</t>
  </si>
  <si>
    <t>G351.40-Other Structures - 106</t>
  </si>
  <si>
    <t>G352.40-Well Drilling - 106</t>
  </si>
  <si>
    <t>G352.50-Well Equipment ARO - 106</t>
  </si>
  <si>
    <t>G352.55-Well Equipment - 106</t>
  </si>
  <si>
    <t>G353.00-Lines - 106</t>
  </si>
  <si>
    <t>G354.00-Compressor Station Equipmen - 106</t>
  </si>
  <si>
    <t>G355.00-Measuring and Regulat Equip - 106</t>
  </si>
  <si>
    <t>G356.00-Purification Equipment - 106</t>
  </si>
  <si>
    <t>G357.00-Other Equipment - 106</t>
  </si>
  <si>
    <t>G367.00-Mains Transmission - 106</t>
  </si>
  <si>
    <t>Total 106 Const Completed not Classified - Gas - KY</t>
  </si>
  <si>
    <t>Total Plant in Service - Gas - KY</t>
  </si>
  <si>
    <t>INDIANA - TOTAL PLANT IN SERVICE - GAS - NBV - REGULATORY ACCOUNTING</t>
  </si>
  <si>
    <t>G352.50-Well Equipment-aro</t>
  </si>
  <si>
    <t>G354.00-Compressor Station Equip</t>
  </si>
  <si>
    <t>Total Gas - Indiana</t>
  </si>
  <si>
    <t>INDIANA - PLANT IN SERVICE - GAS - REGULATORY ACCOUNTING</t>
  </si>
  <si>
    <t>101 Plant In Service</t>
  </si>
  <si>
    <t>Total 101 Gas - Indiana</t>
  </si>
  <si>
    <t>Total 106 Gas - Indiana</t>
  </si>
  <si>
    <t>Total Plant in Service - Gas - IN</t>
  </si>
  <si>
    <t>KENTUCKY - GAS STORED NONRECOVERABLE - GAS - REGULATORY ACCOUNTING</t>
  </si>
  <si>
    <t>117 Gas Stored Nonrecoverable</t>
  </si>
  <si>
    <t>G117.00-Gas Stored UG Non-Current</t>
  </si>
  <si>
    <t>INDIANA - GAS STORED NONRECOVERABLE - GAS - REGULATORY ACCOUNTING</t>
  </si>
  <si>
    <t>PROPERTY UNDER CAPITAL LEASES - REGULATORY ACCOUNTING</t>
  </si>
  <si>
    <t>101101 Capital Leased Property</t>
  </si>
  <si>
    <t>E311.10-Capital Leased Property</t>
  </si>
  <si>
    <t>PLANT HELD FOR FUTURE USE - REGULATORY ACCOUNTING</t>
  </si>
  <si>
    <t>105001 - Plant Held for Future Use</t>
  </si>
  <si>
    <t>E360.25- Land Held for Future Use</t>
  </si>
  <si>
    <t>E362.05-Station Equip-For Future Us</t>
  </si>
  <si>
    <t>E340.20-Land Future Use</t>
  </si>
  <si>
    <t>E310.27-Land Future Use</t>
  </si>
  <si>
    <t>E311.05-Struc and Improv Future Use</t>
  </si>
  <si>
    <t>E315.00-Accessory Electric Equip</t>
  </si>
  <si>
    <t>105002 - Plant Held for Future Use</t>
  </si>
  <si>
    <t xml:space="preserve">Total Plant Held for Future Use </t>
  </si>
  <si>
    <t>NON UTILITY PROPERTY - REGULATORY ACCOUNTING</t>
  </si>
  <si>
    <t>121 Non Utility Property</t>
  </si>
  <si>
    <t>C121.01-Nonutility Prop - Coal Land</t>
  </si>
  <si>
    <t>C121.02-Nonutility-Coal Mineral Rts</t>
  </si>
  <si>
    <t xml:space="preserve">C121.03-Nonutility-Coal Rts of Way </t>
  </si>
  <si>
    <t>C121.04-Nonutility Prop - Misc Land</t>
  </si>
  <si>
    <t>C121.92-Nonutility Cars &amp; Trucks</t>
  </si>
  <si>
    <t>PLANT PURCHASED AND SOLD - REGULATORY ACCOUNTING</t>
  </si>
  <si>
    <t>102 Electric Plant Purch &amp; Sold</t>
  </si>
  <si>
    <t>RESERVE FOR DEPRECIATION AND AMORTIZATION OF ELECTRIC PLANT IN SERVICE - KENTUCKY - REGULATORY ACCOUNTING</t>
  </si>
  <si>
    <t>LGE-136020-Elect. Dist. Substation</t>
  </si>
  <si>
    <t>LGE-136025-Elect. Dist. Substation</t>
  </si>
  <si>
    <t>LGE-136100-Electric Distribution Su</t>
  </si>
  <si>
    <t>LGE-136200- KY Elect Dist Substati</t>
  </si>
  <si>
    <t>LGE-136205-Elect. Dist. Substation</t>
  </si>
  <si>
    <t>LGE-136400-Electric Distribution -</t>
  </si>
  <si>
    <t>LGE-136500-Electric Distribution -</t>
  </si>
  <si>
    <t>LGE-136600-Electric Distribution -</t>
  </si>
  <si>
    <t>LGE-136700-Electric Distribution -</t>
  </si>
  <si>
    <t>LGE-136800-Line Transformers</t>
  </si>
  <si>
    <t>LGE-136910-Electric Distribution -</t>
  </si>
  <si>
    <t>LGE-136920-Electric Distribution -</t>
  </si>
  <si>
    <t>LGE-137000-Meters</t>
  </si>
  <si>
    <t>LGE-137001- AMS Meters</t>
  </si>
  <si>
    <t>LGE-137101 KY Install Charging Sta</t>
  </si>
  <si>
    <t>LGE-137310-Electric Distribution -</t>
  </si>
  <si>
    <t>LGE-137320-Electric Distribution -</t>
  </si>
  <si>
    <t>LGE-137340-Electric Dist. - Street</t>
  </si>
  <si>
    <t>LGE-137405-ARO Cost Elec Dist (L/B)</t>
  </si>
  <si>
    <t>LGE-137407-ARO Cost Elec Dist (Eqp)</t>
  </si>
  <si>
    <t>LGE-139200 - Cars and Light Trucks</t>
  </si>
  <si>
    <t>LGE-139210 - Heavy Trucks and Other</t>
  </si>
  <si>
    <t>LGE-139220-Transportation  - Traile</t>
  </si>
  <si>
    <t>LGE-139400-Tools, Shop, and Garage</t>
  </si>
  <si>
    <t>LGE-139500-Laboratory Equipment</t>
  </si>
  <si>
    <t>LGE-139610-Power Op Equip-Lg Mach</t>
  </si>
  <si>
    <t>LGE-139620-Power Op  Equip-Other</t>
  </si>
  <si>
    <t>LGE-139720- DSM Equipment</t>
  </si>
  <si>
    <t>LGE-133020-Ohio Falls Non-Project</t>
  </si>
  <si>
    <t>LGE-133020-Ohio Falls Project 289</t>
  </si>
  <si>
    <t>LGE-133100-Ohio Falls Non-Project</t>
  </si>
  <si>
    <t>LGE-133100-Ohio Falls Project 289</t>
  </si>
  <si>
    <t>LGE-133200-Ohio Falls Project 289</t>
  </si>
  <si>
    <t>LGE-133300-Ohio Falls Project 289</t>
  </si>
  <si>
    <t>LGE-133400-Ohio Falls Project 289</t>
  </si>
  <si>
    <t>LGE-133500-Ohio Falls Non-Project</t>
  </si>
  <si>
    <t>LGE-133500-Ohio Falls Project 289</t>
  </si>
  <si>
    <t>LGE-133600-Ohio Falls Non-Project</t>
  </si>
  <si>
    <t>LGE-133600-Ohio Falls Project 289</t>
  </si>
  <si>
    <t>LGE-133707-ARO Cost Hydro Prod (Eqp</t>
  </si>
  <si>
    <t>LGE-134020-TC 5 CT Land</t>
  </si>
  <si>
    <t>LGE-134020-EWB Solar Facility Land</t>
  </si>
  <si>
    <t>LGE-134020 - TC 10 - Land</t>
  </si>
  <si>
    <t>LGE-134100-Cane Run 11- Structures</t>
  </si>
  <si>
    <t>LGE-134100-Cane Run 7 Structures</t>
  </si>
  <si>
    <t>LGE-134100-EWB 5 Structures and Imp</t>
  </si>
  <si>
    <t>LGE-134100-EWB 6 Structures and Imp</t>
  </si>
  <si>
    <t>LGE-134100-EWB 7 Structures and Imp</t>
  </si>
  <si>
    <t>LGE-134100-EWB Solar Struc and Imp</t>
  </si>
  <si>
    <t>LGE-134100-Paddys GT - 12 Structure</t>
  </si>
  <si>
    <t>LGE-134100-PR 13 Structures and Imp</t>
  </si>
  <si>
    <t>LGE-134100-TC 10 Structures and Imp</t>
  </si>
  <si>
    <t>LGE-134100-TC 5 Structures and Impr</t>
  </si>
  <si>
    <t>LGE-134100-TC 6 Structures and Impr</t>
  </si>
  <si>
    <t>LGE-134100-TC 7 Structures and Impr</t>
  </si>
  <si>
    <t>LGE-134100-TC 8 Structures and Impr</t>
  </si>
  <si>
    <t>LGE-134100-TC9 Structures and Impro</t>
  </si>
  <si>
    <t>LGE-134100-Waterside - Structures &amp;</t>
  </si>
  <si>
    <t>LGE-134100-Zorn - Structurses &amp; Imp</t>
  </si>
  <si>
    <t>LGE-134100-Structures and Imp</t>
  </si>
  <si>
    <t>LGE-134200-Cane Run 11-Fuel Holder</t>
  </si>
  <si>
    <t>LGE-134200-Cane Run 7 Fuel Holders</t>
  </si>
  <si>
    <t>LGE-134200-Cane Run PIPELINE FUEL</t>
  </si>
  <si>
    <t>LGE-134200-EWB 5 Fuel Holders, Prod</t>
  </si>
  <si>
    <t>LGE-134200-EWB 6 Fuel Holders, Prod</t>
  </si>
  <si>
    <t>LGE-134200-EWB 7 Fuel Holders, Prod</t>
  </si>
  <si>
    <t>LGE-134200-Paddys GT - 11 Fuel Hold</t>
  </si>
  <si>
    <t>LGE-134200-Paddys GT - 12 Fuel Hold</t>
  </si>
  <si>
    <t>LGE-134200-PR 13 Fuel Holders, Prod</t>
  </si>
  <si>
    <t>LGE-134200-TC 10 Fuel Holders, Prod</t>
  </si>
  <si>
    <t>LGE-134200-TC 5 Fuel Holders, Produ</t>
  </si>
  <si>
    <t>LGE-134200-TC 6 Fuel Holders, Produ</t>
  </si>
  <si>
    <t>LGE-134200-TC 7 Fuel Holders, Produ</t>
  </si>
  <si>
    <t>LGE-134200-TC 8 Fuel Holders, Produ</t>
  </si>
  <si>
    <t>LGE-134200-TC 9 Fuel Holders, Produ</t>
  </si>
  <si>
    <t>LGE-134200-TRIMBLE CT PIPELINE FUEL</t>
  </si>
  <si>
    <t>LGE-134200-Waterside - Fuel Holders</t>
  </si>
  <si>
    <t>LGE-134200-Zorn - Fuel Holders, Pro</t>
  </si>
  <si>
    <t>LGE-134200-Fuel Holders, Prod</t>
  </si>
  <si>
    <t>LGE-134300-Cane Run 7 Prime Mover</t>
  </si>
  <si>
    <t>LGE-134300-EWB 5 Prime Movers</t>
  </si>
  <si>
    <t>LGE-134300-EWB 6 Prime Movers</t>
  </si>
  <si>
    <t>LGE-134300-EWB 7 Prime Movers</t>
  </si>
  <si>
    <t>LGE-134300-PR 13 Prime Movers</t>
  </si>
  <si>
    <t>LGE-134300-TC 10 Prime Movers</t>
  </si>
  <si>
    <t>LGE-134300-TC 5 Prime Movers</t>
  </si>
  <si>
    <t>LGE-134300-TC 6 Prime Movers</t>
  </si>
  <si>
    <t>LGE-134300-TC 7 Prime Movers</t>
  </si>
  <si>
    <t>LGE-134300-TC 8 Prime Movers</t>
  </si>
  <si>
    <t>LGE-134300-TC 9 Prime Movers</t>
  </si>
  <si>
    <t>LGE-134300-Waterside - Prime Movers</t>
  </si>
  <si>
    <t>LGE-134300-Prime Movers</t>
  </si>
  <si>
    <t>LGE-134400-Cane Run 11- Generators</t>
  </si>
  <si>
    <t>LGE-134400-Cane Run 7- Generators</t>
  </si>
  <si>
    <t>LGE-134400-EWB 5 Generators</t>
  </si>
  <si>
    <t>LGE-134400-EWB 6 Generators</t>
  </si>
  <si>
    <t>LGE-134400-EWB 7 Generators</t>
  </si>
  <si>
    <t>LGE-134400-EWB Solar Generators</t>
  </si>
  <si>
    <t>LGE-134400-Paddys GT - 11 Generator</t>
  </si>
  <si>
    <t>LGE-134400-Paddys GT - 12 Generator</t>
  </si>
  <si>
    <t>LGE-134400-PR 13 Generators</t>
  </si>
  <si>
    <t>LGE-134400-TC 10 Generators</t>
  </si>
  <si>
    <t>LGE-134400-TC 5 Generators</t>
  </si>
  <si>
    <t>LGE-134400-TC 6 Generators</t>
  </si>
  <si>
    <t>LGE-134400-TC 7 Generators</t>
  </si>
  <si>
    <t>LGE-134400-TC 8 Generators</t>
  </si>
  <si>
    <t>LGE-134400-TC 9 Generators</t>
  </si>
  <si>
    <t>LGE-134400-Waterside - Generators</t>
  </si>
  <si>
    <t>LGE-134400-Zorn - Generators</t>
  </si>
  <si>
    <t>LGE-134400-Generators</t>
  </si>
  <si>
    <t>LGE-134500-Cane Run 11- Accessory</t>
  </si>
  <si>
    <t>LGE-134500-Cane Run 7- Accessory</t>
  </si>
  <si>
    <t>LGE-134500-EWB 5 Accessory Electric</t>
  </si>
  <si>
    <t>LGE-134500-EWB 6 Acessory Electric</t>
  </si>
  <si>
    <t>LGE-134500-EWB 7 Acessory Electric</t>
  </si>
  <si>
    <t>LGE-134500-EWB Solar Acessory Elec</t>
  </si>
  <si>
    <t>LGE-134500-Paddys GT - 11 Accessory</t>
  </si>
  <si>
    <t>LGE-134500-Paddys GT - 12 Accessory</t>
  </si>
  <si>
    <t>LGE-134500-PR 13 Accessory Electric</t>
  </si>
  <si>
    <t>LGE-134500-TC 10 Accessory Electric</t>
  </si>
  <si>
    <t>LGE-134500-TC 5 Accessory Electric</t>
  </si>
  <si>
    <t>LGE-134500-TC 6 Accessory Electric</t>
  </si>
  <si>
    <t>LGE-134500-TC 7 Accessory Electric</t>
  </si>
  <si>
    <t>LGE-134500-TC 8 Accessory Electric</t>
  </si>
  <si>
    <t>LGE-134500-TC 9 Acessory Electric E</t>
  </si>
  <si>
    <t>LGE-134500-Waterside - Accessory El</t>
  </si>
  <si>
    <t>LGE-134500-Zorn - Accessory Electri</t>
  </si>
  <si>
    <t>LGE-134500-Accessory Electric</t>
  </si>
  <si>
    <t>LGE-134600-Cane Run 7- Misc Power</t>
  </si>
  <si>
    <t>LGE-134600-EWB 5 Misc Power Plant E</t>
  </si>
  <si>
    <t>LGE-134600-EWB 6 Misc Power Plant E</t>
  </si>
  <si>
    <t>LGE-134600-EWB 7 Misc Power Plant E</t>
  </si>
  <si>
    <t>LGE-134600-EWB Solar Misc Pwr Plt</t>
  </si>
  <si>
    <t>LGE-134600-Paddys GT - 11 Misc. Pow</t>
  </si>
  <si>
    <t>LGE-134600-Paddys GT - 12 mIsc. Pow</t>
  </si>
  <si>
    <t>LGE-134600-PR 13 Misc Power Plant E</t>
  </si>
  <si>
    <t>LGE-134600-TC 10 Misc. Power Plant</t>
  </si>
  <si>
    <t>LGE-134600-TC 5 Misc. Power Plant E</t>
  </si>
  <si>
    <t>LGE-134600-TC 7 Misc. Power Plant E</t>
  </si>
  <si>
    <t>LGE-134600-TC 8 Misc. Power Plant E</t>
  </si>
  <si>
    <t>LGE-134600-TC 9 Misc. Power Plant E</t>
  </si>
  <si>
    <t>LGE-134600-Waterside - Misc. Power</t>
  </si>
  <si>
    <t>LGE-134600-Zorn - Misc. Power Plant</t>
  </si>
  <si>
    <t>LGE-134600-Misc. Power Plant</t>
  </si>
  <si>
    <t>LGE-134705-ARO Cost Other Prod (L/B</t>
  </si>
  <si>
    <t>LGE-134707-ARO Cost Other Prod (Eqp</t>
  </si>
  <si>
    <t>LGE-131020-Steam-Land</t>
  </si>
  <si>
    <t>LGE-131025-Steam-Land ECR 2005</t>
  </si>
  <si>
    <t>LGE-131020-Steam Production - Land</t>
  </si>
  <si>
    <t>LGE-131100-Cane Run Unit 1 Structur</t>
  </si>
  <si>
    <t>LGE-131100-Cane Run Unit 2 Structur</t>
  </si>
  <si>
    <t>LGE-131100-Cane Run Unit 3 Structur</t>
  </si>
  <si>
    <t>LGE-131100-Cane Run Unit 4 SO2-Stru</t>
  </si>
  <si>
    <t>LGE-131100-Cane Run Unit 4 Structur</t>
  </si>
  <si>
    <t>LGE-131100-Cane Run Unit 5 SO2-Stru</t>
  </si>
  <si>
    <t>LGE-131100-Cane Run Unit 5 Structur</t>
  </si>
  <si>
    <t>LGE-131100-Cane Run Unit 6 SO2-Stru</t>
  </si>
  <si>
    <t>LGE-131100-CR Unit 6 Struc</t>
  </si>
  <si>
    <t>LGE-131100-CR Unit 6 Struc ECR 2005</t>
  </si>
  <si>
    <t>LGE-131100-Distribution Dr ECR 2011</t>
  </si>
  <si>
    <t>LGE-131100-Distribution Drive</t>
  </si>
  <si>
    <t>LGE-131100-MC Unit 1 Struc ECR 2011</t>
  </si>
  <si>
    <t>LGE-131100-MC Unit 2 SO2 ECR 2011</t>
  </si>
  <si>
    <t>LGE-131100-MC Unit 2 Struc ECR 2011</t>
  </si>
  <si>
    <t>LGE-131100-MC Unit 4 Struc</t>
  </si>
  <si>
    <t>LGE-131100-MC Unit 4 Struc ECR 2005</t>
  </si>
  <si>
    <t>LGE-131100-MC Unit 4 Struc ECR 2011</t>
  </si>
  <si>
    <t>LGE-131100-Mill Creek 3 ECR 2011</t>
  </si>
  <si>
    <t>LGE-131100-Mill Creek Unit 1 SO2-St</t>
  </si>
  <si>
    <t>LGE-131100-Mill Creek Unit 1 Struct</t>
  </si>
  <si>
    <t>LGE-131100-Mill Creek Unit 2 SO2-St</t>
  </si>
  <si>
    <t>LGE-131100-Mill Creek Unit 2 Struct</t>
  </si>
  <si>
    <t>LGE-131100-Mill Creek Unit 3 SO2-St</t>
  </si>
  <si>
    <t>LGE-131100-Mill Creek Unit 3 Struct</t>
  </si>
  <si>
    <t>LGE-131100-Mill Creek Unit 4 SO2-St</t>
  </si>
  <si>
    <t>LGE-131100-Mill Creek3 SO2 ECR 2011</t>
  </si>
  <si>
    <t>LGE-131100-Mill Creek4 SO2 ECR 2011</t>
  </si>
  <si>
    <t>LGE-131100-TC 1 Future Use - 105</t>
  </si>
  <si>
    <t>LGE-131100-TC Unit 1 Struc</t>
  </si>
  <si>
    <t>LGE-131100-TC Unit 1 Struc ECR 2006</t>
  </si>
  <si>
    <t>LGE-131100-TC Unit 2 Struc</t>
  </si>
  <si>
    <t>LGE-131100-TC Unit 2 Struc ECR 2006</t>
  </si>
  <si>
    <t>LGE-131100-TC Unit 2 Struc ECR 2009</t>
  </si>
  <si>
    <t>LGE-131100-Trimble Unit 1 SO2-Struc</t>
  </si>
  <si>
    <t>LGE-131100-Trimble Unit 2 FGD-Struc</t>
  </si>
  <si>
    <t>LGE-131100-Structures &amp; Imp</t>
  </si>
  <si>
    <t>LGE-131101-AROP CR 1 Struct &amp; Impr</t>
  </si>
  <si>
    <t>LGE-131101-AROP CR 6 Struc ECR 2005</t>
  </si>
  <si>
    <t>LGE-131101-AROP CR 6 Struct &amp; Impr</t>
  </si>
  <si>
    <t>LGE-131101-AROP MC 1 Struct &amp; Impr</t>
  </si>
  <si>
    <t>LGE-131101-AROP MC 3 Struct &amp; Impr</t>
  </si>
  <si>
    <t>LGE-131101-AROP MC 4 Struct &amp; Impr</t>
  </si>
  <si>
    <t>LGE-131101-AROP TC 1 Struct &amp; Impr</t>
  </si>
  <si>
    <t>LGE-131101-AROP TC 2 Struc ECR 2009</t>
  </si>
  <si>
    <t>LGE-131101-AROP Struct &amp; Impr</t>
  </si>
  <si>
    <t>LGE-131105-Dist Drive - Future Use</t>
  </si>
  <si>
    <t>LGE-131110-CR 6 Capital Leased Equi</t>
  </si>
  <si>
    <t>LGE-131110-MC 4 Capital Leased Equi</t>
  </si>
  <si>
    <t>LGE-131110-CAPITAL LEASED EQUIP</t>
  </si>
  <si>
    <t>LGE-131200-Cane Run Locomotives - B</t>
  </si>
  <si>
    <t>LGE-131200-Cane Run Rail Cars - Boi</t>
  </si>
  <si>
    <t>LGE-131200-Cane Run Unit 1 Boiler P</t>
  </si>
  <si>
    <t>LGE-131200-Cane Run Unit 2 Boiler P</t>
  </si>
  <si>
    <t>LGE-131200-Cane Run Unit 3 Boiler P</t>
  </si>
  <si>
    <t>LGE-131200-Cane Run Unit 4 SO2 Boil</t>
  </si>
  <si>
    <t>LGE-131200-Cane Run Unit 5 SO2 Boil</t>
  </si>
  <si>
    <t>LGE-131200-CR Unit 4 Boil</t>
  </si>
  <si>
    <t>LGE-131200-CR Unit 4 Boil ECR 2006</t>
  </si>
  <si>
    <t>LGE-131200-CR Unit 5 Boil</t>
  </si>
  <si>
    <t>LGE-131200-CR Unit 5 Boil ECR 2006</t>
  </si>
  <si>
    <t>LGE-131200-CR Unit 6 Boil</t>
  </si>
  <si>
    <t>LGE-131200-CR Unit 6 Boil ECR 2006</t>
  </si>
  <si>
    <t>LGE-131200-CR6 SO2 Boil</t>
  </si>
  <si>
    <t>LGE-131200-CR6 SO2 Boil ECR 2005</t>
  </si>
  <si>
    <t>LGE-131200-MC Offsite Rail Cars</t>
  </si>
  <si>
    <t>LGE-131200-MC Unit 1 Boil</t>
  </si>
  <si>
    <t>LGE-131200-MC Unit 1 Boil ECR 2006</t>
  </si>
  <si>
    <t>LGE-131200-MC Unit 1 Boil ECR 2011</t>
  </si>
  <si>
    <t>LGE-131200-MC Unit 2 Boil</t>
  </si>
  <si>
    <t>LGE-131200-MC Unit 2 Boil ECR 2006</t>
  </si>
  <si>
    <t>LGE-131200-MC Unit 2 Boil ECR 2011</t>
  </si>
  <si>
    <t>LGE-131200-MC Unit 2 SO2 ECR 2011</t>
  </si>
  <si>
    <t>LGE-131200-MC Unit 3 Boil</t>
  </si>
  <si>
    <t>LGE-131200-MC Unit 3 Boil ECR 2006</t>
  </si>
  <si>
    <t>LGE-131200-MC Unit 3 Boil ECR 2011</t>
  </si>
  <si>
    <t>LGE-131200-MC Unit 3 SO2 ECR 2011</t>
  </si>
  <si>
    <t>LGE-131200-MC Unit 3 SO2 ECR 2016</t>
  </si>
  <si>
    <t>LGE-131200-MC Unit 4 Boil</t>
  </si>
  <si>
    <t>LGE-131200-MC Unit 4 Boil ECR 2005</t>
  </si>
  <si>
    <t>LGE-131200-MC Unit 4 Boil ECR 2006</t>
  </si>
  <si>
    <t>LGE-131200-MC Unit 4 Boil ECR 2011</t>
  </si>
  <si>
    <t>LGE-131200-MC4 SO2 Boil</t>
  </si>
  <si>
    <t>LGE-131200-MC4 SO2 Boil ECR 2005</t>
  </si>
  <si>
    <t>LGE-131200-MC4 SO2 Boil ECR 2011</t>
  </si>
  <si>
    <t>LGE-131200-Mill Creek Locomotives B</t>
  </si>
  <si>
    <t>LGE-131200-Mill Creek Rail Cars Boi</t>
  </si>
  <si>
    <t>LGE-131200-Mill Creek Unit 1 SO2 Bo</t>
  </si>
  <si>
    <t>LGE-131200-Mill Creek Unit 2 SO2 Bo</t>
  </si>
  <si>
    <t>LGE-131200-Mill Creek Unit 3 SO2 Bo</t>
  </si>
  <si>
    <t>LGE-131200-TC 1 Future Use - 105</t>
  </si>
  <si>
    <t>LGE-131200-TC 2 FGD Boil</t>
  </si>
  <si>
    <t>LGE-131200-TC 2 FGD Boil ECR 2006</t>
  </si>
  <si>
    <t>LGE-131200-TC Unit 1 Boil</t>
  </si>
  <si>
    <t>LGE-131200-TC Unit 1 Boil ECR 2006</t>
  </si>
  <si>
    <t>LGE-131200-TC Unit 1 Boil ECR 2011</t>
  </si>
  <si>
    <t>LGE-131200-TC Unit 2 Boil</t>
  </si>
  <si>
    <t>LGE-131200-TC Unit 2 Boil ECR 2006</t>
  </si>
  <si>
    <t>LGE-131200-TC Unit 2 Boil ECR 2009</t>
  </si>
  <si>
    <t>LGE-131200-TC1 SO2 Boil</t>
  </si>
  <si>
    <t>LGE-131200-TC1 SO2 Boil ECR 2005</t>
  </si>
  <si>
    <t>LGE-131200-Boiler</t>
  </si>
  <si>
    <t>LGE-131201-AROP MC3 Boiler Plt Equp</t>
  </si>
  <si>
    <t>LGE-131201-AROP MC4 SO2 Boiler Plt</t>
  </si>
  <si>
    <t>LGE-131201-AROP Boiler Plt</t>
  </si>
  <si>
    <t>LGE-131400-Cane Run Unit 1 Turbogen</t>
  </si>
  <si>
    <t>LGE-131400-Cane Run Unit 2 Turbogen</t>
  </si>
  <si>
    <t>LGE-131400-Cane Run Unit 3 Turbogen</t>
  </si>
  <si>
    <t>LGE-131400-Cane Run Unit 4 Turbogen</t>
  </si>
  <si>
    <t>LGE-131400-Cane Run Unit 5 Turbogen</t>
  </si>
  <si>
    <t>LGE-131400-Cane Run Unit 6 Turbogen</t>
  </si>
  <si>
    <t>LGE-131400-Mill Creek Unit 1Turboge</t>
  </si>
  <si>
    <t>LGE-131400-Mill Creek Unit 2 Turbog</t>
  </si>
  <si>
    <t>LGE-131400-Mill Creek Unit 3 Turbog</t>
  </si>
  <si>
    <t>LGE-131400-Mill Creek Unit 4 Turbog</t>
  </si>
  <si>
    <t>LGE-131400-TC 1 Future Use - 105</t>
  </si>
  <si>
    <t>LGE-131400-Trimble Unit 1 Turbogene</t>
  </si>
  <si>
    <t>LGE-131400-Trimble Unit 2 Turbogene</t>
  </si>
  <si>
    <t>LGE-131400-Turbogenerators</t>
  </si>
  <si>
    <t>LGE-131500-Cane Run Unit 1 Accessor</t>
  </si>
  <si>
    <t>LGE-131500-Cane Run Unit 2 Accessor</t>
  </si>
  <si>
    <t>LGE-131500-Cane Run Unit 3 Acessory</t>
  </si>
  <si>
    <t>LGE-131500-Cane Run Unit 4 Accessor</t>
  </si>
  <si>
    <t>LGE-131500-Cane Run Unit 4 SO2 Acce</t>
  </si>
  <si>
    <t>LGE-131500-Cane Run Unit 5 Acccesso</t>
  </si>
  <si>
    <t>LGE-131500-Cane Run Unit 5 SO2 Acce</t>
  </si>
  <si>
    <t>LGE-131500-Cane Run Unit 6 Accessor</t>
  </si>
  <si>
    <t>LGE-131500-Cane Run Unit 6 SO2 Acce</t>
  </si>
  <si>
    <t>LGE-131500-MC Unit 1 Acc ECR 2011</t>
  </si>
  <si>
    <t>LGE-131500-MC Unit 2 Acc ECR 2011</t>
  </si>
  <si>
    <t>LGE-131500-MC Unit 3 Acc ECR 2011</t>
  </si>
  <si>
    <t>LGE-131500-Mill Creek 4 ECR 2011</t>
  </si>
  <si>
    <t>LGE-131500-Mill Creek Unit 1 Access</t>
  </si>
  <si>
    <t>LGE-131500-Mill Creek Unit 1 SO2 Ac</t>
  </si>
  <si>
    <t>LGE-131500-Mill Creek Unit 2 Access</t>
  </si>
  <si>
    <t>LGE-131500-Mill Creek Unit 2 SO2 Ac</t>
  </si>
  <si>
    <t>LGE-131500-Mill Creek Unit 3 Access</t>
  </si>
  <si>
    <t>LGE-131500-Mill Creek Unit 3 SO2 Ac</t>
  </si>
  <si>
    <t>LGE-131500-Mill Creek Unit 4 Access</t>
  </si>
  <si>
    <t>LGE-131500-Mill Creek Unit 4 SO2 Ac</t>
  </si>
  <si>
    <t>LGE-131500-Mill Crk #3 SO2 ECR 2011</t>
  </si>
  <si>
    <t>LGE-131500-Mill Crk #4 SO2 ECR 2011</t>
  </si>
  <si>
    <t>LGE-131500-TC 1 Future Use - 105</t>
  </si>
  <si>
    <t>LGE-131500-TC Unit 2 Acce</t>
  </si>
  <si>
    <t>LGE-131500-TC Unit 2 Acce ECR 2006</t>
  </si>
  <si>
    <t>LGE-131500-TC Unit 2 Acce ECR 2009</t>
  </si>
  <si>
    <t>LGE-131500-Trimble 1 Acc ECR 2011</t>
  </si>
  <si>
    <t>LGE-131500-Trimble Unit 1 Accessory</t>
  </si>
  <si>
    <t>LGE-131500-Trimble Unit 1 SO2 Acces</t>
  </si>
  <si>
    <t>LGE-131500-Accessory</t>
  </si>
  <si>
    <t>LGE-131501-AROP Cane Run 4 Acc</t>
  </si>
  <si>
    <t>LGE-131501-AROP Cane Run 5 Acc</t>
  </si>
  <si>
    <t>LGE-131501-AROP Cane Run 6 Acc</t>
  </si>
  <si>
    <t>LGE-131501-AROP Mill Creek 1 Acc</t>
  </si>
  <si>
    <t>LGE-131501-AROP Mill Creek 2 Acc</t>
  </si>
  <si>
    <t>LGE-131501-AROP Mill Creek 3 Acc</t>
  </si>
  <si>
    <t>LGE-131501-AROP Mill Creek 4 Acc</t>
  </si>
  <si>
    <t>LGE-131501-AROP Trimble Unit 1 Acc</t>
  </si>
  <si>
    <t>LGE-131501-AROP Accessory</t>
  </si>
  <si>
    <t>LGE-131600-Cane Run Unit 1 Misc. Po</t>
  </si>
  <si>
    <t>LGE-131600-Cane Run Unit 3 Misc. Po</t>
  </si>
  <si>
    <t>LGE-131600-Cane Run Unit 4 Misc. Po</t>
  </si>
  <si>
    <t>LGE-131600-Cane Run Unit 4 SO2 Misc</t>
  </si>
  <si>
    <t>LGE-131600-Cane Run Unit 5 Misc. Po</t>
  </si>
  <si>
    <t>LGE-131600-Cane Run Unit 5 SO2 Misc</t>
  </si>
  <si>
    <t>LGE-131600-Cane Run Unit 6 Misc. Po</t>
  </si>
  <si>
    <t>LGE-131600-Cane Run Unit 6 SO2 Misc</t>
  </si>
  <si>
    <t>LGE-131600-Distribution Dr ECR 2011</t>
  </si>
  <si>
    <t>LGE-131600-Distribution Drive</t>
  </si>
  <si>
    <t>LGE-131600-MC Unit 1 Misc ECR 2011</t>
  </si>
  <si>
    <t>LGE-131600-MC Unit 2 Misc ECR 2011</t>
  </si>
  <si>
    <t>LGE-131600-Mill Creek #4 ECR 2011</t>
  </si>
  <si>
    <t>LGE-131600-Mill Creek Unit 1 Misc P</t>
  </si>
  <si>
    <t>LGE-131600-Mill Creek Unit 2 Misc.</t>
  </si>
  <si>
    <t>LGE-131600-Mill Creek Unit 3 Misc.</t>
  </si>
  <si>
    <t>LGE-131600-Mill Creek Unit 4 Misc.</t>
  </si>
  <si>
    <t>LGE-131600-Mill Creek Unit 4 SO2 Mi</t>
  </si>
  <si>
    <t>LGE-131600-Trimble Unit 1 Misc. Pow</t>
  </si>
  <si>
    <t>LGE-131600-Trimble Unit 2 Misc. Pow</t>
  </si>
  <si>
    <t>LGE-131600-Misc. Power Plant</t>
  </si>
  <si>
    <t>LGE-131707-ARO Cost Steam (Eqp)</t>
  </si>
  <si>
    <t>LGE-131708-ARO Cost Steam (CCR)</t>
  </si>
  <si>
    <t>LGE-135010- KY Elec Transmission -</t>
  </si>
  <si>
    <t>LGE-135020-KY Electric  Trans</t>
  </si>
  <si>
    <t>LGE-135210- KY Elec Transmission -</t>
  </si>
  <si>
    <t>LGE-135210-TC Sw. Station - Substat</t>
  </si>
  <si>
    <t>LGE-135210-TC Unit 1 - Trans. - Sub</t>
  </si>
  <si>
    <t>LGE-135220-Struct &amp; Improve-System</t>
  </si>
  <si>
    <t>LGE-135310- KY Elec Transmission -</t>
  </si>
  <si>
    <t>LGE-135310-TC Sw. Station - Substat</t>
  </si>
  <si>
    <t>LGE-135310-TC Unit 1 - Trans. - Sub</t>
  </si>
  <si>
    <t>LGE-135311-AROP Station Equip</t>
  </si>
  <si>
    <t>LGE-135311-AROP TC1 Station Equip</t>
  </si>
  <si>
    <t>LGE-135320-Station Equip System</t>
  </si>
  <si>
    <t>LGE-135400- KY Elec Transmission -</t>
  </si>
  <si>
    <t>LGE-135500- KY Elec Transmission -</t>
  </si>
  <si>
    <t>LGE-135600- KY Elec Transmission -</t>
  </si>
  <si>
    <t>LGE-135700-Electric Transmission -</t>
  </si>
  <si>
    <t>LGE-135800-Electric Transmission -</t>
  </si>
  <si>
    <t>LGE-135915-ARO Cost Transm (L/B)</t>
  </si>
  <si>
    <t>LGE-135917-ARO Cost Transm (Eqp)</t>
  </si>
  <si>
    <t>Total Electric Depreciation Reserves</t>
  </si>
  <si>
    <t>LGE-130100-Elect. Intagible Plant -</t>
  </si>
  <si>
    <t>LGE-130200-Franchises and Consents</t>
  </si>
  <si>
    <t>Total Electric Amortization Reserves</t>
  </si>
  <si>
    <t>LGE-237412-Gas Distribution Land</t>
  </si>
  <si>
    <t>LGE-237422-Gas Distribution Land Ri</t>
  </si>
  <si>
    <t>LGE-237510-Gas Distribution - City</t>
  </si>
  <si>
    <t>LGE-237520-Gas Distribution - Other</t>
  </si>
  <si>
    <t>LGE-237600-Gas Distribution - Mains</t>
  </si>
  <si>
    <t>LGE-237610-Gas Line Tracker - Mains</t>
  </si>
  <si>
    <t>LGE-237800-Gas Distribution - Measu</t>
  </si>
  <si>
    <t>LGE-237900-Gas Distribution - City</t>
  </si>
  <si>
    <t>LGE-238000-Gas Distribution - Gas S</t>
  </si>
  <si>
    <t>LGE-238010-Gas Line Tracker Service</t>
  </si>
  <si>
    <t>LGE-238100-Meters</t>
  </si>
  <si>
    <t>LGE-238300-Regulators</t>
  </si>
  <si>
    <t>LGE-238500-Gas Distribution - Indus</t>
  </si>
  <si>
    <t>LGE-238700-Gas Distribution - Other</t>
  </si>
  <si>
    <t>LGE-238805-ARO Cost Gas Dist (L/B)</t>
  </si>
  <si>
    <t>LGE-238807-ARO Cost Gas Dist (Eqp)</t>
  </si>
  <si>
    <t>LGE-239200-Cars and Light Trucks</t>
  </si>
  <si>
    <t>LGE-239210-Heavy Trucks and Other</t>
  </si>
  <si>
    <t>LGE-239220-Transportation Equip-Tra</t>
  </si>
  <si>
    <t>LGE-239400-Tools, Shop, and Garage</t>
  </si>
  <si>
    <t>LGE-239500-Laboratory Equipment</t>
  </si>
  <si>
    <t>LGE-239610-Power Op Equip-Lg Mach</t>
  </si>
  <si>
    <t>LGE-239620-Power Op Equip - Other</t>
  </si>
  <si>
    <t>LGE-239720- DSM Equipment</t>
  </si>
  <si>
    <t>LGE-235010-KY Gas Storage Undergr</t>
  </si>
  <si>
    <t>LGE-235020-Gas Storage Underground</t>
  </si>
  <si>
    <t>LGE-235120-Gas Storage Undg. - Comp</t>
  </si>
  <si>
    <t>LGE-235130-Gas Storage Undg. - Regu</t>
  </si>
  <si>
    <t>LGE-235140- KY Gas Storage Undergr</t>
  </si>
  <si>
    <t>LGE-235210-Gas Storage Undg. - Leas</t>
  </si>
  <si>
    <t>LGE-235220-Gas Storage Underground</t>
  </si>
  <si>
    <t>LGE-235230-Gas Storage Undg. - Non</t>
  </si>
  <si>
    <t>LGE-235240- KY Gas Storage Undergrd</t>
  </si>
  <si>
    <t>LGE-235250- KY AROP Gas Stor UG</t>
  </si>
  <si>
    <t>LGE-235255- KY Gas Stor UG</t>
  </si>
  <si>
    <t>LGE-235300- KY Gas Storage Undergrd</t>
  </si>
  <si>
    <t>LGE-235400-Gas Storage Undg. - Comp</t>
  </si>
  <si>
    <t>LGE-235500-Gas Storage Undg. - Meas</t>
  </si>
  <si>
    <t>LGE-235600-Gas Storage Undg. - Puri</t>
  </si>
  <si>
    <t>LGE-235700- KY Gas Storage Undergrd</t>
  </si>
  <si>
    <t>LGE-235805-ARO Cost Gas UG Store (L</t>
  </si>
  <si>
    <t>LGE-235807-ARO Cost Gas UG Store (E</t>
  </si>
  <si>
    <t>LGE-236520-Gas Transmission Rights</t>
  </si>
  <si>
    <t>LGE-236700-Gas Transmission - Mains</t>
  </si>
  <si>
    <t>LGE-237207-ARO Cost Gas Trans (Eqp)</t>
  </si>
  <si>
    <t>Total Gas Depreciation Reserves</t>
  </si>
  <si>
    <t>LGE-230200-Franchises and Consents</t>
  </si>
  <si>
    <t>Total Gas Amortization Reserves</t>
  </si>
  <si>
    <t>LGE-338910-Common - Land</t>
  </si>
  <si>
    <t>LGE-338920-Common - Land Rights</t>
  </si>
  <si>
    <t>LGE-339010-Common Structures - Gene</t>
  </si>
  <si>
    <t>LGE-339010-Str LGE Bldg - Joint Own</t>
  </si>
  <si>
    <t>LGE-339010-Struct Broad.- Joint Own</t>
  </si>
  <si>
    <t>LGE-339010-Struct Broad.-LGE Owned</t>
  </si>
  <si>
    <t>LGE-339010-Struct-LGE Bldg Owned</t>
  </si>
  <si>
    <t>LGE-339020-Common Structures - Tran</t>
  </si>
  <si>
    <t>LGE-339030-Common Structures - Stor</t>
  </si>
  <si>
    <t>LGE-339040-Common Structures - Othe</t>
  </si>
  <si>
    <t>LGE-339060-Common Structures - Micr</t>
  </si>
  <si>
    <t>LGE-339110-Office Furniture</t>
  </si>
  <si>
    <t>LGE-339120-Office Equipment</t>
  </si>
  <si>
    <t>LGE-339130-Computer Eq</t>
  </si>
  <si>
    <t>LGE-339131-Personal Computers</t>
  </si>
  <si>
    <t>LGE-339133-Computer Eq ECR 2006</t>
  </si>
  <si>
    <t>LGE-339140-Security Equipment</t>
  </si>
  <si>
    <t>LGE-339200-Cars and Light Trucks</t>
  </si>
  <si>
    <t>LGE-339210-Heavy Trucks and Other</t>
  </si>
  <si>
    <t>LGE-339220-Trans Equip-Trailers</t>
  </si>
  <si>
    <t>LGE-339300-Stores Equipment</t>
  </si>
  <si>
    <t>LGE-339400-Tools, Shop, Garage Equi</t>
  </si>
  <si>
    <t>LGE-339500-Laboratory Equipment</t>
  </si>
  <si>
    <t>LGE-339610-Power Op Equip- Lg Mach</t>
  </si>
  <si>
    <t>LGE-339620-Power Op Equip - Other</t>
  </si>
  <si>
    <t>LGE-339700-KY Microwave,Fiber,Other</t>
  </si>
  <si>
    <t>LGE-339710- Radios and Telephone</t>
  </si>
  <si>
    <t>LGE-339800-Miscellaneous Equipment</t>
  </si>
  <si>
    <t>LGE-339915-ARO Cost Common (L/B)</t>
  </si>
  <si>
    <t>Non-Utility Property</t>
  </si>
  <si>
    <t>LGE-312101-Nonutility Prop - Coal L</t>
  </si>
  <si>
    <t>LGE-312103-Nonutility-Coal Rts of W</t>
  </si>
  <si>
    <t>LGE-312104-Nonutility Prop - Misc L</t>
  </si>
  <si>
    <t>LGE-312102-Nonutility-Coal Mineral</t>
  </si>
  <si>
    <t>LGE-312192-Nonutility Cars &amp; Trucks</t>
  </si>
  <si>
    <t>Total Common Depreciation Reserves</t>
  </si>
  <si>
    <t>LGE-330100-Common Intangible Plant</t>
  </si>
  <si>
    <t>LGE-330200-Franchises and Consents</t>
  </si>
  <si>
    <t>LGE-330300-Misc Intang Plant-Softwa</t>
  </si>
  <si>
    <t>LGE-330310-CCS Software</t>
  </si>
  <si>
    <t>LGE-330320-Law Library</t>
  </si>
  <si>
    <t>Total Common Amortization Reserves</t>
  </si>
  <si>
    <t>TOTAL KENTUCKY RESERVES</t>
  </si>
  <si>
    <t>RESERVE FOR DEPRECIATION AND AMORTIZATION OF PLANT IN SERVICE - INDIANA - REGULATORY ACCOUNTING</t>
  </si>
  <si>
    <t>LGE-136200- IN Elect Dist Substati</t>
  </si>
  <si>
    <t>LGE-135010- IN Elec Transmission -</t>
  </si>
  <si>
    <t>LGE-135020-IN Electric  Trans</t>
  </si>
  <si>
    <t>LGE-135210- IN Elec Transmission -</t>
  </si>
  <si>
    <t>LGE-135310- IN Elec Transmission -</t>
  </si>
  <si>
    <t>LGE-135400- IN Elec Transmission -</t>
  </si>
  <si>
    <t>LGE-135500- IN Elec Transmission -</t>
  </si>
  <si>
    <t>LGE-135600- IN Elec Transmission -</t>
  </si>
  <si>
    <t>LGE-235140- IN Gas Storage Undergr</t>
  </si>
  <si>
    <t>LGE-235240- IN Gas Storage Undergrd</t>
  </si>
  <si>
    <t>LGE-235250- IN AROP Gas Stor UG</t>
  </si>
  <si>
    <t>LGE-235255- IN Gas Stor UG</t>
  </si>
  <si>
    <t>LGE-235300- IN Gas Storage Undergrd</t>
  </si>
  <si>
    <t>LGE-235700- IN Gas Storage Undergrd</t>
  </si>
  <si>
    <t>LGE-339700-IN Microwave,Fiber,Other</t>
  </si>
  <si>
    <t>TOTAL INDIANA RESERVES</t>
  </si>
  <si>
    <t>SUMMARY OF UTILITY PLANT - FINANCIAL ACCOUNTING - Including 254 Balances</t>
  </si>
  <si>
    <t xml:space="preserve"> RESERVE FOR DEPRECIATION AND AMORTIZATION OF ELECTRIC PLANT IN SERVICE - FINANCIAL ACCOUNTING - Including 254 Balances</t>
  </si>
  <si>
    <t xml:space="preserve">LGE-136020-Elect. Dist. Substation </t>
  </si>
  <si>
    <t xml:space="preserve">LGE-136025-Elect. Dist. Substation </t>
  </si>
  <si>
    <t xml:space="preserve">LGE-136200- Elect. Dist. Substation </t>
  </si>
  <si>
    <t xml:space="preserve">LGE-136205-Elect. Dist. Substation </t>
  </si>
  <si>
    <t xml:space="preserve">LGE-136400-Electric Distribution - </t>
  </si>
  <si>
    <t xml:space="preserve">LGE-136500-Electric Distribution - </t>
  </si>
  <si>
    <t xml:space="preserve">LGE-136600-Electric Distribution - </t>
  </si>
  <si>
    <t xml:space="preserve">LGE-136700-Electric Distribution - </t>
  </si>
  <si>
    <t xml:space="preserve">LGE-136910-Electric Distribution - </t>
  </si>
  <si>
    <t xml:space="preserve">LGE-136920-Electric Distribution - </t>
  </si>
  <si>
    <t>LGE-137001-AMS Meters</t>
  </si>
  <si>
    <t xml:space="preserve">LGE-137310-Electric Distribution - </t>
  </si>
  <si>
    <t xml:space="preserve">LGE-137320-Electric Distribution - </t>
  </si>
  <si>
    <t xml:space="preserve">LGE-137340-Electric Dist. - Street </t>
  </si>
  <si>
    <t xml:space="preserve">LGE-139400-Tools, Shop, and Garage </t>
  </si>
  <si>
    <t>LGE-139720-DSM Equipment</t>
  </si>
  <si>
    <t>LGE-134020-Waterside - Land</t>
  </si>
  <si>
    <t xml:space="preserve">LGE-134100-Cane Run - Structures &amp; </t>
  </si>
  <si>
    <t>LGE-134200-Cane Run - Fuel Holders,</t>
  </si>
  <si>
    <t>LGE-134400-Cane Run - Generators</t>
  </si>
  <si>
    <t>LGE-134500-Cane Run - Accessory Ele</t>
  </si>
  <si>
    <t xml:space="preserve">LGE-134500-EWB 6 Acessory Electric </t>
  </si>
  <si>
    <t xml:space="preserve">LGE-134500-EWB 7 Acessory Electric </t>
  </si>
  <si>
    <t xml:space="preserve">LGE-134500-TC 5 Accessory Electric </t>
  </si>
  <si>
    <t xml:space="preserve">LGE-134500-TC 6 Accessory Electric </t>
  </si>
  <si>
    <t xml:space="preserve">LGE-134500-TC 7 Accessory Electric </t>
  </si>
  <si>
    <t xml:space="preserve">LGE-134500-TC 8 Accessory Electric </t>
  </si>
  <si>
    <t xml:space="preserve">LGE-134600-TC 10 Misc. Power Plant </t>
  </si>
  <si>
    <t xml:space="preserve">LGE-134600-Waterside - Misc. Power </t>
  </si>
  <si>
    <t>LGE-131020-Steam - Land</t>
  </si>
  <si>
    <t>LGE-131025-Steam - Land ECR 2005</t>
  </si>
  <si>
    <t xml:space="preserve">LGE-131100-MC Unit 4 Struc </t>
  </si>
  <si>
    <t>LGE-131101-AROP TC 2 Struct ECR 2009</t>
  </si>
  <si>
    <t>LGE-131105Dist Drive - Future Use</t>
  </si>
  <si>
    <t xml:space="preserve">LGE-131200-CR Unit 6 Boil </t>
  </si>
  <si>
    <t xml:space="preserve">LGE-131200-CR6 SO2 Boil </t>
  </si>
  <si>
    <t>LGE-131200-TC 1 Futue Use - 105</t>
  </si>
  <si>
    <t>LGE131500-Mill Crk #4 SO2 ECR 2011</t>
  </si>
  <si>
    <t>LGE-131501-AROP Cane Run Unit 4 Accessor</t>
  </si>
  <si>
    <t>LGE-131501-AROP Cane Run Unit 5 Accessor</t>
  </si>
  <si>
    <t>LGE-131501-AROP Cane Run Unit 6 Accessor</t>
  </si>
  <si>
    <t>LGE-131501-AROP MC 1 Accessor</t>
  </si>
  <si>
    <t>LGE-131501-AROP MC 2 Accessor</t>
  </si>
  <si>
    <t>LGE-131501-AROP MC 3 Accessor</t>
  </si>
  <si>
    <t>LGE-131501-AROP MC 4 Accessor</t>
  </si>
  <si>
    <t>LGE-131501-AROP TC 1 Accessor</t>
  </si>
  <si>
    <t>LGE-131600-Distributution Drive ECR 2011</t>
  </si>
  <si>
    <t>LGE-131600-Distributution Drive</t>
  </si>
  <si>
    <t>LGE-131600-Mill Crk #4 SO2 ECR 2011</t>
  </si>
  <si>
    <t xml:space="preserve">LGE-131600-Mill Creek Unit 2 Misc. </t>
  </si>
  <si>
    <t xml:space="preserve">LGE-131600-Mill Creek Unit 3 Misc. </t>
  </si>
  <si>
    <t xml:space="preserve">LGE-131600-Mill Creek Unit 4 Misc. </t>
  </si>
  <si>
    <t xml:space="preserve">LGE-135010- Electric Transmission - </t>
  </si>
  <si>
    <t xml:space="preserve">LGE-135020-Electric Transmission - </t>
  </si>
  <si>
    <t xml:space="preserve">LGE-135210- Electric Transmission - </t>
  </si>
  <si>
    <t>LGE-135210-TC Unit 1 - Trans Sub</t>
  </si>
  <si>
    <t xml:space="preserve">LGE-135310- Electric Transmission - </t>
  </si>
  <si>
    <t xml:space="preserve">LGE-135400- Electric Transmission - </t>
  </si>
  <si>
    <t xml:space="preserve">LGE-135500- Electric Transmission - </t>
  </si>
  <si>
    <t xml:space="preserve">LGE-135600- Electric Transmission - </t>
  </si>
  <si>
    <t xml:space="preserve">LGE-135700-Electric Transmission - </t>
  </si>
  <si>
    <t xml:space="preserve">LGE-135800-Electric Transmission - </t>
  </si>
  <si>
    <t xml:space="preserve">LGE-237510-Gas Distribution - City </t>
  </si>
  <si>
    <t xml:space="preserve">LGE-237900-Gas Distribution - City </t>
  </si>
  <si>
    <t xml:space="preserve">LGE-239400-Tools, Shop, and Garage </t>
  </si>
  <si>
    <t>LGE-239720-DSM Equipment</t>
  </si>
  <si>
    <t xml:space="preserve">LGE-235010-Gas Storage Underground </t>
  </si>
  <si>
    <t xml:space="preserve">LGE-235020-Gas Storage Underground </t>
  </si>
  <si>
    <t xml:space="preserve">LGE-235140- Gas Storage Underground </t>
  </si>
  <si>
    <t xml:space="preserve">LGE-235220-Gas Storage Underground </t>
  </si>
  <si>
    <t xml:space="preserve">LGE-235230-Gas Storage Undg. - Non </t>
  </si>
  <si>
    <t xml:space="preserve">LGE-235240- Gas Storage Underground </t>
  </si>
  <si>
    <t xml:space="preserve">LGE-235250- AROP Gas Storage Underground </t>
  </si>
  <si>
    <t xml:space="preserve">LGE-235255- Gas Storage Underground </t>
  </si>
  <si>
    <t>LGE-235300- Gas Storage Undergroun</t>
  </si>
  <si>
    <t xml:space="preserve">LGE-235700- Gas Storage Underground </t>
  </si>
  <si>
    <t xml:space="preserve">LGE-236520-Gas Transmission Rights </t>
  </si>
  <si>
    <t>LGE-339010-Str LGE BLDG - Joint Use</t>
  </si>
  <si>
    <t>LGE-339010-Struct Broad.-Joint Use</t>
  </si>
  <si>
    <t>LGE-339210-Trans Equip-Heavy Trucks and Other</t>
  </si>
  <si>
    <t xml:space="preserve">LGE-339220-Trans Equip-Trailers </t>
  </si>
  <si>
    <t>LGE-339700-Microwave,Fiber,Other</t>
  </si>
  <si>
    <t xml:space="preserve">LGE-312102-Nonutility-Coal Mineral </t>
  </si>
  <si>
    <t xml:space="preserve">LGE-330100-Common Intangible Plant </t>
  </si>
  <si>
    <t>DECEMBER 2016</t>
  </si>
  <si>
    <t>ARO Settlements (Gross)</t>
  </si>
  <si>
    <t>ARO Purchase Accounting Adjustments</t>
  </si>
  <si>
    <t>Transfers from 101 and 108 to 182 (Gross)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</si>
</sst>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0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theme="7" tint="-0.49998474074526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0"/>
      <color rgb="FF7030A0"/>
      <name val="Arial"/>
      <family val="2"/>
    </font>
    <font>
      <b/>
      <i/>
      <sz val="10"/>
      <color theme="7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name val="Arial"/>
      <family val="2"/>
    </font>
    <font>
      <sz val="10"/>
      <color rgb="FF1A1A1A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color theme="1"/>
      <name val="Times New Roman"/>
      <family val="1"/>
    </font>
    <font>
      <i/>
      <sz val="10"/>
      <name val="Times New Roman"/>
      <family val="1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1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43" fontId="5" fillId="0" borderId="0" xfId="1" applyFont="1" applyFill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3" fontId="0" fillId="0" borderId="0" xfId="1" applyFont="1" applyFill="1"/>
    <xf numFmtId="43" fontId="0" fillId="0" borderId="1" xfId="1" applyFont="1" applyFill="1" applyBorder="1"/>
    <xf numFmtId="43" fontId="0" fillId="0" borderId="0" xfId="1" applyFont="1" applyFill="1" applyBorder="1"/>
    <xf numFmtId="43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3" fontId="0" fillId="0" borderId="2" xfId="1" applyFont="1" applyFill="1" applyBorder="1"/>
    <xf numFmtId="43" fontId="0" fillId="0" borderId="3" xfId="1" applyFont="1" applyFill="1" applyBorder="1"/>
    <xf numFmtId="0" fontId="4" fillId="0" borderId="0" xfId="0" applyFont="1" applyFill="1"/>
    <xf numFmtId="44" fontId="3" fillId="0" borderId="0" xfId="0" applyNumberFormat="1" applyFont="1" applyFill="1" applyAlignment="1">
      <alignment horizontal="center"/>
    </xf>
    <xf numFmtId="43" fontId="0" fillId="0" borderId="4" xfId="1" applyFont="1" applyFill="1" applyBorder="1"/>
    <xf numFmtId="0" fontId="2" fillId="0" borderId="0" xfId="0" quotePrefix="1" applyFont="1" applyFill="1"/>
    <xf numFmtId="0" fontId="6" fillId="0" borderId="0" xfId="0" applyFont="1" applyFill="1"/>
    <xf numFmtId="43" fontId="4" fillId="0" borderId="4" xfId="1" applyFont="1" applyFill="1" applyBorder="1"/>
    <xf numFmtId="43" fontId="6" fillId="0" borderId="0" xfId="1" applyFont="1" applyFill="1"/>
    <xf numFmtId="44" fontId="0" fillId="0" borderId="0" xfId="2" applyFont="1" applyFill="1"/>
    <xf numFmtId="0" fontId="1" fillId="0" borderId="0" xfId="0" applyFont="1" applyFill="1" applyAlignment="1">
      <alignment horizontal="center"/>
    </xf>
    <xf numFmtId="0" fontId="0" fillId="0" borderId="0" xfId="0" applyFill="1" applyBorder="1"/>
    <xf numFmtId="43" fontId="4" fillId="0" borderId="0" xfId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4" fontId="0" fillId="0" borderId="0" xfId="0" applyNumberFormat="1" applyFill="1" applyBorder="1"/>
    <xf numFmtId="43" fontId="4" fillId="0" borderId="0" xfId="1" applyFont="1" applyFill="1"/>
    <xf numFmtId="43" fontId="0" fillId="0" borderId="0" xfId="0" applyNumberFormat="1" applyFill="1" applyBorder="1"/>
    <xf numFmtId="43" fontId="0" fillId="0" borderId="0" xfId="0" applyNumberFormat="1" applyFill="1"/>
    <xf numFmtId="0" fontId="3" fillId="0" borderId="0" xfId="0" quotePrefix="1" applyFont="1" applyFill="1" applyAlignment="1">
      <alignment horizontal="center"/>
    </xf>
    <xf numFmtId="43" fontId="0" fillId="0" borderId="5" xfId="1" applyFont="1" applyFill="1" applyBorder="1"/>
    <xf numFmtId="43" fontId="8" fillId="0" borderId="0" xfId="1" applyFont="1" applyFill="1"/>
    <xf numFmtId="44" fontId="8" fillId="0" borderId="0" xfId="3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0" fontId="3" fillId="0" borderId="0" xfId="0" applyFont="1" applyFill="1"/>
    <xf numFmtId="44" fontId="3" fillId="0" borderId="0" xfId="3" applyNumberFormat="1" applyFont="1" applyFill="1" applyAlignment="1">
      <alignment horizontal="center"/>
    </xf>
    <xf numFmtId="43" fontId="3" fillId="0" borderId="0" xfId="1" quotePrefix="1" applyFont="1" applyFill="1" applyAlignment="1">
      <alignment horizontal="left"/>
    </xf>
    <xf numFmtId="43" fontId="9" fillId="0" borderId="0" xfId="1" quotePrefix="1" applyFont="1" applyFill="1" applyAlignment="1">
      <alignment horizontal="center"/>
    </xf>
    <xf numFmtId="43" fontId="3" fillId="0" borderId="1" xfId="1" applyFont="1" applyFill="1" applyBorder="1"/>
    <xf numFmtId="44" fontId="8" fillId="0" borderId="0" xfId="3" applyNumberFormat="1" applyFont="1" applyFill="1"/>
    <xf numFmtId="44" fontId="3" fillId="0" borderId="0" xfId="3" applyNumberFormat="1" applyFont="1" applyFill="1"/>
    <xf numFmtId="44" fontId="3" fillId="0" borderId="0" xfId="3" quotePrefix="1" applyNumberFormat="1" applyFont="1" applyFill="1" applyAlignment="1">
      <alignment horizontal="center"/>
    </xf>
    <xf numFmtId="44" fontId="0" fillId="0" borderId="0" xfId="0" applyNumberFormat="1" applyFill="1"/>
    <xf numFmtId="44" fontId="2" fillId="0" borderId="0" xfId="0" quotePrefix="1" applyNumberFormat="1" applyFont="1" applyFill="1" applyAlignment="1">
      <alignment horizontal="left"/>
    </xf>
    <xf numFmtId="44" fontId="0" fillId="0" borderId="0" xfId="0" quotePrefix="1" applyNumberFormat="1" applyFill="1" applyAlignment="1">
      <alignment horizontal="left"/>
    </xf>
    <xf numFmtId="43" fontId="3" fillId="0" borderId="0" xfId="1" applyFont="1" applyFill="1" applyBorder="1"/>
    <xf numFmtId="44" fontId="2" fillId="0" borderId="0" xfId="0" applyNumberFormat="1" applyFont="1" applyFill="1"/>
    <xf numFmtId="44" fontId="3" fillId="0" borderId="0" xfId="3" quotePrefix="1" applyNumberFormat="1" applyFont="1" applyFill="1" applyAlignment="1">
      <alignment horizontal="left"/>
    </xf>
    <xf numFmtId="44" fontId="10" fillId="0" borderId="6" xfId="0" applyNumberFormat="1" applyFont="1" applyFill="1" applyBorder="1"/>
    <xf numFmtId="44" fontId="10" fillId="0" borderId="7" xfId="0" applyNumberFormat="1" applyFont="1" applyFill="1" applyBorder="1"/>
    <xf numFmtId="44" fontId="10" fillId="0" borderId="8" xfId="0" applyNumberFormat="1" applyFont="1" applyFill="1" applyBorder="1"/>
    <xf numFmtId="0" fontId="10" fillId="0" borderId="9" xfId="0" applyFont="1" applyFill="1" applyBorder="1"/>
    <xf numFmtId="44" fontId="10" fillId="0" borderId="0" xfId="0" applyNumberFormat="1" applyFont="1" applyFill="1" applyBorder="1"/>
    <xf numFmtId="44" fontId="10" fillId="0" borderId="0" xfId="0" applyNumberFormat="1" applyFont="1" applyFill="1" applyBorder="1" applyAlignment="1">
      <alignment horizontal="right"/>
    </xf>
    <xf numFmtId="44" fontId="10" fillId="0" borderId="10" xfId="0" applyNumberFormat="1" applyFont="1" applyFill="1" applyBorder="1"/>
    <xf numFmtId="44" fontId="10" fillId="0" borderId="9" xfId="0" applyNumberFormat="1" applyFont="1" applyFill="1" applyBorder="1"/>
    <xf numFmtId="44" fontId="10" fillId="0" borderId="5" xfId="0" applyNumberFormat="1" applyFont="1" applyFill="1" applyBorder="1"/>
    <xf numFmtId="44" fontId="10" fillId="0" borderId="9" xfId="0" applyNumberFormat="1" applyFont="1" applyFill="1" applyBorder="1" applyAlignment="1">
      <alignment horizontal="right"/>
    </xf>
    <xf numFmtId="9" fontId="10" fillId="0" borderId="0" xfId="0" applyNumberFormat="1" applyFont="1" applyFill="1" applyBorder="1"/>
    <xf numFmtId="44" fontId="10" fillId="0" borderId="11" xfId="0" applyNumberFormat="1" applyFont="1" applyFill="1" applyBorder="1"/>
    <xf numFmtId="44" fontId="10" fillId="0" borderId="12" xfId="0" applyNumberFormat="1" applyFont="1" applyFill="1" applyBorder="1"/>
    <xf numFmtId="44" fontId="10" fillId="0" borderId="13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3" fontId="4" fillId="0" borderId="0" xfId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43" fontId="4" fillId="0" borderId="0" xfId="1" applyFont="1" applyFill="1" applyBorder="1"/>
    <xf numFmtId="43" fontId="4" fillId="0" borderId="0" xfId="0" applyNumberFormat="1" applyFont="1" applyFill="1"/>
    <xf numFmtId="43" fontId="4" fillId="0" borderId="14" xfId="0" applyNumberFormat="1" applyFont="1" applyFill="1" applyBorder="1"/>
    <xf numFmtId="43" fontId="4" fillId="0" borderId="0" xfId="0" applyNumberFormat="1" applyFont="1" applyFill="1" applyBorder="1"/>
    <xf numFmtId="0" fontId="4" fillId="0" borderId="0" xfId="0" applyNumberFormat="1" applyFont="1" applyFill="1" applyAlignment="1">
      <alignment horizontal="left"/>
    </xf>
    <xf numFmtId="43" fontId="4" fillId="0" borderId="3" xfId="1" applyFont="1" applyFill="1" applyBorder="1"/>
    <xf numFmtId="43" fontId="4" fillId="0" borderId="15" xfId="1" applyFont="1" applyFill="1" applyBorder="1"/>
    <xf numFmtId="0" fontId="4" fillId="0" borderId="0" xfId="0" applyFont="1" applyFill="1" applyAlignment="1">
      <alignment horizontal="left"/>
    </xf>
    <xf numFmtId="43" fontId="4" fillId="0" borderId="0" xfId="1" applyNumberFormat="1" applyFont="1" applyFill="1"/>
    <xf numFmtId="43" fontId="4" fillId="0" borderId="0" xfId="4" applyNumberFormat="1" applyFont="1" applyFill="1"/>
    <xf numFmtId="8" fontId="4" fillId="0" borderId="0" xfId="0" applyNumberFormat="1" applyFont="1" applyFill="1"/>
    <xf numFmtId="43" fontId="0" fillId="0" borderId="5" xfId="0" applyNumberFormat="1" applyFill="1" applyBorder="1"/>
    <xf numFmtId="0" fontId="4" fillId="0" borderId="0" xfId="0" applyNumberFormat="1" applyFont="1" applyFill="1" applyAlignment="1">
      <alignment horizontal="left" indent="1"/>
    </xf>
    <xf numFmtId="44" fontId="4" fillId="0" borderId="0" xfId="2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 applyAlignment="1">
      <alignment horizontal="left"/>
    </xf>
    <xf numFmtId="44" fontId="4" fillId="0" borderId="0" xfId="0" applyNumberFormat="1" applyFont="1" applyFill="1"/>
    <xf numFmtId="0" fontId="4" fillId="0" borderId="0" xfId="0" applyNumberFormat="1" applyFont="1" applyFill="1" applyAlignment="1">
      <alignment horizontal="left" indent="2"/>
    </xf>
    <xf numFmtId="43" fontId="4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1" fillId="0" borderId="0" xfId="0" quotePrefix="1" applyFont="1" applyFill="1" applyAlignment="1"/>
    <xf numFmtId="164" fontId="2" fillId="0" borderId="0" xfId="0" applyNumberFormat="1" applyFont="1" applyFill="1" applyAlignment="1"/>
    <xf numFmtId="164" fontId="2" fillId="0" borderId="0" xfId="0" quotePrefix="1" applyNumberFormat="1" applyFont="1" applyFill="1" applyAlignment="1">
      <alignment horizontal="center"/>
    </xf>
    <xf numFmtId="43" fontId="2" fillId="0" borderId="0" xfId="1" applyFont="1" applyFill="1"/>
    <xf numFmtId="43" fontId="11" fillId="0" borderId="0" xfId="1" applyFont="1" applyFill="1" applyAlignment="1">
      <alignment horizontal="center"/>
    </xf>
    <xf numFmtId="0" fontId="0" fillId="0" borderId="0" xfId="0" applyFont="1" applyFill="1"/>
    <xf numFmtId="0" fontId="0" fillId="0" borderId="0" xfId="0" applyFill="1" applyBorder="1" applyAlignment="1">
      <alignment horizontal="left"/>
    </xf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43" fontId="0" fillId="0" borderId="2" xfId="0" applyNumberFormat="1" applyFill="1" applyBorder="1"/>
    <xf numFmtId="43" fontId="4" fillId="0" borderId="2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quotePrefix="1" applyNumberFormat="1" applyFont="1" applyFill="1" applyAlignment="1">
      <alignment horizontal="left"/>
    </xf>
    <xf numFmtId="43" fontId="2" fillId="0" borderId="3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/>
    </xf>
    <xf numFmtId="43" fontId="0" fillId="0" borderId="0" xfId="1" quotePrefix="1" applyFont="1" applyFill="1"/>
    <xf numFmtId="164" fontId="4" fillId="0" borderId="0" xfId="0" quotePrefix="1" applyNumberFormat="1" applyFont="1" applyFill="1" applyAlignment="1">
      <alignment horizontal="center"/>
    </xf>
    <xf numFmtId="0" fontId="4" fillId="0" borderId="0" xfId="4" applyFont="1" applyFill="1"/>
    <xf numFmtId="164" fontId="4" fillId="0" borderId="0" xfId="4" quotePrefix="1" applyNumberFormat="1" applyFont="1" applyFill="1" applyAlignment="1">
      <alignment horizontal="center"/>
    </xf>
    <xf numFmtId="17" fontId="2" fillId="0" borderId="0" xfId="0" quotePrefix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14" fillId="0" borderId="0" xfId="0" applyNumberFormat="1" applyFont="1" applyFill="1"/>
    <xf numFmtId="0" fontId="14" fillId="0" borderId="0" xfId="0" applyFont="1" applyFill="1" applyProtection="1">
      <protection locked="0"/>
    </xf>
    <xf numFmtId="0" fontId="0" fillId="0" borderId="20" xfId="0" applyFill="1" applyBorder="1"/>
    <xf numFmtId="44" fontId="0" fillId="0" borderId="0" xfId="2" applyFont="1" applyFill="1" applyBorder="1"/>
    <xf numFmtId="43" fontId="4" fillId="0" borderId="0" xfId="1" applyFill="1" applyBorder="1"/>
    <xf numFmtId="43" fontId="0" fillId="0" borderId="1" xfId="0" applyNumberFormat="1" applyFill="1" applyBorder="1"/>
    <xf numFmtId="0" fontId="14" fillId="0" borderId="0" xfId="0" applyFont="1" applyFill="1" applyBorder="1" applyProtection="1">
      <protection locked="0"/>
    </xf>
    <xf numFmtId="43" fontId="4" fillId="0" borderId="0" xfId="1" applyFill="1"/>
    <xf numFmtId="43" fontId="4" fillId="0" borderId="0" xfId="1" applyNumberFormat="1" applyFill="1" applyBorder="1"/>
    <xf numFmtId="0" fontId="0" fillId="0" borderId="0" xfId="0" applyFont="1" applyFill="1" applyBorder="1"/>
    <xf numFmtId="0" fontId="0" fillId="0" borderId="0" xfId="0" quotePrefix="1" applyFill="1" applyAlignment="1">
      <alignment horizontal="left"/>
    </xf>
    <xf numFmtId="43" fontId="0" fillId="0" borderId="0" xfId="1" applyNumberFormat="1" applyFont="1" applyFill="1" applyBorder="1"/>
    <xf numFmtId="43" fontId="4" fillId="0" borderId="5" xfId="1" applyFill="1" applyBorder="1"/>
    <xf numFmtId="0" fontId="19" fillId="0" borderId="0" xfId="0" applyFont="1" applyFill="1" applyAlignment="1">
      <alignment horizontal="center"/>
    </xf>
    <xf numFmtId="44" fontId="4" fillId="0" borderId="0" xfId="2" applyFill="1"/>
    <xf numFmtId="44" fontId="4" fillId="0" borderId="0" xfId="2" applyFill="1" applyBorder="1"/>
    <xf numFmtId="43" fontId="4" fillId="0" borderId="1" xfId="1" applyFont="1" applyFill="1" applyBorder="1"/>
    <xf numFmtId="43" fontId="4" fillId="0" borderId="2" xfId="1" applyFill="1" applyBorder="1"/>
    <xf numFmtId="43" fontId="4" fillId="0" borderId="1" xfId="1" applyFill="1" applyBorder="1"/>
    <xf numFmtId="0" fontId="4" fillId="0" borderId="0" xfId="0" applyFont="1" applyFill="1" applyAlignment="1">
      <alignment vertical="center"/>
    </xf>
    <xf numFmtId="43" fontId="4" fillId="0" borderId="0" xfId="1" applyNumberFormat="1" applyFill="1"/>
    <xf numFmtId="43" fontId="4" fillId="0" borderId="5" xfId="1" applyNumberFormat="1" applyFill="1" applyBorder="1"/>
    <xf numFmtId="43" fontId="4" fillId="0" borderId="0" xfId="2" applyNumberFormat="1" applyFill="1"/>
    <xf numFmtId="43" fontId="4" fillId="0" borderId="0" xfId="2" applyNumberFormat="1" applyFill="1" applyBorder="1"/>
    <xf numFmtId="43" fontId="4" fillId="0" borderId="0" xfId="1" applyNumberFormat="1" applyFont="1" applyFill="1" applyBorder="1"/>
    <xf numFmtId="43" fontId="0" fillId="0" borderId="0" xfId="1" applyNumberFormat="1" applyFont="1" applyFill="1"/>
    <xf numFmtId="43" fontId="0" fillId="0" borderId="5" xfId="1" applyNumberFormat="1" applyFont="1" applyFill="1" applyBorder="1"/>
    <xf numFmtId="0" fontId="2" fillId="0" borderId="0" xfId="0" quotePrefix="1" applyFont="1" applyFill="1" applyAlignment="1">
      <alignment horizontal="left"/>
    </xf>
    <xf numFmtId="0" fontId="4" fillId="0" borderId="20" xfId="0" applyFont="1" applyFill="1" applyBorder="1"/>
    <xf numFmtId="43" fontId="4" fillId="0" borderId="2" xfId="1" applyNumberFormat="1" applyFill="1" applyBorder="1"/>
    <xf numFmtId="0" fontId="0" fillId="0" borderId="20" xfId="0" quotePrefix="1" applyFill="1" applyBorder="1" applyAlignment="1">
      <alignment horizontal="left"/>
    </xf>
    <xf numFmtId="39" fontId="0" fillId="0" borderId="0" xfId="0" applyNumberFormat="1" applyFill="1"/>
    <xf numFmtId="0" fontId="4" fillId="0" borderId="20" xfId="0" quotePrefix="1" applyFont="1" applyFill="1" applyBorder="1" applyAlignment="1">
      <alignment horizontal="left"/>
    </xf>
    <xf numFmtId="43" fontId="4" fillId="0" borderId="3" xfId="1" applyFill="1" applyBorder="1"/>
    <xf numFmtId="0" fontId="4" fillId="0" borderId="0" xfId="0" quotePrefix="1" applyFont="1" applyFill="1" applyAlignment="1">
      <alignment horizontal="left" vertical="center"/>
    </xf>
    <xf numFmtId="44" fontId="0" fillId="0" borderId="1" xfId="0" applyNumberFormat="1" applyFill="1" applyBorder="1"/>
    <xf numFmtId="44" fontId="0" fillId="0" borderId="3" xfId="0" applyNumberFormat="1" applyFill="1" applyBorder="1"/>
    <xf numFmtId="44" fontId="4" fillId="0" borderId="0" xfId="0" quotePrefix="1" applyNumberFormat="1" applyFont="1" applyFill="1" applyAlignment="1">
      <alignment horizontal="left"/>
    </xf>
    <xf numFmtId="44" fontId="0" fillId="0" borderId="5" xfId="0" applyNumberFormat="1" applyFill="1" applyBorder="1"/>
    <xf numFmtId="9" fontId="0" fillId="0" borderId="0" xfId="0" applyNumberFormat="1" applyFill="1"/>
    <xf numFmtId="0" fontId="4" fillId="0" borderId="1" xfId="0" applyFont="1" applyFill="1" applyBorder="1" applyAlignment="1">
      <alignment horizontal="left"/>
    </xf>
    <xf numFmtId="43" fontId="4" fillId="0" borderId="1" xfId="1" applyFont="1" applyFill="1" applyBorder="1" applyAlignment="1">
      <alignment horizontal="center"/>
    </xf>
    <xf numFmtId="0" fontId="18" fillId="0" borderId="19" xfId="0" applyFont="1" applyFill="1" applyBorder="1"/>
    <xf numFmtId="43" fontId="4" fillId="0" borderId="5" xfId="1" applyFont="1" applyFill="1" applyBorder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0" fontId="13" fillId="0" borderId="0" xfId="0" applyFont="1" applyFill="1"/>
    <xf numFmtId="43" fontId="14" fillId="0" borderId="0" xfId="1" applyFont="1" applyFill="1"/>
    <xf numFmtId="43" fontId="14" fillId="0" borderId="0" xfId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3" fontId="14" fillId="0" borderId="1" xfId="1" applyFont="1" applyFill="1" applyBorder="1" applyAlignment="1">
      <alignment horizontal="center"/>
    </xf>
    <xf numFmtId="43" fontId="15" fillId="0" borderId="0" xfId="1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43" fontId="14" fillId="0" borderId="0" xfId="1" applyFont="1" applyFill="1" applyBorder="1"/>
    <xf numFmtId="17" fontId="14" fillId="0" borderId="0" xfId="0" quotePrefix="1" applyNumberFormat="1" applyFont="1" applyFill="1"/>
    <xf numFmtId="43" fontId="16" fillId="0" borderId="0" xfId="1" applyFont="1" applyFill="1"/>
    <xf numFmtId="0" fontId="14" fillId="0" borderId="0" xfId="0" applyNumberFormat="1" applyFont="1" applyFill="1"/>
    <xf numFmtId="43" fontId="14" fillId="0" borderId="3" xfId="1" applyFont="1" applyFill="1" applyBorder="1"/>
    <xf numFmtId="0" fontId="14" fillId="0" borderId="3" xfId="0" applyFont="1" applyFill="1" applyBorder="1"/>
    <xf numFmtId="0" fontId="14" fillId="0" borderId="0" xfId="0" applyFont="1" applyFill="1" applyBorder="1"/>
    <xf numFmtId="0" fontId="17" fillId="0" borderId="0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43" fontId="4" fillId="0" borderId="0" xfId="0" quotePrefix="1" applyNumberFormat="1" applyFont="1" applyFill="1" applyAlignment="1">
      <alignment horizontal="left"/>
    </xf>
    <xf numFmtId="0" fontId="3" fillId="0" borderId="0" xfId="3" quotePrefix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quotePrefix="1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quotePrefix="1" applyFont="1" applyFill="1" applyAlignment="1" applyProtection="1">
      <alignment horizontal="center"/>
    </xf>
    <xf numFmtId="0" fontId="1" fillId="0" borderId="0" xfId="3" applyFont="1" applyFill="1" applyAlignment="1">
      <alignment horizontal="center"/>
    </xf>
    <xf numFmtId="0" fontId="1" fillId="0" borderId="0" xfId="3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3" xfId="4"/>
    <cellStyle name="Normal 3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6"/>
  <sheetViews>
    <sheetView tabSelected="1" zoomScaleNormal="100" workbookViewId="0">
      <selection sqref="A1:N1"/>
    </sheetView>
  </sheetViews>
  <sheetFormatPr defaultRowHeight="12.75" x14ac:dyDescent="0.2"/>
  <cols>
    <col min="1" max="1" width="5" style="14" customWidth="1"/>
    <col min="2" max="2" width="8.140625" style="10" customWidth="1"/>
    <col min="3" max="3" width="29" style="3" customWidth="1"/>
    <col min="4" max="4" width="19.42578125" style="3" bestFit="1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7109375" style="3" customWidth="1"/>
    <col min="14" max="14" width="19.28515625" style="3" customWidth="1"/>
    <col min="15" max="15" width="2.7109375" style="1" customWidth="1"/>
    <col min="16" max="16" width="12.85546875" style="2" bestFit="1" customWidth="1"/>
    <col min="17" max="17" width="11.28515625" style="3" bestFit="1" customWidth="1"/>
    <col min="18" max="16384" width="9.140625" style="3"/>
  </cols>
  <sheetData>
    <row r="1" spans="1:25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25" x14ac:dyDescent="0.2">
      <c r="A2" s="200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25" x14ac:dyDescent="0.2">
      <c r="A3" s="201" t="s">
        <v>3450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25" x14ac:dyDescent="0.2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5" x14ac:dyDescent="0.2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2" t="s">
        <v>2</v>
      </c>
    </row>
    <row r="6" spans="1:25" x14ac:dyDescent="0.2">
      <c r="A6" s="4"/>
      <c r="B6" s="5"/>
      <c r="C6" s="6"/>
      <c r="D6" s="8" t="s">
        <v>3</v>
      </c>
      <c r="E6" s="7"/>
      <c r="F6" s="7"/>
      <c r="G6" s="7"/>
      <c r="H6" s="7"/>
      <c r="I6" s="7"/>
      <c r="J6" s="8" t="s">
        <v>4</v>
      </c>
      <c r="K6" s="7"/>
      <c r="L6" s="7"/>
      <c r="M6" s="7"/>
      <c r="N6" s="8" t="s">
        <v>5</v>
      </c>
      <c r="P6" s="2" t="s">
        <v>6</v>
      </c>
    </row>
    <row r="7" spans="1:25" s="10" customFormat="1" x14ac:dyDescent="0.2">
      <c r="A7" s="9"/>
      <c r="D7" s="12" t="s">
        <v>7</v>
      </c>
      <c r="E7" s="11"/>
      <c r="F7" s="12" t="s">
        <v>8</v>
      </c>
      <c r="G7" s="11"/>
      <c r="H7" s="12" t="s">
        <v>9</v>
      </c>
      <c r="I7" s="11"/>
      <c r="J7" s="12" t="s">
        <v>10</v>
      </c>
      <c r="K7" s="11"/>
      <c r="L7" s="12" t="s">
        <v>11</v>
      </c>
      <c r="M7" s="11"/>
      <c r="N7" s="12" t="s">
        <v>7</v>
      </c>
      <c r="O7" s="1"/>
      <c r="P7" s="13">
        <v>200</v>
      </c>
      <c r="Q7" s="3"/>
      <c r="R7" s="3"/>
      <c r="S7" s="3"/>
      <c r="T7" s="3"/>
      <c r="U7" s="3"/>
      <c r="V7" s="3"/>
      <c r="W7" s="3"/>
      <c r="X7" s="3"/>
      <c r="Y7" s="3"/>
    </row>
    <row r="8" spans="1:25" x14ac:dyDescent="0.2">
      <c r="A8" s="14">
        <v>101</v>
      </c>
      <c r="B8" s="10" t="s">
        <v>12</v>
      </c>
    </row>
    <row r="9" spans="1:25" x14ac:dyDescent="0.2">
      <c r="B9" s="10" t="s">
        <v>13</v>
      </c>
    </row>
    <row r="10" spans="1:25" x14ac:dyDescent="0.2">
      <c r="C10" s="3" t="s">
        <v>14</v>
      </c>
      <c r="D10" s="15">
        <v>157630576.83000001</v>
      </c>
      <c r="E10" s="15"/>
      <c r="F10" s="15">
        <v>13049726.039999999</v>
      </c>
      <c r="G10" s="15"/>
      <c r="H10" s="15">
        <v>-20362956.43</v>
      </c>
      <c r="I10" s="15"/>
      <c r="J10" s="15">
        <v>-14891.76</v>
      </c>
      <c r="K10" s="15"/>
      <c r="L10" s="15">
        <f>F10+H10+J10</f>
        <v>-7328122.1500000004</v>
      </c>
      <c r="M10" s="15"/>
      <c r="N10" s="15">
        <f>D10+L10</f>
        <v>150302454.68000001</v>
      </c>
      <c r="O10" s="8"/>
    </row>
    <row r="11" spans="1:25" x14ac:dyDescent="0.2">
      <c r="C11" s="3" t="s">
        <v>15</v>
      </c>
      <c r="D11" s="16">
        <v>86132168.879999995</v>
      </c>
      <c r="E11" s="17"/>
      <c r="F11" s="15">
        <v>12729029.289999999</v>
      </c>
      <c r="G11" s="17"/>
      <c r="H11" s="15">
        <v>-7105652.6600000001</v>
      </c>
      <c r="I11" s="17"/>
      <c r="J11" s="15">
        <v>0</v>
      </c>
      <c r="K11" s="17"/>
      <c r="L11" s="16">
        <f>F11+H11+J11</f>
        <v>5623376.629999999</v>
      </c>
      <c r="M11" s="17"/>
      <c r="N11" s="16">
        <f>D11+L11</f>
        <v>91755545.50999999</v>
      </c>
      <c r="O11" s="18"/>
    </row>
    <row r="12" spans="1:25" x14ac:dyDescent="0.2">
      <c r="C12" s="19"/>
      <c r="D12" s="17">
        <f>D10+D11</f>
        <v>243762745.71000001</v>
      </c>
      <c r="E12" s="17"/>
      <c r="F12" s="20">
        <f>F10+F11</f>
        <v>25778755.329999998</v>
      </c>
      <c r="G12" s="17"/>
      <c r="H12" s="20">
        <f>H10+H11</f>
        <v>-27468609.09</v>
      </c>
      <c r="I12" s="17"/>
      <c r="J12" s="20">
        <f>J10+J11</f>
        <v>-14891.76</v>
      </c>
      <c r="K12" s="17"/>
      <c r="L12" s="17">
        <f>L10+L11</f>
        <v>-1704745.5200000014</v>
      </c>
      <c r="M12" s="17"/>
      <c r="N12" s="17">
        <f>N10+N11</f>
        <v>242058000.19</v>
      </c>
      <c r="O12" s="18"/>
      <c r="P12" s="2" t="s">
        <v>16</v>
      </c>
    </row>
    <row r="13" spans="1:25" x14ac:dyDescent="0.2"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25" x14ac:dyDescent="0.2">
      <c r="B14" s="10" t="s">
        <v>17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25" x14ac:dyDescent="0.2">
      <c r="C15" s="3" t="s">
        <v>18</v>
      </c>
      <c r="D15" s="17">
        <v>1184615987.7299998</v>
      </c>
      <c r="E15" s="17"/>
      <c r="F15" s="15">
        <v>63545117.799999997</v>
      </c>
      <c r="G15" s="17"/>
      <c r="H15" s="15">
        <v>-10202649.220000001</v>
      </c>
      <c r="I15" s="17"/>
      <c r="J15" s="15">
        <v>-711002.92999999993</v>
      </c>
      <c r="K15" s="17"/>
      <c r="L15" s="15">
        <f t="shared" ref="L15:L21" si="0">F15+H15+J15</f>
        <v>52631465.649999999</v>
      </c>
      <c r="M15" s="17"/>
      <c r="N15" s="17">
        <f>D15+L15</f>
        <v>1237247453.3799999</v>
      </c>
      <c r="O15" s="18"/>
    </row>
    <row r="16" spans="1:25" x14ac:dyDescent="0.2">
      <c r="C16" s="3" t="s">
        <v>19</v>
      </c>
      <c r="D16" s="17">
        <v>16594726.139999999</v>
      </c>
      <c r="E16" s="17"/>
      <c r="F16" s="15">
        <v>4012906.89</v>
      </c>
      <c r="G16" s="17"/>
      <c r="H16" s="15">
        <v>-575538.23</v>
      </c>
      <c r="I16" s="17"/>
      <c r="J16" s="15">
        <v>0</v>
      </c>
      <c r="K16" s="17"/>
      <c r="L16" s="15">
        <f t="shared" si="0"/>
        <v>3437368.66</v>
      </c>
      <c r="M16" s="17"/>
      <c r="N16" s="17">
        <f t="shared" ref="N16:N21" si="1">D16+L16</f>
        <v>20032094.799999997</v>
      </c>
      <c r="O16" s="18"/>
    </row>
    <row r="17" spans="2:16" x14ac:dyDescent="0.2">
      <c r="C17" s="3" t="s">
        <v>20</v>
      </c>
      <c r="D17" s="17">
        <v>61999974.369999997</v>
      </c>
      <c r="E17" s="17"/>
      <c r="F17" s="15">
        <v>520582.75000000006</v>
      </c>
      <c r="G17" s="17"/>
      <c r="H17" s="15">
        <v>-135429.89000000001</v>
      </c>
      <c r="I17" s="17"/>
      <c r="J17" s="15">
        <v>208841.18</v>
      </c>
      <c r="K17" s="17"/>
      <c r="L17" s="15">
        <f t="shared" si="0"/>
        <v>593994.04</v>
      </c>
      <c r="M17" s="17"/>
      <c r="N17" s="17">
        <f t="shared" si="1"/>
        <v>62593968.409999996</v>
      </c>
      <c r="O17" s="18"/>
    </row>
    <row r="18" spans="2:16" x14ac:dyDescent="0.2">
      <c r="C18" s="3" t="s">
        <v>21</v>
      </c>
      <c r="D18" s="17">
        <v>2240.29</v>
      </c>
      <c r="E18" s="17"/>
      <c r="F18" s="15">
        <v>0</v>
      </c>
      <c r="G18" s="17"/>
      <c r="H18" s="15">
        <v>0</v>
      </c>
      <c r="I18" s="17"/>
      <c r="J18" s="15">
        <v>0</v>
      </c>
      <c r="K18" s="17"/>
      <c r="L18" s="15">
        <f t="shared" si="0"/>
        <v>0</v>
      </c>
      <c r="M18" s="17"/>
      <c r="N18" s="17">
        <f t="shared" si="1"/>
        <v>2240.29</v>
      </c>
      <c r="O18" s="18"/>
    </row>
    <row r="19" spans="2:16" x14ac:dyDescent="0.2">
      <c r="C19" s="3" t="s">
        <v>22</v>
      </c>
      <c r="D19" s="17">
        <v>249304349.25</v>
      </c>
      <c r="E19" s="17"/>
      <c r="F19" s="15">
        <v>116222353.88</v>
      </c>
      <c r="G19" s="17"/>
      <c r="H19" s="15">
        <v>-290230.69</v>
      </c>
      <c r="I19" s="17"/>
      <c r="J19" s="15">
        <v>-6164.22</v>
      </c>
      <c r="K19" s="17"/>
      <c r="L19" s="15">
        <f t="shared" si="0"/>
        <v>115925958.97</v>
      </c>
      <c r="M19" s="17"/>
      <c r="N19" s="17">
        <f t="shared" si="1"/>
        <v>365230308.22000003</v>
      </c>
      <c r="O19" s="18"/>
    </row>
    <row r="20" spans="2:16" x14ac:dyDescent="0.2">
      <c r="C20" s="3" t="s">
        <v>23</v>
      </c>
      <c r="D20" s="17">
        <v>1891259177.9799995</v>
      </c>
      <c r="E20" s="17"/>
      <c r="F20" s="15">
        <v>52347195.409999996</v>
      </c>
      <c r="G20" s="17"/>
      <c r="H20" s="15">
        <v>-74287530.469999999</v>
      </c>
      <c r="I20" s="17"/>
      <c r="J20" s="15">
        <v>-6429498.5099999979</v>
      </c>
      <c r="K20" s="17"/>
      <c r="L20" s="15">
        <f t="shared" si="0"/>
        <v>-28369833.57</v>
      </c>
      <c r="M20" s="17"/>
      <c r="N20" s="17">
        <f t="shared" si="1"/>
        <v>1862889344.4099996</v>
      </c>
      <c r="O20" s="18"/>
    </row>
    <row r="21" spans="2:16" x14ac:dyDescent="0.2">
      <c r="C21" s="3" t="s">
        <v>24</v>
      </c>
      <c r="D21" s="16">
        <v>344901134.29999995</v>
      </c>
      <c r="E21" s="17"/>
      <c r="F21" s="15">
        <v>67247167.210000008</v>
      </c>
      <c r="G21" s="17"/>
      <c r="H21" s="15">
        <v>-2416860.85</v>
      </c>
      <c r="I21" s="17"/>
      <c r="J21" s="15">
        <v>-255096.25</v>
      </c>
      <c r="K21" s="17"/>
      <c r="L21" s="15">
        <f t="shared" si="0"/>
        <v>64575210.110000007</v>
      </c>
      <c r="M21" s="17"/>
      <c r="N21" s="16">
        <f t="shared" si="1"/>
        <v>409476344.40999997</v>
      </c>
      <c r="O21" s="18"/>
    </row>
    <row r="22" spans="2:16" x14ac:dyDescent="0.2">
      <c r="C22" s="19"/>
      <c r="D22" s="17">
        <f>SUM(D15:D21)</f>
        <v>3748677590.0599995</v>
      </c>
      <c r="E22" s="17"/>
      <c r="F22" s="20">
        <f>SUM(F15:F21)</f>
        <v>303895323.94</v>
      </c>
      <c r="G22" s="17"/>
      <c r="H22" s="20">
        <f>SUM(H15:H21)</f>
        <v>-87908239.349999994</v>
      </c>
      <c r="I22" s="17"/>
      <c r="J22" s="20">
        <f>SUM(J15:J21)</f>
        <v>-7192920.7299999977</v>
      </c>
      <c r="K22" s="17"/>
      <c r="L22" s="20">
        <f>SUM(L15:L21)</f>
        <v>208794163.86000001</v>
      </c>
      <c r="M22" s="17"/>
      <c r="N22" s="17">
        <f>SUM(N15:N21)</f>
        <v>3957471753.9199991</v>
      </c>
      <c r="O22" s="18"/>
      <c r="P22" s="2" t="s">
        <v>25</v>
      </c>
    </row>
    <row r="23" spans="2:16" x14ac:dyDescent="0.2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2:16" x14ac:dyDescent="0.2">
      <c r="B24" s="10" t="s">
        <v>26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8"/>
    </row>
    <row r="25" spans="2:16" x14ac:dyDescent="0.2">
      <c r="C25" s="3" t="s">
        <v>27</v>
      </c>
      <c r="D25" s="15">
        <v>772884014.25000012</v>
      </c>
      <c r="E25" s="15"/>
      <c r="F25" s="15">
        <v>68624398.479999989</v>
      </c>
      <c r="G25" s="15"/>
      <c r="H25" s="15">
        <v>-8979143.2100000009</v>
      </c>
      <c r="I25" s="15"/>
      <c r="J25" s="15">
        <v>1579200.38</v>
      </c>
      <c r="K25" s="15"/>
      <c r="L25" s="15">
        <f>F25+H25+J25</f>
        <v>61224455.649999991</v>
      </c>
      <c r="M25" s="15"/>
      <c r="N25" s="15">
        <f>D25+L25</f>
        <v>834108469.9000001</v>
      </c>
      <c r="O25" s="8"/>
    </row>
    <row r="26" spans="2:16" x14ac:dyDescent="0.2">
      <c r="C26" s="3" t="s">
        <v>28</v>
      </c>
      <c r="D26" s="15">
        <v>10897454.559999999</v>
      </c>
      <c r="E26" s="15"/>
      <c r="F26" s="15">
        <v>1120262.17</v>
      </c>
      <c r="G26" s="15"/>
      <c r="H26" s="15">
        <v>-421851.46</v>
      </c>
      <c r="I26" s="15"/>
      <c r="J26" s="15">
        <v>3657</v>
      </c>
      <c r="K26" s="15"/>
      <c r="L26" s="15">
        <f>F26+H26+J26</f>
        <v>702067.71</v>
      </c>
      <c r="M26" s="15"/>
      <c r="N26" s="15">
        <f>D26+L26</f>
        <v>11599522.27</v>
      </c>
      <c r="O26" s="8"/>
    </row>
    <row r="27" spans="2:16" x14ac:dyDescent="0.2">
      <c r="C27" s="3" t="s">
        <v>29</v>
      </c>
      <c r="D27" s="15">
        <v>387.49</v>
      </c>
      <c r="E27" s="15"/>
      <c r="F27" s="15">
        <v>0</v>
      </c>
      <c r="G27" s="15"/>
      <c r="H27" s="15">
        <v>0</v>
      </c>
      <c r="I27" s="15"/>
      <c r="J27" s="15">
        <v>0</v>
      </c>
      <c r="K27" s="15"/>
      <c r="L27" s="15">
        <f>F27+H27+J27</f>
        <v>0</v>
      </c>
      <c r="M27" s="15"/>
      <c r="N27" s="15">
        <f>D27+L27</f>
        <v>387.49</v>
      </c>
      <c r="O27" s="8"/>
    </row>
    <row r="28" spans="2:16" x14ac:dyDescent="0.2">
      <c r="C28" s="3" t="s">
        <v>30</v>
      </c>
      <c r="D28" s="15">
        <v>134080726.66999999</v>
      </c>
      <c r="E28" s="15"/>
      <c r="F28" s="15">
        <v>10195810.92</v>
      </c>
      <c r="G28" s="15"/>
      <c r="H28" s="15">
        <v>-508478.85</v>
      </c>
      <c r="I28" s="15"/>
      <c r="J28" s="15">
        <v>746762.26</v>
      </c>
      <c r="K28" s="15"/>
      <c r="L28" s="15">
        <f>F28+H28+J28</f>
        <v>10434094.33</v>
      </c>
      <c r="M28" s="15"/>
      <c r="N28" s="15">
        <f>D28+L28</f>
        <v>144514821</v>
      </c>
      <c r="O28" s="8"/>
    </row>
    <row r="29" spans="2:16" x14ac:dyDescent="0.2">
      <c r="C29" s="3" t="s">
        <v>31</v>
      </c>
      <c r="D29" s="16">
        <v>48756971.340000004</v>
      </c>
      <c r="E29" s="15"/>
      <c r="F29" s="16">
        <v>695631.62</v>
      </c>
      <c r="G29" s="15"/>
      <c r="H29" s="16">
        <v>-91842.93</v>
      </c>
      <c r="I29" s="15"/>
      <c r="J29" s="15">
        <v>-1269</v>
      </c>
      <c r="K29" s="15"/>
      <c r="L29" s="15">
        <f>F29+H29+J29</f>
        <v>602519.68999999994</v>
      </c>
      <c r="M29" s="15"/>
      <c r="N29" s="16">
        <f>D29+L29</f>
        <v>49359491.030000001</v>
      </c>
      <c r="O29" s="8"/>
    </row>
    <row r="30" spans="2:16" x14ac:dyDescent="0.2">
      <c r="C30" s="19"/>
      <c r="D30" s="17">
        <f>SUM(D25:D29)</f>
        <v>966619554.31000006</v>
      </c>
      <c r="E30" s="17"/>
      <c r="F30" s="17">
        <f>SUM(F25:F29)</f>
        <v>80636103.189999998</v>
      </c>
      <c r="G30" s="17"/>
      <c r="H30" s="17">
        <f>SUM(H25:H29)</f>
        <v>-10001316.450000001</v>
      </c>
      <c r="I30" s="17"/>
      <c r="J30" s="20">
        <f>SUM(J25:J29)</f>
        <v>2328350.6399999997</v>
      </c>
      <c r="K30" s="17"/>
      <c r="L30" s="20">
        <f>SUM(L25:L29)</f>
        <v>72963137.379999995</v>
      </c>
      <c r="M30" s="17"/>
      <c r="N30" s="17">
        <f>SUM(N25:N29)</f>
        <v>1039582691.6900001</v>
      </c>
      <c r="O30" s="8"/>
      <c r="P30" s="2" t="s">
        <v>32</v>
      </c>
    </row>
    <row r="31" spans="2:16" x14ac:dyDescent="0.2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</row>
    <row r="32" spans="2:16" x14ac:dyDescent="0.2">
      <c r="C32" s="10" t="s">
        <v>33</v>
      </c>
      <c r="D32" s="21">
        <f>D12+D22+D30</f>
        <v>4959059890.0799999</v>
      </c>
      <c r="E32" s="15"/>
      <c r="F32" s="21">
        <f>F12+F22+F30</f>
        <v>410310182.45999998</v>
      </c>
      <c r="G32" s="15"/>
      <c r="H32" s="21">
        <f>H12+H22+H30</f>
        <v>-125378164.89</v>
      </c>
      <c r="I32" s="15"/>
      <c r="J32" s="21">
        <f>J12+J22+J30</f>
        <v>-4879461.8499999978</v>
      </c>
      <c r="K32" s="15"/>
      <c r="L32" s="21">
        <f>L12+L22+L30</f>
        <v>280052555.72000003</v>
      </c>
      <c r="M32" s="15"/>
      <c r="N32" s="21">
        <f>N12+N22+N30</f>
        <v>5239112445.7999992</v>
      </c>
      <c r="O32" s="8"/>
    </row>
    <row r="33" spans="1:15" x14ac:dyDescent="0.2">
      <c r="C33" s="10"/>
      <c r="D33" s="17"/>
      <c r="E33" s="15"/>
      <c r="F33" s="17"/>
      <c r="G33" s="15"/>
      <c r="H33" s="17"/>
      <c r="I33" s="15"/>
      <c r="J33" s="17"/>
      <c r="K33" s="15"/>
      <c r="L33" s="17"/>
      <c r="M33" s="15"/>
      <c r="N33" s="17"/>
      <c r="O33" s="8"/>
    </row>
    <row r="34" spans="1:15" x14ac:dyDescent="0.2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/>
    </row>
    <row r="35" spans="1:15" x14ac:dyDescent="0.2">
      <c r="A35" s="14">
        <v>101.1</v>
      </c>
      <c r="B35" s="10" t="s">
        <v>34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/>
    </row>
    <row r="36" spans="1:15" x14ac:dyDescent="0.2">
      <c r="B36" s="10" t="s">
        <v>17</v>
      </c>
      <c r="C36" s="3" t="s">
        <v>35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8"/>
    </row>
    <row r="37" spans="1:15" x14ac:dyDescent="0.2">
      <c r="C37" s="3" t="s">
        <v>23</v>
      </c>
      <c r="D37" s="16">
        <v>0</v>
      </c>
      <c r="E37" s="15"/>
      <c r="F37" s="16">
        <v>0</v>
      </c>
      <c r="G37" s="15"/>
      <c r="H37" s="16">
        <v>0</v>
      </c>
      <c r="I37" s="15"/>
      <c r="J37" s="16">
        <v>0</v>
      </c>
      <c r="K37" s="15"/>
      <c r="L37" s="16">
        <f>F37+H37+J37</f>
        <v>0</v>
      </c>
      <c r="M37" s="15"/>
      <c r="N37" s="16">
        <f>D37+L37</f>
        <v>0</v>
      </c>
      <c r="O37" s="8"/>
    </row>
    <row r="38" spans="1:15" x14ac:dyDescent="0.2">
      <c r="C38" s="19"/>
      <c r="D38" s="17">
        <f>SUM(D37)</f>
        <v>0</v>
      </c>
      <c r="E38" s="17"/>
      <c r="F38" s="17">
        <f>SUM(F37)</f>
        <v>0</v>
      </c>
      <c r="G38" s="17"/>
      <c r="H38" s="17">
        <f>SUM(H37)</f>
        <v>0</v>
      </c>
      <c r="I38" s="17"/>
      <c r="J38" s="17">
        <f>SUM(J37)</f>
        <v>0</v>
      </c>
      <c r="K38" s="17"/>
      <c r="L38" s="17">
        <f>SUM(L37)</f>
        <v>0</v>
      </c>
      <c r="M38" s="17"/>
      <c r="N38" s="17">
        <f>SUM(N37)</f>
        <v>0</v>
      </c>
      <c r="O38" s="8"/>
    </row>
    <row r="39" spans="1:15" x14ac:dyDescent="0.2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8"/>
    </row>
    <row r="40" spans="1:15" x14ac:dyDescent="0.2">
      <c r="C40" s="10" t="s">
        <v>36</v>
      </c>
      <c r="D40" s="21">
        <f>D38</f>
        <v>0</v>
      </c>
      <c r="E40" s="15"/>
      <c r="F40" s="21">
        <f>F38</f>
        <v>0</v>
      </c>
      <c r="G40" s="15"/>
      <c r="H40" s="21">
        <f>H38</f>
        <v>0</v>
      </c>
      <c r="I40" s="15"/>
      <c r="J40" s="21">
        <f>J38</f>
        <v>0</v>
      </c>
      <c r="K40" s="15"/>
      <c r="L40" s="21">
        <f>L38</f>
        <v>0</v>
      </c>
      <c r="M40" s="15"/>
      <c r="N40" s="21">
        <f>N38</f>
        <v>0</v>
      </c>
      <c r="O40" s="8"/>
    </row>
    <row r="41" spans="1:15" x14ac:dyDescent="0.2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/>
    </row>
    <row r="42" spans="1:15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8"/>
    </row>
    <row r="43" spans="1:15" x14ac:dyDescent="0.2">
      <c r="A43" s="14">
        <v>102</v>
      </c>
      <c r="B43" s="10" t="s">
        <v>37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/>
    </row>
    <row r="44" spans="1:15" x14ac:dyDescent="0.2">
      <c r="B44" s="10" t="s">
        <v>17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/>
    </row>
    <row r="45" spans="1:15" x14ac:dyDescent="0.2">
      <c r="C45" s="3" t="s">
        <v>23</v>
      </c>
      <c r="D45" s="16">
        <v>0</v>
      </c>
      <c r="E45" s="17"/>
      <c r="F45" s="16">
        <v>0</v>
      </c>
      <c r="G45" s="17"/>
      <c r="H45" s="16">
        <v>0</v>
      </c>
      <c r="I45" s="17"/>
      <c r="J45" s="16">
        <v>-76448.429999999993</v>
      </c>
      <c r="K45" s="17"/>
      <c r="L45" s="16">
        <f>F45+H45+J45</f>
        <v>-76448.429999999993</v>
      </c>
      <c r="M45" s="17"/>
      <c r="N45" s="16">
        <f>D45+L45</f>
        <v>-76448.429999999993</v>
      </c>
      <c r="O45" s="8"/>
    </row>
    <row r="46" spans="1:15" x14ac:dyDescent="0.2">
      <c r="C46" s="19"/>
      <c r="D46" s="17">
        <f>SUM(D45:D45)</f>
        <v>0</v>
      </c>
      <c r="E46" s="17"/>
      <c r="F46" s="17">
        <f>SUM(F45)</f>
        <v>0</v>
      </c>
      <c r="G46" s="17"/>
      <c r="H46" s="17">
        <f>SUM(H45)</f>
        <v>0</v>
      </c>
      <c r="I46" s="17"/>
      <c r="J46" s="17">
        <f>SUM(J45)</f>
        <v>-76448.429999999993</v>
      </c>
      <c r="K46" s="17"/>
      <c r="L46" s="17">
        <f>SUM(L45)</f>
        <v>-76448.429999999993</v>
      </c>
      <c r="M46" s="17"/>
      <c r="N46" s="17">
        <f>SUM(N45:N45)</f>
        <v>-76448.429999999993</v>
      </c>
      <c r="O46" s="8"/>
    </row>
    <row r="47" spans="1:15" x14ac:dyDescent="0.2">
      <c r="B47" s="10" t="s">
        <v>13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8"/>
    </row>
    <row r="48" spans="1:15" x14ac:dyDescent="0.2">
      <c r="C48" s="22" t="s">
        <v>14</v>
      </c>
      <c r="D48" s="17">
        <v>0</v>
      </c>
      <c r="E48" s="17"/>
      <c r="F48" s="17">
        <v>0</v>
      </c>
      <c r="G48" s="17"/>
      <c r="H48" s="17">
        <v>0</v>
      </c>
      <c r="I48" s="17"/>
      <c r="J48" s="16">
        <f>200871.91-200871.91</f>
        <v>0</v>
      </c>
      <c r="K48" s="17"/>
      <c r="L48" s="16">
        <f>F48+H48+J48</f>
        <v>0</v>
      </c>
      <c r="M48" s="17"/>
      <c r="N48" s="16">
        <f>D48+L48</f>
        <v>0</v>
      </c>
      <c r="O48" s="8"/>
    </row>
    <row r="49" spans="1:16" x14ac:dyDescent="0.2">
      <c r="C49" s="19"/>
      <c r="D49" s="20">
        <f>SUM(D48)</f>
        <v>0</v>
      </c>
      <c r="E49" s="17"/>
      <c r="F49" s="20">
        <f>SUM(F48)</f>
        <v>0</v>
      </c>
      <c r="G49" s="17"/>
      <c r="H49" s="20">
        <f>SUM(H48)</f>
        <v>0</v>
      </c>
      <c r="I49" s="17"/>
      <c r="J49" s="20">
        <f>SUM(J48)</f>
        <v>0</v>
      </c>
      <c r="K49" s="17"/>
      <c r="L49" s="20">
        <f>SUM(L48)</f>
        <v>0</v>
      </c>
      <c r="M49" s="17"/>
      <c r="N49" s="20">
        <f>SUM(N48)</f>
        <v>0</v>
      </c>
      <c r="O49" s="8"/>
    </row>
    <row r="50" spans="1:16" x14ac:dyDescent="0.2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8"/>
    </row>
    <row r="51" spans="1:16" x14ac:dyDescent="0.2">
      <c r="C51" s="10" t="s">
        <v>38</v>
      </c>
      <c r="D51" s="21">
        <f>D49+D46</f>
        <v>0</v>
      </c>
      <c r="E51" s="15"/>
      <c r="F51" s="21">
        <f>F49+F46</f>
        <v>0</v>
      </c>
      <c r="G51" s="15"/>
      <c r="H51" s="21">
        <f>H49+H46</f>
        <v>0</v>
      </c>
      <c r="I51" s="15"/>
      <c r="J51" s="21">
        <f>J49+J46</f>
        <v>-76448.429999999993</v>
      </c>
      <c r="K51" s="15"/>
      <c r="L51" s="21">
        <f>L49+L46</f>
        <v>-76448.429999999993</v>
      </c>
      <c r="M51" s="15"/>
      <c r="N51" s="21">
        <f>N49+N46</f>
        <v>-76448.429999999993</v>
      </c>
      <c r="O51" s="8"/>
      <c r="P51" s="2" t="s">
        <v>39</v>
      </c>
    </row>
    <row r="52" spans="1:16" x14ac:dyDescent="0.2">
      <c r="C52" s="10"/>
      <c r="D52" s="17"/>
      <c r="E52" s="15"/>
      <c r="F52" s="17"/>
      <c r="G52" s="15"/>
      <c r="H52" s="17"/>
      <c r="I52" s="15"/>
      <c r="J52" s="17"/>
      <c r="K52" s="15"/>
      <c r="L52" s="17"/>
      <c r="M52" s="15"/>
      <c r="N52" s="17"/>
      <c r="O52" s="8"/>
    </row>
    <row r="53" spans="1:16" x14ac:dyDescent="0.2">
      <c r="C53" s="10"/>
      <c r="D53" s="17"/>
      <c r="E53" s="15"/>
      <c r="F53" s="17"/>
      <c r="G53" s="15"/>
      <c r="H53" s="17"/>
      <c r="I53" s="15"/>
      <c r="J53" s="17"/>
      <c r="K53" s="15"/>
      <c r="L53" s="17"/>
      <c r="M53" s="15"/>
      <c r="N53" s="17"/>
      <c r="O53" s="8"/>
    </row>
    <row r="54" spans="1:16" x14ac:dyDescent="0.2">
      <c r="A54" s="14">
        <v>105</v>
      </c>
      <c r="B54" s="10" t="s">
        <v>40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8"/>
    </row>
    <row r="55" spans="1:16" x14ac:dyDescent="0.2">
      <c r="B55" s="10" t="s">
        <v>41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8"/>
    </row>
    <row r="56" spans="1:16" x14ac:dyDescent="0.2">
      <c r="C56" s="3" t="s">
        <v>18</v>
      </c>
      <c r="D56" s="17">
        <v>1524686.9199999997</v>
      </c>
      <c r="E56" s="15"/>
      <c r="F56" s="17">
        <v>0</v>
      </c>
      <c r="G56" s="15"/>
      <c r="H56" s="17">
        <v>0</v>
      </c>
      <c r="I56" s="15"/>
      <c r="J56" s="17">
        <v>871644.37</v>
      </c>
      <c r="K56" s="15"/>
      <c r="L56" s="17">
        <f>F56+H56+J56</f>
        <v>871644.37</v>
      </c>
      <c r="M56" s="15"/>
      <c r="N56" s="17">
        <f>D56+L56</f>
        <v>2396331.2899999996</v>
      </c>
      <c r="O56" s="8"/>
    </row>
    <row r="57" spans="1:16" x14ac:dyDescent="0.2">
      <c r="C57" s="3" t="s">
        <v>22</v>
      </c>
      <c r="D57" s="17">
        <v>211409.5</v>
      </c>
      <c r="E57" s="15"/>
      <c r="F57" s="17">
        <v>0</v>
      </c>
      <c r="G57" s="15"/>
      <c r="H57" s="17">
        <v>0</v>
      </c>
      <c r="I57" s="15"/>
      <c r="J57" s="17">
        <v>0</v>
      </c>
      <c r="K57" s="15"/>
      <c r="L57" s="17"/>
      <c r="M57" s="15"/>
      <c r="N57" s="17">
        <f>D57+L57</f>
        <v>211409.5</v>
      </c>
      <c r="O57" s="8"/>
    </row>
    <row r="58" spans="1:16" x14ac:dyDescent="0.2">
      <c r="C58" s="3" t="s">
        <v>23</v>
      </c>
      <c r="D58" s="16">
        <v>3612188.67</v>
      </c>
      <c r="E58" s="17"/>
      <c r="F58" s="17">
        <v>0</v>
      </c>
      <c r="G58" s="17"/>
      <c r="H58" s="17">
        <v>0</v>
      </c>
      <c r="I58" s="17"/>
      <c r="J58" s="17">
        <v>-3612188.67</v>
      </c>
      <c r="K58" s="17"/>
      <c r="L58" s="17">
        <f>F58+H58+J58</f>
        <v>-3612188.67</v>
      </c>
      <c r="M58" s="17"/>
      <c r="N58" s="16">
        <f>D58+L58</f>
        <v>0</v>
      </c>
      <c r="O58" s="8"/>
    </row>
    <row r="59" spans="1:16" x14ac:dyDescent="0.2">
      <c r="C59" s="19"/>
      <c r="D59" s="17">
        <f>SUM(D56:D58)</f>
        <v>5348285.09</v>
      </c>
      <c r="E59" s="17"/>
      <c r="F59" s="20">
        <f>SUM(F56:F58)</f>
        <v>0</v>
      </c>
      <c r="G59" s="17"/>
      <c r="H59" s="20">
        <f>SUM(H56:H58)</f>
        <v>0</v>
      </c>
      <c r="I59" s="17"/>
      <c r="J59" s="20">
        <f>SUM(J56:J58)</f>
        <v>-2740544.3</v>
      </c>
      <c r="K59" s="17"/>
      <c r="L59" s="20">
        <f>SUM(L56:L58)</f>
        <v>-2740544.3</v>
      </c>
      <c r="M59" s="17"/>
      <c r="N59" s="17">
        <f>SUM(N56:N58)</f>
        <v>2607740.7899999996</v>
      </c>
      <c r="O59" s="8"/>
    </row>
    <row r="60" spans="1:16" x14ac:dyDescent="0.2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8"/>
    </row>
    <row r="61" spans="1:16" x14ac:dyDescent="0.2">
      <c r="B61" s="10" t="s">
        <v>42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8"/>
    </row>
    <row r="62" spans="1:16" x14ac:dyDescent="0.2">
      <c r="C62" s="3" t="s">
        <v>18</v>
      </c>
      <c r="D62" s="15">
        <v>519009.11</v>
      </c>
      <c r="E62" s="15"/>
      <c r="F62" s="17">
        <v>0</v>
      </c>
      <c r="G62" s="15"/>
      <c r="H62" s="17">
        <v>0</v>
      </c>
      <c r="I62" s="15"/>
      <c r="J62" s="17">
        <v>0</v>
      </c>
      <c r="K62" s="15"/>
      <c r="L62" s="17">
        <f>F62+H62+J62</f>
        <v>0</v>
      </c>
      <c r="M62" s="15"/>
      <c r="N62" s="17">
        <f>D62+L62</f>
        <v>519009.11</v>
      </c>
      <c r="O62" s="8"/>
    </row>
    <row r="63" spans="1:16" x14ac:dyDescent="0.2">
      <c r="C63" s="3" t="s">
        <v>23</v>
      </c>
      <c r="D63" s="16">
        <v>0</v>
      </c>
      <c r="E63" s="17"/>
      <c r="F63" s="17">
        <v>0</v>
      </c>
      <c r="G63" s="17"/>
      <c r="H63" s="16">
        <v>0</v>
      </c>
      <c r="I63" s="17"/>
      <c r="J63" s="17">
        <v>0</v>
      </c>
      <c r="K63" s="17"/>
      <c r="L63" s="16">
        <f>F63+H63+J63</f>
        <v>0</v>
      </c>
      <c r="M63" s="17"/>
      <c r="N63" s="16">
        <f>D63+L63</f>
        <v>0</v>
      </c>
      <c r="O63" s="8"/>
    </row>
    <row r="64" spans="1:16" x14ac:dyDescent="0.2">
      <c r="C64" s="19"/>
      <c r="D64" s="17">
        <f>SUM(D62:D63)</f>
        <v>519009.11</v>
      </c>
      <c r="E64" s="17"/>
      <c r="F64" s="20">
        <f>SUM(F62:F63)</f>
        <v>0</v>
      </c>
      <c r="G64" s="17"/>
      <c r="H64" s="17">
        <f>SUM(H62:H63)</f>
        <v>0</v>
      </c>
      <c r="I64" s="17"/>
      <c r="J64" s="20">
        <f>SUM(J62:J63)</f>
        <v>0</v>
      </c>
      <c r="K64" s="17"/>
      <c r="L64" s="17">
        <f>SUM(L62:L63)</f>
        <v>0</v>
      </c>
      <c r="M64" s="17"/>
      <c r="N64" s="17">
        <f>SUM(N62:N63)</f>
        <v>519009.11</v>
      </c>
      <c r="O64" s="8"/>
    </row>
    <row r="65" spans="1:16" x14ac:dyDescent="0.2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8"/>
    </row>
    <row r="66" spans="1:16" x14ac:dyDescent="0.2">
      <c r="B66" s="10" t="s">
        <v>17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8"/>
    </row>
    <row r="67" spans="1:16" x14ac:dyDescent="0.2">
      <c r="C67" s="3" t="s">
        <v>18</v>
      </c>
      <c r="D67" s="15">
        <f>+D56+D62</f>
        <v>2043696.0299999998</v>
      </c>
      <c r="E67" s="15"/>
      <c r="F67" s="17">
        <f>F56+F62</f>
        <v>0</v>
      </c>
      <c r="G67" s="15"/>
      <c r="H67" s="17">
        <f>H56+H62</f>
        <v>0</v>
      </c>
      <c r="I67" s="15"/>
      <c r="J67" s="17">
        <f>J56+J62</f>
        <v>871644.37</v>
      </c>
      <c r="K67" s="15"/>
      <c r="L67" s="17">
        <f>F67+H67+J67</f>
        <v>871644.37</v>
      </c>
      <c r="M67" s="15"/>
      <c r="N67" s="17">
        <f>D67+L67</f>
        <v>2915340.4</v>
      </c>
      <c r="O67" s="8"/>
    </row>
    <row r="68" spans="1:16" x14ac:dyDescent="0.2">
      <c r="C68" s="3" t="s">
        <v>22</v>
      </c>
      <c r="D68" s="15">
        <f>+D57+D63</f>
        <v>211409.5</v>
      </c>
      <c r="E68" s="15"/>
      <c r="F68" s="17">
        <f>F57+F63</f>
        <v>0</v>
      </c>
      <c r="G68" s="15"/>
      <c r="H68" s="17">
        <f>H57+H63</f>
        <v>0</v>
      </c>
      <c r="I68" s="15"/>
      <c r="J68" s="17">
        <f>J57+J63</f>
        <v>0</v>
      </c>
      <c r="K68" s="15"/>
      <c r="L68" s="17">
        <f>F68+H68+J68</f>
        <v>0</v>
      </c>
      <c r="M68" s="15"/>
      <c r="N68" s="17">
        <f>D68+L68</f>
        <v>211409.5</v>
      </c>
      <c r="O68" s="17"/>
    </row>
    <row r="69" spans="1:16" x14ac:dyDescent="0.2">
      <c r="C69" s="3" t="s">
        <v>23</v>
      </c>
      <c r="D69" s="16">
        <f>+D58+D63</f>
        <v>3612188.67</v>
      </c>
      <c r="E69" s="17"/>
      <c r="F69" s="16">
        <f>F58+F63</f>
        <v>0</v>
      </c>
      <c r="G69" s="17"/>
      <c r="H69" s="16">
        <f>H58+H63</f>
        <v>0</v>
      </c>
      <c r="I69" s="17"/>
      <c r="J69" s="16">
        <f>J58+J63</f>
        <v>-3612188.67</v>
      </c>
      <c r="K69" s="17"/>
      <c r="L69" s="16">
        <f>F69+H69+J69</f>
        <v>-3612188.67</v>
      </c>
      <c r="M69" s="17"/>
      <c r="N69" s="16">
        <f>D69+L69</f>
        <v>0</v>
      </c>
      <c r="O69" s="8"/>
    </row>
    <row r="70" spans="1:16" x14ac:dyDescent="0.2">
      <c r="C70" s="19"/>
      <c r="D70" s="17">
        <f>SUM(D67:D69)</f>
        <v>5867294.1999999993</v>
      </c>
      <c r="E70" s="17"/>
      <c r="F70" s="17">
        <f>SUM(F67:F69)</f>
        <v>0</v>
      </c>
      <c r="G70" s="17"/>
      <c r="H70" s="17">
        <f>SUM(H67:H69)</f>
        <v>0</v>
      </c>
      <c r="I70" s="17"/>
      <c r="J70" s="17">
        <f>SUM(J67:J69)</f>
        <v>-2740544.3</v>
      </c>
      <c r="K70" s="17"/>
      <c r="L70" s="17">
        <f>SUM(L67:L69)</f>
        <v>-2740544.3</v>
      </c>
      <c r="M70" s="17"/>
      <c r="N70" s="17">
        <f>SUM(N67:N69)</f>
        <v>3126749.9</v>
      </c>
      <c r="O70" s="8"/>
      <c r="P70" s="2" t="s">
        <v>43</v>
      </c>
    </row>
    <row r="71" spans="1:16" x14ac:dyDescent="0.2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8"/>
    </row>
    <row r="72" spans="1:16" x14ac:dyDescent="0.2">
      <c r="C72" s="10" t="s">
        <v>44</v>
      </c>
      <c r="D72" s="21">
        <f>D70</f>
        <v>5867294.1999999993</v>
      </c>
      <c r="E72" s="15"/>
      <c r="F72" s="21">
        <f>F70</f>
        <v>0</v>
      </c>
      <c r="G72" s="15"/>
      <c r="H72" s="21">
        <f>H70</f>
        <v>0</v>
      </c>
      <c r="I72" s="15"/>
      <c r="J72" s="21">
        <f>J70</f>
        <v>-2740544.3</v>
      </c>
      <c r="K72" s="15"/>
      <c r="L72" s="21">
        <f>L70</f>
        <v>-2740544.3</v>
      </c>
      <c r="M72" s="15"/>
      <c r="N72" s="21">
        <f>N70</f>
        <v>3126749.9</v>
      </c>
      <c r="O72" s="8"/>
    </row>
    <row r="73" spans="1:16" x14ac:dyDescent="0.2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8"/>
    </row>
    <row r="74" spans="1:16" x14ac:dyDescent="0.2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8"/>
    </row>
    <row r="75" spans="1:16" x14ac:dyDescent="0.2">
      <c r="A75" s="14">
        <v>106</v>
      </c>
      <c r="B75" s="10" t="s">
        <v>45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8"/>
    </row>
    <row r="76" spans="1:16" x14ac:dyDescent="0.2">
      <c r="B76" s="10" t="s">
        <v>13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8"/>
    </row>
    <row r="77" spans="1:16" x14ac:dyDescent="0.2">
      <c r="C77" s="3" t="s">
        <v>14</v>
      </c>
      <c r="D77" s="15">
        <v>12650670.82</v>
      </c>
      <c r="E77" s="15"/>
      <c r="F77" s="17">
        <v>-2835991.88</v>
      </c>
      <c r="G77" s="15"/>
      <c r="H77" s="17">
        <v>0</v>
      </c>
      <c r="I77" s="15"/>
      <c r="J77" s="17">
        <v>0</v>
      </c>
      <c r="K77" s="15"/>
      <c r="L77" s="15">
        <f>F77+H77+J77</f>
        <v>-2835991.88</v>
      </c>
      <c r="M77" s="15"/>
      <c r="N77" s="15">
        <f>D77+L77</f>
        <v>9814678.9400000013</v>
      </c>
      <c r="O77" s="8"/>
    </row>
    <row r="78" spans="1:16" x14ac:dyDescent="0.2">
      <c r="C78" s="3" t="s">
        <v>15</v>
      </c>
      <c r="D78" s="16">
        <v>9530107.7699999958</v>
      </c>
      <c r="E78" s="17"/>
      <c r="F78" s="16">
        <v>-1798505.14</v>
      </c>
      <c r="G78" s="17"/>
      <c r="H78" s="16">
        <v>0</v>
      </c>
      <c r="I78" s="17"/>
      <c r="J78" s="16">
        <v>0</v>
      </c>
      <c r="K78" s="17"/>
      <c r="L78" s="16">
        <f>F78+H78+J78</f>
        <v>-1798505.14</v>
      </c>
      <c r="M78" s="17"/>
      <c r="N78" s="16">
        <f>D78+L78</f>
        <v>7731602.6299999962</v>
      </c>
      <c r="O78" s="18"/>
    </row>
    <row r="79" spans="1:16" x14ac:dyDescent="0.2">
      <c r="C79" s="19"/>
      <c r="D79" s="17">
        <f>D77+D78</f>
        <v>22180778.589999996</v>
      </c>
      <c r="E79" s="17"/>
      <c r="F79" s="17">
        <f>F77+F78</f>
        <v>-4634497.0199999996</v>
      </c>
      <c r="G79" s="17"/>
      <c r="H79" s="17">
        <f>H77+H78</f>
        <v>0</v>
      </c>
      <c r="I79" s="17"/>
      <c r="J79" s="17">
        <f>J77+J78</f>
        <v>0</v>
      </c>
      <c r="K79" s="17"/>
      <c r="L79" s="17">
        <f>L77+L78</f>
        <v>-4634497.0199999996</v>
      </c>
      <c r="M79" s="17"/>
      <c r="N79" s="17">
        <f>N77+N78</f>
        <v>17546281.569999997</v>
      </c>
      <c r="O79" s="18"/>
      <c r="P79" s="2" t="s">
        <v>46</v>
      </c>
    </row>
    <row r="80" spans="1:16" x14ac:dyDescent="0.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/>
    </row>
    <row r="81" spans="2:16" x14ac:dyDescent="0.2">
      <c r="B81" s="10" t="s">
        <v>17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/>
    </row>
    <row r="82" spans="2:16" x14ac:dyDescent="0.2">
      <c r="C82" s="3" t="s">
        <v>18</v>
      </c>
      <c r="D82" s="17">
        <v>48240023.089999996</v>
      </c>
      <c r="E82" s="17"/>
      <c r="F82" s="17">
        <v>15044340.34</v>
      </c>
      <c r="G82" s="17"/>
      <c r="H82" s="17">
        <v>0</v>
      </c>
      <c r="I82" s="17"/>
      <c r="J82" s="17">
        <v>0</v>
      </c>
      <c r="K82" s="17"/>
      <c r="L82" s="17">
        <f t="shared" ref="L82:L88" si="2">F82+H82+J82</f>
        <v>15044340.34</v>
      </c>
      <c r="M82" s="17"/>
      <c r="N82" s="17">
        <f t="shared" ref="N82:N88" si="3">D82+L82</f>
        <v>63284363.429999992</v>
      </c>
      <c r="O82" s="18"/>
    </row>
    <row r="83" spans="2:16" x14ac:dyDescent="0.2">
      <c r="C83" s="3" t="s">
        <v>19</v>
      </c>
      <c r="D83" s="17">
        <v>1057029.6100000001</v>
      </c>
      <c r="E83" s="17"/>
      <c r="F83" s="17">
        <v>-381797.44</v>
      </c>
      <c r="G83" s="17"/>
      <c r="H83" s="17">
        <v>0</v>
      </c>
      <c r="I83" s="17"/>
      <c r="J83" s="17">
        <v>0</v>
      </c>
      <c r="K83" s="17"/>
      <c r="L83" s="17">
        <f t="shared" si="2"/>
        <v>-381797.44</v>
      </c>
      <c r="M83" s="17"/>
      <c r="N83" s="17">
        <f t="shared" si="3"/>
        <v>675232.17000000016</v>
      </c>
      <c r="O83" s="18"/>
    </row>
    <row r="84" spans="2:16" x14ac:dyDescent="0.2">
      <c r="C84" s="3" t="s">
        <v>20</v>
      </c>
      <c r="D84" s="17">
        <v>34725650.390000015</v>
      </c>
      <c r="E84" s="17"/>
      <c r="F84" s="17">
        <v>30173295.620000001</v>
      </c>
      <c r="G84" s="17"/>
      <c r="H84" s="17">
        <v>0</v>
      </c>
      <c r="I84" s="17"/>
      <c r="J84" s="17">
        <v>0</v>
      </c>
      <c r="K84" s="17"/>
      <c r="L84" s="17">
        <f t="shared" si="2"/>
        <v>30173295.620000001</v>
      </c>
      <c r="M84" s="17"/>
      <c r="N84" s="17">
        <f t="shared" si="3"/>
        <v>64898946.01000002</v>
      </c>
      <c r="O84" s="18"/>
    </row>
    <row r="85" spans="2:16" x14ac:dyDescent="0.2">
      <c r="C85" s="3" t="s">
        <v>21</v>
      </c>
      <c r="D85" s="17">
        <v>0</v>
      </c>
      <c r="E85" s="17"/>
      <c r="F85" s="17">
        <v>0</v>
      </c>
      <c r="G85" s="17"/>
      <c r="H85" s="17">
        <v>0</v>
      </c>
      <c r="I85" s="17"/>
      <c r="J85" s="17">
        <v>0</v>
      </c>
      <c r="K85" s="17"/>
      <c r="L85" s="17">
        <f t="shared" si="2"/>
        <v>0</v>
      </c>
      <c r="M85" s="17"/>
      <c r="N85" s="17">
        <f t="shared" si="3"/>
        <v>0</v>
      </c>
      <c r="O85" s="18"/>
    </row>
    <row r="86" spans="2:16" x14ac:dyDescent="0.2">
      <c r="C86" s="3" t="s">
        <v>22</v>
      </c>
      <c r="D86" s="17">
        <v>115979505.59</v>
      </c>
      <c r="E86" s="17"/>
      <c r="F86" s="17">
        <v>-96289973.980000004</v>
      </c>
      <c r="G86" s="17"/>
      <c r="H86" s="17">
        <v>0</v>
      </c>
      <c r="I86" s="17"/>
      <c r="J86" s="17">
        <v>0</v>
      </c>
      <c r="K86" s="17"/>
      <c r="L86" s="17">
        <f t="shared" si="2"/>
        <v>-96289973.980000004</v>
      </c>
      <c r="M86" s="17"/>
      <c r="N86" s="17">
        <f t="shared" si="3"/>
        <v>19689531.609999999</v>
      </c>
      <c r="O86" s="18"/>
    </row>
    <row r="87" spans="2:16" x14ac:dyDescent="0.2">
      <c r="C87" s="3" t="s">
        <v>23</v>
      </c>
      <c r="D87" s="17">
        <v>852418070.6400001</v>
      </c>
      <c r="E87" s="17"/>
      <c r="F87" s="17">
        <v>286545364.64999998</v>
      </c>
      <c r="G87" s="17"/>
      <c r="H87" s="17">
        <v>0</v>
      </c>
      <c r="I87" s="17"/>
      <c r="J87" s="17">
        <v>0</v>
      </c>
      <c r="K87" s="17"/>
      <c r="L87" s="17">
        <f>F87+H87+J87</f>
        <v>286545364.64999998</v>
      </c>
      <c r="M87" s="17"/>
      <c r="N87" s="17">
        <f t="shared" si="3"/>
        <v>1138963435.29</v>
      </c>
      <c r="O87" s="18"/>
    </row>
    <row r="88" spans="2:16" x14ac:dyDescent="0.2">
      <c r="C88" s="3" t="s">
        <v>24</v>
      </c>
      <c r="D88" s="16">
        <v>37368184.730000004</v>
      </c>
      <c r="E88" s="17"/>
      <c r="F88" s="16">
        <v>-21888665.84</v>
      </c>
      <c r="G88" s="17"/>
      <c r="H88" s="16">
        <v>0</v>
      </c>
      <c r="I88" s="17"/>
      <c r="J88" s="16">
        <v>0</v>
      </c>
      <c r="K88" s="17"/>
      <c r="L88" s="16">
        <f t="shared" si="2"/>
        <v>-21888665.84</v>
      </c>
      <c r="M88" s="17"/>
      <c r="N88" s="16">
        <f t="shared" si="3"/>
        <v>15479518.890000004</v>
      </c>
      <c r="O88" s="18"/>
    </row>
    <row r="89" spans="2:16" x14ac:dyDescent="0.2">
      <c r="C89" s="19"/>
      <c r="D89" s="17">
        <f>SUM(D82:D88)</f>
        <v>1089788464.0500002</v>
      </c>
      <c r="E89" s="17"/>
      <c r="F89" s="17">
        <f>SUM(F82:F88)</f>
        <v>213202563.34999996</v>
      </c>
      <c r="G89" s="17"/>
      <c r="H89" s="17">
        <f>SUM(H82:H88)</f>
        <v>0</v>
      </c>
      <c r="I89" s="17"/>
      <c r="J89" s="17">
        <f>SUM(J82:J88)</f>
        <v>0</v>
      </c>
      <c r="K89" s="17"/>
      <c r="L89" s="17">
        <f>SUM(L82:L88)</f>
        <v>213202563.34999996</v>
      </c>
      <c r="M89" s="17"/>
      <c r="N89" s="17">
        <f>SUM(N82:N88)</f>
        <v>1302991027.4000001</v>
      </c>
      <c r="O89" s="18"/>
      <c r="P89" s="2" t="s">
        <v>47</v>
      </c>
    </row>
    <row r="90" spans="2:16" x14ac:dyDescent="0.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8"/>
    </row>
    <row r="91" spans="2:16" x14ac:dyDescent="0.2">
      <c r="B91" s="10" t="s">
        <v>26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/>
    </row>
    <row r="92" spans="2:16" x14ac:dyDescent="0.2">
      <c r="C92" s="3" t="s">
        <v>27</v>
      </c>
      <c r="D92" s="15">
        <v>45485425.609999999</v>
      </c>
      <c r="E92" s="15"/>
      <c r="F92" s="17">
        <v>3881257.66</v>
      </c>
      <c r="G92" s="15"/>
      <c r="H92" s="17">
        <v>0</v>
      </c>
      <c r="I92" s="15"/>
      <c r="J92" s="17">
        <v>0</v>
      </c>
      <c r="K92" s="15"/>
      <c r="L92" s="17">
        <f>F92+H92+J92</f>
        <v>3881257.66</v>
      </c>
      <c r="M92" s="15"/>
      <c r="N92" s="15">
        <f>D92+L92</f>
        <v>49366683.269999996</v>
      </c>
      <c r="O92" s="8"/>
    </row>
    <row r="93" spans="2:16" x14ac:dyDescent="0.2">
      <c r="C93" s="3" t="s">
        <v>28</v>
      </c>
      <c r="D93" s="15">
        <v>167095.97000000003</v>
      </c>
      <c r="E93" s="15"/>
      <c r="F93" s="17">
        <v>334600.12</v>
      </c>
      <c r="G93" s="15"/>
      <c r="H93" s="17">
        <v>0</v>
      </c>
      <c r="I93" s="15"/>
      <c r="J93" s="17">
        <v>0</v>
      </c>
      <c r="K93" s="15"/>
      <c r="L93" s="17">
        <f>F93+H93+J93</f>
        <v>334600.12</v>
      </c>
      <c r="M93" s="15"/>
      <c r="N93" s="15">
        <f>D93+L93</f>
        <v>501696.09</v>
      </c>
      <c r="O93" s="8"/>
    </row>
    <row r="94" spans="2:16" x14ac:dyDescent="0.2">
      <c r="C94" s="3" t="s">
        <v>29</v>
      </c>
      <c r="D94" s="15">
        <v>0</v>
      </c>
      <c r="E94" s="15"/>
      <c r="F94" s="17">
        <v>0</v>
      </c>
      <c r="G94" s="15"/>
      <c r="H94" s="17">
        <v>0</v>
      </c>
      <c r="I94" s="15"/>
      <c r="J94" s="17">
        <v>0</v>
      </c>
      <c r="K94" s="15"/>
      <c r="L94" s="17">
        <f>F94+H94+J94</f>
        <v>0</v>
      </c>
      <c r="M94" s="15"/>
      <c r="N94" s="15">
        <f>D94+L94</f>
        <v>0</v>
      </c>
      <c r="O94" s="8"/>
    </row>
    <row r="95" spans="2:16" x14ac:dyDescent="0.2">
      <c r="C95" s="3" t="s">
        <v>30</v>
      </c>
      <c r="D95" s="15">
        <v>4875142.5600000024</v>
      </c>
      <c r="E95" s="15"/>
      <c r="F95" s="17">
        <v>10089948.83</v>
      </c>
      <c r="G95" s="15"/>
      <c r="H95" s="17">
        <v>0</v>
      </c>
      <c r="I95" s="15"/>
      <c r="J95" s="17">
        <v>0</v>
      </c>
      <c r="K95" s="15"/>
      <c r="L95" s="17">
        <f>F95+H95+J95</f>
        <v>10089948.83</v>
      </c>
      <c r="M95" s="15"/>
      <c r="N95" s="15">
        <f>D95+L95</f>
        <v>14965091.390000002</v>
      </c>
      <c r="O95" s="8"/>
    </row>
    <row r="96" spans="2:16" x14ac:dyDescent="0.2">
      <c r="C96" s="3" t="s">
        <v>31</v>
      </c>
      <c r="D96" s="16">
        <v>4015859.2299999995</v>
      </c>
      <c r="E96" s="15"/>
      <c r="F96" s="16">
        <v>1679741.45</v>
      </c>
      <c r="G96" s="15"/>
      <c r="H96" s="16">
        <v>0</v>
      </c>
      <c r="I96" s="15"/>
      <c r="J96" s="16">
        <v>0</v>
      </c>
      <c r="K96" s="15"/>
      <c r="L96" s="17">
        <f>F96+H96+J96</f>
        <v>1679741.45</v>
      </c>
      <c r="M96" s="15"/>
      <c r="N96" s="16">
        <f>D96+L96</f>
        <v>5695600.6799999997</v>
      </c>
      <c r="O96" s="8"/>
    </row>
    <row r="97" spans="1:16" x14ac:dyDescent="0.2">
      <c r="C97" s="19"/>
      <c r="D97" s="17">
        <f>SUM(D92:D96)</f>
        <v>54543523.369999997</v>
      </c>
      <c r="E97" s="17"/>
      <c r="F97" s="17">
        <f>SUM(F92:F96)</f>
        <v>15985548.059999999</v>
      </c>
      <c r="G97" s="17"/>
      <c r="H97" s="17">
        <f>SUM(H92:H96)</f>
        <v>0</v>
      </c>
      <c r="I97" s="17"/>
      <c r="J97" s="17">
        <f>SUM(J92:J96)</f>
        <v>0</v>
      </c>
      <c r="K97" s="17"/>
      <c r="L97" s="20">
        <f>SUM(L92:L96)</f>
        <v>15985548.059999999</v>
      </c>
      <c r="M97" s="17"/>
      <c r="N97" s="17">
        <f>SUM(N92:N96)</f>
        <v>70529071.430000007</v>
      </c>
      <c r="O97" s="8"/>
      <c r="P97" s="2" t="s">
        <v>48</v>
      </c>
    </row>
    <row r="98" spans="1:16" x14ac:dyDescent="0.2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8"/>
    </row>
    <row r="99" spans="1:16" x14ac:dyDescent="0.2">
      <c r="C99" s="10" t="s">
        <v>49</v>
      </c>
      <c r="D99" s="21">
        <f>D79+D89+D97</f>
        <v>1166512766.01</v>
      </c>
      <c r="E99" s="15"/>
      <c r="F99" s="21">
        <f>F79+F89+F97</f>
        <v>224553614.38999996</v>
      </c>
      <c r="G99" s="15"/>
      <c r="H99" s="21">
        <f>H79+H89+H97</f>
        <v>0</v>
      </c>
      <c r="I99" s="15"/>
      <c r="J99" s="21">
        <f>J79+J89+J97</f>
        <v>0</v>
      </c>
      <c r="K99" s="15"/>
      <c r="L99" s="21">
        <f>L79+L89+L97</f>
        <v>224553614.38999996</v>
      </c>
      <c r="M99" s="15"/>
      <c r="N99" s="21">
        <f>N79+N89+N97</f>
        <v>1391066380.4000001</v>
      </c>
      <c r="O99" s="8"/>
    </row>
    <row r="100" spans="1:16" x14ac:dyDescent="0.2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8"/>
    </row>
    <row r="101" spans="1:16" x14ac:dyDescent="0.2">
      <c r="A101" s="14">
        <v>117</v>
      </c>
      <c r="B101" s="10" t="s">
        <v>50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8"/>
    </row>
    <row r="102" spans="1:16" x14ac:dyDescent="0.2">
      <c r="B102" s="10" t="s">
        <v>26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8"/>
    </row>
    <row r="103" spans="1:16" x14ac:dyDescent="0.2">
      <c r="C103" s="3" t="s">
        <v>51</v>
      </c>
      <c r="D103" s="16">
        <v>2139990</v>
      </c>
      <c r="E103" s="17"/>
      <c r="F103" s="16">
        <v>0</v>
      </c>
      <c r="G103" s="17"/>
      <c r="H103" s="16">
        <v>0</v>
      </c>
      <c r="I103" s="17"/>
      <c r="J103" s="16">
        <v>0</v>
      </c>
      <c r="K103" s="17"/>
      <c r="L103" s="16">
        <f>F103+H103+J103</f>
        <v>0</v>
      </c>
      <c r="M103" s="17"/>
      <c r="N103" s="16">
        <f>D103+L103</f>
        <v>2139990</v>
      </c>
      <c r="O103" s="8"/>
    </row>
    <row r="104" spans="1:16" x14ac:dyDescent="0.2">
      <c r="C104" s="19"/>
      <c r="D104" s="17">
        <f>SUM(D103)</f>
        <v>2139990</v>
      </c>
      <c r="E104" s="17"/>
      <c r="F104" s="17">
        <f>SUM(F103)</f>
        <v>0</v>
      </c>
      <c r="G104" s="17"/>
      <c r="H104" s="17">
        <f>SUM(H103)</f>
        <v>0</v>
      </c>
      <c r="I104" s="17"/>
      <c r="J104" s="17">
        <f>SUM(J103)</f>
        <v>0</v>
      </c>
      <c r="K104" s="17"/>
      <c r="L104" s="17">
        <f>SUM(L103)</f>
        <v>0</v>
      </c>
      <c r="M104" s="17"/>
      <c r="N104" s="17">
        <f>SUM(N103)</f>
        <v>2139990</v>
      </c>
      <c r="O104" s="8"/>
    </row>
    <row r="105" spans="1:16" x14ac:dyDescent="0.2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8"/>
    </row>
    <row r="106" spans="1:16" x14ac:dyDescent="0.2">
      <c r="C106" s="10" t="s">
        <v>52</v>
      </c>
      <c r="D106" s="21">
        <f>D104</f>
        <v>2139990</v>
      </c>
      <c r="E106" s="15"/>
      <c r="F106" s="21">
        <f>F104</f>
        <v>0</v>
      </c>
      <c r="G106" s="15"/>
      <c r="H106" s="21">
        <f>H104</f>
        <v>0</v>
      </c>
      <c r="I106" s="15"/>
      <c r="J106" s="21">
        <f>J104</f>
        <v>0</v>
      </c>
      <c r="K106" s="15"/>
      <c r="L106" s="21">
        <f>L104</f>
        <v>0</v>
      </c>
      <c r="M106" s="15"/>
      <c r="N106" s="21">
        <f>N104</f>
        <v>2139990</v>
      </c>
      <c r="O106" s="8"/>
    </row>
    <row r="107" spans="1:16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8"/>
    </row>
    <row r="108" spans="1:16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8"/>
    </row>
    <row r="109" spans="1:16" x14ac:dyDescent="0.2">
      <c r="A109" s="14">
        <v>121</v>
      </c>
      <c r="B109" s="10" t="s">
        <v>53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8"/>
    </row>
    <row r="110" spans="1:16" x14ac:dyDescent="0.2">
      <c r="B110" s="10" t="s">
        <v>13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8"/>
    </row>
    <row r="111" spans="1:16" x14ac:dyDescent="0.2">
      <c r="C111" s="3" t="s">
        <v>54</v>
      </c>
      <c r="D111" s="16">
        <v>630896.97999999986</v>
      </c>
      <c r="E111" s="15"/>
      <c r="F111" s="16">
        <v>0</v>
      </c>
      <c r="G111" s="15"/>
      <c r="H111" s="16">
        <v>0</v>
      </c>
      <c r="I111" s="15"/>
      <c r="J111" s="16">
        <v>0</v>
      </c>
      <c r="K111" s="15"/>
      <c r="L111" s="16">
        <f>F111+H111+J111</f>
        <v>0</v>
      </c>
      <c r="M111" s="15"/>
      <c r="N111" s="16">
        <f>D111+L111</f>
        <v>630896.97999999986</v>
      </c>
      <c r="O111" s="8"/>
    </row>
    <row r="112" spans="1:16" x14ac:dyDescent="0.2">
      <c r="C112" s="19"/>
      <c r="D112" s="17">
        <f>SUM(D111)</f>
        <v>630896.97999999986</v>
      </c>
      <c r="E112" s="17"/>
      <c r="F112" s="17">
        <f>SUM(F111)</f>
        <v>0</v>
      </c>
      <c r="G112" s="17"/>
      <c r="H112" s="17">
        <f>SUM(H111)</f>
        <v>0</v>
      </c>
      <c r="I112" s="17"/>
      <c r="J112" s="17">
        <f>SUM(J111)</f>
        <v>0</v>
      </c>
      <c r="K112" s="17"/>
      <c r="L112" s="17">
        <f>SUM(L111)</f>
        <v>0</v>
      </c>
      <c r="M112" s="17"/>
      <c r="N112" s="17">
        <f>SUM(N111)</f>
        <v>630896.97999999986</v>
      </c>
      <c r="O112" s="8"/>
    </row>
    <row r="113" spans="1:17" x14ac:dyDescent="0.2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8"/>
    </row>
    <row r="114" spans="1:17" x14ac:dyDescent="0.2">
      <c r="C114" s="10" t="s">
        <v>55</v>
      </c>
      <c r="D114" s="21">
        <f>D112</f>
        <v>630896.97999999986</v>
      </c>
      <c r="E114" s="15"/>
      <c r="F114" s="21">
        <f>F112</f>
        <v>0</v>
      </c>
      <c r="G114" s="15"/>
      <c r="H114" s="21">
        <f>H112</f>
        <v>0</v>
      </c>
      <c r="I114" s="15"/>
      <c r="J114" s="21">
        <f>J112</f>
        <v>0</v>
      </c>
      <c r="K114" s="15"/>
      <c r="L114" s="21">
        <f>L112</f>
        <v>0</v>
      </c>
      <c r="M114" s="15"/>
      <c r="N114" s="21">
        <f>N112</f>
        <v>630896.97999999986</v>
      </c>
      <c r="O114" s="8"/>
    </row>
    <row r="115" spans="1:17" x14ac:dyDescent="0.2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8"/>
    </row>
    <row r="116" spans="1:17" x14ac:dyDescent="0.2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8"/>
    </row>
    <row r="117" spans="1:17" x14ac:dyDescent="0.2">
      <c r="A117" s="14">
        <v>107</v>
      </c>
      <c r="B117" s="10" t="s">
        <v>56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8"/>
    </row>
    <row r="118" spans="1:17" x14ac:dyDescent="0.2">
      <c r="B118" s="10" t="s">
        <v>57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8"/>
    </row>
    <row r="119" spans="1:17" x14ac:dyDescent="0.2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8"/>
    </row>
    <row r="120" spans="1:17" x14ac:dyDescent="0.2">
      <c r="C120" s="3" t="s">
        <v>13</v>
      </c>
      <c r="D120" s="15">
        <v>10298144.289999999</v>
      </c>
      <c r="E120" s="15"/>
      <c r="F120" s="15">
        <f>17648508.77-D120</f>
        <v>7350364.4800000004</v>
      </c>
      <c r="G120" s="15"/>
      <c r="H120" s="17">
        <v>0</v>
      </c>
      <c r="I120" s="15"/>
      <c r="J120" s="17">
        <v>0</v>
      </c>
      <c r="K120" s="15"/>
      <c r="L120" s="15">
        <f>F120+H120+J120</f>
        <v>7350364.4800000004</v>
      </c>
      <c r="M120" s="15"/>
      <c r="N120" s="15">
        <f>D120+L120</f>
        <v>17648508.77</v>
      </c>
      <c r="O120" s="8"/>
      <c r="P120" s="23" t="s">
        <v>58</v>
      </c>
    </row>
    <row r="121" spans="1:17" x14ac:dyDescent="0.2">
      <c r="C121" s="3" t="s">
        <v>17</v>
      </c>
      <c r="D121" s="15">
        <v>357132813.63</v>
      </c>
      <c r="E121" s="15"/>
      <c r="F121" s="15">
        <f>103536421.07-D121</f>
        <v>-253596392.56</v>
      </c>
      <c r="G121" s="15"/>
      <c r="H121" s="17">
        <v>0</v>
      </c>
      <c r="I121" s="15"/>
      <c r="J121" s="17">
        <v>0</v>
      </c>
      <c r="K121" s="15"/>
      <c r="L121" s="15">
        <f>F121+H121+J121</f>
        <v>-253596392.56</v>
      </c>
      <c r="M121" s="15"/>
      <c r="N121" s="15">
        <f>D121+L121</f>
        <v>103536421.06999999</v>
      </c>
      <c r="O121" s="8"/>
      <c r="P121" s="23" t="s">
        <v>59</v>
      </c>
    </row>
    <row r="122" spans="1:17" x14ac:dyDescent="0.2">
      <c r="C122" s="3" t="s">
        <v>26</v>
      </c>
      <c r="D122" s="16">
        <v>22415538.350000001</v>
      </c>
      <c r="E122" s="15"/>
      <c r="F122" s="16">
        <f>12543235.78-D122</f>
        <v>-9872302.5700000022</v>
      </c>
      <c r="G122" s="15"/>
      <c r="H122" s="16">
        <v>0</v>
      </c>
      <c r="I122" s="15"/>
      <c r="J122" s="16">
        <v>0</v>
      </c>
      <c r="K122" s="15"/>
      <c r="L122" s="16">
        <f>F122+H122+J122</f>
        <v>-9872302.5700000022</v>
      </c>
      <c r="M122" s="15"/>
      <c r="N122" s="16">
        <f>D122+L122</f>
        <v>12543235.779999999</v>
      </c>
      <c r="O122" s="8"/>
      <c r="P122" s="23" t="s">
        <v>60</v>
      </c>
    </row>
    <row r="123" spans="1:17" x14ac:dyDescent="0.2">
      <c r="C123" s="19"/>
      <c r="D123" s="17">
        <f>SUM(D120:D122)</f>
        <v>389846496.27000004</v>
      </c>
      <c r="E123" s="17"/>
      <c r="F123" s="17">
        <f>SUM(F120:F122)</f>
        <v>-256118330.65000001</v>
      </c>
      <c r="G123" s="17"/>
      <c r="H123" s="17">
        <f>SUM(H120:H122)</f>
        <v>0</v>
      </c>
      <c r="I123" s="17"/>
      <c r="J123" s="17">
        <f>SUM(J120:J122)</f>
        <v>0</v>
      </c>
      <c r="K123" s="17"/>
      <c r="L123" s="17">
        <f>SUM(L120:L122)</f>
        <v>-256118330.65000001</v>
      </c>
      <c r="M123" s="17"/>
      <c r="N123" s="17">
        <f>SUM(N120:N122)</f>
        <v>133728165.61999999</v>
      </c>
      <c r="O123" s="8"/>
    </row>
    <row r="124" spans="1:17" x14ac:dyDescent="0.2">
      <c r="C124" s="19"/>
      <c r="D124" s="17"/>
      <c r="E124" s="15"/>
      <c r="F124" s="17"/>
      <c r="G124" s="15"/>
      <c r="H124" s="17"/>
      <c r="I124" s="15"/>
      <c r="J124" s="17"/>
      <c r="K124" s="15"/>
      <c r="L124" s="17"/>
      <c r="M124" s="15"/>
      <c r="N124" s="17"/>
      <c r="O124" s="8"/>
    </row>
    <row r="125" spans="1:17" x14ac:dyDescent="0.2">
      <c r="C125" s="19"/>
      <c r="D125" s="17"/>
      <c r="E125" s="15"/>
      <c r="F125" s="17"/>
      <c r="G125" s="15"/>
      <c r="H125" s="17"/>
      <c r="I125" s="15"/>
      <c r="J125" s="17"/>
      <c r="K125" s="15"/>
      <c r="L125" s="17"/>
      <c r="M125" s="15"/>
      <c r="N125" s="17"/>
      <c r="O125" s="8"/>
      <c r="Q125" s="15"/>
    </row>
    <row r="126" spans="1:17" x14ac:dyDescent="0.2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8"/>
    </row>
    <row r="127" spans="1:17" ht="13.5" thickBot="1" x14ac:dyDescent="0.25">
      <c r="B127" s="10" t="s">
        <v>61</v>
      </c>
      <c r="D127" s="24">
        <f>D114+D106+D72+D40+D32+D99+D51</f>
        <v>6134210837.2700005</v>
      </c>
      <c r="E127" s="15"/>
      <c r="F127" s="24">
        <f>F114+F106+F72+F40+F32+F99+F51</f>
        <v>634863796.8499999</v>
      </c>
      <c r="G127" s="15"/>
      <c r="H127" s="24">
        <f>H114+H106+H72+H40+H32+H99+H51</f>
        <v>-125378164.89</v>
      </c>
      <c r="I127" s="15"/>
      <c r="J127" s="24">
        <f>J114+J106+J72+J40+J32+J99+J51</f>
        <v>-7696454.5799999973</v>
      </c>
      <c r="K127" s="15"/>
      <c r="L127" s="24">
        <f>L114+L106+L72+L40+L32+L99+L51</f>
        <v>501789177.37999994</v>
      </c>
      <c r="M127" s="15"/>
      <c r="N127" s="24">
        <f>N114+N106+N72+N40+N32+N99+N51</f>
        <v>6636000014.6499996</v>
      </c>
      <c r="O127" s="8"/>
    </row>
    <row r="128" spans="1:17" ht="13.5" thickTop="1" x14ac:dyDescent="0.2">
      <c r="D128" s="17"/>
      <c r="E128" s="15"/>
      <c r="F128" s="17"/>
      <c r="G128" s="15"/>
      <c r="H128" s="17"/>
      <c r="I128" s="15"/>
      <c r="J128" s="17"/>
      <c r="K128" s="15"/>
      <c r="L128" s="17"/>
      <c r="M128" s="15"/>
      <c r="N128" s="17"/>
      <c r="O128" s="8"/>
    </row>
    <row r="129" spans="2:16" x14ac:dyDescent="0.2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8"/>
    </row>
    <row r="130" spans="2:16" ht="13.5" thickBot="1" x14ac:dyDescent="0.25">
      <c r="B130" s="10" t="s">
        <v>62</v>
      </c>
      <c r="D130" s="24">
        <f>D123+D127</f>
        <v>6524057333.5400009</v>
      </c>
      <c r="E130" s="15"/>
      <c r="F130" s="24">
        <f>F123+F127</f>
        <v>378745466.19999993</v>
      </c>
      <c r="G130" s="15"/>
      <c r="H130" s="24">
        <f>H123+H127</f>
        <v>-125378164.89</v>
      </c>
      <c r="I130" s="15"/>
      <c r="J130" s="24">
        <f>J123+J127</f>
        <v>-7696454.5799999973</v>
      </c>
      <c r="K130" s="15"/>
      <c r="L130" s="24">
        <f>L123+L127</f>
        <v>245670846.72999993</v>
      </c>
      <c r="M130" s="15"/>
      <c r="N130" s="24">
        <f>D130+L130</f>
        <v>6769728180.2700005</v>
      </c>
      <c r="O130" s="8"/>
    </row>
    <row r="131" spans="2:16" ht="13.5" thickTop="1" x14ac:dyDescent="0.2">
      <c r="D131" s="17"/>
      <c r="E131" s="15"/>
      <c r="F131" s="17"/>
      <c r="G131" s="15"/>
      <c r="H131" s="17"/>
      <c r="I131" s="15"/>
      <c r="J131" s="17"/>
      <c r="K131" s="15"/>
      <c r="L131" s="17"/>
      <c r="M131" s="15"/>
      <c r="N131" s="17"/>
      <c r="O131" s="8"/>
    </row>
    <row r="132" spans="2:16" x14ac:dyDescent="0.2">
      <c r="D132" s="17"/>
      <c r="E132" s="15"/>
      <c r="F132" s="17"/>
      <c r="G132" s="15"/>
      <c r="H132" s="17"/>
      <c r="I132" s="15"/>
      <c r="J132" s="17"/>
      <c r="K132" s="15"/>
      <c r="L132" s="17"/>
      <c r="M132" s="15"/>
      <c r="N132" s="17"/>
      <c r="O132" s="8"/>
    </row>
    <row r="133" spans="2:16" ht="13.5" thickBot="1" x14ac:dyDescent="0.25">
      <c r="B133" s="10" t="s">
        <v>63</v>
      </c>
      <c r="D133" s="24">
        <f>D130-D114</f>
        <v>6523426436.5600014</v>
      </c>
      <c r="E133" s="15"/>
      <c r="F133" s="24">
        <f>F130-F114</f>
        <v>378745466.19999993</v>
      </c>
      <c r="G133" s="15"/>
      <c r="H133" s="24">
        <f>H130-H114</f>
        <v>-125378164.89</v>
      </c>
      <c r="I133" s="15"/>
      <c r="J133" s="24">
        <f>J130-J114</f>
        <v>-7696454.5799999973</v>
      </c>
      <c r="K133" s="15"/>
      <c r="L133" s="24">
        <f>L130-L114</f>
        <v>245670846.72999993</v>
      </c>
      <c r="M133" s="15"/>
      <c r="N133" s="24">
        <f>N130-N114</f>
        <v>6769097283.2900009</v>
      </c>
      <c r="O133" s="8"/>
    </row>
    <row r="134" spans="2:16" ht="13.5" thickTop="1" x14ac:dyDescent="0.2">
      <c r="D134" s="17"/>
      <c r="E134" s="15"/>
      <c r="F134" s="17"/>
      <c r="G134" s="15"/>
      <c r="H134" s="17"/>
      <c r="I134" s="15"/>
      <c r="J134" s="17"/>
      <c r="K134" s="15"/>
      <c r="L134" s="17"/>
      <c r="M134" s="15"/>
      <c r="N134" s="17"/>
      <c r="O134" s="8"/>
    </row>
    <row r="135" spans="2:16" x14ac:dyDescent="0.2">
      <c r="D135" s="17"/>
      <c r="E135" s="15"/>
      <c r="F135" s="17"/>
      <c r="G135" s="15"/>
      <c r="H135" s="17"/>
      <c r="I135" s="15"/>
      <c r="J135" s="17"/>
      <c r="K135" s="15"/>
      <c r="L135" s="17"/>
      <c r="M135" s="15"/>
      <c r="N135" s="17"/>
      <c r="O135" s="8"/>
    </row>
    <row r="136" spans="2:16" x14ac:dyDescent="0.2">
      <c r="B136" s="10" t="s">
        <v>63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8"/>
    </row>
    <row r="137" spans="2:16" ht="13.5" thickBot="1" x14ac:dyDescent="0.25">
      <c r="B137" s="25" t="s">
        <v>64</v>
      </c>
      <c r="C137" s="26"/>
      <c r="D137" s="27">
        <f>D133-D106</f>
        <v>6521286446.5600014</v>
      </c>
      <c r="E137" s="15"/>
      <c r="F137" s="27">
        <f>F133-F106</f>
        <v>378745466.19999993</v>
      </c>
      <c r="G137" s="15"/>
      <c r="H137" s="27">
        <f>H133-H106</f>
        <v>-125378164.89</v>
      </c>
      <c r="I137" s="15"/>
      <c r="J137" s="27">
        <f>J133-J106</f>
        <v>-7696454.5799999973</v>
      </c>
      <c r="K137" s="15"/>
      <c r="L137" s="27">
        <f>L133-L106</f>
        <v>245670846.72999993</v>
      </c>
      <c r="M137" s="15"/>
      <c r="N137" s="27">
        <f>N133-N106</f>
        <v>6766957293.2900009</v>
      </c>
      <c r="O137" s="8"/>
      <c r="P137" s="2" t="s">
        <v>65</v>
      </c>
    </row>
    <row r="138" spans="2:16" ht="13.5" thickTop="1" x14ac:dyDescent="0.2">
      <c r="C138" s="26"/>
      <c r="D138" s="28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8"/>
    </row>
    <row r="139" spans="2:16" x14ac:dyDescent="0.2">
      <c r="C139" s="26"/>
      <c r="D139" s="28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8"/>
    </row>
    <row r="140" spans="2:16" x14ac:dyDescent="0.2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8"/>
    </row>
    <row r="141" spans="2:16" x14ac:dyDescent="0.2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8"/>
    </row>
    <row r="142" spans="2:16" x14ac:dyDescent="0.2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8"/>
    </row>
    <row r="143" spans="2:16" x14ac:dyDescent="0.2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2:16" x14ac:dyDescent="0.2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4:14" x14ac:dyDescent="0.2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4:14" x14ac:dyDescent="0.2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</sheetData>
  <mergeCells count="3">
    <mergeCell ref="A1:N1"/>
    <mergeCell ref="A2:N2"/>
    <mergeCell ref="A3:N3"/>
  </mergeCells>
  <pageMargins left="0.75" right="0.75" top="1" bottom="1" header="0.5" footer="0.5"/>
  <pageSetup scale="70" fitToHeight="3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2" manualBreakCount="2">
    <brk id="53" max="1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94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132" customFormat="1" ht="15.75" x14ac:dyDescent="0.25">
      <c r="A2" s="210" t="s">
        <v>2565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38"/>
      <c r="F6" s="138"/>
      <c r="H6" s="8" t="s">
        <v>4</v>
      </c>
      <c r="J6" s="138"/>
      <c r="L6" s="8" t="s">
        <v>5</v>
      </c>
    </row>
    <row r="7" spans="1:13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A8" s="10" t="s">
        <v>2566</v>
      </c>
      <c r="B8" s="18"/>
      <c r="D8" s="18"/>
      <c r="F8" s="18"/>
      <c r="H8" s="18"/>
      <c r="J8" s="18"/>
      <c r="L8" s="18"/>
    </row>
    <row r="9" spans="1:13" x14ac:dyDescent="0.2">
      <c r="A9" s="10" t="s">
        <v>2561</v>
      </c>
    </row>
    <row r="10" spans="1:13" x14ac:dyDescent="0.2">
      <c r="A10" s="10" t="s">
        <v>2562</v>
      </c>
    </row>
    <row r="11" spans="1:13" x14ac:dyDescent="0.2">
      <c r="A11" s="3" t="s">
        <v>245</v>
      </c>
      <c r="B11" s="138">
        <f>'KY_Cost Plant Acct-Comm-P8(Reg)'!B11</f>
        <v>1564394.3699999999</v>
      </c>
      <c r="C11" s="138"/>
      <c r="D11" s="138">
        <f>'KY_Cost Plant Acct-Comm-P8(Reg)'!D11</f>
        <v>0</v>
      </c>
      <c r="E11" s="138"/>
      <c r="F11" s="138">
        <f>'KY_Cost Plant Acct-Comm-P8(Reg)'!F11</f>
        <v>0</v>
      </c>
      <c r="G11" s="138"/>
      <c r="H11" s="138">
        <f>'KY_Cost Plant Acct-Comm-P8(Reg)'!H11</f>
        <v>0</v>
      </c>
      <c r="I11" s="138"/>
      <c r="J11" s="138">
        <f t="shared" ref="J11:J40" si="0">H11+F11+D11</f>
        <v>0</v>
      </c>
      <c r="K11" s="138"/>
      <c r="L11" s="138">
        <f t="shared" ref="L11:L40" si="1">J11+B11</f>
        <v>1564394.3699999999</v>
      </c>
      <c r="M11" s="145"/>
    </row>
    <row r="12" spans="1:13" x14ac:dyDescent="0.2">
      <c r="A12" s="3" t="s">
        <v>246</v>
      </c>
      <c r="B12" s="138">
        <f>'KY_Cost Plant Acct-Comm-P8(Reg)'!B12</f>
        <v>202094.94</v>
      </c>
      <c r="C12" s="138"/>
      <c r="D12" s="138">
        <f>'KY_Cost Plant Acct-Comm-P8(Reg)'!D12</f>
        <v>0</v>
      </c>
      <c r="E12" s="138"/>
      <c r="F12" s="138">
        <f>'KY_Cost Plant Acct-Comm-P8(Reg)'!F12</f>
        <v>0</v>
      </c>
      <c r="G12" s="138"/>
      <c r="H12" s="138">
        <f>'KY_Cost Plant Acct-Comm-P8(Reg)'!H12</f>
        <v>-202094.94</v>
      </c>
      <c r="I12" s="138"/>
      <c r="J12" s="138">
        <f t="shared" si="0"/>
        <v>-202094.94</v>
      </c>
      <c r="K12" s="138"/>
      <c r="L12" s="138">
        <f t="shared" si="1"/>
        <v>0</v>
      </c>
      <c r="M12" s="145"/>
    </row>
    <row r="13" spans="1:13" x14ac:dyDescent="0.2">
      <c r="A13" s="3" t="s">
        <v>247</v>
      </c>
      <c r="B13" s="138">
        <f>'KY_Cost Plant Acct-Comm-P8(Reg)'!B13</f>
        <v>64052701.479999997</v>
      </c>
      <c r="C13" s="138"/>
      <c r="D13" s="138">
        <f>'KY_Cost Plant Acct-Comm-P8(Reg)'!D13</f>
        <v>1997845.31</v>
      </c>
      <c r="E13" s="138"/>
      <c r="F13" s="138">
        <f>'KY_Cost Plant Acct-Comm-P8(Reg)'!F13</f>
        <v>-224940.09</v>
      </c>
      <c r="G13" s="138"/>
      <c r="H13" s="138">
        <f>'KY_Cost Plant Acct-Comm-P8(Reg)'!H13</f>
        <v>-12074.4</v>
      </c>
      <c r="I13" s="138"/>
      <c r="J13" s="138">
        <f t="shared" si="0"/>
        <v>1760830.82</v>
      </c>
      <c r="K13" s="138"/>
      <c r="L13" s="138">
        <f t="shared" si="1"/>
        <v>65813532.299999997</v>
      </c>
      <c r="M13" s="145"/>
    </row>
    <row r="14" spans="1:13" x14ac:dyDescent="0.2">
      <c r="A14" s="3" t="s">
        <v>248</v>
      </c>
      <c r="B14" s="138">
        <f>'KY_Cost Plant Acct-Comm-P8(Reg)'!B14</f>
        <v>412150.57</v>
      </c>
      <c r="C14" s="138"/>
      <c r="D14" s="138">
        <f>'KY_Cost Plant Acct-Comm-P8(Reg)'!D14</f>
        <v>0</v>
      </c>
      <c r="E14" s="138"/>
      <c r="F14" s="138">
        <f>'KY_Cost Plant Acct-Comm-P8(Reg)'!F14</f>
        <v>0</v>
      </c>
      <c r="G14" s="138"/>
      <c r="H14" s="138">
        <f>'KY_Cost Plant Acct-Comm-P8(Reg)'!H14</f>
        <v>0</v>
      </c>
      <c r="I14" s="138"/>
      <c r="J14" s="138">
        <f t="shared" si="0"/>
        <v>0</v>
      </c>
      <c r="K14" s="138"/>
      <c r="L14" s="138">
        <f t="shared" si="1"/>
        <v>412150.57</v>
      </c>
      <c r="M14" s="145"/>
    </row>
    <row r="15" spans="1:13" x14ac:dyDescent="0.2">
      <c r="A15" s="3" t="s">
        <v>249</v>
      </c>
      <c r="B15" s="138">
        <f>'KY_Cost Plant Acct-Comm-P8(Reg)'!B15</f>
        <v>9814046.6999999993</v>
      </c>
      <c r="C15" s="138"/>
      <c r="D15" s="138">
        <f>'KY_Cost Plant Acct-Comm-P8(Reg)'!D15</f>
        <v>0</v>
      </c>
      <c r="E15" s="138"/>
      <c r="F15" s="138">
        <f>'KY_Cost Plant Acct-Comm-P8(Reg)'!F15</f>
        <v>-81110.28</v>
      </c>
      <c r="G15" s="138"/>
      <c r="H15" s="138">
        <f>'KY_Cost Plant Acct-Comm-P8(Reg)'!H15</f>
        <v>202094.94</v>
      </c>
      <c r="I15" s="138"/>
      <c r="J15" s="138">
        <f t="shared" si="0"/>
        <v>120984.66</v>
      </c>
      <c r="K15" s="138"/>
      <c r="L15" s="138">
        <f t="shared" si="1"/>
        <v>9935031.3599999994</v>
      </c>
      <c r="M15" s="145"/>
    </row>
    <row r="16" spans="1:13" x14ac:dyDescent="0.2">
      <c r="A16" s="3" t="s">
        <v>250</v>
      </c>
      <c r="B16" s="138">
        <f>'KY_Cost Plant Acct-Comm-P8(Reg)'!B16</f>
        <v>707482.03999999992</v>
      </c>
      <c r="C16" s="138"/>
      <c r="D16" s="138">
        <f>'KY_Cost Plant Acct-Comm-P8(Reg)'!D16</f>
        <v>0</v>
      </c>
      <c r="E16" s="138"/>
      <c r="F16" s="138">
        <f>'KY_Cost Plant Acct-Comm-P8(Reg)'!F16</f>
        <v>0</v>
      </c>
      <c r="G16" s="138"/>
      <c r="H16" s="138">
        <f>'KY_Cost Plant Acct-Comm-P8(Reg)'!H16</f>
        <v>0</v>
      </c>
      <c r="I16" s="138"/>
      <c r="J16" s="138">
        <f t="shared" si="0"/>
        <v>0</v>
      </c>
      <c r="K16" s="138"/>
      <c r="L16" s="138">
        <f t="shared" si="1"/>
        <v>707482.03999999992</v>
      </c>
      <c r="M16" s="145"/>
    </row>
    <row r="17" spans="1:13" x14ac:dyDescent="0.2">
      <c r="A17" s="3" t="s">
        <v>251</v>
      </c>
      <c r="B17" s="138">
        <f>'KY_Cost Plant Acct-Comm-P8(Reg)'!B17</f>
        <v>1078816.3</v>
      </c>
      <c r="C17" s="138"/>
      <c r="D17" s="138">
        <f>'KY_Cost Plant Acct-Comm-P8(Reg)'!D17</f>
        <v>22809.19</v>
      </c>
      <c r="E17" s="138"/>
      <c r="F17" s="138">
        <f>'KY_Cost Plant Acct-Comm-P8(Reg)'!F17</f>
        <v>0</v>
      </c>
      <c r="G17" s="138"/>
      <c r="H17" s="138">
        <f>'KY_Cost Plant Acct-Comm-P8(Reg)'!H17</f>
        <v>0</v>
      </c>
      <c r="I17" s="138"/>
      <c r="J17" s="138">
        <f t="shared" si="0"/>
        <v>22809.19</v>
      </c>
      <c r="K17" s="138"/>
      <c r="L17" s="138">
        <f t="shared" si="1"/>
        <v>1101625.49</v>
      </c>
      <c r="M17" s="145"/>
    </row>
    <row r="18" spans="1:13" x14ac:dyDescent="0.2">
      <c r="A18" s="3" t="s">
        <v>252</v>
      </c>
      <c r="B18" s="138">
        <f>'KY_Cost Plant Acct-Comm-P8(Reg)'!B18</f>
        <v>6498044.1600000001</v>
      </c>
      <c r="C18" s="138"/>
      <c r="D18" s="138">
        <f>'KY_Cost Plant Acct-Comm-P8(Reg)'!D18</f>
        <v>631506.98</v>
      </c>
      <c r="E18" s="138"/>
      <c r="F18" s="138">
        <f>'KY_Cost Plant Acct-Comm-P8(Reg)'!F18</f>
        <v>-149020.1</v>
      </c>
      <c r="G18" s="138"/>
      <c r="H18" s="138">
        <f>'KY_Cost Plant Acct-Comm-P8(Reg)'!H18</f>
        <v>0</v>
      </c>
      <c r="I18" s="138"/>
      <c r="J18" s="138">
        <f t="shared" si="0"/>
        <v>482486.88</v>
      </c>
      <c r="K18" s="138"/>
      <c r="L18" s="138">
        <f t="shared" si="1"/>
        <v>6980531.04</v>
      </c>
      <c r="M18" s="145"/>
    </row>
    <row r="19" spans="1:13" x14ac:dyDescent="0.2">
      <c r="A19" s="3" t="s">
        <v>253</v>
      </c>
      <c r="B19" s="138">
        <f>'KY_Cost Plant Acct-Comm-P8(Reg)'!B19</f>
        <v>1145136.6999999997</v>
      </c>
      <c r="C19" s="138"/>
      <c r="D19" s="138">
        <f>'KY_Cost Plant Acct-Comm-P8(Reg)'!D19</f>
        <v>19036.71</v>
      </c>
      <c r="E19" s="138"/>
      <c r="F19" s="138">
        <f>'KY_Cost Plant Acct-Comm-P8(Reg)'!F19</f>
        <v>-177487.45</v>
      </c>
      <c r="G19" s="138"/>
      <c r="H19" s="138">
        <f>'KY_Cost Plant Acct-Comm-P8(Reg)'!H19</f>
        <v>0</v>
      </c>
      <c r="I19" s="138"/>
      <c r="J19" s="138">
        <f t="shared" si="0"/>
        <v>-158450.74000000002</v>
      </c>
      <c r="K19" s="138"/>
      <c r="L19" s="138">
        <f t="shared" si="1"/>
        <v>986685.95999999973</v>
      </c>
      <c r="M19" s="145"/>
    </row>
    <row r="20" spans="1:13" x14ac:dyDescent="0.2">
      <c r="A20" s="3" t="s">
        <v>254</v>
      </c>
      <c r="B20" s="138">
        <f>'KY_Cost Plant Acct-Comm-P8(Reg)'!B20</f>
        <v>19398439.02</v>
      </c>
      <c r="C20" s="138"/>
      <c r="D20" s="138">
        <f>'KY_Cost Plant Acct-Comm-P8(Reg)'!D20</f>
        <v>3832913.82</v>
      </c>
      <c r="E20" s="138"/>
      <c r="F20" s="138">
        <f>'KY_Cost Plant Acct-Comm-P8(Reg)'!F20</f>
        <v>-4312339.99</v>
      </c>
      <c r="G20" s="138"/>
      <c r="H20" s="138">
        <f>'KY_Cost Plant Acct-Comm-P8(Reg)'!H20</f>
        <v>0</v>
      </c>
      <c r="I20" s="138"/>
      <c r="J20" s="138">
        <f t="shared" si="0"/>
        <v>-479426.17000000039</v>
      </c>
      <c r="K20" s="138"/>
      <c r="L20" s="138">
        <f t="shared" si="1"/>
        <v>18919012.849999998</v>
      </c>
      <c r="M20" s="145"/>
    </row>
    <row r="21" spans="1:13" x14ac:dyDescent="0.2">
      <c r="A21" s="3" t="s">
        <v>255</v>
      </c>
      <c r="B21" s="138">
        <f>'KY_Cost Plant Acct-Comm-P8(Reg)'!B21</f>
        <v>5007813.0299999993</v>
      </c>
      <c r="C21" s="138"/>
      <c r="D21" s="138">
        <f>'KY_Cost Plant Acct-Comm-P8(Reg)'!D21</f>
        <v>1273727.32</v>
      </c>
      <c r="E21" s="138"/>
      <c r="F21" s="138">
        <f>'KY_Cost Plant Acct-Comm-P8(Reg)'!F21</f>
        <v>-1228505.58</v>
      </c>
      <c r="G21" s="138"/>
      <c r="H21" s="138">
        <f>'KY_Cost Plant Acct-Comm-P8(Reg)'!H21</f>
        <v>0</v>
      </c>
      <c r="I21" s="138"/>
      <c r="J21" s="138">
        <f t="shared" si="0"/>
        <v>45221.739999999991</v>
      </c>
      <c r="K21" s="138"/>
      <c r="L21" s="138">
        <f t="shared" si="1"/>
        <v>5053034.7699999996</v>
      </c>
      <c r="M21" s="145"/>
    </row>
    <row r="22" spans="1:13" x14ac:dyDescent="0.2">
      <c r="A22" s="22" t="s">
        <v>256</v>
      </c>
      <c r="B22" s="138">
        <f>'KY_Cost Plant Acct-Comm-P8(Reg)'!B22</f>
        <v>0</v>
      </c>
      <c r="C22" s="138"/>
      <c r="D22" s="138">
        <f>'KY_Cost Plant Acct-Comm-P8(Reg)'!D22</f>
        <v>0</v>
      </c>
      <c r="E22" s="138"/>
      <c r="F22" s="138">
        <f>'KY_Cost Plant Acct-Comm-P8(Reg)'!F22</f>
        <v>0</v>
      </c>
      <c r="G22" s="138"/>
      <c r="H22" s="138">
        <f>'KY_Cost Plant Acct-Comm-P8(Reg)'!H22</f>
        <v>0</v>
      </c>
      <c r="I22" s="138"/>
      <c r="J22" s="138">
        <f>H22+F22+D22</f>
        <v>0</v>
      </c>
      <c r="K22" s="138"/>
      <c r="L22" s="138">
        <f>J22+B22</f>
        <v>0</v>
      </c>
      <c r="M22" s="145"/>
    </row>
    <row r="23" spans="1:13" x14ac:dyDescent="0.2">
      <c r="A23" s="3" t="s">
        <v>257</v>
      </c>
      <c r="B23" s="138">
        <f>'KY_Cost Plant Acct-Comm-P8(Reg)'!B23</f>
        <v>911530.29999999958</v>
      </c>
      <c r="C23" s="138"/>
      <c r="D23" s="138">
        <f>'KY_Cost Plant Acct-Comm-P8(Reg)'!D23</f>
        <v>10108.25</v>
      </c>
      <c r="E23" s="138"/>
      <c r="F23" s="138">
        <f>'KY_Cost Plant Acct-Comm-P8(Reg)'!F23</f>
        <v>-6516.09</v>
      </c>
      <c r="G23" s="138"/>
      <c r="H23" s="138">
        <f>'KY_Cost Plant Acct-Comm-P8(Reg)'!H23</f>
        <v>0</v>
      </c>
      <c r="I23" s="138"/>
      <c r="J23" s="138">
        <f t="shared" si="0"/>
        <v>3592.16</v>
      </c>
      <c r="K23" s="138"/>
      <c r="L23" s="138">
        <f t="shared" si="1"/>
        <v>915122.45999999961</v>
      </c>
      <c r="M23" s="145"/>
    </row>
    <row r="24" spans="1:13" x14ac:dyDescent="0.2">
      <c r="A24" s="3" t="s">
        <v>258</v>
      </c>
      <c r="B24" s="138">
        <f>'KY_Cost Plant Acct-Comm-P8(Reg)'!B24</f>
        <v>20757.36</v>
      </c>
      <c r="C24" s="138"/>
      <c r="D24" s="138">
        <f>'KY_Cost Plant Acct-Comm-P8(Reg)'!D24</f>
        <v>0</v>
      </c>
      <c r="E24" s="138"/>
      <c r="F24" s="138">
        <f>'KY_Cost Plant Acct-Comm-P8(Reg)'!F24</f>
        <v>0</v>
      </c>
      <c r="G24" s="138"/>
      <c r="H24" s="138">
        <f>'KY_Cost Plant Acct-Comm-P8(Reg)'!H24</f>
        <v>0</v>
      </c>
      <c r="I24" s="138"/>
      <c r="J24" s="138">
        <f>H24+F24+D24</f>
        <v>0</v>
      </c>
      <c r="K24" s="138"/>
      <c r="L24" s="138">
        <f>J24+B24</f>
        <v>20757.36</v>
      </c>
      <c r="M24" s="145"/>
    </row>
    <row r="25" spans="1:13" x14ac:dyDescent="0.2">
      <c r="A25" s="3" t="s">
        <v>259</v>
      </c>
      <c r="B25" s="138">
        <f>'KY_Cost Plant Acct-Comm-P8(Reg)'!B25</f>
        <v>211576.31999999998</v>
      </c>
      <c r="C25" s="138"/>
      <c r="D25" s="138">
        <f>'KY_Cost Plant Acct-Comm-P8(Reg)'!D25</f>
        <v>0</v>
      </c>
      <c r="E25" s="138"/>
      <c r="F25" s="138">
        <f>'KY_Cost Plant Acct-Comm-P8(Reg)'!F25</f>
        <v>0</v>
      </c>
      <c r="G25" s="138"/>
      <c r="H25" s="138">
        <f>'KY_Cost Plant Acct-Comm-P8(Reg)'!H25</f>
        <v>0</v>
      </c>
      <c r="I25" s="138"/>
      <c r="J25" s="138">
        <f t="shared" si="0"/>
        <v>0</v>
      </c>
      <c r="K25" s="138"/>
      <c r="L25" s="138">
        <f t="shared" si="1"/>
        <v>211576.31999999998</v>
      </c>
      <c r="M25" s="145"/>
    </row>
    <row r="26" spans="1:13" x14ac:dyDescent="0.2">
      <c r="A26" s="3" t="s">
        <v>260</v>
      </c>
      <c r="B26" s="138">
        <f>'KY_Cost Plant Acct-Comm-P8(Reg)'!B26</f>
        <v>49546.270000000004</v>
      </c>
      <c r="C26" s="138"/>
      <c r="D26" s="138">
        <f>'KY_Cost Plant Acct-Comm-P8(Reg)'!D26</f>
        <v>0</v>
      </c>
      <c r="E26" s="138"/>
      <c r="F26" s="138">
        <f>'KY_Cost Plant Acct-Comm-P8(Reg)'!F26</f>
        <v>-7703.58</v>
      </c>
      <c r="G26" s="138"/>
      <c r="H26" s="138">
        <f>'KY_Cost Plant Acct-Comm-P8(Reg)'!H26</f>
        <v>0</v>
      </c>
      <c r="I26" s="138"/>
      <c r="J26" s="138">
        <f t="shared" si="0"/>
        <v>-7703.58</v>
      </c>
      <c r="K26" s="138"/>
      <c r="L26" s="138">
        <f t="shared" si="1"/>
        <v>41842.69</v>
      </c>
      <c r="M26" s="145"/>
    </row>
    <row r="27" spans="1:13" x14ac:dyDescent="0.2">
      <c r="A27" s="3" t="s">
        <v>261</v>
      </c>
      <c r="B27" s="138">
        <f>'KY_Cost Plant Acct-Comm-P8(Reg)'!B27</f>
        <v>1466817.8800000001</v>
      </c>
      <c r="C27" s="138"/>
      <c r="D27" s="138">
        <f>'KY_Cost Plant Acct-Comm-P8(Reg)'!D27</f>
        <v>4257.1400000000003</v>
      </c>
      <c r="E27" s="138"/>
      <c r="F27" s="138">
        <f>'KY_Cost Plant Acct-Comm-P8(Reg)'!F27</f>
        <v>0</v>
      </c>
      <c r="G27" s="138"/>
      <c r="H27" s="138">
        <f>'KY_Cost Plant Acct-Comm-P8(Reg)'!H27</f>
        <v>0</v>
      </c>
      <c r="I27" s="138"/>
      <c r="J27" s="138">
        <f t="shared" si="0"/>
        <v>4257.1400000000003</v>
      </c>
      <c r="K27" s="138"/>
      <c r="L27" s="138">
        <f t="shared" si="1"/>
        <v>1471075.02</v>
      </c>
      <c r="M27" s="145"/>
    </row>
    <row r="28" spans="1:13" x14ac:dyDescent="0.2">
      <c r="A28" s="3" t="s">
        <v>262</v>
      </c>
      <c r="B28" s="138">
        <f>'KY_Cost Plant Acct-Comm-P8(Reg)'!B28+'IN_Cost Plant Acct-Com-P10(Reg)'!B11</f>
        <v>3904973.2800000003</v>
      </c>
      <c r="C28" s="138"/>
      <c r="D28" s="138">
        <f>'KY_Cost Plant Acct-Comm-P8(Reg)'!D28+'IN_Cost Plant Acct-Com-P10(Reg)'!D11</f>
        <v>91776.87</v>
      </c>
      <c r="E28" s="138"/>
      <c r="F28" s="138">
        <f>'KY_Cost Plant Acct-Comm-P8(Reg)'!F28+'IN_Cost Plant Acct-Com-P10(Reg)'!F11</f>
        <v>0</v>
      </c>
      <c r="G28" s="138"/>
      <c r="H28" s="138">
        <f>'KY_Cost Plant Acct-Comm-P8(Reg)'!H28+'IN_Cost Plant Acct-Com-P10(Reg)'!H11</f>
        <v>-2817.36</v>
      </c>
      <c r="I28" s="138"/>
      <c r="J28" s="138">
        <f t="shared" si="0"/>
        <v>88959.51</v>
      </c>
      <c r="K28" s="138"/>
      <c r="L28" s="138">
        <f t="shared" si="1"/>
        <v>3993932.79</v>
      </c>
      <c r="M28" s="145"/>
    </row>
    <row r="29" spans="1:13" x14ac:dyDescent="0.2">
      <c r="A29" s="3" t="s">
        <v>263</v>
      </c>
      <c r="B29" s="138">
        <f>'KY_Cost Plant Acct-Comm-P8(Reg)'!B29</f>
        <v>0</v>
      </c>
      <c r="C29" s="138"/>
      <c r="D29" s="138">
        <f>'KY_Cost Plant Acct-Comm-P8(Reg)'!D29</f>
        <v>0</v>
      </c>
      <c r="E29" s="138"/>
      <c r="F29" s="138">
        <f>'KY_Cost Plant Acct-Comm-P8(Reg)'!F29</f>
        <v>0</v>
      </c>
      <c r="G29" s="138"/>
      <c r="H29" s="138">
        <f>'KY_Cost Plant Acct-Comm-P8(Reg)'!H29</f>
        <v>0</v>
      </c>
      <c r="I29" s="138"/>
      <c r="J29" s="138">
        <f t="shared" si="0"/>
        <v>0</v>
      </c>
      <c r="K29" s="138"/>
      <c r="L29" s="138">
        <f t="shared" si="1"/>
        <v>0</v>
      </c>
      <c r="M29" s="145"/>
    </row>
    <row r="30" spans="1:13" x14ac:dyDescent="0.2">
      <c r="A30" s="133" t="s">
        <v>2563</v>
      </c>
      <c r="B30" s="138">
        <f>'KY_Cost Plant Acct-Comm-P8(Reg)'!B30</f>
        <v>301414.67</v>
      </c>
      <c r="C30" s="138"/>
      <c r="D30" s="138">
        <f>'KY_Cost Plant Acct-Comm-P8(Reg)'!D30</f>
        <v>27024.46</v>
      </c>
      <c r="E30" s="138"/>
      <c r="F30" s="138">
        <f>'KY_Cost Plant Acct-Comm-P8(Reg)'!F30</f>
        <v>0</v>
      </c>
      <c r="G30" s="138"/>
      <c r="H30" s="138">
        <f>'KY_Cost Plant Acct-Comm-P8(Reg)'!H30</f>
        <v>0</v>
      </c>
      <c r="I30" s="138"/>
      <c r="J30" s="138">
        <f t="shared" si="0"/>
        <v>27024.46</v>
      </c>
      <c r="K30" s="138"/>
      <c r="L30" s="138">
        <f t="shared" si="1"/>
        <v>328439.13</v>
      </c>
      <c r="M30" s="145"/>
    </row>
    <row r="31" spans="1:13" x14ac:dyDescent="0.2">
      <c r="A31" s="3" t="s">
        <v>265</v>
      </c>
      <c r="B31" s="138">
        <f>'KY_Cost Plant Acct-Comm-P8(Reg)'!B31</f>
        <v>14147.08</v>
      </c>
      <c r="C31" s="138"/>
      <c r="D31" s="138">
        <f>'KY_Cost Plant Acct-Comm-P8(Reg)'!D31</f>
        <v>0</v>
      </c>
      <c r="E31" s="138"/>
      <c r="F31" s="138">
        <f>'KY_Cost Plant Acct-Comm-P8(Reg)'!F31</f>
        <v>0</v>
      </c>
      <c r="G31" s="138"/>
      <c r="H31" s="138">
        <f>'KY_Cost Plant Acct-Comm-P8(Reg)'!H31</f>
        <v>0</v>
      </c>
      <c r="I31" s="138"/>
      <c r="J31" s="138">
        <f t="shared" si="0"/>
        <v>0</v>
      </c>
      <c r="K31" s="138"/>
      <c r="L31" s="138">
        <f t="shared" si="1"/>
        <v>14147.08</v>
      </c>
      <c r="M31" s="145"/>
    </row>
    <row r="32" spans="1:13" x14ac:dyDescent="0.2">
      <c r="A32" s="3" t="s">
        <v>266</v>
      </c>
      <c r="B32" s="138">
        <f>'KY_Cost Plant Acct-Comm-P8(Reg)'!B32+'IN_Cost Plant Acct-Com-P10(Reg)'!B12</f>
        <v>24844022.120000005</v>
      </c>
      <c r="C32" s="138"/>
      <c r="D32" s="138">
        <f>'KY_Cost Plant Acct-Comm-P8(Reg)'!D32+'IN_Cost Plant Acct-Com-P10(Reg)'!D12</f>
        <v>3534738.25</v>
      </c>
      <c r="E32" s="138"/>
      <c r="F32" s="138">
        <f>'KY_Cost Plant Acct-Comm-P8(Reg)'!F32+'IN_Cost Plant Acct-Com-P10(Reg)'!F12</f>
        <v>-10069894.310000001</v>
      </c>
      <c r="G32" s="138"/>
      <c r="H32" s="138">
        <f>'KY_Cost Plant Acct-Comm-P8(Reg)'!H32+'IN_Cost Plant Acct-Com-P10(Reg)'!H12</f>
        <v>0</v>
      </c>
      <c r="I32" s="138"/>
      <c r="J32" s="138">
        <f t="shared" si="0"/>
        <v>-6535156.0600000005</v>
      </c>
      <c r="K32" s="138"/>
      <c r="L32" s="138">
        <f>J32+B32</f>
        <v>18308866.060000002</v>
      </c>
      <c r="M32" s="145"/>
    </row>
    <row r="33" spans="1:13" x14ac:dyDescent="0.2">
      <c r="A33" s="3" t="s">
        <v>267</v>
      </c>
      <c r="B33" s="138">
        <f>'KY_Cost Plant Acct-Comm-P8(Reg)'!B33</f>
        <v>16024672.24</v>
      </c>
      <c r="C33" s="138"/>
      <c r="D33" s="138">
        <f>'KY_Cost Plant Acct-Comm-P8(Reg)'!D33</f>
        <v>1603981.74</v>
      </c>
      <c r="E33" s="138"/>
      <c r="F33" s="138">
        <f>'KY_Cost Plant Acct-Comm-P8(Reg)'!F33</f>
        <v>-4105438.96</v>
      </c>
      <c r="G33" s="138"/>
      <c r="H33" s="138">
        <f>'KY_Cost Plant Acct-Comm-P8(Reg)'!H33</f>
        <v>0</v>
      </c>
      <c r="I33" s="138"/>
      <c r="J33" s="138">
        <f t="shared" si="0"/>
        <v>-2501457.2199999997</v>
      </c>
      <c r="K33" s="138"/>
      <c r="L33" s="138">
        <f t="shared" si="1"/>
        <v>13523215.02</v>
      </c>
      <c r="M33" s="145"/>
    </row>
    <row r="34" spans="1:13" x14ac:dyDescent="0.2">
      <c r="A34" s="3" t="s">
        <v>268</v>
      </c>
      <c r="B34" s="138">
        <f>'KY_Cost Plant Acct-Comm-P8(Reg)'!B34</f>
        <v>0</v>
      </c>
      <c r="C34" s="138"/>
      <c r="D34" s="138">
        <f>'KY_Cost Plant Acct-Comm-P8(Reg)'!D34</f>
        <v>0</v>
      </c>
      <c r="E34" s="138"/>
      <c r="F34" s="138">
        <f>'KY_Cost Plant Acct-Comm-P8(Reg)'!F34</f>
        <v>0</v>
      </c>
      <c r="G34" s="138"/>
      <c r="H34" s="138">
        <f>'KY_Cost Plant Acct-Comm-P8(Reg)'!H34</f>
        <v>0</v>
      </c>
      <c r="I34" s="138"/>
      <c r="J34" s="138">
        <f t="shared" si="0"/>
        <v>0</v>
      </c>
      <c r="K34" s="138"/>
      <c r="L34" s="138">
        <f t="shared" si="1"/>
        <v>0</v>
      </c>
      <c r="M34" s="145"/>
    </row>
    <row r="35" spans="1:13" x14ac:dyDescent="0.2">
      <c r="A35" s="3" t="s">
        <v>269</v>
      </c>
      <c r="B35" s="138">
        <f>'KY_Cost Plant Acct-Comm-P8(Reg)'!B35</f>
        <v>0</v>
      </c>
      <c r="C35" s="138"/>
      <c r="D35" s="138">
        <f>'KY_Cost Plant Acct-Comm-P8(Reg)'!D35</f>
        <v>0</v>
      </c>
      <c r="E35" s="138"/>
      <c r="F35" s="138">
        <f>'KY_Cost Plant Acct-Comm-P8(Reg)'!F35</f>
        <v>0</v>
      </c>
      <c r="G35" s="138"/>
      <c r="H35" s="138">
        <f>'KY_Cost Plant Acct-Comm-P8(Reg)'!H35</f>
        <v>0</v>
      </c>
      <c r="I35" s="138"/>
      <c r="J35" s="138">
        <f t="shared" si="0"/>
        <v>0</v>
      </c>
      <c r="K35" s="138"/>
      <c r="L35" s="138">
        <f t="shared" si="1"/>
        <v>0</v>
      </c>
      <c r="M35" s="145"/>
    </row>
    <row r="36" spans="1:13" x14ac:dyDescent="0.2">
      <c r="A36" s="3" t="s">
        <v>270</v>
      </c>
      <c r="B36" s="138">
        <f>'KY_Cost Plant Acct-Comm-P8(Reg)'!B36</f>
        <v>83782.289999999994</v>
      </c>
      <c r="C36" s="138"/>
      <c r="D36" s="138">
        <f>'KY_Cost Plant Acct-Comm-P8(Reg)'!D36</f>
        <v>0</v>
      </c>
      <c r="E36" s="138"/>
      <c r="F36" s="138">
        <f>'KY_Cost Plant Acct-Comm-P8(Reg)'!F36</f>
        <v>0</v>
      </c>
      <c r="G36" s="138"/>
      <c r="H36" s="138">
        <f>'KY_Cost Plant Acct-Comm-P8(Reg)'!H36</f>
        <v>0</v>
      </c>
      <c r="I36" s="138"/>
      <c r="J36" s="138">
        <f t="shared" si="0"/>
        <v>0</v>
      </c>
      <c r="K36" s="138"/>
      <c r="L36" s="138">
        <f t="shared" si="1"/>
        <v>83782.289999999994</v>
      </c>
      <c r="M36" s="145"/>
    </row>
    <row r="37" spans="1:13" x14ac:dyDescent="0.2">
      <c r="A37" s="3" t="s">
        <v>271</v>
      </c>
      <c r="B37" s="138">
        <f>'KY_Cost Plant Acct-Comm-P8(Reg)'!B37</f>
        <v>0</v>
      </c>
      <c r="C37" s="138"/>
      <c r="D37" s="138">
        <f>'KY_Cost Plant Acct-Comm-P8(Reg)'!D37</f>
        <v>0</v>
      </c>
      <c r="E37" s="138"/>
      <c r="F37" s="138">
        <f>'KY_Cost Plant Acct-Comm-P8(Reg)'!F37</f>
        <v>0</v>
      </c>
      <c r="G37" s="138"/>
      <c r="H37" s="138">
        <f>'KY_Cost Plant Acct-Comm-P8(Reg)'!H37</f>
        <v>0</v>
      </c>
      <c r="I37" s="138"/>
      <c r="J37" s="138">
        <f t="shared" si="0"/>
        <v>0</v>
      </c>
      <c r="K37" s="138"/>
      <c r="L37" s="138">
        <f t="shared" si="1"/>
        <v>0</v>
      </c>
      <c r="M37" s="145"/>
    </row>
    <row r="38" spans="1:13" x14ac:dyDescent="0.2">
      <c r="A38" s="3" t="s">
        <v>272</v>
      </c>
      <c r="B38" s="138">
        <f>'KY_Cost Plant Acct-Comm-P8(Reg)'!B38</f>
        <v>40698351.340000004</v>
      </c>
      <c r="C38" s="138"/>
      <c r="D38" s="138">
        <f>'KY_Cost Plant Acct-Comm-P8(Reg)'!D38</f>
        <v>12729029.289999999</v>
      </c>
      <c r="E38" s="138"/>
      <c r="F38" s="138">
        <f>'KY_Cost Plant Acct-Comm-P8(Reg)'!F38</f>
        <v>-7105652.6600000001</v>
      </c>
      <c r="G38" s="138"/>
      <c r="H38" s="138">
        <f>'KY_Cost Plant Acct-Comm-P8(Reg)'!H38</f>
        <v>0</v>
      </c>
      <c r="I38" s="138"/>
      <c r="J38" s="138">
        <f t="shared" si="0"/>
        <v>5623376.629999999</v>
      </c>
      <c r="K38" s="138"/>
      <c r="L38" s="138">
        <f t="shared" si="1"/>
        <v>46321727.969999999</v>
      </c>
      <c r="M38" s="145"/>
    </row>
    <row r="39" spans="1:13" x14ac:dyDescent="0.2">
      <c r="A39" s="3" t="s">
        <v>273</v>
      </c>
      <c r="B39" s="138">
        <f>'KY_Cost Plant Acct-Comm-P8(Reg)'!B39</f>
        <v>45350035.249999993</v>
      </c>
      <c r="C39" s="138"/>
      <c r="D39" s="138">
        <f>'KY_Cost Plant Acct-Comm-P8(Reg)'!D39</f>
        <v>0</v>
      </c>
      <c r="E39" s="138"/>
      <c r="F39" s="138">
        <f>'KY_Cost Plant Acct-Comm-P8(Reg)'!F39</f>
        <v>0</v>
      </c>
      <c r="G39" s="138"/>
      <c r="H39" s="138">
        <f>'KY_Cost Plant Acct-Comm-P8(Reg)'!H39</f>
        <v>0</v>
      </c>
      <c r="I39" s="138"/>
      <c r="J39" s="138">
        <f t="shared" si="0"/>
        <v>0</v>
      </c>
      <c r="K39" s="138"/>
      <c r="L39" s="138">
        <f t="shared" si="1"/>
        <v>45350035.249999993</v>
      </c>
      <c r="M39" s="145"/>
    </row>
    <row r="40" spans="1:13" x14ac:dyDescent="0.2">
      <c r="A40" s="3" t="s">
        <v>274</v>
      </c>
      <c r="B40" s="149">
        <f>'KY_Cost Plant Acct-Comm-P8(Reg)'!B40</f>
        <v>0</v>
      </c>
      <c r="C40" s="135"/>
      <c r="D40" s="149">
        <f>'KY_Cost Plant Acct-Comm-P8(Reg)'!D40</f>
        <v>0</v>
      </c>
      <c r="E40" s="135"/>
      <c r="F40" s="149">
        <f>'KY_Cost Plant Acct-Comm-P8(Reg)'!F40</f>
        <v>0</v>
      </c>
      <c r="G40" s="135"/>
      <c r="H40" s="149">
        <f>'KY_Cost Plant Acct-Comm-P8(Reg)'!H40</f>
        <v>0</v>
      </c>
      <c r="I40" s="135"/>
      <c r="J40" s="149">
        <f t="shared" si="0"/>
        <v>0</v>
      </c>
      <c r="K40" s="135"/>
      <c r="L40" s="149">
        <f t="shared" si="1"/>
        <v>0</v>
      </c>
      <c r="M40" s="146"/>
    </row>
    <row r="41" spans="1:13" x14ac:dyDescent="0.2">
      <c r="B41" s="135">
        <f>SUM(B11:B40)</f>
        <v>243762745.70999998</v>
      </c>
      <c r="C41" s="135"/>
      <c r="D41" s="135">
        <f>SUM(D11:D40)</f>
        <v>25778755.329999998</v>
      </c>
      <c r="E41" s="135"/>
      <c r="F41" s="135">
        <f>SUM(F11:F40)</f>
        <v>-27468609.09</v>
      </c>
      <c r="G41" s="135"/>
      <c r="H41" s="135">
        <f>SUM(H11:H40)</f>
        <v>-14891.759999999995</v>
      </c>
      <c r="I41" s="135"/>
      <c r="J41" s="135">
        <f>SUM(J11:J40)</f>
        <v>-1704745.5200000023</v>
      </c>
      <c r="K41" s="135"/>
      <c r="L41" s="135">
        <f>SUM(L11:L40)</f>
        <v>242058000.18999997</v>
      </c>
      <c r="M41" s="146"/>
    </row>
    <row r="42" spans="1:13" x14ac:dyDescent="0.2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46"/>
    </row>
    <row r="43" spans="1:13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3" x14ac:dyDescent="0.2">
      <c r="A44" s="10" t="s">
        <v>2567</v>
      </c>
      <c r="B44" s="18"/>
      <c r="D44" s="18"/>
      <c r="F44" s="18"/>
      <c r="H44" s="18"/>
      <c r="J44" s="18"/>
      <c r="L44" s="18"/>
    </row>
    <row r="45" spans="1:13" x14ac:dyDescent="0.2">
      <c r="A45" s="10" t="s">
        <v>2561</v>
      </c>
    </row>
    <row r="46" spans="1:13" x14ac:dyDescent="0.2">
      <c r="A46" s="10" t="s">
        <v>2562</v>
      </c>
    </row>
    <row r="47" spans="1:13" x14ac:dyDescent="0.2">
      <c r="A47" s="3" t="s">
        <v>245</v>
      </c>
      <c r="B47" s="138">
        <v>0</v>
      </c>
      <c r="C47" s="138"/>
      <c r="D47" s="138">
        <v>0</v>
      </c>
      <c r="E47" s="138"/>
      <c r="F47" s="138">
        <v>0</v>
      </c>
      <c r="G47" s="138"/>
      <c r="H47" s="138">
        <v>0</v>
      </c>
      <c r="I47" s="138"/>
      <c r="J47" s="138">
        <f t="shared" ref="J47:J74" si="2">H47+F47+D47</f>
        <v>0</v>
      </c>
      <c r="K47" s="138"/>
      <c r="L47" s="138">
        <f t="shared" ref="L47:L74" si="3">J47+B47</f>
        <v>0</v>
      </c>
      <c r="M47" s="145"/>
    </row>
    <row r="48" spans="1:13" x14ac:dyDescent="0.2">
      <c r="A48" s="3" t="s">
        <v>246</v>
      </c>
      <c r="B48" s="138">
        <v>0</v>
      </c>
      <c r="C48" s="138"/>
      <c r="D48" s="138">
        <v>0</v>
      </c>
      <c r="E48" s="138"/>
      <c r="F48" s="138">
        <v>0</v>
      </c>
      <c r="G48" s="138"/>
      <c r="H48" s="138">
        <v>0</v>
      </c>
      <c r="I48" s="138"/>
      <c r="J48" s="138">
        <f t="shared" si="2"/>
        <v>0</v>
      </c>
      <c r="K48" s="138"/>
      <c r="L48" s="138">
        <f t="shared" si="3"/>
        <v>0</v>
      </c>
      <c r="M48" s="145"/>
    </row>
    <row r="49" spans="1:13" x14ac:dyDescent="0.2">
      <c r="A49" s="3" t="s">
        <v>247</v>
      </c>
      <c r="B49" s="138">
        <f>'KY_Cost Plant Acct-Comm-P8(Reg)'!B49</f>
        <v>1620947.24</v>
      </c>
      <c r="C49" s="138"/>
      <c r="D49" s="138">
        <f>'KY_Cost Plant Acct-Comm-P8(Reg)'!D49</f>
        <v>537556.77</v>
      </c>
      <c r="E49" s="138"/>
      <c r="F49" s="138">
        <v>0</v>
      </c>
      <c r="G49" s="138"/>
      <c r="H49" s="138">
        <v>0</v>
      </c>
      <c r="I49" s="138"/>
      <c r="J49" s="138">
        <f t="shared" si="2"/>
        <v>537556.77</v>
      </c>
      <c r="K49" s="138"/>
      <c r="L49" s="138">
        <f t="shared" si="3"/>
        <v>2158504.0099999998</v>
      </c>
      <c r="M49" s="145"/>
    </row>
    <row r="50" spans="1:13" x14ac:dyDescent="0.2">
      <c r="A50" s="3" t="s">
        <v>248</v>
      </c>
      <c r="B50" s="138">
        <f>'KY_Cost Plant Acct-Comm-P8(Reg)'!B50</f>
        <v>0</v>
      </c>
      <c r="C50" s="138"/>
      <c r="D50" s="138">
        <f>'KY_Cost Plant Acct-Comm-P8(Reg)'!D50</f>
        <v>0</v>
      </c>
      <c r="E50" s="138"/>
      <c r="F50" s="138">
        <v>0</v>
      </c>
      <c r="G50" s="138"/>
      <c r="H50" s="138">
        <v>0</v>
      </c>
      <c r="I50" s="138"/>
      <c r="J50" s="138">
        <f>H50+F50+D50</f>
        <v>0</v>
      </c>
      <c r="K50" s="138"/>
      <c r="L50" s="138">
        <f>J50+B50</f>
        <v>0</v>
      </c>
      <c r="M50" s="145"/>
    </row>
    <row r="51" spans="1:13" x14ac:dyDescent="0.2">
      <c r="A51" s="3" t="s">
        <v>249</v>
      </c>
      <c r="B51" s="138">
        <f>'KY_Cost Plant Acct-Comm-P8(Reg)'!B51</f>
        <v>0</v>
      </c>
      <c r="C51" s="138"/>
      <c r="D51" s="138">
        <f>'KY_Cost Plant Acct-Comm-P8(Reg)'!D51</f>
        <v>0</v>
      </c>
      <c r="E51" s="138"/>
      <c r="F51" s="138">
        <f>'KY_Cost Plant Acct-Comm-P8(Reg)'!F51</f>
        <v>0</v>
      </c>
      <c r="G51" s="138"/>
      <c r="H51" s="138">
        <f>'KY_Cost Plant Acct-Comm-P8(Reg)'!H51</f>
        <v>0</v>
      </c>
      <c r="I51" s="138"/>
      <c r="J51" s="138">
        <f t="shared" si="2"/>
        <v>0</v>
      </c>
      <c r="K51" s="138"/>
      <c r="L51" s="138">
        <f t="shared" si="3"/>
        <v>0</v>
      </c>
      <c r="M51" s="145"/>
    </row>
    <row r="52" spans="1:13" x14ac:dyDescent="0.2">
      <c r="A52" s="3" t="s">
        <v>250</v>
      </c>
      <c r="B52" s="138">
        <v>0</v>
      </c>
      <c r="C52" s="138"/>
      <c r="D52" s="138">
        <f>'KY_Cost Plant Acct-Comm-P8(Reg)'!D52</f>
        <v>0</v>
      </c>
      <c r="E52" s="138"/>
      <c r="F52" s="138">
        <v>0</v>
      </c>
      <c r="G52" s="138"/>
      <c r="H52" s="138">
        <v>0</v>
      </c>
      <c r="I52" s="138"/>
      <c r="J52" s="138">
        <f t="shared" si="2"/>
        <v>0</v>
      </c>
      <c r="K52" s="138"/>
      <c r="L52" s="138">
        <f t="shared" si="3"/>
        <v>0</v>
      </c>
      <c r="M52" s="145"/>
    </row>
    <row r="53" spans="1:13" x14ac:dyDescent="0.2">
      <c r="A53" s="3" t="s">
        <v>251</v>
      </c>
      <c r="B53" s="138">
        <f>'KY_Cost Plant Acct-Comm-P8(Reg)'!B53</f>
        <v>0</v>
      </c>
      <c r="C53" s="138"/>
      <c r="D53" s="138">
        <f>'KY_Cost Plant Acct-Comm-P8(Reg)'!D53</f>
        <v>0</v>
      </c>
      <c r="E53" s="138"/>
      <c r="F53" s="138">
        <f>'KY_Cost Plant Acct-Comm-P8(Reg)'!F53</f>
        <v>0</v>
      </c>
      <c r="G53" s="138"/>
      <c r="H53" s="138">
        <f>'KY_Cost Plant Acct-Comm-P8(Reg)'!H53</f>
        <v>0</v>
      </c>
      <c r="I53" s="138"/>
      <c r="J53" s="138">
        <f t="shared" si="2"/>
        <v>0</v>
      </c>
      <c r="K53" s="138"/>
      <c r="L53" s="138">
        <f t="shared" si="3"/>
        <v>0</v>
      </c>
      <c r="M53" s="145"/>
    </row>
    <row r="54" spans="1:13" x14ac:dyDescent="0.2">
      <c r="A54" s="3" t="s">
        <v>252</v>
      </c>
      <c r="B54" s="138">
        <f>'KY_Cost Plant Acct-Comm-P8(Reg)'!B54</f>
        <v>140186.64999999991</v>
      </c>
      <c r="C54" s="138"/>
      <c r="D54" s="138">
        <f>'KY_Cost Plant Acct-Comm-P8(Reg)'!D54</f>
        <v>110298.12</v>
      </c>
      <c r="E54" s="138"/>
      <c r="F54" s="138">
        <v>0</v>
      </c>
      <c r="G54" s="138"/>
      <c r="H54" s="138">
        <v>0</v>
      </c>
      <c r="I54" s="138"/>
      <c r="J54" s="138">
        <f t="shared" si="2"/>
        <v>110298.12</v>
      </c>
      <c r="K54" s="138"/>
      <c r="L54" s="138">
        <f t="shared" si="3"/>
        <v>250484.7699999999</v>
      </c>
      <c r="M54" s="145"/>
    </row>
    <row r="55" spans="1:13" x14ac:dyDescent="0.2">
      <c r="A55" s="3" t="s">
        <v>253</v>
      </c>
      <c r="B55" s="138">
        <f>'KY_Cost Plant Acct-Comm-P8(Reg)'!B55</f>
        <v>104647.01999999999</v>
      </c>
      <c r="C55" s="138"/>
      <c r="D55" s="138">
        <f>'KY_Cost Plant Acct-Comm-P8(Reg)'!D55</f>
        <v>37990.58</v>
      </c>
      <c r="E55" s="138"/>
      <c r="F55" s="138">
        <v>0</v>
      </c>
      <c r="G55" s="138"/>
      <c r="H55" s="138">
        <v>0</v>
      </c>
      <c r="I55" s="138"/>
      <c r="J55" s="138">
        <f t="shared" si="2"/>
        <v>37990.58</v>
      </c>
      <c r="K55" s="138"/>
      <c r="L55" s="138">
        <f t="shared" si="3"/>
        <v>142637.59999999998</v>
      </c>
      <c r="M55" s="145"/>
    </row>
    <row r="56" spans="1:13" x14ac:dyDescent="0.2">
      <c r="A56" s="3" t="s">
        <v>254</v>
      </c>
      <c r="B56" s="138">
        <f>'KY_Cost Plant Acct-Comm-P8(Reg)'!B56</f>
        <v>4307969.1499999994</v>
      </c>
      <c r="C56" s="138"/>
      <c r="D56" s="138">
        <f>'KY_Cost Plant Acct-Comm-P8(Reg)'!D56</f>
        <v>-467803.45</v>
      </c>
      <c r="E56" s="138"/>
      <c r="F56" s="138">
        <f>'KY_Cost Plant Acct-Comm-P8(Reg)'!F56</f>
        <v>0</v>
      </c>
      <c r="G56" s="138"/>
      <c r="H56" s="138">
        <f>'KY_Cost Plant Acct-Comm-P8(Reg)'!H56</f>
        <v>0</v>
      </c>
      <c r="I56" s="138"/>
      <c r="J56" s="138">
        <f t="shared" si="2"/>
        <v>-467803.45</v>
      </c>
      <c r="K56" s="138"/>
      <c r="L56" s="138">
        <f t="shared" si="3"/>
        <v>3840165.6999999993</v>
      </c>
      <c r="M56" s="145"/>
    </row>
    <row r="57" spans="1:13" x14ac:dyDescent="0.2">
      <c r="A57" s="3" t="s">
        <v>255</v>
      </c>
      <c r="B57" s="138">
        <f>'KY_Cost Plant Acct-Comm-P8(Reg)'!B57</f>
        <v>1060043.17</v>
      </c>
      <c r="C57" s="138"/>
      <c r="D57" s="138">
        <f>'KY_Cost Plant Acct-Comm-P8(Reg)'!D57</f>
        <v>-1035265.06</v>
      </c>
      <c r="E57" s="138"/>
      <c r="F57" s="138">
        <f>'KY_Cost Plant Acct-Comm-P8(Reg)'!F57</f>
        <v>0</v>
      </c>
      <c r="G57" s="138"/>
      <c r="H57" s="138">
        <f>'KY_Cost Plant Acct-Comm-P8(Reg)'!H57</f>
        <v>0</v>
      </c>
      <c r="I57" s="138"/>
      <c r="J57" s="138">
        <f t="shared" si="2"/>
        <v>-1035265.06</v>
      </c>
      <c r="K57" s="138"/>
      <c r="L57" s="138">
        <f t="shared" si="3"/>
        <v>24778.10999999987</v>
      </c>
      <c r="M57" s="145"/>
    </row>
    <row r="58" spans="1:13" x14ac:dyDescent="0.2">
      <c r="A58" s="3" t="s">
        <v>257</v>
      </c>
      <c r="B58" s="138">
        <f>'KY_Cost Plant Acct-Comm-P8(Reg)'!B58</f>
        <v>0</v>
      </c>
      <c r="C58" s="138"/>
      <c r="D58" s="138">
        <f>'KY_Cost Plant Acct-Comm-P8(Reg)'!D58</f>
        <v>289890.58</v>
      </c>
      <c r="E58" s="138"/>
      <c r="F58" s="138">
        <v>0</v>
      </c>
      <c r="G58" s="138"/>
      <c r="H58" s="138">
        <v>0</v>
      </c>
      <c r="I58" s="138"/>
      <c r="J58" s="138">
        <f t="shared" si="2"/>
        <v>289890.58</v>
      </c>
      <c r="K58" s="138"/>
      <c r="L58" s="138">
        <f t="shared" si="3"/>
        <v>289890.58</v>
      </c>
      <c r="M58" s="145"/>
    </row>
    <row r="59" spans="1:13" x14ac:dyDescent="0.2">
      <c r="A59" s="3" t="s">
        <v>2568</v>
      </c>
      <c r="B59" s="138">
        <v>0</v>
      </c>
      <c r="C59" s="138"/>
      <c r="D59" s="138">
        <v>0</v>
      </c>
      <c r="E59" s="138"/>
      <c r="F59" s="138">
        <v>0</v>
      </c>
      <c r="G59" s="138"/>
      <c r="H59" s="138">
        <v>0</v>
      </c>
      <c r="I59" s="138"/>
      <c r="J59" s="138">
        <f t="shared" si="2"/>
        <v>0</v>
      </c>
      <c r="K59" s="138"/>
      <c r="L59" s="138">
        <f t="shared" si="3"/>
        <v>0</v>
      </c>
      <c r="M59" s="145"/>
    </row>
    <row r="60" spans="1:13" x14ac:dyDescent="0.2">
      <c r="A60" s="3" t="s">
        <v>260</v>
      </c>
      <c r="B60" s="138">
        <v>0</v>
      </c>
      <c r="C60" s="138"/>
      <c r="D60" s="138">
        <f>'KY_Cost Plant Acct-Comm-P8(Reg)'!D59</f>
        <v>0</v>
      </c>
      <c r="E60" s="138"/>
      <c r="F60" s="138">
        <v>0</v>
      </c>
      <c r="G60" s="138"/>
      <c r="H60" s="138">
        <v>0</v>
      </c>
      <c r="I60" s="138"/>
      <c r="J60" s="138">
        <f t="shared" si="2"/>
        <v>0</v>
      </c>
      <c r="K60" s="138"/>
      <c r="L60" s="138">
        <f t="shared" si="3"/>
        <v>0</v>
      </c>
      <c r="M60" s="145"/>
    </row>
    <row r="61" spans="1:13" x14ac:dyDescent="0.2">
      <c r="A61" s="3" t="s">
        <v>261</v>
      </c>
      <c r="B61" s="138">
        <f>+'KY_Cost Plant Acct-Comm-P8(Reg)'!B60</f>
        <v>27024.46</v>
      </c>
      <c r="C61" s="138"/>
      <c r="D61" s="138">
        <f>'KY_Cost Plant Acct-Comm-P8(Reg)'!D60</f>
        <v>-27024.46</v>
      </c>
      <c r="E61" s="138"/>
      <c r="F61" s="138">
        <v>0</v>
      </c>
      <c r="G61" s="138"/>
      <c r="H61" s="138">
        <v>0</v>
      </c>
      <c r="I61" s="138"/>
      <c r="J61" s="138">
        <f t="shared" si="2"/>
        <v>-27024.46</v>
      </c>
      <c r="K61" s="138"/>
      <c r="L61" s="138">
        <f t="shared" si="3"/>
        <v>0</v>
      </c>
      <c r="M61" s="145"/>
    </row>
    <row r="62" spans="1:13" x14ac:dyDescent="0.2">
      <c r="A62" s="3" t="s">
        <v>262</v>
      </c>
      <c r="B62" s="138">
        <f>'KY_Cost Plant Acct-Comm-P8(Reg)'!B61</f>
        <v>78633.06</v>
      </c>
      <c r="C62" s="138"/>
      <c r="D62" s="138">
        <f>'KY_Cost Plant Acct-Comm-P8(Reg)'!D61</f>
        <v>-6026.74</v>
      </c>
      <c r="E62" s="138"/>
      <c r="F62" s="138">
        <f>'KY_Cost Plant Acct-Comm-P8(Reg)'!F61</f>
        <v>0</v>
      </c>
      <c r="G62" s="138"/>
      <c r="H62" s="138">
        <f>'KY_Cost Plant Acct-Comm-P8(Reg)'!H61</f>
        <v>0</v>
      </c>
      <c r="I62" s="138"/>
      <c r="J62" s="138">
        <f t="shared" si="2"/>
        <v>-6026.74</v>
      </c>
      <c r="K62" s="138"/>
      <c r="L62" s="138">
        <f t="shared" si="3"/>
        <v>72606.319999999992</v>
      </c>
      <c r="M62" s="145"/>
    </row>
    <row r="63" spans="1:13" x14ac:dyDescent="0.2">
      <c r="A63" s="3" t="s">
        <v>263</v>
      </c>
      <c r="B63" s="138">
        <v>0</v>
      </c>
      <c r="C63" s="138"/>
      <c r="D63" s="138">
        <v>0</v>
      </c>
      <c r="E63" s="138"/>
      <c r="F63" s="138">
        <v>0</v>
      </c>
      <c r="G63" s="138"/>
      <c r="H63" s="138">
        <v>0</v>
      </c>
      <c r="I63" s="138"/>
      <c r="J63" s="138">
        <f t="shared" si="2"/>
        <v>0</v>
      </c>
      <c r="K63" s="138"/>
      <c r="L63" s="138">
        <f t="shared" si="3"/>
        <v>0</v>
      </c>
      <c r="M63" s="145"/>
    </row>
    <row r="64" spans="1:13" x14ac:dyDescent="0.2">
      <c r="A64" s="133" t="s">
        <v>2563</v>
      </c>
      <c r="B64" s="138">
        <v>0</v>
      </c>
      <c r="C64" s="138"/>
      <c r="D64" s="138">
        <v>0</v>
      </c>
      <c r="E64" s="138"/>
      <c r="F64" s="138">
        <v>0</v>
      </c>
      <c r="G64" s="138"/>
      <c r="H64" s="138">
        <v>0</v>
      </c>
      <c r="I64" s="138"/>
      <c r="J64" s="138">
        <f t="shared" si="2"/>
        <v>0</v>
      </c>
      <c r="K64" s="138"/>
      <c r="L64" s="138">
        <f t="shared" si="3"/>
        <v>0</v>
      </c>
      <c r="M64" s="145"/>
    </row>
    <row r="65" spans="1:13" x14ac:dyDescent="0.2">
      <c r="A65" s="3" t="s">
        <v>265</v>
      </c>
      <c r="B65" s="138">
        <v>0</v>
      </c>
      <c r="C65" s="138"/>
      <c r="D65" s="138">
        <v>0</v>
      </c>
      <c r="E65" s="138"/>
      <c r="F65" s="138">
        <v>0</v>
      </c>
      <c r="G65" s="138"/>
      <c r="H65" s="138">
        <v>0</v>
      </c>
      <c r="I65" s="138"/>
      <c r="J65" s="138">
        <f t="shared" si="2"/>
        <v>0</v>
      </c>
      <c r="K65" s="138"/>
      <c r="L65" s="138">
        <f t="shared" si="3"/>
        <v>0</v>
      </c>
      <c r="M65" s="145"/>
    </row>
    <row r="66" spans="1:13" x14ac:dyDescent="0.2">
      <c r="A66" s="3" t="s">
        <v>266</v>
      </c>
      <c r="B66" s="138">
        <f>'KY_Cost Plant Acct-Comm-P8(Reg)'!B62+'IN_Cost Plant Acct-Com-P10(Reg)'!B21</f>
        <v>3633119.84</v>
      </c>
      <c r="C66" s="138"/>
      <c r="D66" s="138">
        <f>'KY_Cost Plant Acct-Comm-P8(Reg)'!D62+'IN_Cost Plant Acct-Com-P10(Reg)'!D21</f>
        <v>-1028122.06</v>
      </c>
      <c r="E66" s="138"/>
      <c r="F66" s="138">
        <f>'KY_Cost Plant Acct-Comm-P8(Reg)'!F62+'IN_Cost Plant Acct-Com-P10(Reg)'!F21</f>
        <v>0</v>
      </c>
      <c r="G66" s="138"/>
      <c r="H66" s="138">
        <f>'KY_Cost Plant Acct-Comm-P8(Reg)'!H62+'IN_Cost Plant Acct-Com-P10(Reg)'!H21</f>
        <v>0</v>
      </c>
      <c r="I66" s="138"/>
      <c r="J66" s="138">
        <f t="shared" si="2"/>
        <v>-1028122.06</v>
      </c>
      <c r="K66" s="138"/>
      <c r="L66" s="138">
        <f t="shared" si="3"/>
        <v>2604997.7799999998</v>
      </c>
      <c r="M66" s="145"/>
    </row>
    <row r="67" spans="1:13" x14ac:dyDescent="0.2">
      <c r="A67" s="3" t="s">
        <v>267</v>
      </c>
      <c r="B67" s="138">
        <f>'KY_Cost Plant Acct-Comm-P8(Reg)'!B63</f>
        <v>1678100.2300000002</v>
      </c>
      <c r="C67" s="138"/>
      <c r="D67" s="138">
        <f>'KY_Cost Plant Acct-Comm-P8(Reg)'!D63</f>
        <v>-1247486.1599999999</v>
      </c>
      <c r="E67" s="138"/>
      <c r="F67" s="138">
        <v>0</v>
      </c>
      <c r="G67" s="138"/>
      <c r="H67" s="138">
        <v>0</v>
      </c>
      <c r="I67" s="138"/>
      <c r="J67" s="138">
        <f t="shared" si="2"/>
        <v>-1247486.1599999999</v>
      </c>
      <c r="K67" s="138"/>
      <c r="L67" s="138">
        <f t="shared" si="3"/>
        <v>430614.0700000003</v>
      </c>
      <c r="M67" s="145"/>
    </row>
    <row r="68" spans="1:13" x14ac:dyDescent="0.2">
      <c r="A68" s="3" t="s">
        <v>268</v>
      </c>
      <c r="B68" s="138">
        <v>0</v>
      </c>
      <c r="C68" s="138"/>
      <c r="D68" s="138">
        <f>'KY_Cost Plant Acct-Comm-P8(Reg)'!D64</f>
        <v>0</v>
      </c>
      <c r="E68" s="138"/>
      <c r="F68" s="138">
        <v>0</v>
      </c>
      <c r="G68" s="138"/>
      <c r="H68" s="138">
        <v>0</v>
      </c>
      <c r="I68" s="138"/>
      <c r="J68" s="138">
        <f t="shared" si="2"/>
        <v>0</v>
      </c>
      <c r="K68" s="138"/>
      <c r="L68" s="138">
        <f t="shared" si="3"/>
        <v>0</v>
      </c>
      <c r="M68" s="145"/>
    </row>
    <row r="69" spans="1:13" x14ac:dyDescent="0.2">
      <c r="A69" s="3" t="s">
        <v>269</v>
      </c>
      <c r="B69" s="138">
        <v>0</v>
      </c>
      <c r="C69" s="138"/>
      <c r="D69" s="138">
        <v>0</v>
      </c>
      <c r="E69" s="138"/>
      <c r="F69" s="138">
        <v>0</v>
      </c>
      <c r="G69" s="138"/>
      <c r="H69" s="138">
        <v>0</v>
      </c>
      <c r="I69" s="138"/>
      <c r="J69" s="138">
        <f t="shared" si="2"/>
        <v>0</v>
      </c>
      <c r="K69" s="138"/>
      <c r="L69" s="138">
        <f t="shared" si="3"/>
        <v>0</v>
      </c>
      <c r="M69" s="145"/>
    </row>
    <row r="70" spans="1:13" x14ac:dyDescent="0.2">
      <c r="A70" s="3" t="s">
        <v>270</v>
      </c>
      <c r="B70" s="138">
        <v>0</v>
      </c>
      <c r="C70" s="138"/>
      <c r="D70" s="138">
        <v>0</v>
      </c>
      <c r="E70" s="138"/>
      <c r="F70" s="138">
        <v>0</v>
      </c>
      <c r="G70" s="138"/>
      <c r="H70" s="138">
        <v>0</v>
      </c>
      <c r="I70" s="138"/>
      <c r="J70" s="138">
        <f t="shared" si="2"/>
        <v>0</v>
      </c>
      <c r="K70" s="138"/>
      <c r="L70" s="138">
        <f t="shared" si="3"/>
        <v>0</v>
      </c>
      <c r="M70" s="145"/>
    </row>
    <row r="71" spans="1:13" x14ac:dyDescent="0.2">
      <c r="A71" s="3" t="s">
        <v>271</v>
      </c>
      <c r="B71" s="138">
        <v>0</v>
      </c>
      <c r="C71" s="138"/>
      <c r="D71" s="138">
        <v>0</v>
      </c>
      <c r="E71" s="138"/>
      <c r="F71" s="138">
        <v>0</v>
      </c>
      <c r="G71" s="138"/>
      <c r="H71" s="138">
        <v>0</v>
      </c>
      <c r="I71" s="138"/>
      <c r="J71" s="138">
        <f t="shared" si="2"/>
        <v>0</v>
      </c>
      <c r="K71" s="138"/>
      <c r="L71" s="138">
        <f t="shared" si="3"/>
        <v>0</v>
      </c>
      <c r="M71" s="145"/>
    </row>
    <row r="72" spans="1:13" x14ac:dyDescent="0.2">
      <c r="A72" s="3" t="s">
        <v>272</v>
      </c>
      <c r="B72" s="138">
        <f>'KY_Cost Plant Acct-Comm-P8(Reg)'!B65</f>
        <v>9530107.7699999958</v>
      </c>
      <c r="C72" s="138"/>
      <c r="D72" s="138">
        <f>'KY_Cost Plant Acct-Comm-P8(Reg)'!D65</f>
        <v>-1798505.14</v>
      </c>
      <c r="E72" s="138"/>
      <c r="F72" s="138">
        <f>'KY_Cost Plant Acct-Comm-P8(Reg)'!F66</f>
        <v>0</v>
      </c>
      <c r="G72" s="138"/>
      <c r="H72" s="138">
        <f>'KY_Cost Plant Acct-Comm-P8(Reg)'!H66</f>
        <v>0</v>
      </c>
      <c r="I72" s="138"/>
      <c r="J72" s="138">
        <f t="shared" si="2"/>
        <v>-1798505.14</v>
      </c>
      <c r="K72" s="138"/>
      <c r="L72" s="138">
        <f t="shared" si="3"/>
        <v>7731602.6299999962</v>
      </c>
      <c r="M72" s="145"/>
    </row>
    <row r="73" spans="1:13" x14ac:dyDescent="0.2">
      <c r="A73" s="3" t="s">
        <v>273</v>
      </c>
      <c r="B73" s="138">
        <f>'KY_Cost Plant Acct-Comm-P8(Reg)'!B66</f>
        <v>0</v>
      </c>
      <c r="C73" s="138"/>
      <c r="D73" s="138">
        <f>'KY_Cost Plant Acct-Comm-P8(Reg)'!D66</f>
        <v>0</v>
      </c>
      <c r="E73" s="138"/>
      <c r="F73" s="138">
        <v>0</v>
      </c>
      <c r="G73" s="138"/>
      <c r="H73" s="138">
        <v>0</v>
      </c>
      <c r="I73" s="138"/>
      <c r="J73" s="138">
        <f t="shared" si="2"/>
        <v>0</v>
      </c>
      <c r="K73" s="138"/>
      <c r="L73" s="138">
        <f t="shared" si="3"/>
        <v>0</v>
      </c>
      <c r="M73" s="145"/>
    </row>
    <row r="74" spans="1:13" x14ac:dyDescent="0.2">
      <c r="A74" s="3" t="s">
        <v>274</v>
      </c>
      <c r="B74" s="149">
        <v>0</v>
      </c>
      <c r="C74" s="135"/>
      <c r="D74" s="149">
        <v>0</v>
      </c>
      <c r="E74" s="135"/>
      <c r="F74" s="149">
        <v>0</v>
      </c>
      <c r="G74" s="135"/>
      <c r="H74" s="149">
        <v>0</v>
      </c>
      <c r="I74" s="135"/>
      <c r="J74" s="149">
        <f t="shared" si="2"/>
        <v>0</v>
      </c>
      <c r="K74" s="135"/>
      <c r="L74" s="149">
        <f t="shared" si="3"/>
        <v>0</v>
      </c>
      <c r="M74" s="146"/>
    </row>
    <row r="75" spans="1:13" x14ac:dyDescent="0.2">
      <c r="B75" s="135">
        <f>SUM(B47:B74)</f>
        <v>22180778.589999996</v>
      </c>
      <c r="C75" s="135"/>
      <c r="D75" s="135">
        <f>SUM(D47:D74)</f>
        <v>-4634497.0199999996</v>
      </c>
      <c r="E75" s="135"/>
      <c r="F75" s="135">
        <f>SUM(F47:F74)</f>
        <v>0</v>
      </c>
      <c r="G75" s="135"/>
      <c r="H75" s="135">
        <f>SUM(H47:H74)</f>
        <v>0</v>
      </c>
      <c r="I75" s="135"/>
      <c r="J75" s="135">
        <f>SUM(J47:J74)</f>
        <v>-4634497.0199999996</v>
      </c>
      <c r="K75" s="135"/>
      <c r="L75" s="135">
        <f>SUM(L47:L74)</f>
        <v>17546281.569999997</v>
      </c>
      <c r="M75" s="146"/>
    </row>
    <row r="76" spans="1:13" x14ac:dyDescent="0.2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46"/>
    </row>
    <row r="77" spans="1:13" ht="13.5" thickBot="1" x14ac:dyDescent="0.25">
      <c r="A77" s="10" t="s">
        <v>2564</v>
      </c>
      <c r="B77" s="143">
        <f>B75+B41</f>
        <v>265943524.29999998</v>
      </c>
      <c r="C77" s="146"/>
      <c r="D77" s="143">
        <f>D75+D41</f>
        <v>21144258.309999999</v>
      </c>
      <c r="E77" s="146"/>
      <c r="F77" s="143">
        <f>F75+F41</f>
        <v>-27468609.09</v>
      </c>
      <c r="G77" s="146"/>
      <c r="H77" s="143">
        <f>H75+H41</f>
        <v>-14891.759999999995</v>
      </c>
      <c r="I77" s="146"/>
      <c r="J77" s="143">
        <f>J75+J41</f>
        <v>-6339242.5400000019</v>
      </c>
      <c r="K77" s="146"/>
      <c r="L77" s="143">
        <f>L75+L41</f>
        <v>259604281.75999996</v>
      </c>
      <c r="M77" s="146"/>
    </row>
    <row r="78" spans="1:13" ht="13.5" thickTop="1" x14ac:dyDescent="0.2"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46"/>
    </row>
    <row r="79" spans="1:13" x14ac:dyDescent="0.2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>
        <f>+L77-'KY_Cost Plant Acct-Comm-P8(Reg)'!L73-'IN_Cost Plant Acct-Com-P10(Reg)'!L27</f>
        <v>-5.9662852436304092E-9</v>
      </c>
      <c r="M79" s="146"/>
    </row>
    <row r="80" spans="1:13" x14ac:dyDescent="0.2"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  <row r="114" spans="2:13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</row>
    <row r="115" spans="2:13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</row>
    <row r="116" spans="2:13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</row>
    <row r="117" spans="2:13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</row>
    <row r="118" spans="2:13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</row>
    <row r="119" spans="2:13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</row>
    <row r="120" spans="2:13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</row>
    <row r="121" spans="2:13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</row>
    <row r="122" spans="2:13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</row>
    <row r="123" spans="2:13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</row>
    <row r="124" spans="2:13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</row>
    <row r="125" spans="2:13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</row>
    <row r="126" spans="2:13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</row>
    <row r="127" spans="2:13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</row>
    <row r="128" spans="2:13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 x14ac:dyDescent="0.2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 x14ac:dyDescent="0.2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 x14ac:dyDescent="0.2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 x14ac:dyDescent="0.2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 x14ac:dyDescent="0.2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 x14ac:dyDescent="0.2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 x14ac:dyDescent="0.2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 x14ac:dyDescent="0.2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 x14ac:dyDescent="0.2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 x14ac:dyDescent="0.2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 x14ac:dyDescent="0.2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 x14ac:dyDescent="0.2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 x14ac:dyDescent="0.2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 x14ac:dyDescent="0.2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 x14ac:dyDescent="0.2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 x14ac:dyDescent="0.2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 x14ac:dyDescent="0.2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 x14ac:dyDescent="0.2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 x14ac:dyDescent="0.2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 x14ac:dyDescent="0.2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 x14ac:dyDescent="0.2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2:13" x14ac:dyDescent="0.2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</row>
    <row r="163" spans="2:13" x14ac:dyDescent="0.2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</row>
    <row r="164" spans="2:13" x14ac:dyDescent="0.2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</row>
    <row r="165" spans="2:13" x14ac:dyDescent="0.2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</row>
    <row r="166" spans="2:13" x14ac:dyDescent="0.2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</row>
    <row r="167" spans="2:13" x14ac:dyDescent="0.2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</row>
    <row r="168" spans="2:13" x14ac:dyDescent="0.2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</row>
    <row r="169" spans="2:13" x14ac:dyDescent="0.2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</row>
    <row r="170" spans="2:13" x14ac:dyDescent="0.2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</row>
    <row r="171" spans="2:13" x14ac:dyDescent="0.2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</row>
    <row r="172" spans="2:13" x14ac:dyDescent="0.2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</row>
    <row r="173" spans="2:13" x14ac:dyDescent="0.2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</row>
    <row r="174" spans="2:13" x14ac:dyDescent="0.2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</row>
    <row r="175" spans="2:13" x14ac:dyDescent="0.2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</row>
    <row r="176" spans="2:13" x14ac:dyDescent="0.2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</row>
    <row r="177" spans="2:13" x14ac:dyDescent="0.2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</row>
    <row r="178" spans="2:13" x14ac:dyDescent="0.2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</row>
    <row r="179" spans="2:13" x14ac:dyDescent="0.2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</row>
    <row r="180" spans="2:13" x14ac:dyDescent="0.2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</row>
    <row r="181" spans="2:13" x14ac:dyDescent="0.2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</row>
    <row r="182" spans="2:13" x14ac:dyDescent="0.2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</row>
    <row r="183" spans="2:13" x14ac:dyDescent="0.2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</row>
    <row r="184" spans="2:13" x14ac:dyDescent="0.2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</row>
    <row r="185" spans="2:13" x14ac:dyDescent="0.2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</row>
    <row r="186" spans="2:13" x14ac:dyDescent="0.2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</row>
    <row r="187" spans="2:13" x14ac:dyDescent="0.2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</row>
    <row r="188" spans="2:13" x14ac:dyDescent="0.2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</row>
    <row r="189" spans="2:13" x14ac:dyDescent="0.2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</row>
    <row r="190" spans="2:13" x14ac:dyDescent="0.2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</row>
    <row r="191" spans="2:13" x14ac:dyDescent="0.2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</row>
    <row r="192" spans="2:13" x14ac:dyDescent="0.2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</row>
    <row r="193" spans="2:13" x14ac:dyDescent="0.2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</row>
    <row r="194" spans="2:13" x14ac:dyDescent="0.2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</row>
  </sheetData>
  <mergeCells count="3">
    <mergeCell ref="A1:M1"/>
    <mergeCell ref="A2:M2"/>
    <mergeCell ref="A3:M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1" manualBreakCount="1">
    <brk id="4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161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4" width="16.7109375" style="3" customWidth="1"/>
    <col min="15" max="15" width="2.2851562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2569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</row>
    <row r="10" spans="1:16" x14ac:dyDescent="0.2">
      <c r="A10" s="10" t="s">
        <v>2562</v>
      </c>
    </row>
    <row r="11" spans="1:16" x14ac:dyDescent="0.2">
      <c r="A11" s="3" t="s">
        <v>245</v>
      </c>
      <c r="B11" s="138">
        <f>'KY_Cost Plant Acct-Comm-P8(Reg)'!B11</f>
        <v>1564394.3699999999</v>
      </c>
      <c r="C11" s="138"/>
      <c r="D11" s="138">
        <f>'KY_Cost Plant Acct-Comm-P8(Reg)'!D11</f>
        <v>0</v>
      </c>
      <c r="E11" s="138"/>
      <c r="F11" s="138">
        <f>'KY_Cost Plant Acct-Comm-P8(Reg)'!F11</f>
        <v>0</v>
      </c>
      <c r="G11" s="138"/>
      <c r="H11" s="138">
        <f>'KY_Cost Plant Acct-Comm-P8(Reg)'!H11</f>
        <v>0</v>
      </c>
      <c r="I11" s="138"/>
      <c r="J11" s="138">
        <f t="shared" ref="J11:J40" si="0">H11+F11+D11</f>
        <v>0</v>
      </c>
      <c r="K11" s="138"/>
      <c r="L11" s="138">
        <f t="shared" ref="L11:L40" si="1">J11+B11</f>
        <v>1564394.3699999999</v>
      </c>
      <c r="M11" s="145"/>
      <c r="N11" s="39">
        <f>'KY_Res by Plant Acct-P29 (Reg)'!R462</f>
        <v>0</v>
      </c>
      <c r="P11" s="39">
        <f>L11+N11</f>
        <v>1564394.3699999999</v>
      </c>
    </row>
    <row r="12" spans="1:16" x14ac:dyDescent="0.2">
      <c r="A12" s="3" t="s">
        <v>246</v>
      </c>
      <c r="B12" s="138">
        <f>'KY_Cost Plant Acct-Comm-P8(Reg)'!B12</f>
        <v>202094.94</v>
      </c>
      <c r="C12" s="138"/>
      <c r="D12" s="138">
        <f>'KY_Cost Plant Acct-Comm-P8(Reg)'!D12</f>
        <v>0</v>
      </c>
      <c r="E12" s="138"/>
      <c r="F12" s="138">
        <f>'KY_Cost Plant Acct-Comm-P8(Reg)'!F12</f>
        <v>0</v>
      </c>
      <c r="G12" s="138"/>
      <c r="H12" s="138">
        <f>'KY_Cost Plant Acct-Comm-P8(Reg)'!H12</f>
        <v>-202094.94</v>
      </c>
      <c r="I12" s="138"/>
      <c r="J12" s="138">
        <f t="shared" si="0"/>
        <v>-202094.94</v>
      </c>
      <c r="K12" s="138"/>
      <c r="L12" s="138">
        <f t="shared" si="1"/>
        <v>0</v>
      </c>
      <c r="M12" s="145"/>
      <c r="N12" s="39">
        <f>'KY_Res by Plant Acct-P29 (Reg)'!R463</f>
        <v>0</v>
      </c>
      <c r="P12" s="39">
        <f t="shared" ref="P12:P40" si="2">L12+N12</f>
        <v>0</v>
      </c>
    </row>
    <row r="13" spans="1:16" x14ac:dyDescent="0.2">
      <c r="A13" s="3" t="s">
        <v>247</v>
      </c>
      <c r="B13" s="138">
        <f>'KY_Cost Plant Acct-Comm-P8(Reg)'!B13+'KY_Cost Plant Acct-Comm-P8(Reg)'!B49</f>
        <v>65673648.719999999</v>
      </c>
      <c r="C13" s="138"/>
      <c r="D13" s="138">
        <f>'KY_Cost Plant Acct-Comm-P8(Reg)'!D13+'KY_Cost Plant Acct-Comm-P8(Reg)'!D49</f>
        <v>2535402.08</v>
      </c>
      <c r="E13" s="138"/>
      <c r="F13" s="138">
        <f>'KY_Cost Plant Acct-Comm-P8(Reg)'!F13</f>
        <v>-224940.09</v>
      </c>
      <c r="G13" s="138"/>
      <c r="H13" s="138">
        <f>'KY_Cost Plant Acct-Comm-P8(Reg)'!H13</f>
        <v>-12074.4</v>
      </c>
      <c r="I13" s="138"/>
      <c r="J13" s="138">
        <f t="shared" si="0"/>
        <v>2298387.59</v>
      </c>
      <c r="K13" s="138"/>
      <c r="L13" s="138">
        <f t="shared" si="1"/>
        <v>67972036.310000002</v>
      </c>
      <c r="M13" s="145"/>
      <c r="N13" s="39">
        <f>'KY_Res by Plant Acct-P29 (Reg)'!R467+'KY_Res by Plant Acct-P29 (Reg)'!R464+'KY_Res by Plant Acct-P29 (Reg)'!R468+'KY_Res by Plant Acct-P29 (Reg)'!R466+'KY_Res by Plant Acct-P29 (Reg)'!R465</f>
        <v>-27685093.410000004</v>
      </c>
      <c r="P13" s="39">
        <f t="shared" si="2"/>
        <v>40286942.899999999</v>
      </c>
    </row>
    <row r="14" spans="1:16" x14ac:dyDescent="0.2">
      <c r="A14" s="3" t="s">
        <v>248</v>
      </c>
      <c r="B14" s="138">
        <f>'KY_Cost Plant Acct-Comm-P8(Reg)'!B14</f>
        <v>412150.57</v>
      </c>
      <c r="C14" s="138"/>
      <c r="D14" s="138">
        <f>'KY_Cost Plant Acct-Comm-P8(Reg)'!D14+'KY_Cost Plant Acct-Comm-P8(Reg)'!D50</f>
        <v>0</v>
      </c>
      <c r="E14" s="138"/>
      <c r="F14" s="138">
        <f>'KY_Cost Plant Acct-Comm-P8(Reg)'!F14</f>
        <v>0</v>
      </c>
      <c r="G14" s="138"/>
      <c r="H14" s="138">
        <f>'KY_Cost Plant Acct-Comm-P8(Reg)'!H14</f>
        <v>0</v>
      </c>
      <c r="I14" s="138"/>
      <c r="J14" s="138">
        <f t="shared" si="0"/>
        <v>0</v>
      </c>
      <c r="K14" s="138"/>
      <c r="L14" s="138">
        <f t="shared" si="1"/>
        <v>412150.57</v>
      </c>
      <c r="M14" s="145"/>
      <c r="N14" s="39">
        <f>'KY_Res by Plant Acct-P29 (Reg)'!R469</f>
        <v>244232.80000000028</v>
      </c>
      <c r="P14" s="39">
        <f t="shared" si="2"/>
        <v>656383.37000000034</v>
      </c>
    </row>
    <row r="15" spans="1:16" x14ac:dyDescent="0.2">
      <c r="A15" s="3" t="s">
        <v>249</v>
      </c>
      <c r="B15" s="138">
        <f>'KY_Cost Plant Acct-Comm-P8(Reg)'!B15</f>
        <v>9814046.6999999993</v>
      </c>
      <c r="C15" s="138"/>
      <c r="D15" s="138">
        <f>'KY_Cost Plant Acct-Comm-P8(Reg)'!D15+'KY_Cost Plant Acct-Comm-P8(Reg)'!D51</f>
        <v>0</v>
      </c>
      <c r="E15" s="138"/>
      <c r="F15" s="138">
        <f>'KY_Cost Plant Acct-Comm-P8(Reg)'!F15</f>
        <v>-81110.28</v>
      </c>
      <c r="G15" s="138"/>
      <c r="H15" s="138">
        <f>'KY_Cost Plant Acct-Comm-P8(Reg)'!H15</f>
        <v>202094.94</v>
      </c>
      <c r="I15" s="138"/>
      <c r="J15" s="138">
        <f>H15+F15+D15</f>
        <v>120984.66</v>
      </c>
      <c r="K15" s="138"/>
      <c r="L15" s="138">
        <f>J15+B15</f>
        <v>9935031.3599999994</v>
      </c>
      <c r="M15" s="145"/>
      <c r="N15" s="39">
        <f>'KY_Res by Plant Acct-P29 (Reg)'!R470</f>
        <v>-6782960.2799999993</v>
      </c>
      <c r="P15" s="39">
        <f t="shared" si="2"/>
        <v>3152071.08</v>
      </c>
    </row>
    <row r="16" spans="1:16" x14ac:dyDescent="0.2">
      <c r="A16" s="3" t="s">
        <v>250</v>
      </c>
      <c r="B16" s="138">
        <f>'KY_Cost Plant Acct-Comm-P8(Reg)'!B16</f>
        <v>707482.03999999992</v>
      </c>
      <c r="C16" s="138"/>
      <c r="D16" s="138">
        <f>'KY_Cost Plant Acct-Comm-P8(Reg)'!D16+'KY_Cost Plant Acct-Comm-P8(Reg)'!D52</f>
        <v>0</v>
      </c>
      <c r="E16" s="138"/>
      <c r="F16" s="138">
        <f>'KY_Cost Plant Acct-Comm-P8(Reg)'!F16</f>
        <v>0</v>
      </c>
      <c r="G16" s="138"/>
      <c r="H16" s="138">
        <f>'KY_Cost Plant Acct-Comm-P8(Reg)'!H16</f>
        <v>0</v>
      </c>
      <c r="I16" s="138"/>
      <c r="J16" s="138">
        <f t="shared" si="0"/>
        <v>0</v>
      </c>
      <c r="K16" s="138"/>
      <c r="L16" s="138">
        <f t="shared" si="1"/>
        <v>707482.03999999992</v>
      </c>
      <c r="M16" s="145"/>
      <c r="N16" s="39">
        <f>'KY_Res by Plant Acct-P29 (Reg)'!R471</f>
        <v>-198843.97000000003</v>
      </c>
      <c r="P16" s="39">
        <f t="shared" si="2"/>
        <v>508638.06999999989</v>
      </c>
    </row>
    <row r="17" spans="1:16" x14ac:dyDescent="0.2">
      <c r="A17" s="3" t="s">
        <v>251</v>
      </c>
      <c r="B17" s="138">
        <f>'KY_Cost Plant Acct-Comm-P8(Reg)'!B17</f>
        <v>1078816.3</v>
      </c>
      <c r="C17" s="138"/>
      <c r="D17" s="138">
        <f>'KY_Cost Plant Acct-Comm-P8(Reg)'!D17+'KY_Cost Plant Acct-Comm-P8(Reg)'!D53</f>
        <v>22809.19</v>
      </c>
      <c r="E17" s="138"/>
      <c r="F17" s="138">
        <f>'KY_Cost Plant Acct-Comm-P8(Reg)'!F17</f>
        <v>0</v>
      </c>
      <c r="G17" s="138"/>
      <c r="H17" s="138">
        <f>'KY_Cost Plant Acct-Comm-P8(Reg)'!H17</f>
        <v>0</v>
      </c>
      <c r="I17" s="138"/>
      <c r="J17" s="138">
        <f t="shared" si="0"/>
        <v>22809.19</v>
      </c>
      <c r="K17" s="138"/>
      <c r="L17" s="138">
        <f t="shared" si="1"/>
        <v>1101625.49</v>
      </c>
      <c r="M17" s="145"/>
      <c r="N17" s="39">
        <f>'KY_Res by Plant Acct-P29 (Reg)'!R472</f>
        <v>-369759.35000000003</v>
      </c>
      <c r="P17" s="39">
        <f t="shared" si="2"/>
        <v>731866.1399999999</v>
      </c>
    </row>
    <row r="18" spans="1:16" x14ac:dyDescent="0.2">
      <c r="A18" s="3" t="s">
        <v>252</v>
      </c>
      <c r="B18" s="138">
        <f>'KY_Cost Plant Acct-Comm-P8(Reg)'!B18+'KY_Cost Plant Acct-Comm-P8(Reg)'!B54</f>
        <v>6638230.8100000005</v>
      </c>
      <c r="C18" s="138"/>
      <c r="D18" s="138">
        <f>'KY_Cost Plant Acct-Comm-P8(Reg)'!D18+'KY_Cost Plant Acct-Comm-P8(Reg)'!D54</f>
        <v>741805.1</v>
      </c>
      <c r="E18" s="138"/>
      <c r="F18" s="138">
        <f>'KY_Cost Plant Acct-Comm-P8(Reg)'!F18</f>
        <v>-149020.1</v>
      </c>
      <c r="G18" s="138"/>
      <c r="H18" s="138">
        <f>'KY_Cost Plant Acct-Comm-P8(Reg)'!H18</f>
        <v>0</v>
      </c>
      <c r="I18" s="138"/>
      <c r="J18" s="138">
        <f t="shared" si="0"/>
        <v>592785</v>
      </c>
      <c r="K18" s="138"/>
      <c r="L18" s="138">
        <f t="shared" si="1"/>
        <v>7231015.8100000005</v>
      </c>
      <c r="M18" s="145"/>
      <c r="N18" s="39">
        <f>'KY_Res by Plant Acct-P29 (Reg)'!R473</f>
        <v>-6192845.7699999996</v>
      </c>
      <c r="P18" s="39">
        <f t="shared" si="2"/>
        <v>1038170.040000001</v>
      </c>
    </row>
    <row r="19" spans="1:16" x14ac:dyDescent="0.2">
      <c r="A19" s="3" t="s">
        <v>253</v>
      </c>
      <c r="B19" s="138">
        <f>'KY_Cost Plant Acct-Comm-P8(Reg)'!B19+'KY_Cost Plant Acct-Comm-P8(Reg)'!B55</f>
        <v>1249783.7199999997</v>
      </c>
      <c r="C19" s="138"/>
      <c r="D19" s="138">
        <f>'KY_Cost Plant Acct-Comm-P8(Reg)'!D19+'KY_Cost Plant Acct-Comm-P8(Reg)'!D55</f>
        <v>57027.29</v>
      </c>
      <c r="E19" s="138"/>
      <c r="F19" s="138">
        <f>'KY_Cost Plant Acct-Comm-P8(Reg)'!F19</f>
        <v>-177487.45</v>
      </c>
      <c r="G19" s="138"/>
      <c r="H19" s="138">
        <f>'KY_Cost Plant Acct-Comm-P8(Reg)'!H19</f>
        <v>0</v>
      </c>
      <c r="I19" s="138"/>
      <c r="J19" s="138">
        <f t="shared" si="0"/>
        <v>-120460.16</v>
      </c>
      <c r="K19" s="138"/>
      <c r="L19" s="138">
        <f t="shared" si="1"/>
        <v>1129323.5599999998</v>
      </c>
      <c r="M19" s="145"/>
      <c r="N19" s="39">
        <f>'KY_Res by Plant Acct-P29 (Reg)'!R474</f>
        <v>-295882.18000000028</v>
      </c>
      <c r="P19" s="39">
        <f t="shared" si="2"/>
        <v>833441.37999999954</v>
      </c>
    </row>
    <row r="20" spans="1:16" x14ac:dyDescent="0.2">
      <c r="A20" s="3" t="s">
        <v>254</v>
      </c>
      <c r="B20" s="138">
        <f>'KY_Cost Plant Acct-Comm-P8(Reg)'!B20+'KY_Cost Plant Acct-Comm-P8(Reg)'!B56</f>
        <v>23706408.169999998</v>
      </c>
      <c r="C20" s="138"/>
      <c r="D20" s="138">
        <f>'KY_Cost Plant Acct-Comm-P8(Reg)'!D20+'KY_Cost Plant Acct-Comm-P8(Reg)'!D56</f>
        <v>3365110.3699999996</v>
      </c>
      <c r="E20" s="138"/>
      <c r="F20" s="138">
        <f>'KY_Cost Plant Acct-Comm-P8(Reg)'!F20</f>
        <v>-4312339.99</v>
      </c>
      <c r="G20" s="138"/>
      <c r="H20" s="138">
        <f>'KY_Cost Plant Acct-Comm-P8(Reg)'!H20</f>
        <v>0</v>
      </c>
      <c r="I20" s="138"/>
      <c r="J20" s="138">
        <f t="shared" si="0"/>
        <v>-947229.62000000058</v>
      </c>
      <c r="K20" s="138"/>
      <c r="L20" s="138">
        <f t="shared" si="1"/>
        <v>22759178.549999997</v>
      </c>
      <c r="M20" s="145"/>
      <c r="N20" s="39">
        <f>'KY_Res by Plant Acct-P29 (Reg)'!R475</f>
        <v>-6616075.9699999988</v>
      </c>
      <c r="P20" s="39">
        <f t="shared" si="2"/>
        <v>16143102.579999998</v>
      </c>
    </row>
    <row r="21" spans="1:16" x14ac:dyDescent="0.2">
      <c r="A21" s="3" t="s">
        <v>255</v>
      </c>
      <c r="B21" s="138">
        <f>'KY_Cost Plant Acct-Comm-P8(Reg)'!B21+'KY_Cost Plant Acct-Comm-P8(Reg)'!B57</f>
        <v>6067856.1999999993</v>
      </c>
      <c r="C21" s="138"/>
      <c r="D21" s="138">
        <f>'KY_Cost Plant Acct-Comm-P8(Reg)'!D21+'KY_Cost Plant Acct-Comm-P8(Reg)'!D57</f>
        <v>238462.26</v>
      </c>
      <c r="E21" s="138"/>
      <c r="F21" s="138">
        <f>'KY_Cost Plant Acct-Comm-P8(Reg)'!F21</f>
        <v>-1228505.58</v>
      </c>
      <c r="G21" s="138"/>
      <c r="H21" s="138">
        <f>'KY_Cost Plant Acct-Comm-P8(Reg)'!H21</f>
        <v>0</v>
      </c>
      <c r="I21" s="138"/>
      <c r="J21" s="138">
        <f t="shared" si="0"/>
        <v>-990043.32000000007</v>
      </c>
      <c r="K21" s="138"/>
      <c r="L21" s="138">
        <f t="shared" si="1"/>
        <v>5077812.879999999</v>
      </c>
      <c r="M21" s="145"/>
      <c r="N21" s="39">
        <f>'KY_Res by Plant Acct-P29 (Reg)'!R476</f>
        <v>-2388130.58</v>
      </c>
      <c r="P21" s="39">
        <f t="shared" si="2"/>
        <v>2689682.2999999989</v>
      </c>
    </row>
    <row r="22" spans="1:16" x14ac:dyDescent="0.2">
      <c r="A22" s="22" t="s">
        <v>256</v>
      </c>
      <c r="B22" s="138">
        <f>'KY_Cost Plant Acct-Comm-P8(Reg)'!B22+'KY_Cost Plant Acct-Comm-P8(Reg)'!B58</f>
        <v>0</v>
      </c>
      <c r="C22" s="138"/>
      <c r="D22" s="138">
        <f>'KY_Cost Plant Acct-Comm-P8(Reg)'!D22</f>
        <v>0</v>
      </c>
      <c r="E22" s="138"/>
      <c r="F22" s="138">
        <f>'KY_Cost Plant Acct-Comm-P8(Reg)'!F22</f>
        <v>0</v>
      </c>
      <c r="G22" s="138"/>
      <c r="H22" s="138">
        <f>'KY_Cost Plant Acct-Comm-P8(Reg)'!H22</f>
        <v>0</v>
      </c>
      <c r="I22" s="138"/>
      <c r="J22" s="138">
        <f>H22+F22+D22</f>
        <v>0</v>
      </c>
      <c r="K22" s="138"/>
      <c r="L22" s="138">
        <f>J22+B22</f>
        <v>0</v>
      </c>
      <c r="M22" s="145"/>
      <c r="N22" s="39">
        <f>'KY_Res by Plant Acct-P29 (Reg)'!R477</f>
        <v>-1.4551915228366852E-11</v>
      </c>
      <c r="P22" s="39">
        <f>L22+N22</f>
        <v>-1.4551915228366852E-11</v>
      </c>
    </row>
    <row r="23" spans="1:16" x14ac:dyDescent="0.2">
      <c r="A23" s="3" t="s">
        <v>257</v>
      </c>
      <c r="B23" s="138">
        <f>'KY_Cost Plant Acct-Comm-P8(Reg)'!B23+'KY_Cost Plant Acct-Comm-P8(Reg)'!B58</f>
        <v>911530.29999999958</v>
      </c>
      <c r="C23" s="138"/>
      <c r="D23" s="138">
        <f>'KY_Cost Plant Acct-Comm-P8(Reg)'!D23+'KY_Cost Plant Acct-Comm-P8(Reg)'!D58</f>
        <v>299998.83</v>
      </c>
      <c r="E23" s="138"/>
      <c r="F23" s="138">
        <f>'KY_Cost Plant Acct-Comm-P8(Reg)'!F23</f>
        <v>-6516.09</v>
      </c>
      <c r="G23" s="138"/>
      <c r="H23" s="138">
        <f>'KY_Cost Plant Acct-Comm-P8(Reg)'!H23</f>
        <v>0</v>
      </c>
      <c r="I23" s="138"/>
      <c r="J23" s="138">
        <f t="shared" si="0"/>
        <v>293482.74</v>
      </c>
      <c r="K23" s="138"/>
      <c r="L23" s="138">
        <f t="shared" si="1"/>
        <v>1205013.0399999996</v>
      </c>
      <c r="M23" s="145"/>
      <c r="N23" s="39">
        <f>'KY_Res by Plant Acct-P29 (Reg)'!R478</f>
        <v>-643927.89</v>
      </c>
      <c r="P23" s="39">
        <f t="shared" si="2"/>
        <v>561085.14999999956</v>
      </c>
    </row>
    <row r="24" spans="1:16" x14ac:dyDescent="0.2">
      <c r="A24" s="3" t="s">
        <v>258</v>
      </c>
      <c r="B24" s="138">
        <f>'KY_Cost Plant Acct-Comm-P8(Reg)'!B24+'KY_Cost Plant Acct-Comm-P8(Reg)'!B59</f>
        <v>20757.36</v>
      </c>
      <c r="C24" s="138"/>
      <c r="D24" s="138">
        <f>'KY_Cost Plant Acct-Comm-P8(Reg)'!D24+'KY_Cost Plant Acct-Comm-P8(Reg)'!D59</f>
        <v>0</v>
      </c>
      <c r="E24" s="138"/>
      <c r="F24" s="138">
        <f>'KY_Cost Plant Acct-Comm-P8(Reg)'!F24</f>
        <v>0</v>
      </c>
      <c r="G24" s="138"/>
      <c r="H24" s="138">
        <f>'KY_Cost Plant Acct-Comm-P8(Reg)'!H24</f>
        <v>0</v>
      </c>
      <c r="I24" s="138"/>
      <c r="J24" s="138">
        <f>H24+F24+D24</f>
        <v>0</v>
      </c>
      <c r="K24" s="138"/>
      <c r="L24" s="138">
        <f>J24+B24</f>
        <v>20757.36</v>
      </c>
      <c r="M24" s="145"/>
      <c r="N24" s="39">
        <f>'KY_Res by Plant Acct-P29 (Reg)'!R479</f>
        <v>-20757.36</v>
      </c>
      <c r="P24" s="39">
        <f>L24+N24</f>
        <v>0</v>
      </c>
    </row>
    <row r="25" spans="1:16" x14ac:dyDescent="0.2">
      <c r="A25" s="3" t="s">
        <v>259</v>
      </c>
      <c r="B25" s="138">
        <f>'KY_Cost Plant Acct-Comm-P8(Reg)'!B25</f>
        <v>211576.31999999998</v>
      </c>
      <c r="C25" s="138"/>
      <c r="D25" s="138">
        <f>'KY_Cost Plant Acct-Comm-P8(Reg)'!D25</f>
        <v>0</v>
      </c>
      <c r="E25" s="138"/>
      <c r="F25" s="138">
        <f>'KY_Cost Plant Acct-Comm-P8(Reg)'!F25</f>
        <v>0</v>
      </c>
      <c r="G25" s="138"/>
      <c r="H25" s="138">
        <f>'KY_Cost Plant Acct-Comm-P8(Reg)'!H25</f>
        <v>0</v>
      </c>
      <c r="I25" s="138"/>
      <c r="J25" s="138">
        <f t="shared" si="0"/>
        <v>0</v>
      </c>
      <c r="K25" s="138"/>
      <c r="L25" s="138">
        <f t="shared" si="1"/>
        <v>211576.31999999998</v>
      </c>
      <c r="M25" s="145"/>
      <c r="N25" s="39">
        <f>'KY_Res by Plant Acct-P29 (Reg)'!R480</f>
        <v>-178722.7</v>
      </c>
      <c r="P25" s="39">
        <f t="shared" si="2"/>
        <v>32853.619999999966</v>
      </c>
    </row>
    <row r="26" spans="1:16" x14ac:dyDescent="0.2">
      <c r="A26" s="3" t="s">
        <v>260</v>
      </c>
      <c r="B26" s="138">
        <f>'KY_Cost Plant Acct-Comm-P8(Reg)'!B26</f>
        <v>49546.270000000004</v>
      </c>
      <c r="C26" s="138"/>
      <c r="D26" s="138">
        <f>'KY_Cost Plant Acct-Comm-P8(Reg)'!D26+'KY_Cost Plant Acct-Comm-P8(Reg)'!D59</f>
        <v>0</v>
      </c>
      <c r="E26" s="138"/>
      <c r="F26" s="138">
        <f>'KY_Cost Plant Acct-Comm-P8(Reg)'!F26</f>
        <v>-7703.58</v>
      </c>
      <c r="G26" s="138"/>
      <c r="H26" s="138">
        <f>'KY_Cost Plant Acct-Comm-P8(Reg)'!H26</f>
        <v>0</v>
      </c>
      <c r="I26" s="138"/>
      <c r="J26" s="138">
        <f t="shared" si="0"/>
        <v>-7703.58</v>
      </c>
      <c r="K26" s="138"/>
      <c r="L26" s="138">
        <f t="shared" si="1"/>
        <v>41842.69</v>
      </c>
      <c r="M26" s="145"/>
      <c r="N26" s="39">
        <f>'KY_Res by Plant Acct-P29 (Reg)'!R481</f>
        <v>-5934.8900000000012</v>
      </c>
      <c r="P26" s="39">
        <f t="shared" si="2"/>
        <v>35907.800000000003</v>
      </c>
    </row>
    <row r="27" spans="1:16" x14ac:dyDescent="0.2">
      <c r="A27" s="3" t="s">
        <v>261</v>
      </c>
      <c r="B27" s="138">
        <f>'KY_Cost Plant Acct-Comm-P8(Reg)'!B27+'KY_Cost Plant Acct-Comm-P8(Reg)'!B60</f>
        <v>1493842.34</v>
      </c>
      <c r="C27" s="138"/>
      <c r="D27" s="138">
        <f>'KY_Cost Plant Acct-Comm-P8(Reg)'!D27+'KY_Cost Plant Acct-Comm-P8(Reg)'!D60</f>
        <v>-22767.32</v>
      </c>
      <c r="E27" s="138"/>
      <c r="F27" s="138">
        <f>'KY_Cost Plant Acct-Comm-P8(Reg)'!F27</f>
        <v>0</v>
      </c>
      <c r="G27" s="138"/>
      <c r="H27" s="138">
        <f>'KY_Cost Plant Acct-Comm-P8(Reg)'!H27</f>
        <v>0</v>
      </c>
      <c r="I27" s="138"/>
      <c r="J27" s="138">
        <f t="shared" si="0"/>
        <v>-22767.32</v>
      </c>
      <c r="K27" s="138"/>
      <c r="L27" s="138">
        <f t="shared" si="1"/>
        <v>1471075.02</v>
      </c>
      <c r="M27" s="145"/>
      <c r="N27" s="39">
        <f>'KY_Res by Plant Acct-P29 (Reg)'!R482</f>
        <v>-914135.99</v>
      </c>
      <c r="P27" s="39">
        <f t="shared" si="2"/>
        <v>556939.03</v>
      </c>
    </row>
    <row r="28" spans="1:16" x14ac:dyDescent="0.2">
      <c r="A28" s="3" t="s">
        <v>262</v>
      </c>
      <c r="B28" s="138">
        <f>'KY_Cost Plant Acct-Comm-P8(Reg)'!B28+'KY_Cost Plant Acct-Comm-P8(Reg)'!B61</f>
        <v>3980788.9800000004</v>
      </c>
      <c r="C28" s="138"/>
      <c r="D28" s="138">
        <f>'KY_Cost Plant Acct-Comm-P8(Reg)'!D28+'KY_Cost Plant Acct-Comm-P8(Reg)'!D61</f>
        <v>85750.12999999999</v>
      </c>
      <c r="E28" s="138"/>
      <c r="F28" s="138">
        <f>'KY_Cost Plant Acct-Comm-P8(Reg)'!F28</f>
        <v>0</v>
      </c>
      <c r="G28" s="138"/>
      <c r="H28" s="138">
        <f>'KY_Cost Plant Acct-Comm-P8(Reg)'!H28</f>
        <v>0</v>
      </c>
      <c r="I28" s="138"/>
      <c r="J28" s="138">
        <f t="shared" si="0"/>
        <v>85750.12999999999</v>
      </c>
      <c r="K28" s="138"/>
      <c r="L28" s="138">
        <f t="shared" si="1"/>
        <v>4066539.1100000003</v>
      </c>
      <c r="M28" s="145"/>
      <c r="N28" s="39">
        <f>'KY_Res by Plant Acct-P29 (Reg)'!R483</f>
        <v>-2208030.8799999994</v>
      </c>
      <c r="P28" s="39">
        <f t="shared" si="2"/>
        <v>1858508.2300000009</v>
      </c>
    </row>
    <row r="29" spans="1:16" x14ac:dyDescent="0.2">
      <c r="A29" s="3" t="s">
        <v>263</v>
      </c>
      <c r="B29" s="138">
        <f>'KY_Cost Plant Acct-Comm-P8(Reg)'!B29</f>
        <v>0</v>
      </c>
      <c r="C29" s="138"/>
      <c r="D29" s="138">
        <f>'KY_Cost Plant Acct-Comm-P8(Reg)'!D29</f>
        <v>0</v>
      </c>
      <c r="E29" s="138"/>
      <c r="F29" s="138">
        <f>'KY_Cost Plant Acct-Comm-P8(Reg)'!F29</f>
        <v>0</v>
      </c>
      <c r="G29" s="138"/>
      <c r="H29" s="138">
        <f>'KY_Cost Plant Acct-Comm-P8(Reg)'!H29</f>
        <v>0</v>
      </c>
      <c r="I29" s="138"/>
      <c r="J29" s="138">
        <f t="shared" si="0"/>
        <v>0</v>
      </c>
      <c r="K29" s="138"/>
      <c r="L29" s="138">
        <f t="shared" si="1"/>
        <v>0</v>
      </c>
      <c r="M29" s="145"/>
      <c r="N29" s="39">
        <f>'KY_Res by Plant Acct-P29 (Reg)'!R484</f>
        <v>1.8189894035458565E-12</v>
      </c>
      <c r="P29" s="39">
        <f t="shared" si="2"/>
        <v>1.8189894035458565E-12</v>
      </c>
    </row>
    <row r="30" spans="1:16" x14ac:dyDescent="0.2">
      <c r="A30" s="133" t="s">
        <v>2563</v>
      </c>
      <c r="B30" s="138">
        <f>'KY_Cost Plant Acct-Comm-P8(Reg)'!B30</f>
        <v>301414.67</v>
      </c>
      <c r="C30" s="138"/>
      <c r="D30" s="138">
        <f>'KY_Cost Plant Acct-Comm-P8(Reg)'!D30</f>
        <v>27024.46</v>
      </c>
      <c r="E30" s="138"/>
      <c r="F30" s="138">
        <f>'KY_Cost Plant Acct-Comm-P8(Reg)'!F30</f>
        <v>0</v>
      </c>
      <c r="G30" s="138"/>
      <c r="H30" s="138">
        <f>'KY_Cost Plant Acct-Comm-P8(Reg)'!H30</f>
        <v>0</v>
      </c>
      <c r="I30" s="138"/>
      <c r="J30" s="138">
        <f t="shared" si="0"/>
        <v>27024.46</v>
      </c>
      <c r="K30" s="138"/>
      <c r="L30" s="138">
        <f t="shared" si="1"/>
        <v>328439.13</v>
      </c>
      <c r="M30" s="145"/>
      <c r="N30" s="39">
        <f>'KY_Res by Plant Acct-P29 (Reg)'!R485</f>
        <v>-290447.81</v>
      </c>
      <c r="P30" s="39">
        <f t="shared" si="2"/>
        <v>37991.320000000007</v>
      </c>
    </row>
    <row r="31" spans="1:16" x14ac:dyDescent="0.2">
      <c r="A31" s="3" t="s">
        <v>265</v>
      </c>
      <c r="B31" s="138">
        <f>'KY_Cost Plant Acct-Comm-P8(Reg)'!B31</f>
        <v>14147.08</v>
      </c>
      <c r="C31" s="138"/>
      <c r="D31" s="138">
        <f>'KY_Cost Plant Acct-Comm-P8(Reg)'!D31</f>
        <v>0</v>
      </c>
      <c r="E31" s="138"/>
      <c r="F31" s="138">
        <f>'KY_Cost Plant Acct-Comm-P8(Reg)'!F31</f>
        <v>0</v>
      </c>
      <c r="G31" s="138"/>
      <c r="H31" s="138">
        <f>'KY_Cost Plant Acct-Comm-P8(Reg)'!H31</f>
        <v>0</v>
      </c>
      <c r="I31" s="138"/>
      <c r="J31" s="138">
        <f t="shared" si="0"/>
        <v>0</v>
      </c>
      <c r="K31" s="138"/>
      <c r="L31" s="138">
        <f t="shared" si="1"/>
        <v>14147.08</v>
      </c>
      <c r="M31" s="145"/>
      <c r="N31" s="39">
        <f>'KY_Res by Plant Acct-P29 (Reg)'!R486</f>
        <v>-13571.7</v>
      </c>
      <c r="P31" s="39">
        <f t="shared" si="2"/>
        <v>575.3799999999992</v>
      </c>
    </row>
    <row r="32" spans="1:16" x14ac:dyDescent="0.2">
      <c r="A32" s="3" t="s">
        <v>266</v>
      </c>
      <c r="B32" s="138">
        <f>'KY_Cost Plant Acct-Comm-P8(Reg)'!B32+'KY_Cost Plant Acct-Comm-P8(Reg)'!B62</f>
        <v>28402747.110000003</v>
      </c>
      <c r="C32" s="138"/>
      <c r="D32" s="138">
        <f>'KY_Cost Plant Acct-Comm-P8(Reg)'!D32+'KY_Cost Plant Acct-Comm-P8(Reg)'!D62</f>
        <v>2506616.19</v>
      </c>
      <c r="E32" s="138"/>
      <c r="F32" s="138">
        <f>'KY_Cost Plant Acct-Comm-P8(Reg)'!F32</f>
        <v>-10069894.310000001</v>
      </c>
      <c r="G32" s="138"/>
      <c r="H32" s="138">
        <f>'KY_Cost Plant Acct-Comm-P8(Reg)'!H32</f>
        <v>0</v>
      </c>
      <c r="I32" s="138"/>
      <c r="J32" s="138">
        <f t="shared" si="0"/>
        <v>-7563278.120000001</v>
      </c>
      <c r="K32" s="138"/>
      <c r="L32" s="138">
        <f t="shared" si="1"/>
        <v>20839468.990000002</v>
      </c>
      <c r="M32" s="145"/>
      <c r="N32" s="39">
        <f>'KY_Res by Plant Acct-P29 (Reg)'!R487</f>
        <v>-16666727.220000001</v>
      </c>
      <c r="P32" s="39">
        <f t="shared" si="2"/>
        <v>4172741.7700000014</v>
      </c>
    </row>
    <row r="33" spans="1:16" x14ac:dyDescent="0.2">
      <c r="A33" s="3" t="s">
        <v>267</v>
      </c>
      <c r="B33" s="138">
        <f>'KY_Cost Plant Acct-Comm-P8(Reg)'!B33+'KY_Cost Plant Acct-Comm-P8(Reg)'!B63</f>
        <v>17702772.469999999</v>
      </c>
      <c r="C33" s="138"/>
      <c r="D33" s="138">
        <f>'KY_Cost Plant Acct-Comm-P8(Reg)'!D33+'KY_Cost Plant Acct-Comm-P8(Reg)'!D63</f>
        <v>356495.58000000007</v>
      </c>
      <c r="E33" s="138"/>
      <c r="F33" s="138">
        <f>'KY_Cost Plant Acct-Comm-P8(Reg)'!F33</f>
        <v>-4105438.96</v>
      </c>
      <c r="G33" s="138"/>
      <c r="H33" s="138">
        <f>'KY_Cost Plant Acct-Comm-P8(Reg)'!H33</f>
        <v>0</v>
      </c>
      <c r="I33" s="138"/>
      <c r="J33" s="138">
        <f t="shared" si="0"/>
        <v>-3748943.38</v>
      </c>
      <c r="K33" s="138"/>
      <c r="L33" s="138">
        <f t="shared" si="1"/>
        <v>13953829.09</v>
      </c>
      <c r="M33" s="145"/>
      <c r="N33" s="39">
        <f>'KY_Res by Plant Acct-P29 (Reg)'!R488</f>
        <v>-9893664.1899999976</v>
      </c>
      <c r="P33" s="39">
        <f t="shared" si="2"/>
        <v>4060164.9000000022</v>
      </c>
    </row>
    <row r="34" spans="1:16" x14ac:dyDescent="0.2">
      <c r="A34" s="3" t="s">
        <v>268</v>
      </c>
      <c r="B34" s="138">
        <f>'KY_Cost Plant Acct-Comm-P8(Reg)'!B34</f>
        <v>0</v>
      </c>
      <c r="C34" s="138"/>
      <c r="D34" s="138">
        <f>'KY_Cost Plant Acct-Comm-P8(Reg)'!D34+'KY_Cost Plant Acct-Comm-P8(Reg)'!D64</f>
        <v>0</v>
      </c>
      <c r="E34" s="138"/>
      <c r="F34" s="138">
        <f>'KY_Cost Plant Acct-Comm-P8(Reg)'!F34</f>
        <v>0</v>
      </c>
      <c r="G34" s="138"/>
      <c r="H34" s="138">
        <f>'KY_Cost Plant Acct-Comm-P8(Reg)'!H34</f>
        <v>0</v>
      </c>
      <c r="I34" s="138"/>
      <c r="J34" s="138">
        <f t="shared" si="0"/>
        <v>0</v>
      </c>
      <c r="K34" s="138"/>
      <c r="L34" s="138">
        <f t="shared" si="1"/>
        <v>0</v>
      </c>
      <c r="M34" s="145"/>
      <c r="N34" s="39">
        <f>'KY_Res by Plant Acct-P29 (Reg)'!R489</f>
        <v>6.3446350603846291E-11</v>
      </c>
      <c r="P34" s="39">
        <f t="shared" si="2"/>
        <v>6.3446350603846291E-11</v>
      </c>
    </row>
    <row r="35" spans="1:16" x14ac:dyDescent="0.2">
      <c r="A35" s="3" t="s">
        <v>269</v>
      </c>
      <c r="B35" s="138">
        <f>'KY_Cost Plant Acct-Comm-P8(Reg)'!B35</f>
        <v>0</v>
      </c>
      <c r="C35" s="138"/>
      <c r="D35" s="138">
        <f>'KY_Cost Plant Acct-Comm-P8(Reg)'!D35</f>
        <v>0</v>
      </c>
      <c r="E35" s="138"/>
      <c r="F35" s="138">
        <f>'KY_Cost Plant Acct-Comm-P8(Reg)'!F35</f>
        <v>0</v>
      </c>
      <c r="G35" s="138"/>
      <c r="H35" s="138">
        <f>'KY_Cost Plant Acct-Comm-P8(Reg)'!H35</f>
        <v>0</v>
      </c>
      <c r="I35" s="138"/>
      <c r="J35" s="138">
        <f t="shared" si="0"/>
        <v>0</v>
      </c>
      <c r="K35" s="138"/>
      <c r="L35" s="138">
        <f t="shared" si="1"/>
        <v>0</v>
      </c>
      <c r="M35" s="145"/>
      <c r="N35" s="39">
        <f>'KY_Res by Plant Acct-P29 (Reg)'!R490</f>
        <v>0</v>
      </c>
      <c r="P35" s="39">
        <f t="shared" si="2"/>
        <v>0</v>
      </c>
    </row>
    <row r="36" spans="1:16" x14ac:dyDescent="0.2">
      <c r="A36" s="3" t="s">
        <v>270</v>
      </c>
      <c r="B36" s="138">
        <f>'KY_Cost Plant Acct-Comm-P8(Reg)'!B36</f>
        <v>83782.289999999994</v>
      </c>
      <c r="C36" s="138"/>
      <c r="D36" s="138">
        <f>'KY_Cost Plant Acct-Comm-P8(Reg)'!D36</f>
        <v>0</v>
      </c>
      <c r="E36" s="138"/>
      <c r="F36" s="138">
        <f>'KY_Cost Plant Acct-Comm-P8(Reg)'!F36</f>
        <v>0</v>
      </c>
      <c r="G36" s="138"/>
      <c r="H36" s="138">
        <f>'KY_Cost Plant Acct-Comm-P8(Reg)'!H36</f>
        <v>0</v>
      </c>
      <c r="I36" s="138"/>
      <c r="J36" s="138">
        <f t="shared" si="0"/>
        <v>0</v>
      </c>
      <c r="K36" s="138"/>
      <c r="L36" s="138">
        <f t="shared" si="1"/>
        <v>83782.289999999994</v>
      </c>
      <c r="M36" s="145"/>
      <c r="N36" s="39">
        <f>'KY_Res by Plant Acct-P29 (Reg)'!R506</f>
        <v>0</v>
      </c>
      <c r="P36" s="39">
        <f t="shared" si="2"/>
        <v>83782.289999999994</v>
      </c>
    </row>
    <row r="37" spans="1:16" x14ac:dyDescent="0.2">
      <c r="A37" s="3" t="s">
        <v>271</v>
      </c>
      <c r="B37" s="138">
        <f>'KY_Cost Plant Acct-Comm-P8(Reg)'!B37</f>
        <v>0</v>
      </c>
      <c r="C37" s="138"/>
      <c r="D37" s="138">
        <f>'KY_Cost Plant Acct-Comm-P8(Reg)'!D37</f>
        <v>0</v>
      </c>
      <c r="E37" s="138"/>
      <c r="F37" s="138">
        <f>'KY_Cost Plant Acct-Comm-P8(Reg)'!F37</f>
        <v>0</v>
      </c>
      <c r="G37" s="138"/>
      <c r="H37" s="138">
        <f>'KY_Cost Plant Acct-Comm-P8(Reg)'!H37</f>
        <v>0</v>
      </c>
      <c r="I37" s="138"/>
      <c r="J37" s="138">
        <f t="shared" si="0"/>
        <v>0</v>
      </c>
      <c r="K37" s="138"/>
      <c r="L37" s="138">
        <f t="shared" si="1"/>
        <v>0</v>
      </c>
      <c r="M37" s="145"/>
      <c r="N37" s="39">
        <f>'KY_Res by Plant Acct-P29 (Reg)'!R507</f>
        <v>0</v>
      </c>
      <c r="P37" s="39">
        <f t="shared" si="2"/>
        <v>0</v>
      </c>
    </row>
    <row r="38" spans="1:16" x14ac:dyDescent="0.2">
      <c r="A38" s="3" t="s">
        <v>272</v>
      </c>
      <c r="B38" s="138">
        <f>'KY_Cost Plant Acct-Comm-P8(Reg)'!B38+'KY_Cost Plant Acct-Comm-P8(Reg)'!B65</f>
        <v>50228459.109999999</v>
      </c>
      <c r="C38" s="138"/>
      <c r="D38" s="138">
        <f>'KY_Cost Plant Acct-Comm-P8(Reg)'!D38+'KY_Cost Plant Acct-Comm-P8(Reg)'!D65</f>
        <v>10930524.149999999</v>
      </c>
      <c r="E38" s="138"/>
      <c r="F38" s="138">
        <f>'KY_Cost Plant Acct-Comm-P8(Reg)'!F38</f>
        <v>-7105652.6600000001</v>
      </c>
      <c r="G38" s="138"/>
      <c r="H38" s="138">
        <f>'KY_Cost Plant Acct-Comm-P8(Reg)'!H38</f>
        <v>0</v>
      </c>
      <c r="I38" s="138"/>
      <c r="J38" s="138">
        <f t="shared" si="0"/>
        <v>3824871.4899999984</v>
      </c>
      <c r="K38" s="138"/>
      <c r="L38" s="138">
        <f t="shared" si="1"/>
        <v>54053330.599999994</v>
      </c>
      <c r="M38" s="145"/>
      <c r="N38" s="39">
        <f>'KY_Res by Plant Acct-P29 (Reg)'!R508</f>
        <v>-17586297.250000004</v>
      </c>
      <c r="P38" s="39">
        <f t="shared" si="2"/>
        <v>36467033.349999994</v>
      </c>
    </row>
    <row r="39" spans="1:16" x14ac:dyDescent="0.2">
      <c r="A39" s="3" t="s">
        <v>273</v>
      </c>
      <c r="B39" s="138">
        <f>'KY_Cost Plant Acct-Comm-P8(Reg)'!B39+'KY_Cost Plant Acct-Comm-P8(Reg)'!B66</f>
        <v>45350035.249999993</v>
      </c>
      <c r="C39" s="138"/>
      <c r="D39" s="138">
        <f>'KY_Cost Plant Acct-Comm-P8(Reg)'!D39+'KY_Cost Plant Acct-Comm-P8(Reg)'!D66</f>
        <v>0</v>
      </c>
      <c r="E39" s="138"/>
      <c r="F39" s="138">
        <f>'KY_Cost Plant Acct-Comm-P8(Reg)'!F39</f>
        <v>0</v>
      </c>
      <c r="G39" s="138"/>
      <c r="H39" s="138">
        <f>'KY_Cost Plant Acct-Comm-P8(Reg)'!H39</f>
        <v>0</v>
      </c>
      <c r="I39" s="138"/>
      <c r="J39" s="138">
        <f t="shared" si="0"/>
        <v>0</v>
      </c>
      <c r="K39" s="138"/>
      <c r="L39" s="138">
        <f t="shared" si="1"/>
        <v>45350035.249999993</v>
      </c>
      <c r="M39" s="145"/>
      <c r="N39" s="39">
        <f>'KY_Res by Plant Acct-P29 (Reg)'!R509</f>
        <v>-33914421.810000002</v>
      </c>
      <c r="P39" s="39">
        <f t="shared" si="2"/>
        <v>11435613.43999999</v>
      </c>
    </row>
    <row r="40" spans="1:16" x14ac:dyDescent="0.2">
      <c r="A40" s="3" t="s">
        <v>274</v>
      </c>
      <c r="B40" s="149">
        <f>'KY_Cost Plant Acct-Comm-P8(Reg)'!B40</f>
        <v>0</v>
      </c>
      <c r="C40" s="135"/>
      <c r="D40" s="149">
        <f>'KY_Cost Plant Acct-Comm-P8(Reg)'!D40</f>
        <v>0</v>
      </c>
      <c r="E40" s="135"/>
      <c r="F40" s="149">
        <f>'KY_Cost Plant Acct-Comm-P8(Reg)'!F40</f>
        <v>0</v>
      </c>
      <c r="G40" s="135"/>
      <c r="H40" s="149">
        <f>'KY_Cost Plant Acct-Comm-P8(Reg)'!H40</f>
        <v>0</v>
      </c>
      <c r="I40" s="135"/>
      <c r="J40" s="149">
        <f t="shared" si="0"/>
        <v>0</v>
      </c>
      <c r="K40" s="135"/>
      <c r="L40" s="149">
        <f t="shared" si="1"/>
        <v>0</v>
      </c>
      <c r="M40" s="146"/>
      <c r="N40" s="136">
        <f>'KY_Res by Plant Acct-P29 (Reg)'!R510</f>
        <v>0</v>
      </c>
      <c r="P40" s="136">
        <f t="shared" si="2"/>
        <v>0</v>
      </c>
    </row>
    <row r="41" spans="1:16" x14ac:dyDescent="0.2">
      <c r="B41" s="135">
        <f>SUM(B11:B40)</f>
        <v>265866312.08999997</v>
      </c>
      <c r="C41" s="135"/>
      <c r="D41" s="135">
        <f>SUM(D11:D40)</f>
        <v>21144258.309999995</v>
      </c>
      <c r="E41" s="135"/>
      <c r="F41" s="135">
        <f>SUM(F11:F40)</f>
        <v>-27468609.09</v>
      </c>
      <c r="G41" s="135"/>
      <c r="H41" s="135">
        <f>SUM(H11:H40)</f>
        <v>-12074.399999999994</v>
      </c>
      <c r="I41" s="135"/>
      <c r="J41" s="135">
        <f>SUM(J11:J40)</f>
        <v>-6336425.1800000034</v>
      </c>
      <c r="K41" s="135"/>
      <c r="L41" s="135">
        <f>SUM(L11:L40)</f>
        <v>259529886.90999997</v>
      </c>
      <c r="M41" s="146"/>
      <c r="N41" s="135">
        <f>SUM(N11:N40)</f>
        <v>-132621998.40000002</v>
      </c>
      <c r="P41" s="135">
        <f>SUM(P11:P40)</f>
        <v>126907888.50999999</v>
      </c>
    </row>
    <row r="42" spans="1:16" x14ac:dyDescent="0.2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46"/>
    </row>
    <row r="43" spans="1:16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6" ht="13.5" thickBot="1" x14ac:dyDescent="0.25">
      <c r="A44" s="10" t="s">
        <v>2570</v>
      </c>
      <c r="B44" s="143">
        <f>B41</f>
        <v>265866312.08999997</v>
      </c>
      <c r="C44" s="146"/>
      <c r="D44" s="143">
        <f>D41</f>
        <v>21144258.309999995</v>
      </c>
      <c r="E44" s="146"/>
      <c r="F44" s="143">
        <f>F41</f>
        <v>-27468609.09</v>
      </c>
      <c r="G44" s="146"/>
      <c r="H44" s="143">
        <f>H41</f>
        <v>-12074.399999999994</v>
      </c>
      <c r="I44" s="146"/>
      <c r="J44" s="143">
        <f>J41</f>
        <v>-6336425.1800000034</v>
      </c>
      <c r="K44" s="146"/>
      <c r="L44" s="143">
        <f>L41</f>
        <v>259529886.90999997</v>
      </c>
      <c r="M44" s="146"/>
      <c r="N44" s="143">
        <f>N41</f>
        <v>-132621998.40000002</v>
      </c>
      <c r="P44" s="143">
        <f>P41</f>
        <v>126907888.50999999</v>
      </c>
    </row>
    <row r="45" spans="1:16" ht="13.5" thickTop="1" x14ac:dyDescent="0.2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46"/>
    </row>
    <row r="46" spans="1:16" x14ac:dyDescent="0.2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46"/>
    </row>
    <row r="47" spans="1:16" x14ac:dyDescent="0.2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45"/>
    </row>
    <row r="48" spans="1:16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2:13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2:13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2:13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2:13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2:13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2:13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2:13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2:13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2:13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2:13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2:13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2:13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2:13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2:13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2:13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2:13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2:13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2:13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2:13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2:13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2:13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2:13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2:13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2:13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2:13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2:13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2:13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2:13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2:13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2:13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2:13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  <row r="114" spans="2:13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</row>
    <row r="115" spans="2:13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</row>
    <row r="116" spans="2:13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</row>
    <row r="117" spans="2:13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</row>
    <row r="118" spans="2:13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</row>
    <row r="119" spans="2:13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</row>
    <row r="120" spans="2:13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</row>
    <row r="121" spans="2:13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</row>
    <row r="122" spans="2:13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</row>
    <row r="123" spans="2:13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</row>
    <row r="124" spans="2:13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</row>
    <row r="125" spans="2:13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</row>
    <row r="126" spans="2:13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</row>
    <row r="127" spans="2:13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</row>
    <row r="128" spans="2:13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 x14ac:dyDescent="0.2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 x14ac:dyDescent="0.2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 x14ac:dyDescent="0.2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 x14ac:dyDescent="0.2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 x14ac:dyDescent="0.2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 x14ac:dyDescent="0.2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 x14ac:dyDescent="0.2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 x14ac:dyDescent="0.2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 x14ac:dyDescent="0.2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 x14ac:dyDescent="0.2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 x14ac:dyDescent="0.2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 x14ac:dyDescent="0.2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 x14ac:dyDescent="0.2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 x14ac:dyDescent="0.2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 x14ac:dyDescent="0.2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 x14ac:dyDescent="0.2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 x14ac:dyDescent="0.2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 x14ac:dyDescent="0.2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 x14ac:dyDescent="0.2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 x14ac:dyDescent="0.2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 x14ac:dyDescent="0.2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</sheetData>
  <mergeCells count="3">
    <mergeCell ref="A1:P1"/>
    <mergeCell ref="A2:P2"/>
    <mergeCell ref="A3:P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1" manualBreakCount="1">
    <brk id="4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2"/>
  </sheetPr>
  <dimension ref="A1:M191"/>
  <sheetViews>
    <sheetView zoomScale="90" zoomScaleNormal="90" workbookViewId="0">
      <pane xSplit="1" ySplit="10" topLeftCell="B11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2571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B8" s="18"/>
      <c r="D8" s="18"/>
      <c r="F8" s="18"/>
      <c r="H8" s="18"/>
      <c r="J8" s="18"/>
      <c r="L8" s="18"/>
    </row>
    <row r="9" spans="1:13" x14ac:dyDescent="0.2">
      <c r="A9" s="10" t="s">
        <v>2572</v>
      </c>
    </row>
    <row r="10" spans="1:13" x14ac:dyDescent="0.2">
      <c r="A10" s="10" t="s">
        <v>2562</v>
      </c>
    </row>
    <row r="11" spans="1:13" x14ac:dyDescent="0.2">
      <c r="A11" s="3" t="s">
        <v>2573</v>
      </c>
      <c r="B11" s="15">
        <v>1564394.3699999999</v>
      </c>
      <c r="C11" s="15"/>
      <c r="D11" s="15">
        <v>0</v>
      </c>
      <c r="E11" s="15"/>
      <c r="F11" s="15">
        <v>0</v>
      </c>
      <c r="G11" s="15"/>
      <c r="H11" s="15">
        <v>0</v>
      </c>
      <c r="I11" s="15"/>
      <c r="J11" s="15">
        <f>H11+F11+D11</f>
        <v>0</v>
      </c>
      <c r="K11" s="15"/>
      <c r="L11" s="15">
        <f>J11+B11</f>
        <v>1564394.3699999999</v>
      </c>
      <c r="M11" s="29"/>
    </row>
    <row r="12" spans="1:13" x14ac:dyDescent="0.2">
      <c r="A12" s="3" t="s">
        <v>2574</v>
      </c>
      <c r="B12" s="15">
        <v>202094.94</v>
      </c>
      <c r="C12" s="15"/>
      <c r="D12" s="15">
        <v>0</v>
      </c>
      <c r="E12" s="15"/>
      <c r="F12" s="15">
        <v>0</v>
      </c>
      <c r="G12" s="15"/>
      <c r="H12" s="15">
        <v>-202094.94</v>
      </c>
      <c r="I12" s="15"/>
      <c r="J12" s="15">
        <f t="shared" ref="J12:J40" si="0">H12+F12+D12</f>
        <v>-202094.94</v>
      </c>
      <c r="K12" s="15"/>
      <c r="L12" s="15">
        <f t="shared" ref="L12:L40" si="1">J12+B12</f>
        <v>0</v>
      </c>
      <c r="M12" s="29"/>
    </row>
    <row r="13" spans="1:13" x14ac:dyDescent="0.2">
      <c r="A13" s="3" t="s">
        <v>2575</v>
      </c>
      <c r="B13" s="15">
        <v>64052701.479999997</v>
      </c>
      <c r="C13" s="15"/>
      <c r="D13" s="15">
        <v>1997845.31</v>
      </c>
      <c r="E13" s="15"/>
      <c r="F13" s="15">
        <v>-224940.09</v>
      </c>
      <c r="G13" s="15"/>
      <c r="H13" s="15">
        <v>-12074.4</v>
      </c>
      <c r="I13" s="15"/>
      <c r="J13" s="15">
        <f t="shared" si="0"/>
        <v>1760830.82</v>
      </c>
      <c r="K13" s="15"/>
      <c r="L13" s="15">
        <f t="shared" si="1"/>
        <v>65813532.299999997</v>
      </c>
      <c r="M13" s="29"/>
    </row>
    <row r="14" spans="1:13" x14ac:dyDescent="0.2">
      <c r="A14" s="3" t="s">
        <v>2576</v>
      </c>
      <c r="B14" s="15">
        <v>412150.57</v>
      </c>
      <c r="C14" s="15"/>
      <c r="D14" s="15">
        <v>0</v>
      </c>
      <c r="E14" s="15"/>
      <c r="F14" s="15">
        <v>0</v>
      </c>
      <c r="G14" s="15"/>
      <c r="H14" s="15">
        <v>0</v>
      </c>
      <c r="I14" s="15"/>
      <c r="J14" s="15">
        <f t="shared" si="0"/>
        <v>0</v>
      </c>
      <c r="K14" s="15"/>
      <c r="L14" s="15">
        <f t="shared" si="1"/>
        <v>412150.57</v>
      </c>
      <c r="M14" s="29"/>
    </row>
    <row r="15" spans="1:13" x14ac:dyDescent="0.2">
      <c r="A15" s="3" t="s">
        <v>2577</v>
      </c>
      <c r="B15" s="15">
        <v>9814046.6999999993</v>
      </c>
      <c r="C15" s="15"/>
      <c r="D15" s="15">
        <v>0</v>
      </c>
      <c r="E15" s="15"/>
      <c r="F15" s="15">
        <v>-81110.28</v>
      </c>
      <c r="G15" s="15"/>
      <c r="H15" s="15">
        <v>202094.94</v>
      </c>
      <c r="I15" s="15"/>
      <c r="J15" s="15">
        <f t="shared" si="0"/>
        <v>120984.66</v>
      </c>
      <c r="K15" s="15"/>
      <c r="L15" s="15">
        <f t="shared" si="1"/>
        <v>9935031.3599999994</v>
      </c>
      <c r="M15" s="29"/>
    </row>
    <row r="16" spans="1:13" x14ac:dyDescent="0.2">
      <c r="A16" s="3" t="s">
        <v>2578</v>
      </c>
      <c r="B16" s="15">
        <v>707482.03999999992</v>
      </c>
      <c r="C16" s="15"/>
      <c r="D16" s="15">
        <v>0</v>
      </c>
      <c r="E16" s="15"/>
      <c r="F16" s="15">
        <v>0</v>
      </c>
      <c r="G16" s="15"/>
      <c r="H16" s="15">
        <v>0</v>
      </c>
      <c r="I16" s="15"/>
      <c r="J16" s="15">
        <f t="shared" si="0"/>
        <v>0</v>
      </c>
      <c r="K16" s="15"/>
      <c r="L16" s="15">
        <f t="shared" si="1"/>
        <v>707482.03999999992</v>
      </c>
      <c r="M16" s="29"/>
    </row>
    <row r="17" spans="1:13" x14ac:dyDescent="0.2">
      <c r="A17" s="3" t="s">
        <v>2579</v>
      </c>
      <c r="B17" s="15">
        <v>1078816.3</v>
      </c>
      <c r="C17" s="15"/>
      <c r="D17" s="15">
        <v>22809.19</v>
      </c>
      <c r="E17" s="15"/>
      <c r="F17" s="15">
        <v>0</v>
      </c>
      <c r="G17" s="15"/>
      <c r="H17" s="15">
        <v>0</v>
      </c>
      <c r="I17" s="15"/>
      <c r="J17" s="15">
        <f t="shared" si="0"/>
        <v>22809.19</v>
      </c>
      <c r="K17" s="15"/>
      <c r="L17" s="15">
        <f t="shared" si="1"/>
        <v>1101625.49</v>
      </c>
      <c r="M17" s="29"/>
    </row>
    <row r="18" spans="1:13" x14ac:dyDescent="0.2">
      <c r="A18" s="3" t="s">
        <v>2580</v>
      </c>
      <c r="B18" s="15">
        <v>6498044.1600000001</v>
      </c>
      <c r="C18" s="15"/>
      <c r="D18" s="15">
        <v>631506.98</v>
      </c>
      <c r="E18" s="15"/>
      <c r="F18" s="15">
        <v>-149020.1</v>
      </c>
      <c r="G18" s="15"/>
      <c r="H18" s="15">
        <v>0</v>
      </c>
      <c r="I18" s="15"/>
      <c r="J18" s="15">
        <f t="shared" si="0"/>
        <v>482486.88</v>
      </c>
      <c r="K18" s="15"/>
      <c r="L18" s="15">
        <f t="shared" si="1"/>
        <v>6980531.04</v>
      </c>
      <c r="M18" s="29"/>
    </row>
    <row r="19" spans="1:13" x14ac:dyDescent="0.2">
      <c r="A19" s="3" t="s">
        <v>2581</v>
      </c>
      <c r="B19" s="15">
        <v>1145136.6999999997</v>
      </c>
      <c r="C19" s="15"/>
      <c r="D19" s="15">
        <v>19036.71</v>
      </c>
      <c r="E19" s="15"/>
      <c r="F19" s="15">
        <v>-177487.45</v>
      </c>
      <c r="G19" s="15"/>
      <c r="H19" s="15">
        <v>0</v>
      </c>
      <c r="I19" s="15"/>
      <c r="J19" s="15">
        <f t="shared" si="0"/>
        <v>-158450.74000000002</v>
      </c>
      <c r="K19" s="15"/>
      <c r="L19" s="15">
        <f t="shared" si="1"/>
        <v>986685.95999999973</v>
      </c>
      <c r="M19" s="29"/>
    </row>
    <row r="20" spans="1:13" x14ac:dyDescent="0.2">
      <c r="A20" s="3" t="s">
        <v>2582</v>
      </c>
      <c r="B20" s="15">
        <v>19398439.02</v>
      </c>
      <c r="C20" s="15"/>
      <c r="D20" s="15">
        <v>3832913.82</v>
      </c>
      <c r="E20" s="15"/>
      <c r="F20" s="15">
        <v>-4312339.99</v>
      </c>
      <c r="G20" s="15"/>
      <c r="H20" s="15">
        <v>0</v>
      </c>
      <c r="I20" s="15"/>
      <c r="J20" s="15">
        <f t="shared" si="0"/>
        <v>-479426.17000000039</v>
      </c>
      <c r="K20" s="15"/>
      <c r="L20" s="15">
        <f t="shared" si="1"/>
        <v>18919012.849999998</v>
      </c>
      <c r="M20" s="29"/>
    </row>
    <row r="21" spans="1:13" x14ac:dyDescent="0.2">
      <c r="A21" s="3" t="s">
        <v>2583</v>
      </c>
      <c r="B21" s="15">
        <v>5007813.0299999993</v>
      </c>
      <c r="C21" s="15"/>
      <c r="D21" s="15">
        <v>1273727.32</v>
      </c>
      <c r="E21" s="15"/>
      <c r="F21" s="15">
        <v>-1228505.58</v>
      </c>
      <c r="G21" s="15"/>
      <c r="H21" s="15">
        <v>0</v>
      </c>
      <c r="I21" s="15"/>
      <c r="J21" s="15">
        <f t="shared" si="0"/>
        <v>45221.739999999991</v>
      </c>
      <c r="K21" s="15"/>
      <c r="L21" s="15">
        <f t="shared" si="1"/>
        <v>5053034.7699999996</v>
      </c>
      <c r="M21" s="29"/>
    </row>
    <row r="22" spans="1:13" x14ac:dyDescent="0.2">
      <c r="A22" s="22" t="s">
        <v>2584</v>
      </c>
      <c r="B22" s="15">
        <v>0</v>
      </c>
      <c r="C22" s="15"/>
      <c r="D22" s="15">
        <v>0</v>
      </c>
      <c r="E22" s="15"/>
      <c r="F22" s="15">
        <v>0</v>
      </c>
      <c r="G22" s="15"/>
      <c r="H22" s="15">
        <v>0</v>
      </c>
      <c r="I22" s="15"/>
      <c r="J22" s="15">
        <f t="shared" si="0"/>
        <v>0</v>
      </c>
      <c r="K22" s="15"/>
      <c r="L22" s="15">
        <f t="shared" si="1"/>
        <v>0</v>
      </c>
      <c r="M22" s="29"/>
    </row>
    <row r="23" spans="1:13" x14ac:dyDescent="0.2">
      <c r="A23" s="3" t="s">
        <v>2585</v>
      </c>
      <c r="B23" s="15">
        <v>911530.29999999958</v>
      </c>
      <c r="C23" s="15"/>
      <c r="D23" s="15">
        <v>10108.25</v>
      </c>
      <c r="E23" s="15"/>
      <c r="F23" s="15">
        <v>-6516.09</v>
      </c>
      <c r="G23" s="15"/>
      <c r="H23" s="15">
        <v>0</v>
      </c>
      <c r="I23" s="15"/>
      <c r="J23" s="15">
        <f t="shared" si="0"/>
        <v>3592.16</v>
      </c>
      <c r="K23" s="15"/>
      <c r="L23" s="15">
        <f t="shared" si="1"/>
        <v>915122.45999999961</v>
      </c>
      <c r="M23" s="29"/>
    </row>
    <row r="24" spans="1:13" x14ac:dyDescent="0.2">
      <c r="A24" s="3" t="s">
        <v>2586</v>
      </c>
      <c r="B24" s="15">
        <v>20757.36</v>
      </c>
      <c r="C24" s="15"/>
      <c r="D24" s="15">
        <v>0</v>
      </c>
      <c r="E24" s="15"/>
      <c r="F24" s="15">
        <v>0</v>
      </c>
      <c r="G24" s="15"/>
      <c r="H24" s="15">
        <v>0</v>
      </c>
      <c r="I24" s="15"/>
      <c r="J24" s="15">
        <f t="shared" si="0"/>
        <v>0</v>
      </c>
      <c r="K24" s="15"/>
      <c r="L24" s="15">
        <f t="shared" si="1"/>
        <v>20757.36</v>
      </c>
      <c r="M24" s="29"/>
    </row>
    <row r="25" spans="1:13" x14ac:dyDescent="0.2">
      <c r="A25" s="3" t="s">
        <v>2587</v>
      </c>
      <c r="B25" s="15">
        <v>211576.31999999998</v>
      </c>
      <c r="C25" s="15"/>
      <c r="D25" s="15">
        <v>0</v>
      </c>
      <c r="E25" s="15"/>
      <c r="F25" s="15">
        <v>0</v>
      </c>
      <c r="G25" s="15"/>
      <c r="H25" s="15">
        <v>0</v>
      </c>
      <c r="I25" s="15"/>
      <c r="J25" s="15">
        <f t="shared" si="0"/>
        <v>0</v>
      </c>
      <c r="K25" s="15"/>
      <c r="L25" s="15">
        <f t="shared" si="1"/>
        <v>211576.31999999998</v>
      </c>
      <c r="M25" s="29"/>
    </row>
    <row r="26" spans="1:13" x14ac:dyDescent="0.2">
      <c r="A26" s="3" t="s">
        <v>2588</v>
      </c>
      <c r="B26" s="15">
        <v>49546.270000000004</v>
      </c>
      <c r="C26" s="15"/>
      <c r="D26" s="15">
        <v>0</v>
      </c>
      <c r="E26" s="15"/>
      <c r="F26" s="15">
        <v>-7703.58</v>
      </c>
      <c r="G26" s="15"/>
      <c r="H26" s="15">
        <v>0</v>
      </c>
      <c r="I26" s="15"/>
      <c r="J26" s="15">
        <f t="shared" si="0"/>
        <v>-7703.58</v>
      </c>
      <c r="K26" s="15"/>
      <c r="L26" s="15">
        <f t="shared" si="1"/>
        <v>41842.69</v>
      </c>
      <c r="M26" s="29"/>
    </row>
    <row r="27" spans="1:13" x14ac:dyDescent="0.2">
      <c r="A27" s="3" t="s">
        <v>2589</v>
      </c>
      <c r="B27" s="15">
        <v>1466817.8800000001</v>
      </c>
      <c r="C27" s="15"/>
      <c r="D27" s="15">
        <v>4257.1400000000003</v>
      </c>
      <c r="E27" s="15"/>
      <c r="F27" s="15">
        <v>0</v>
      </c>
      <c r="G27" s="15"/>
      <c r="H27" s="15">
        <v>0</v>
      </c>
      <c r="I27" s="15"/>
      <c r="J27" s="15">
        <f t="shared" si="0"/>
        <v>4257.1400000000003</v>
      </c>
      <c r="K27" s="15"/>
      <c r="L27" s="15">
        <f t="shared" si="1"/>
        <v>1471075.02</v>
      </c>
      <c r="M27" s="29"/>
    </row>
    <row r="28" spans="1:13" x14ac:dyDescent="0.2">
      <c r="A28" s="3" t="s">
        <v>2590</v>
      </c>
      <c r="B28" s="15">
        <v>3902155.9200000004</v>
      </c>
      <c r="C28" s="15"/>
      <c r="D28" s="15">
        <v>91776.87</v>
      </c>
      <c r="E28" s="15"/>
      <c r="F28" s="15">
        <v>0</v>
      </c>
      <c r="G28" s="15"/>
      <c r="H28" s="15">
        <v>0</v>
      </c>
      <c r="I28" s="15"/>
      <c r="J28" s="15">
        <f t="shared" si="0"/>
        <v>91776.87</v>
      </c>
      <c r="K28" s="15"/>
      <c r="L28" s="15">
        <f t="shared" si="1"/>
        <v>3993932.7900000005</v>
      </c>
      <c r="M28" s="29"/>
    </row>
    <row r="29" spans="1:13" x14ac:dyDescent="0.2">
      <c r="A29" s="3" t="s">
        <v>2591</v>
      </c>
      <c r="B29" s="15">
        <v>0</v>
      </c>
      <c r="C29" s="15"/>
      <c r="D29" s="15">
        <v>0</v>
      </c>
      <c r="E29" s="15"/>
      <c r="F29" s="15">
        <v>0</v>
      </c>
      <c r="G29" s="15"/>
      <c r="H29" s="15">
        <v>0</v>
      </c>
      <c r="I29" s="15"/>
      <c r="J29" s="15">
        <f t="shared" si="0"/>
        <v>0</v>
      </c>
      <c r="K29" s="15"/>
      <c r="L29" s="15">
        <f t="shared" si="1"/>
        <v>0</v>
      </c>
      <c r="M29" s="29"/>
    </row>
    <row r="30" spans="1:13" x14ac:dyDescent="0.2">
      <c r="A30" s="133" t="s">
        <v>2592</v>
      </c>
      <c r="B30" s="15">
        <v>301414.67</v>
      </c>
      <c r="C30" s="15"/>
      <c r="D30" s="15">
        <v>27024.46</v>
      </c>
      <c r="E30" s="15"/>
      <c r="F30" s="15">
        <v>0</v>
      </c>
      <c r="G30" s="15"/>
      <c r="H30" s="15">
        <v>0</v>
      </c>
      <c r="I30" s="15"/>
      <c r="J30" s="15">
        <f t="shared" si="0"/>
        <v>27024.46</v>
      </c>
      <c r="K30" s="15"/>
      <c r="L30" s="15">
        <f t="shared" si="1"/>
        <v>328439.13</v>
      </c>
      <c r="M30" s="29"/>
    </row>
    <row r="31" spans="1:13" x14ac:dyDescent="0.2">
      <c r="A31" s="3" t="s">
        <v>2593</v>
      </c>
      <c r="B31" s="15">
        <v>14147.08</v>
      </c>
      <c r="C31" s="15"/>
      <c r="D31" s="15">
        <v>0</v>
      </c>
      <c r="E31" s="15"/>
      <c r="F31" s="15">
        <v>0</v>
      </c>
      <c r="G31" s="15"/>
      <c r="H31" s="15">
        <v>0</v>
      </c>
      <c r="I31" s="15"/>
      <c r="J31" s="15">
        <f t="shared" si="0"/>
        <v>0</v>
      </c>
      <c r="K31" s="15"/>
      <c r="L31" s="15">
        <f t="shared" si="1"/>
        <v>14147.08</v>
      </c>
      <c r="M31" s="29"/>
    </row>
    <row r="32" spans="1:13" x14ac:dyDescent="0.2">
      <c r="A32" s="3" t="s">
        <v>2594</v>
      </c>
      <c r="B32" s="15">
        <v>24769627.270000003</v>
      </c>
      <c r="C32" s="15"/>
      <c r="D32" s="15">
        <v>3534738.25</v>
      </c>
      <c r="E32" s="15"/>
      <c r="F32" s="15">
        <v>-10069894.310000001</v>
      </c>
      <c r="G32" s="15"/>
      <c r="H32" s="15">
        <v>0</v>
      </c>
      <c r="I32" s="15"/>
      <c r="J32" s="15">
        <f t="shared" si="0"/>
        <v>-6535156.0600000005</v>
      </c>
      <c r="K32" s="15"/>
      <c r="L32" s="15">
        <f t="shared" si="1"/>
        <v>18234471.210000001</v>
      </c>
      <c r="M32" s="29"/>
    </row>
    <row r="33" spans="1:13" x14ac:dyDescent="0.2">
      <c r="A33" s="3" t="s">
        <v>2595</v>
      </c>
      <c r="B33" s="15">
        <v>16024672.24</v>
      </c>
      <c r="C33" s="15"/>
      <c r="D33" s="15">
        <v>1603981.74</v>
      </c>
      <c r="E33" s="15"/>
      <c r="F33" s="15">
        <v>-4105438.96</v>
      </c>
      <c r="G33" s="15"/>
      <c r="H33" s="15">
        <v>0</v>
      </c>
      <c r="I33" s="15"/>
      <c r="J33" s="15">
        <f t="shared" si="0"/>
        <v>-2501457.2199999997</v>
      </c>
      <c r="K33" s="15"/>
      <c r="L33" s="15">
        <f t="shared" si="1"/>
        <v>13523215.02</v>
      </c>
      <c r="M33" s="29"/>
    </row>
    <row r="34" spans="1:13" x14ac:dyDescent="0.2">
      <c r="A34" s="3" t="s">
        <v>2596</v>
      </c>
      <c r="B34" s="15">
        <v>0</v>
      </c>
      <c r="C34" s="15"/>
      <c r="D34" s="15">
        <v>0</v>
      </c>
      <c r="E34" s="15"/>
      <c r="F34" s="15">
        <v>0</v>
      </c>
      <c r="G34" s="15"/>
      <c r="H34" s="15">
        <v>0</v>
      </c>
      <c r="I34" s="15"/>
      <c r="J34" s="15">
        <f t="shared" si="0"/>
        <v>0</v>
      </c>
      <c r="K34" s="15"/>
      <c r="L34" s="15">
        <f t="shared" si="1"/>
        <v>0</v>
      </c>
      <c r="M34" s="29"/>
    </row>
    <row r="35" spans="1:13" x14ac:dyDescent="0.2">
      <c r="A35" s="3" t="s">
        <v>2597</v>
      </c>
      <c r="B35" s="15">
        <v>0</v>
      </c>
      <c r="C35" s="15"/>
      <c r="D35" s="15">
        <v>0</v>
      </c>
      <c r="E35" s="15"/>
      <c r="F35" s="15">
        <v>0</v>
      </c>
      <c r="G35" s="15"/>
      <c r="H35" s="15">
        <v>0</v>
      </c>
      <c r="I35" s="15"/>
      <c r="J35" s="15">
        <f t="shared" si="0"/>
        <v>0</v>
      </c>
      <c r="K35" s="15"/>
      <c r="L35" s="15">
        <f t="shared" si="1"/>
        <v>0</v>
      </c>
      <c r="M35" s="29"/>
    </row>
    <row r="36" spans="1:13" x14ac:dyDescent="0.2">
      <c r="A36" s="3" t="s">
        <v>2598</v>
      </c>
      <c r="B36" s="15">
        <v>83782.289999999994</v>
      </c>
      <c r="C36" s="15"/>
      <c r="D36" s="15">
        <v>0</v>
      </c>
      <c r="E36" s="15"/>
      <c r="F36" s="15">
        <v>0</v>
      </c>
      <c r="G36" s="15"/>
      <c r="H36" s="15">
        <v>0</v>
      </c>
      <c r="I36" s="15"/>
      <c r="J36" s="15">
        <f t="shared" si="0"/>
        <v>0</v>
      </c>
      <c r="K36" s="15"/>
      <c r="L36" s="15">
        <f t="shared" si="1"/>
        <v>83782.289999999994</v>
      </c>
      <c r="M36" s="29"/>
    </row>
    <row r="37" spans="1:13" x14ac:dyDescent="0.2">
      <c r="A37" s="3" t="s">
        <v>2599</v>
      </c>
      <c r="B37" s="15">
        <v>0</v>
      </c>
      <c r="C37" s="15"/>
      <c r="D37" s="15">
        <v>0</v>
      </c>
      <c r="E37" s="15"/>
      <c r="F37" s="15">
        <v>0</v>
      </c>
      <c r="G37" s="15"/>
      <c r="H37" s="15">
        <v>0</v>
      </c>
      <c r="I37" s="15"/>
      <c r="J37" s="15">
        <f t="shared" si="0"/>
        <v>0</v>
      </c>
      <c r="K37" s="15"/>
      <c r="L37" s="15">
        <f t="shared" si="1"/>
        <v>0</v>
      </c>
      <c r="M37" s="29"/>
    </row>
    <row r="38" spans="1:13" x14ac:dyDescent="0.2">
      <c r="A38" s="3" t="s">
        <v>2600</v>
      </c>
      <c r="B38" s="15">
        <v>40698351.340000004</v>
      </c>
      <c r="C38" s="15"/>
      <c r="D38" s="15">
        <v>12729029.289999999</v>
      </c>
      <c r="E38" s="15"/>
      <c r="F38" s="15">
        <v>-7105652.6600000001</v>
      </c>
      <c r="G38" s="15"/>
      <c r="H38" s="15">
        <v>0</v>
      </c>
      <c r="I38" s="15"/>
      <c r="J38" s="15">
        <f t="shared" si="0"/>
        <v>5623376.629999999</v>
      </c>
      <c r="K38" s="15"/>
      <c r="L38" s="15">
        <f t="shared" si="1"/>
        <v>46321727.969999999</v>
      </c>
      <c r="M38" s="29"/>
    </row>
    <row r="39" spans="1:13" x14ac:dyDescent="0.2">
      <c r="A39" s="3" t="s">
        <v>2601</v>
      </c>
      <c r="B39" s="15">
        <v>45350035.249999993</v>
      </c>
      <c r="C39" s="15"/>
      <c r="D39" s="15">
        <v>0</v>
      </c>
      <c r="E39" s="15"/>
      <c r="F39" s="15">
        <v>0</v>
      </c>
      <c r="G39" s="15"/>
      <c r="H39" s="15">
        <v>0</v>
      </c>
      <c r="I39" s="15"/>
      <c r="J39" s="15">
        <f t="shared" si="0"/>
        <v>0</v>
      </c>
      <c r="K39" s="15"/>
      <c r="L39" s="15">
        <f t="shared" si="1"/>
        <v>45350035.249999993</v>
      </c>
      <c r="M39" s="29"/>
    </row>
    <row r="40" spans="1:13" x14ac:dyDescent="0.2">
      <c r="A40" s="3" t="s">
        <v>2602</v>
      </c>
      <c r="B40" s="16">
        <v>0</v>
      </c>
      <c r="C40" s="17"/>
      <c r="D40" s="15">
        <v>0</v>
      </c>
      <c r="E40" s="15"/>
      <c r="F40" s="15">
        <v>0</v>
      </c>
      <c r="G40" s="15"/>
      <c r="H40" s="15">
        <v>0</v>
      </c>
      <c r="I40" s="17"/>
      <c r="J40" s="16">
        <f t="shared" si="0"/>
        <v>0</v>
      </c>
      <c r="K40" s="17"/>
      <c r="L40" s="16">
        <f t="shared" si="1"/>
        <v>0</v>
      </c>
      <c r="M40" s="134"/>
    </row>
    <row r="41" spans="1:13" x14ac:dyDescent="0.2">
      <c r="B41" s="17">
        <f>SUM(B11:B40)</f>
        <v>243685533.5</v>
      </c>
      <c r="C41" s="17"/>
      <c r="D41" s="20">
        <f>SUM(D11:D40)</f>
        <v>25778755.329999998</v>
      </c>
      <c r="E41" s="17"/>
      <c r="F41" s="20">
        <f>SUM(F11:F40)</f>
        <v>-27468609.09</v>
      </c>
      <c r="G41" s="17"/>
      <c r="H41" s="20">
        <f>SUM(H11:H40)</f>
        <v>-12074.399999999994</v>
      </c>
      <c r="I41" s="17"/>
      <c r="J41" s="17">
        <f>SUM(J11:J40)</f>
        <v>-1701928.160000002</v>
      </c>
      <c r="K41" s="17"/>
      <c r="L41" s="17">
        <f>SUM(L11:L40)</f>
        <v>241983605.33999997</v>
      </c>
      <c r="M41" s="134"/>
    </row>
    <row r="42" spans="1:13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34"/>
    </row>
    <row r="43" spans="1:13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34"/>
    </row>
    <row r="44" spans="1:13" x14ac:dyDescent="0.2">
      <c r="A44" s="10" t="s">
        <v>2603</v>
      </c>
      <c r="B44" s="21">
        <f>B41</f>
        <v>243685533.5</v>
      </c>
      <c r="C44" s="134"/>
      <c r="D44" s="21">
        <f>D41</f>
        <v>25778755.329999998</v>
      </c>
      <c r="E44" s="134"/>
      <c r="F44" s="21">
        <f>F41</f>
        <v>-27468609.09</v>
      </c>
      <c r="G44" s="134"/>
      <c r="H44" s="21">
        <f>H41</f>
        <v>-12074.399999999994</v>
      </c>
      <c r="I44" s="134"/>
      <c r="J44" s="21">
        <f>J41</f>
        <v>-1701928.160000002</v>
      </c>
      <c r="K44" s="134"/>
      <c r="L44" s="21">
        <f>L41</f>
        <v>241983605.33999997</v>
      </c>
      <c r="M44" s="134"/>
    </row>
    <row r="45" spans="1:13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34"/>
    </row>
    <row r="46" spans="1:13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34"/>
    </row>
    <row r="47" spans="1:13" x14ac:dyDescent="0.2">
      <c r="A47" s="10" t="s">
        <v>2604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34"/>
    </row>
    <row r="48" spans="1:13" x14ac:dyDescent="0.2">
      <c r="A48" s="10" t="s">
        <v>2562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34"/>
    </row>
    <row r="49" spans="1:13" x14ac:dyDescent="0.2">
      <c r="A49" s="3" t="s">
        <v>2605</v>
      </c>
      <c r="B49" s="17">
        <v>1620947.24</v>
      </c>
      <c r="C49" s="17"/>
      <c r="D49" s="17">
        <v>537556.77</v>
      </c>
      <c r="E49" s="17"/>
      <c r="F49" s="17">
        <v>0</v>
      </c>
      <c r="G49" s="17"/>
      <c r="H49" s="15">
        <v>0</v>
      </c>
      <c r="I49" s="17"/>
      <c r="J49" s="17">
        <f t="shared" ref="J49:J66" si="2">H49+F49+D49</f>
        <v>537556.77</v>
      </c>
      <c r="K49" s="17"/>
      <c r="L49" s="17">
        <f t="shared" ref="L49:L66" si="3">J49+B49</f>
        <v>2158504.0099999998</v>
      </c>
      <c r="M49" s="134"/>
    </row>
    <row r="50" spans="1:13" x14ac:dyDescent="0.2">
      <c r="A50" s="22" t="s">
        <v>2606</v>
      </c>
      <c r="B50" s="17">
        <v>0</v>
      </c>
      <c r="C50" s="17"/>
      <c r="D50" s="17">
        <v>0</v>
      </c>
      <c r="E50" s="17"/>
      <c r="F50" s="17">
        <v>0</v>
      </c>
      <c r="G50" s="17"/>
      <c r="H50" s="15">
        <v>0</v>
      </c>
      <c r="I50" s="17"/>
      <c r="J50" s="17">
        <f t="shared" si="2"/>
        <v>0</v>
      </c>
      <c r="K50" s="17"/>
      <c r="L50" s="17">
        <f t="shared" si="3"/>
        <v>0</v>
      </c>
      <c r="M50" s="134"/>
    </row>
    <row r="51" spans="1:13" x14ac:dyDescent="0.2">
      <c r="A51" s="3" t="s">
        <v>2607</v>
      </c>
      <c r="B51" s="17">
        <v>0</v>
      </c>
      <c r="C51" s="17"/>
      <c r="D51" s="17">
        <v>0</v>
      </c>
      <c r="E51" s="17"/>
      <c r="F51" s="17">
        <v>0</v>
      </c>
      <c r="G51" s="17"/>
      <c r="H51" s="15">
        <v>0</v>
      </c>
      <c r="I51" s="17"/>
      <c r="J51" s="17">
        <f t="shared" si="2"/>
        <v>0</v>
      </c>
      <c r="K51" s="17"/>
      <c r="L51" s="17">
        <f t="shared" si="3"/>
        <v>0</v>
      </c>
      <c r="M51" s="134"/>
    </row>
    <row r="52" spans="1:13" x14ac:dyDescent="0.2">
      <c r="A52" s="133" t="s">
        <v>2608</v>
      </c>
      <c r="B52" s="17">
        <v>0</v>
      </c>
      <c r="C52" s="17"/>
      <c r="D52" s="17">
        <v>0</v>
      </c>
      <c r="E52" s="17"/>
      <c r="F52" s="17">
        <v>0</v>
      </c>
      <c r="G52" s="17"/>
      <c r="H52" s="15">
        <v>0</v>
      </c>
      <c r="I52" s="17"/>
      <c r="J52" s="17">
        <f t="shared" si="2"/>
        <v>0</v>
      </c>
      <c r="K52" s="17"/>
      <c r="L52" s="17">
        <f>D52</f>
        <v>0</v>
      </c>
      <c r="M52" s="134"/>
    </row>
    <row r="53" spans="1:13" x14ac:dyDescent="0.2">
      <c r="A53" s="3" t="s">
        <v>2609</v>
      </c>
      <c r="B53" s="17">
        <v>0</v>
      </c>
      <c r="C53" s="17"/>
      <c r="D53" s="17">
        <v>0</v>
      </c>
      <c r="E53" s="17"/>
      <c r="F53" s="17">
        <v>0</v>
      </c>
      <c r="G53" s="17"/>
      <c r="H53" s="15">
        <v>0</v>
      </c>
      <c r="I53" s="17"/>
      <c r="J53" s="17">
        <f t="shared" si="2"/>
        <v>0</v>
      </c>
      <c r="K53" s="17"/>
      <c r="L53" s="17">
        <f t="shared" si="3"/>
        <v>0</v>
      </c>
      <c r="M53" s="134"/>
    </row>
    <row r="54" spans="1:13" x14ac:dyDescent="0.2">
      <c r="A54" s="3" t="s">
        <v>2610</v>
      </c>
      <c r="B54" s="17">
        <v>140186.64999999991</v>
      </c>
      <c r="C54" s="17"/>
      <c r="D54" s="17">
        <v>110298.12</v>
      </c>
      <c r="E54" s="17"/>
      <c r="F54" s="17">
        <v>0</v>
      </c>
      <c r="G54" s="17"/>
      <c r="H54" s="15">
        <v>0</v>
      </c>
      <c r="I54" s="17"/>
      <c r="J54" s="17">
        <f t="shared" si="2"/>
        <v>110298.12</v>
      </c>
      <c r="K54" s="17"/>
      <c r="L54" s="17">
        <f t="shared" si="3"/>
        <v>250484.7699999999</v>
      </c>
      <c r="M54" s="134"/>
    </row>
    <row r="55" spans="1:13" x14ac:dyDescent="0.2">
      <c r="A55" s="3" t="s">
        <v>2611</v>
      </c>
      <c r="B55" s="17">
        <v>104647.01999999999</v>
      </c>
      <c r="C55" s="17"/>
      <c r="D55" s="17">
        <v>37990.58</v>
      </c>
      <c r="E55" s="17"/>
      <c r="F55" s="17">
        <v>0</v>
      </c>
      <c r="G55" s="17"/>
      <c r="H55" s="15">
        <v>0</v>
      </c>
      <c r="I55" s="17"/>
      <c r="J55" s="17">
        <f t="shared" si="2"/>
        <v>37990.58</v>
      </c>
      <c r="K55" s="17"/>
      <c r="L55" s="17">
        <f t="shared" si="3"/>
        <v>142637.59999999998</v>
      </c>
      <c r="M55" s="134"/>
    </row>
    <row r="56" spans="1:13" x14ac:dyDescent="0.2">
      <c r="A56" s="3" t="s">
        <v>2612</v>
      </c>
      <c r="B56" s="17">
        <v>4307969.1499999994</v>
      </c>
      <c r="C56" s="17"/>
      <c r="D56" s="17">
        <v>-467803.45</v>
      </c>
      <c r="E56" s="17"/>
      <c r="F56" s="17">
        <v>0</v>
      </c>
      <c r="G56" s="17"/>
      <c r="H56" s="15">
        <v>0</v>
      </c>
      <c r="I56" s="17"/>
      <c r="J56" s="17">
        <f t="shared" si="2"/>
        <v>-467803.45</v>
      </c>
      <c r="K56" s="17"/>
      <c r="L56" s="17">
        <f t="shared" si="3"/>
        <v>3840165.6999999993</v>
      </c>
      <c r="M56" s="134"/>
    </row>
    <row r="57" spans="1:13" x14ac:dyDescent="0.2">
      <c r="A57" s="3" t="s">
        <v>2613</v>
      </c>
      <c r="B57" s="17">
        <v>1060043.17</v>
      </c>
      <c r="C57" s="17"/>
      <c r="D57" s="17">
        <v>-1035265.06</v>
      </c>
      <c r="E57" s="17"/>
      <c r="F57" s="17">
        <v>0</v>
      </c>
      <c r="G57" s="17"/>
      <c r="H57" s="15">
        <v>0</v>
      </c>
      <c r="I57" s="17"/>
      <c r="J57" s="17">
        <f t="shared" si="2"/>
        <v>-1035265.06</v>
      </c>
      <c r="K57" s="17"/>
      <c r="L57" s="17">
        <f t="shared" si="3"/>
        <v>24778.10999999987</v>
      </c>
      <c r="M57" s="134"/>
    </row>
    <row r="58" spans="1:13" x14ac:dyDescent="0.2">
      <c r="A58" s="3" t="s">
        <v>2614</v>
      </c>
      <c r="B58" s="17">
        <v>0</v>
      </c>
      <c r="C58" s="17"/>
      <c r="D58" s="17">
        <v>289890.58</v>
      </c>
      <c r="E58" s="17"/>
      <c r="F58" s="17">
        <v>0</v>
      </c>
      <c r="G58" s="17"/>
      <c r="H58" s="15">
        <v>0</v>
      </c>
      <c r="I58" s="17"/>
      <c r="J58" s="17">
        <f t="shared" si="2"/>
        <v>289890.58</v>
      </c>
      <c r="K58" s="17"/>
      <c r="L58" s="17">
        <f t="shared" si="3"/>
        <v>289890.58</v>
      </c>
      <c r="M58" s="134"/>
    </row>
    <row r="59" spans="1:13" x14ac:dyDescent="0.2">
      <c r="A59" s="133" t="s">
        <v>2615</v>
      </c>
      <c r="B59" s="17">
        <v>0</v>
      </c>
      <c r="C59" s="17"/>
      <c r="D59" s="17">
        <v>0</v>
      </c>
      <c r="E59" s="17"/>
      <c r="F59" s="17">
        <v>0</v>
      </c>
      <c r="G59" s="17"/>
      <c r="H59" s="15">
        <v>0</v>
      </c>
      <c r="I59" s="17"/>
      <c r="J59" s="17">
        <f t="shared" si="2"/>
        <v>0</v>
      </c>
      <c r="K59" s="17"/>
      <c r="L59" s="17">
        <f t="shared" si="3"/>
        <v>0</v>
      </c>
      <c r="M59" s="134"/>
    </row>
    <row r="60" spans="1:13" x14ac:dyDescent="0.2">
      <c r="A60" s="3" t="s">
        <v>2616</v>
      </c>
      <c r="B60" s="17">
        <v>27024.46</v>
      </c>
      <c r="C60" s="17"/>
      <c r="D60" s="17">
        <v>-27024.46</v>
      </c>
      <c r="E60" s="17"/>
      <c r="F60" s="17">
        <v>0</v>
      </c>
      <c r="G60" s="17"/>
      <c r="H60" s="15">
        <v>0</v>
      </c>
      <c r="I60" s="17"/>
      <c r="J60" s="17">
        <f t="shared" si="2"/>
        <v>-27024.46</v>
      </c>
      <c r="K60" s="17"/>
      <c r="L60" s="17">
        <f t="shared" si="3"/>
        <v>0</v>
      </c>
      <c r="M60" s="134"/>
    </row>
    <row r="61" spans="1:13" x14ac:dyDescent="0.2">
      <c r="A61" s="3" t="s">
        <v>2617</v>
      </c>
      <c r="B61" s="17">
        <v>78633.06</v>
      </c>
      <c r="C61" s="17"/>
      <c r="D61" s="17">
        <v>-6026.74</v>
      </c>
      <c r="E61" s="17"/>
      <c r="F61" s="17">
        <v>0</v>
      </c>
      <c r="G61" s="17"/>
      <c r="H61" s="15">
        <v>0</v>
      </c>
      <c r="I61" s="17"/>
      <c r="J61" s="17">
        <f t="shared" si="2"/>
        <v>-6026.74</v>
      </c>
      <c r="K61" s="17"/>
      <c r="L61" s="17">
        <f t="shared" si="3"/>
        <v>72606.319999999992</v>
      </c>
      <c r="M61" s="134"/>
    </row>
    <row r="62" spans="1:13" x14ac:dyDescent="0.2">
      <c r="A62" s="3" t="s">
        <v>2618</v>
      </c>
      <c r="B62" s="17">
        <v>3633119.84</v>
      </c>
      <c r="C62" s="17"/>
      <c r="D62" s="17">
        <v>-1028122.06</v>
      </c>
      <c r="E62" s="17"/>
      <c r="F62" s="17">
        <v>0</v>
      </c>
      <c r="G62" s="17"/>
      <c r="H62" s="15">
        <v>0</v>
      </c>
      <c r="I62" s="17"/>
      <c r="J62" s="17">
        <f t="shared" si="2"/>
        <v>-1028122.06</v>
      </c>
      <c r="K62" s="17"/>
      <c r="L62" s="17">
        <f t="shared" si="3"/>
        <v>2604997.7799999998</v>
      </c>
      <c r="M62" s="134"/>
    </row>
    <row r="63" spans="1:13" x14ac:dyDescent="0.2">
      <c r="A63" s="3" t="s">
        <v>2619</v>
      </c>
      <c r="B63" s="17">
        <v>1678100.2300000002</v>
      </c>
      <c r="C63" s="17"/>
      <c r="D63" s="17">
        <v>-1247486.1599999999</v>
      </c>
      <c r="E63" s="17"/>
      <c r="F63" s="17">
        <v>0</v>
      </c>
      <c r="G63" s="17"/>
      <c r="H63" s="15">
        <v>0</v>
      </c>
      <c r="I63" s="17"/>
      <c r="J63" s="17">
        <f t="shared" si="2"/>
        <v>-1247486.1599999999</v>
      </c>
      <c r="K63" s="17"/>
      <c r="L63" s="17">
        <f t="shared" si="3"/>
        <v>430614.0700000003</v>
      </c>
      <c r="M63" s="134"/>
    </row>
    <row r="64" spans="1:13" x14ac:dyDescent="0.2">
      <c r="A64" s="133" t="s">
        <v>2620</v>
      </c>
      <c r="B64" s="17">
        <v>0</v>
      </c>
      <c r="C64" s="17"/>
      <c r="D64" s="17">
        <v>0</v>
      </c>
      <c r="E64" s="17"/>
      <c r="F64" s="17">
        <v>0</v>
      </c>
      <c r="G64" s="17"/>
      <c r="H64" s="15">
        <v>0</v>
      </c>
      <c r="I64" s="17"/>
      <c r="J64" s="17">
        <f>H64+F64+D64</f>
        <v>0</v>
      </c>
      <c r="K64" s="17"/>
      <c r="L64" s="17">
        <f>J64+B64</f>
        <v>0</v>
      </c>
      <c r="M64" s="134"/>
    </row>
    <row r="65" spans="1:13" x14ac:dyDescent="0.2">
      <c r="A65" s="3" t="s">
        <v>2621</v>
      </c>
      <c r="B65" s="17">
        <v>9530107.7699999958</v>
      </c>
      <c r="C65" s="17"/>
      <c r="D65" s="17">
        <v>-1798505.14</v>
      </c>
      <c r="E65" s="17"/>
      <c r="F65" s="17">
        <v>0</v>
      </c>
      <c r="G65" s="17"/>
      <c r="H65" s="15">
        <v>0</v>
      </c>
      <c r="I65" s="17"/>
      <c r="J65" s="17">
        <f>H65+F65+D65</f>
        <v>-1798505.14</v>
      </c>
      <c r="K65" s="17"/>
      <c r="L65" s="17">
        <f>J65+B65</f>
        <v>7731602.6299999962</v>
      </c>
      <c r="M65" s="134"/>
    </row>
    <row r="66" spans="1:13" x14ac:dyDescent="0.2">
      <c r="A66" s="3" t="s">
        <v>2622</v>
      </c>
      <c r="B66" s="16">
        <v>0</v>
      </c>
      <c r="C66" s="17"/>
      <c r="D66" s="17">
        <v>0</v>
      </c>
      <c r="E66" s="17"/>
      <c r="F66" s="17">
        <v>0</v>
      </c>
      <c r="G66" s="17"/>
      <c r="H66" s="15">
        <v>0</v>
      </c>
      <c r="I66" s="17"/>
      <c r="J66" s="16">
        <f t="shared" si="2"/>
        <v>0</v>
      </c>
      <c r="K66" s="17"/>
      <c r="L66" s="16">
        <f t="shared" si="3"/>
        <v>0</v>
      </c>
      <c r="M66" s="134"/>
    </row>
    <row r="67" spans="1:13" x14ac:dyDescent="0.2">
      <c r="B67" s="17">
        <f>SUM(B49:B66)</f>
        <v>22180778.589999996</v>
      </c>
      <c r="C67" s="17"/>
      <c r="D67" s="17">
        <f>SUM(D49:D66)</f>
        <v>-4634497.0199999996</v>
      </c>
      <c r="E67" s="17"/>
      <c r="F67" s="17">
        <f>SUM(F49:F66)</f>
        <v>0</v>
      </c>
      <c r="G67" s="17"/>
      <c r="H67" s="17">
        <f>SUM(H49:H66)</f>
        <v>0</v>
      </c>
      <c r="I67" s="17"/>
      <c r="J67" s="17">
        <f>SUM(J49:J66)</f>
        <v>-4634497.0199999996</v>
      </c>
      <c r="K67" s="17"/>
      <c r="L67" s="17">
        <f>SUM(L49:L66)</f>
        <v>17546281.569999997</v>
      </c>
      <c r="M67" s="134"/>
    </row>
    <row r="68" spans="1:13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34"/>
    </row>
    <row r="69" spans="1:13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34"/>
    </row>
    <row r="70" spans="1:13" x14ac:dyDescent="0.2">
      <c r="A70" s="10" t="s">
        <v>2623</v>
      </c>
      <c r="B70" s="21">
        <f>B67</f>
        <v>22180778.589999996</v>
      </c>
      <c r="C70" s="134"/>
      <c r="D70" s="21">
        <f>D67</f>
        <v>-4634497.0199999996</v>
      </c>
      <c r="E70" s="134"/>
      <c r="F70" s="21">
        <f>F67</f>
        <v>0</v>
      </c>
      <c r="G70" s="134"/>
      <c r="H70" s="21">
        <f>H67</f>
        <v>0</v>
      </c>
      <c r="I70" s="134"/>
      <c r="J70" s="21">
        <f>J67</f>
        <v>-4634497.0199999996</v>
      </c>
      <c r="K70" s="134"/>
      <c r="L70" s="21">
        <f>L67</f>
        <v>17546281.569999997</v>
      </c>
      <c r="M70" s="134"/>
    </row>
    <row r="71" spans="1:13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34"/>
    </row>
    <row r="72" spans="1:13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9"/>
    </row>
    <row r="73" spans="1:13" ht="13.5" thickBot="1" x14ac:dyDescent="0.25">
      <c r="A73" s="10" t="s">
        <v>2570</v>
      </c>
      <c r="B73" s="41">
        <f>B44+B70</f>
        <v>265866312.09</v>
      </c>
      <c r="C73" s="15"/>
      <c r="D73" s="41">
        <f>D44+D70</f>
        <v>21144258.309999999</v>
      </c>
      <c r="E73" s="15"/>
      <c r="F73" s="41">
        <f>F44+F70</f>
        <v>-27468609.09</v>
      </c>
      <c r="G73" s="15"/>
      <c r="H73" s="41">
        <f>H44+H70</f>
        <v>-12074.399999999994</v>
      </c>
      <c r="I73" s="15"/>
      <c r="J73" s="41">
        <f>J44+J70</f>
        <v>-6336425.1800000016</v>
      </c>
      <c r="K73" s="15"/>
      <c r="L73" s="41">
        <f>L44+L70</f>
        <v>259529886.90999997</v>
      </c>
      <c r="M73" s="29"/>
    </row>
    <row r="74" spans="1:13" ht="13.5" thickTop="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9"/>
    </row>
    <row r="75" spans="1:13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x14ac:dyDescent="0.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x14ac:dyDescent="0.2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x14ac:dyDescent="0.2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x14ac:dyDescent="0.2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x14ac:dyDescent="0.2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x14ac:dyDescent="0.2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x14ac:dyDescent="0.2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x14ac:dyDescent="0.2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x14ac:dyDescent="0.2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x14ac:dyDescent="0.2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x14ac:dyDescent="0.2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x14ac:dyDescent="0.2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x14ac:dyDescent="0.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x14ac:dyDescent="0.2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x14ac:dyDescent="0.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x14ac:dyDescent="0.2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x14ac:dyDescent="0.2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x14ac:dyDescent="0.2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x14ac:dyDescent="0.2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x14ac:dyDescent="0.2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x14ac:dyDescent="0.2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x14ac:dyDescent="0.2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x14ac:dyDescent="0.2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x14ac:dyDescent="0.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x14ac:dyDescent="0.2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x14ac:dyDescent="0.2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x14ac:dyDescent="0.2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x14ac:dyDescent="0.2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x14ac:dyDescent="0.2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x14ac:dyDescent="0.2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x14ac:dyDescent="0.2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x14ac:dyDescent="0.2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x14ac:dyDescent="0.2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x14ac:dyDescent="0.2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x14ac:dyDescent="0.2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x14ac:dyDescent="0.2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x14ac:dyDescent="0.2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2:13" x14ac:dyDescent="0.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2:13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2:13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2:13" x14ac:dyDescent="0.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2:13" x14ac:dyDescent="0.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2:13" x14ac:dyDescent="0.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2:13" x14ac:dyDescent="0.2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2:13" x14ac:dyDescent="0.2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2:13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2:13" x14ac:dyDescent="0.2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2:13" x14ac:dyDescent="0.2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2:13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2:13" x14ac:dyDescent="0.2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2:13" x14ac:dyDescent="0.2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2:13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2:13" x14ac:dyDescent="0.2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2:13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2:13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2:13" x14ac:dyDescent="0.2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2:13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2:13" x14ac:dyDescent="0.2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2:13" x14ac:dyDescent="0.2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2:13" x14ac:dyDescent="0.2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2:13" x14ac:dyDescent="0.2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2:13" x14ac:dyDescent="0.2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2:13" x14ac:dyDescent="0.2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2:13" x14ac:dyDescent="0.2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2:13" x14ac:dyDescent="0.2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2:13" x14ac:dyDescent="0.2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2:13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2:13" x14ac:dyDescent="0.2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2:13" x14ac:dyDescent="0.2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2:13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2:13" x14ac:dyDescent="0.2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2:13" x14ac:dyDescent="0.2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2:13" x14ac:dyDescent="0.2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2:13" x14ac:dyDescent="0.2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2:13" x14ac:dyDescent="0.2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2:13" x14ac:dyDescent="0.2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2:13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2:13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2:13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2:13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2:13" x14ac:dyDescent="0.2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2:13" x14ac:dyDescent="0.2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2:13" x14ac:dyDescent="0.2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2:13" x14ac:dyDescent="0.2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2:13" x14ac:dyDescent="0.2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2:13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2:13" x14ac:dyDescent="0.2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2:13" x14ac:dyDescent="0.2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2:13" x14ac:dyDescent="0.2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1" manualBreakCount="1">
    <brk id="4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16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4" width="11.85546875" style="3" bestFit="1" customWidth="1"/>
    <col min="15" max="15" width="1.8554687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2624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07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0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6" x14ac:dyDescent="0.2">
      <c r="A10" s="124" t="s">
        <v>262</v>
      </c>
      <c r="B10" s="135">
        <f>'IN_Cost Plant Acct-Com-P10(Reg)'!B11+'IN_Cost Plant Acct-Com-P10(Reg)'!B20</f>
        <v>2817.36</v>
      </c>
      <c r="C10" s="135"/>
      <c r="D10" s="135">
        <f>'IN_Cost Plant Acct-Com-P10(Reg)'!D11+'IN_Cost Plant Acct-Com-P10(Reg)'!D20</f>
        <v>0</v>
      </c>
      <c r="E10" s="135"/>
      <c r="F10" s="135">
        <f>'IN_Cost Plant Acct-Com-P10(Reg)'!F11+'IN_Cost Plant Acct-Com-P10(Reg)'!F20</f>
        <v>0</v>
      </c>
      <c r="G10" s="135"/>
      <c r="H10" s="135">
        <f>'IN_Cost Plant Acct-Com-P10(Reg)'!H11+'IN_Cost Plant Acct-Com-P10(Reg)'!H20</f>
        <v>-2817.36</v>
      </c>
      <c r="I10" s="135"/>
      <c r="J10" s="135">
        <f>+D10+F10+H10</f>
        <v>-2817.36</v>
      </c>
      <c r="K10" s="135"/>
      <c r="L10" s="135">
        <f>J10+B10</f>
        <v>0</v>
      </c>
      <c r="M10" s="31"/>
      <c r="N10" s="38">
        <f>'IN_Res by Plant Acct-P30 (Reg)'!R42</f>
        <v>0</v>
      </c>
      <c r="O10" s="31"/>
      <c r="P10" s="38">
        <f>L10+N10</f>
        <v>0</v>
      </c>
    </row>
    <row r="11" spans="1:16" x14ac:dyDescent="0.2">
      <c r="A11" s="3" t="s">
        <v>266</v>
      </c>
      <c r="B11" s="149">
        <f>'IN_Cost Plant Acct-Com-P10(Reg)'!B12+'IN_Cost Plant Acct-Com-P10(Reg)'!B21</f>
        <v>74394.850000000006</v>
      </c>
      <c r="C11" s="138"/>
      <c r="D11" s="149">
        <f>'IN_Cost Plant Acct-Com-P10(Reg)'!D12+'IN_Cost Plant Acct-Com-P10(Reg)'!D21</f>
        <v>0</v>
      </c>
      <c r="E11" s="138"/>
      <c r="F11" s="149">
        <f>'IN_Cost Plant Acct-Com-P10(Reg)'!F12+'IN_Cost Plant Acct-Com-P10(Reg)'!F21</f>
        <v>0</v>
      </c>
      <c r="G11" s="138"/>
      <c r="H11" s="149">
        <f>'IN_Cost Plant Acct-Com-P10(Reg)'!H12+'IN_Cost Plant Acct-Com-P10(Reg)'!H21</f>
        <v>0</v>
      </c>
      <c r="I11" s="138"/>
      <c r="J11" s="149">
        <f>+D11+F11+H11</f>
        <v>0</v>
      </c>
      <c r="K11" s="138"/>
      <c r="L11" s="149">
        <f>J11+B11</f>
        <v>74394.850000000006</v>
      </c>
      <c r="N11" s="136">
        <f>'IN_Res by Plant Acct-P30 (Reg)'!R43</f>
        <v>15403.099999999899</v>
      </c>
      <c r="P11" s="136">
        <f>L11+N11</f>
        <v>89797.94999999991</v>
      </c>
    </row>
    <row r="12" spans="1:16" x14ac:dyDescent="0.2">
      <c r="B12" s="135">
        <f>SUM(B10:B11)</f>
        <v>77212.210000000006</v>
      </c>
      <c r="C12" s="135"/>
      <c r="D12" s="135">
        <f>SUM(D10:D11)</f>
        <v>0</v>
      </c>
      <c r="E12" s="135"/>
      <c r="F12" s="135">
        <f>SUM(F10:F11)</f>
        <v>0</v>
      </c>
      <c r="G12" s="135"/>
      <c r="H12" s="135">
        <f>SUM(H10:H11)</f>
        <v>-2817.36</v>
      </c>
      <c r="I12" s="135"/>
      <c r="J12" s="135">
        <f>SUM(J10:J11)</f>
        <v>-2817.36</v>
      </c>
      <c r="K12" s="135"/>
      <c r="L12" s="135">
        <f>SUM(L10:L11)</f>
        <v>74394.850000000006</v>
      </c>
      <c r="M12" s="31"/>
      <c r="N12" s="135">
        <f>SUM(N10:N11)</f>
        <v>15403.099999999899</v>
      </c>
      <c r="P12" s="135">
        <f>SUM(P10:P11)</f>
        <v>89797.94999999991</v>
      </c>
    </row>
    <row r="13" spans="1:16" x14ac:dyDescent="0.2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31"/>
    </row>
    <row r="14" spans="1:16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6" ht="13.5" thickBot="1" x14ac:dyDescent="0.25">
      <c r="A15" s="10" t="s">
        <v>2625</v>
      </c>
      <c r="B15" s="143">
        <f>B12</f>
        <v>77212.210000000006</v>
      </c>
      <c r="C15" s="138"/>
      <c r="D15" s="143">
        <f>D12</f>
        <v>0</v>
      </c>
      <c r="E15" s="138"/>
      <c r="F15" s="143">
        <f>F12</f>
        <v>0</v>
      </c>
      <c r="G15" s="138"/>
      <c r="H15" s="143">
        <f>H12</f>
        <v>-2817.36</v>
      </c>
      <c r="I15" s="138"/>
      <c r="J15" s="143">
        <f>J12</f>
        <v>-2817.36</v>
      </c>
      <c r="K15" s="138"/>
      <c r="L15" s="143">
        <f>L12</f>
        <v>74394.850000000006</v>
      </c>
      <c r="N15" s="143">
        <f>N12</f>
        <v>15403.099999999899</v>
      </c>
      <c r="P15" s="143">
        <f>P12</f>
        <v>89797.94999999991</v>
      </c>
    </row>
    <row r="16" spans="1:16" ht="13.5" thickTop="1" x14ac:dyDescent="0.2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</sheetData>
  <mergeCells count="3">
    <mergeCell ref="A1:P1"/>
    <mergeCell ref="A2:P2"/>
    <mergeCell ref="A3:P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33"/>
  </sheetPr>
  <dimension ref="A1:N28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2" customFormat="1" ht="15.75" x14ac:dyDescent="0.25">
      <c r="A2" s="210" t="s">
        <v>2626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07"/>
      <c r="N3" s="107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07"/>
      <c r="N4" s="107"/>
    </row>
    <row r="6" spans="1:14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4" x14ac:dyDescent="0.2">
      <c r="B8" s="18"/>
      <c r="D8" s="18"/>
      <c r="F8" s="18"/>
      <c r="H8" s="18"/>
      <c r="J8" s="18"/>
      <c r="L8" s="18"/>
    </row>
    <row r="9" spans="1:14" x14ac:dyDescent="0.2">
      <c r="A9" s="10" t="s">
        <v>2627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4" x14ac:dyDescent="0.2">
      <c r="A10" s="10" t="s">
        <v>2562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4" x14ac:dyDescent="0.2">
      <c r="A11" s="124" t="s">
        <v>2590</v>
      </c>
      <c r="B11" s="15">
        <v>2817.36</v>
      </c>
      <c r="C11" s="15"/>
      <c r="D11" s="17">
        <v>0</v>
      </c>
      <c r="E11" s="15"/>
      <c r="F11" s="15">
        <v>0</v>
      </c>
      <c r="G11" s="15"/>
      <c r="H11" s="17">
        <v>-2817.36</v>
      </c>
      <c r="I11" s="15"/>
      <c r="J11" s="17">
        <f>D11+F11+H11</f>
        <v>-2817.36</v>
      </c>
      <c r="K11" s="15"/>
      <c r="L11" s="17">
        <f>J11+B11</f>
        <v>0</v>
      </c>
    </row>
    <row r="12" spans="1:14" x14ac:dyDescent="0.2">
      <c r="A12" s="3" t="s">
        <v>2594</v>
      </c>
      <c r="B12" s="16">
        <v>74394.850000000006</v>
      </c>
      <c r="C12" s="15"/>
      <c r="D12" s="17">
        <v>0</v>
      </c>
      <c r="E12" s="15"/>
      <c r="F12" s="15">
        <v>0</v>
      </c>
      <c r="G12" s="15"/>
      <c r="H12" s="17">
        <v>0</v>
      </c>
      <c r="I12" s="15"/>
      <c r="J12" s="16">
        <f>D12+F12+H12</f>
        <v>0</v>
      </c>
      <c r="K12" s="15"/>
      <c r="L12" s="16">
        <f>J12+B12</f>
        <v>74394.850000000006</v>
      </c>
    </row>
    <row r="13" spans="1:14" x14ac:dyDescent="0.2">
      <c r="B13" s="17">
        <f>SUM(B11:B12)</f>
        <v>77212.210000000006</v>
      </c>
      <c r="C13" s="17"/>
      <c r="D13" s="20">
        <f>SUM(D11:D12)</f>
        <v>0</v>
      </c>
      <c r="E13" s="17"/>
      <c r="F13" s="20">
        <f>SUM(F11:F12)</f>
        <v>0</v>
      </c>
      <c r="G13" s="17"/>
      <c r="H13" s="20">
        <f>SUM(H11:H12)</f>
        <v>-2817.36</v>
      </c>
      <c r="I13" s="17"/>
      <c r="J13" s="17">
        <f>SUM(J11:J12)</f>
        <v>-2817.36</v>
      </c>
      <c r="K13" s="17"/>
      <c r="L13" s="17">
        <f>SUM(L11:L12)</f>
        <v>74394.850000000006</v>
      </c>
      <c r="M13" s="31"/>
    </row>
    <row r="14" spans="1:14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31"/>
    </row>
    <row r="15" spans="1:14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4" ht="13.5" thickBot="1" x14ac:dyDescent="0.25">
      <c r="A16" s="10" t="s">
        <v>2628</v>
      </c>
      <c r="B16" s="41">
        <f>B13</f>
        <v>77212.210000000006</v>
      </c>
      <c r="C16" s="15"/>
      <c r="D16" s="41">
        <f>D13</f>
        <v>0</v>
      </c>
      <c r="E16" s="15"/>
      <c r="F16" s="41">
        <f>F13</f>
        <v>0</v>
      </c>
      <c r="G16" s="15"/>
      <c r="H16" s="41">
        <f>H13</f>
        <v>-2817.36</v>
      </c>
      <c r="I16" s="15"/>
      <c r="J16" s="41">
        <f>J13</f>
        <v>-2817.36</v>
      </c>
      <c r="K16" s="15"/>
      <c r="L16" s="41">
        <f>L13</f>
        <v>74394.850000000006</v>
      </c>
    </row>
    <row r="17" spans="1:13" ht="13.5" thickTop="1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9" spans="1:13" x14ac:dyDescent="0.2">
      <c r="A19" s="10" t="s">
        <v>2604</v>
      </c>
    </row>
    <row r="20" spans="1:13" x14ac:dyDescent="0.2">
      <c r="A20" s="10" t="s">
        <v>2562</v>
      </c>
    </row>
    <row r="21" spans="1:13" x14ac:dyDescent="0.2">
      <c r="A21" s="3" t="s">
        <v>2618</v>
      </c>
      <c r="B21" s="16">
        <v>0</v>
      </c>
      <c r="C21" s="15"/>
      <c r="D21" s="17">
        <v>0</v>
      </c>
      <c r="E21" s="15"/>
      <c r="F21" s="15">
        <v>0</v>
      </c>
      <c r="G21" s="15"/>
      <c r="H21" s="17">
        <v>0</v>
      </c>
      <c r="I21" s="15"/>
      <c r="J21" s="16">
        <f>D21+F21+H21</f>
        <v>0</v>
      </c>
      <c r="K21" s="15"/>
      <c r="L21" s="16">
        <f>J21+B21</f>
        <v>0</v>
      </c>
    </row>
    <row r="22" spans="1:13" x14ac:dyDescent="0.2">
      <c r="B22" s="17">
        <f>SUM(B21)</f>
        <v>0</v>
      </c>
      <c r="C22" s="17"/>
      <c r="D22" s="20">
        <f>SUM(D21)</f>
        <v>0</v>
      </c>
      <c r="E22" s="17"/>
      <c r="F22" s="20">
        <f>SUM(F21)</f>
        <v>0</v>
      </c>
      <c r="G22" s="17"/>
      <c r="H22" s="20">
        <f>SUM(H21)</f>
        <v>0</v>
      </c>
      <c r="I22" s="17"/>
      <c r="J22" s="17">
        <f>SUM(J21)</f>
        <v>0</v>
      </c>
      <c r="K22" s="17"/>
      <c r="L22" s="17">
        <f>SUM(L21)</f>
        <v>0</v>
      </c>
    </row>
    <row r="24" spans="1:13" x14ac:dyDescent="0.2">
      <c r="A24" s="10" t="s">
        <v>2629</v>
      </c>
      <c r="B24" s="21">
        <f>+B22</f>
        <v>0</v>
      </c>
      <c r="C24" s="134"/>
      <c r="D24" s="21">
        <f>+D22</f>
        <v>0</v>
      </c>
      <c r="E24" s="134"/>
      <c r="F24" s="21">
        <f>+F22</f>
        <v>0</v>
      </c>
      <c r="G24" s="134"/>
      <c r="H24" s="21">
        <f>+H22</f>
        <v>0</v>
      </c>
      <c r="I24" s="134"/>
      <c r="J24" s="21">
        <f>+J22</f>
        <v>0</v>
      </c>
      <c r="K24" s="134"/>
      <c r="L24" s="21">
        <f>+L22</f>
        <v>0</v>
      </c>
      <c r="M24" s="134"/>
    </row>
    <row r="25" spans="1:13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34"/>
    </row>
    <row r="26" spans="1:13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9"/>
    </row>
    <row r="27" spans="1:13" ht="13.5" thickBot="1" x14ac:dyDescent="0.25">
      <c r="A27" s="10" t="s">
        <v>2630</v>
      </c>
      <c r="B27" s="41">
        <f>+B16+B24</f>
        <v>77212.210000000006</v>
      </c>
      <c r="C27" s="15"/>
      <c r="D27" s="41">
        <f>+D16+D24</f>
        <v>0</v>
      </c>
      <c r="E27" s="15"/>
      <c r="F27" s="41">
        <f>+F16+F24</f>
        <v>0</v>
      </c>
      <c r="G27" s="15"/>
      <c r="H27" s="41">
        <f>+H16+H24</f>
        <v>-2817.36</v>
      </c>
      <c r="I27" s="15"/>
      <c r="J27" s="41">
        <f>+J16+J24</f>
        <v>-2817.36</v>
      </c>
      <c r="K27" s="15"/>
      <c r="L27" s="41">
        <f>+L16+L24</f>
        <v>74394.850000000006</v>
      </c>
      <c r="M27" s="29"/>
    </row>
    <row r="28" spans="1:13" ht="13.5" thickTop="1" x14ac:dyDescent="0.2"/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37"/>
  <sheetViews>
    <sheetView zoomScale="90" zoomScaleNormal="9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8.7109375" style="3" bestFit="1" customWidth="1"/>
    <col min="3" max="3" width="1.7109375" style="3" customWidth="1"/>
    <col min="4" max="4" width="16.28515625" style="3" bestFit="1" customWidth="1"/>
    <col min="5" max="5" width="1.7109375" style="3" customWidth="1"/>
    <col min="6" max="6" width="17" style="3" bestFit="1" customWidth="1"/>
    <col min="7" max="7" width="1.7109375" style="3" customWidth="1"/>
    <col min="8" max="8" width="17.5703125" style="3" bestFit="1" customWidth="1"/>
    <col min="9" max="9" width="1.7109375" style="3" customWidth="1"/>
    <col min="10" max="10" width="19.42578125" style="3" bestFit="1" customWidth="1"/>
    <col min="11" max="11" width="1.5703125" style="3" customWidth="1"/>
    <col min="12" max="12" width="18.28515625" style="3" bestFit="1" customWidth="1"/>
    <col min="13" max="13" width="1.7109375" style="3" customWidth="1"/>
    <col min="14" max="14" width="19" style="3" bestFit="1" customWidth="1"/>
    <col min="15" max="15" width="2.7109375" style="3" customWidth="1"/>
    <col min="16" max="16" width="25.57031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2631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8" t="s">
        <v>242</v>
      </c>
      <c r="K6" s="138"/>
      <c r="L6" s="8" t="s">
        <v>5</v>
      </c>
      <c r="P6" s="1" t="s">
        <v>2556</v>
      </c>
    </row>
    <row r="7" spans="1:16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K7" s="18"/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K8" s="18"/>
      <c r="L8" s="18"/>
    </row>
    <row r="9" spans="1:16" x14ac:dyDescent="0.2">
      <c r="A9" s="10" t="s">
        <v>2561</v>
      </c>
    </row>
    <row r="10" spans="1:16" x14ac:dyDescent="0.2">
      <c r="A10" s="10" t="s">
        <v>276</v>
      </c>
    </row>
    <row r="11" spans="1:16" x14ac:dyDescent="0.2">
      <c r="A11" s="22" t="s">
        <v>277</v>
      </c>
      <c r="B11" s="138">
        <f>'KY_Cost Plant Acct-Elec-P14(Reg'!B11</f>
        <v>0</v>
      </c>
      <c r="C11" s="138"/>
      <c r="D11" s="138">
        <f>'KY_Cost Plant Acct-Elec-P14(Reg'!D11</f>
        <v>0</v>
      </c>
      <c r="E11" s="138"/>
      <c r="F11" s="138">
        <f>'KY_Cost Plant Acct-Elec-P14(Reg'!F11</f>
        <v>0</v>
      </c>
      <c r="G11" s="138"/>
      <c r="H11" s="138">
        <f>'KY_Cost Plant Acct-Elec-P14(Reg'!H11</f>
        <v>0</v>
      </c>
      <c r="I11" s="138"/>
      <c r="J11" s="138">
        <f>H11+F11+D11</f>
        <v>0</v>
      </c>
      <c r="K11" s="138"/>
      <c r="L11" s="138">
        <f>B11+J11</f>
        <v>0</v>
      </c>
      <c r="N11" s="39">
        <v>0</v>
      </c>
      <c r="P11" s="39">
        <f t="shared" ref="P11:P25" si="0">L11+N11</f>
        <v>0</v>
      </c>
    </row>
    <row r="12" spans="1:16" x14ac:dyDescent="0.2">
      <c r="A12" s="3" t="s">
        <v>278</v>
      </c>
      <c r="B12" s="138">
        <f>'KY_Cost Plant Acct-Elec-P14(Reg'!B12</f>
        <v>4100654.4700000007</v>
      </c>
      <c r="C12" s="138"/>
      <c r="D12" s="138">
        <f>'KY_Cost Plant Acct-Elec-P14(Reg'!D12</f>
        <v>871644.37</v>
      </c>
      <c r="E12" s="138"/>
      <c r="F12" s="138">
        <f>'KY_Cost Plant Acct-Elec-P14(Reg'!F12</f>
        <v>0</v>
      </c>
      <c r="G12" s="138"/>
      <c r="H12" s="138">
        <f>'KY_Cost Plant Acct-Elec-P14(Reg'!H12</f>
        <v>-871644.37</v>
      </c>
      <c r="I12" s="138"/>
      <c r="J12" s="138">
        <f t="shared" ref="J12:J25" si="1">H12+F12+D12</f>
        <v>0</v>
      </c>
      <c r="K12" s="138"/>
      <c r="L12" s="138">
        <f t="shared" ref="L12:L25" si="2">B12+J12</f>
        <v>4100654.4700000007</v>
      </c>
      <c r="N12" s="39">
        <f>'KY_Res by Plant Acct-P29 (Reg)'!R11</f>
        <v>-3.5527136788005009E-15</v>
      </c>
      <c r="P12" s="39">
        <f t="shared" si="0"/>
        <v>4100654.4700000007</v>
      </c>
    </row>
    <row r="13" spans="1:16" x14ac:dyDescent="0.2">
      <c r="A13" s="3" t="s">
        <v>280</v>
      </c>
      <c r="B13" s="138">
        <f>'KY_Cost Plant Acct-Elec-P14(Reg'!B13+'KY_Cost Plant Acct-Elec-P14(Reg'!B106</f>
        <v>7496623.4399999995</v>
      </c>
      <c r="C13" s="138"/>
      <c r="D13" s="138">
        <f>'KY_Cost Plant Acct-Elec-P14(Reg'!D13+'KY_Cost Plant Acct-Elec-P14(Reg'!D106</f>
        <v>-637948.85000000009</v>
      </c>
      <c r="E13" s="138"/>
      <c r="F13" s="138">
        <f>'KY_Cost Plant Acct-Elec-P14(Reg'!F13</f>
        <v>-25028.79</v>
      </c>
      <c r="G13" s="138"/>
      <c r="H13" s="138">
        <f>'KY_Cost Plant Acct-Elec-P14(Reg'!H13</f>
        <v>0</v>
      </c>
      <c r="I13" s="138"/>
      <c r="J13" s="138">
        <f t="shared" si="1"/>
        <v>-662977.64000000013</v>
      </c>
      <c r="K13" s="138"/>
      <c r="L13" s="138">
        <f t="shared" si="2"/>
        <v>6833645.7999999989</v>
      </c>
      <c r="N13" s="39">
        <f>'KY_Res by Plant Acct-P29 (Reg)'!R12</f>
        <v>-2252423.5199999996</v>
      </c>
      <c r="P13" s="39">
        <f t="shared" si="0"/>
        <v>4581222.2799999993</v>
      </c>
    </row>
    <row r="14" spans="1:16" x14ac:dyDescent="0.2">
      <c r="A14" s="3" t="s">
        <v>281</v>
      </c>
      <c r="B14" s="138">
        <f>'KY_Cost Plant Acct-Elec-P14(Reg'!B14+'KY_Cost Plant Acct-Elec-P14(Reg'!B107+'IN_Total PIS_Elec_NBV-P15 (Reg)'!B11</f>
        <v>130844529.67999999</v>
      </c>
      <c r="C14" s="138"/>
      <c r="D14" s="138">
        <f>'KY_Cost Plant Acct-Elec-P14(Reg'!D14+'KY_Cost Plant Acct-Elec-P14(Reg'!D107+'IN_Total PIS_Elec_NBV-P15 (Reg)'!D11</f>
        <v>1866579.95</v>
      </c>
      <c r="E14" s="138"/>
      <c r="F14" s="138">
        <f>'KY_Cost Plant Acct-Elec-P14(Reg'!F14+'IN_Total PIS_Elec_NBV-P15 (Reg)'!F11</f>
        <v>-595619.43000000005</v>
      </c>
      <c r="G14" s="138"/>
      <c r="H14" s="138">
        <f>'KY_Cost Plant Acct-Elec-P14(Reg'!H14+'IN_Total PIS_Elec_NBV-P15 (Reg)'!H11+'KY_Cost Plant Acct-Elec-P14(Reg'!H107</f>
        <v>-336741.48</v>
      </c>
      <c r="I14" s="138"/>
      <c r="J14" s="138">
        <f>H14+F14+D14</f>
        <v>934219.03999999992</v>
      </c>
      <c r="K14" s="138"/>
      <c r="L14" s="138">
        <f t="shared" si="2"/>
        <v>131778748.72</v>
      </c>
      <c r="N14" s="39">
        <f>'KY_Res by Plant Acct-P29 (Reg)'!R13+'IN_Total PIS_Elec_NBV-P15 (Reg)'!N11+'KY_Res by Plant Acct-P29 (Reg)'!R14</f>
        <v>-43679225.150000006</v>
      </c>
      <c r="P14" s="39">
        <f t="shared" si="0"/>
        <v>88099523.569999993</v>
      </c>
    </row>
    <row r="15" spans="1:16" x14ac:dyDescent="0.2">
      <c r="A15" s="3" t="s">
        <v>282</v>
      </c>
      <c r="B15" s="138">
        <f>'KY_Cost Plant Acct-Elec-P14(Reg'!B15+'KY_Cost Plant Acct-Elec-P14(Reg'!B108</f>
        <v>180739747.03000003</v>
      </c>
      <c r="C15" s="138"/>
      <c r="D15" s="138">
        <f>'KY_Cost Plant Acct-Elec-P14(Reg'!D15+'KY_Cost Plant Acct-Elec-P14(Reg'!D108</f>
        <v>15500848.539999999</v>
      </c>
      <c r="E15" s="138"/>
      <c r="F15" s="138">
        <f>'KY_Cost Plant Acct-Elec-P14(Reg'!F15</f>
        <v>-1437598.99</v>
      </c>
      <c r="G15" s="138"/>
      <c r="H15" s="138">
        <f>'KY_Cost Plant Acct-Elec-P14(Reg'!H15+'KY_Cost Plant Acct-Elec-P14(Reg'!H108</f>
        <v>0</v>
      </c>
      <c r="I15" s="138"/>
      <c r="J15" s="138">
        <f t="shared" si="1"/>
        <v>14063249.549999999</v>
      </c>
      <c r="K15" s="138"/>
      <c r="L15" s="138">
        <f t="shared" si="2"/>
        <v>194802996.58000004</v>
      </c>
      <c r="N15" s="39">
        <f>'KY_Res by Plant Acct-P29 (Reg)'!R15</f>
        <v>-80356191.730000004</v>
      </c>
      <c r="P15" s="39">
        <f t="shared" si="0"/>
        <v>114446804.85000004</v>
      </c>
    </row>
    <row r="16" spans="1:16" x14ac:dyDescent="0.2">
      <c r="A16" s="3" t="s">
        <v>283</v>
      </c>
      <c r="B16" s="138">
        <f>'KY_Cost Plant Acct-Elec-P14(Reg'!B16+'KY_Cost Plant Acct-Elec-P14(Reg'!B109</f>
        <v>294631650.77999997</v>
      </c>
      <c r="C16" s="138"/>
      <c r="D16" s="138">
        <f>'KY_Cost Plant Acct-Elec-P14(Reg'!D16+'KY_Cost Plant Acct-Elec-P14(Reg'!D109</f>
        <v>19921055.009999998</v>
      </c>
      <c r="E16" s="138"/>
      <c r="F16" s="138">
        <f>'KY_Cost Plant Acct-Elec-P14(Reg'!F16</f>
        <v>-2273790.48</v>
      </c>
      <c r="G16" s="138"/>
      <c r="H16" s="138">
        <f>'KY_Cost Plant Acct-Elec-P14(Reg'!H16+'KY_Cost Plant Acct-Elec-P14(Reg'!H109</f>
        <v>0</v>
      </c>
      <c r="I16" s="138"/>
      <c r="J16" s="138">
        <f t="shared" si="1"/>
        <v>17647264.529999997</v>
      </c>
      <c r="K16" s="138"/>
      <c r="L16" s="138">
        <f t="shared" si="2"/>
        <v>312278915.30999994</v>
      </c>
      <c r="N16" s="39">
        <f>'KY_Res by Plant Acct-P29 (Reg)'!R16</f>
        <v>-116897627.58999997</v>
      </c>
      <c r="P16" s="39">
        <f t="shared" si="0"/>
        <v>195381287.71999997</v>
      </c>
    </row>
    <row r="17" spans="1:16" x14ac:dyDescent="0.2">
      <c r="A17" s="3" t="s">
        <v>284</v>
      </c>
      <c r="B17" s="138">
        <f>'KY_Cost Plant Acct-Elec-P14(Reg'!B17+'KY_Cost Plant Acct-Elec-P14(Reg'!B110</f>
        <v>83283012.959999993</v>
      </c>
      <c r="C17" s="138"/>
      <c r="D17" s="138">
        <f>'KY_Cost Plant Acct-Elec-P14(Reg'!D17+'KY_Cost Plant Acct-Elec-P14(Reg'!D110</f>
        <v>-3797444.79</v>
      </c>
      <c r="E17" s="138"/>
      <c r="F17" s="138">
        <f>'KY_Cost Plant Acct-Elec-P14(Reg'!F17</f>
        <v>-188472.62</v>
      </c>
      <c r="G17" s="138"/>
      <c r="H17" s="138">
        <f>'KY_Cost Plant Acct-Elec-P14(Reg'!H17+'KY_Cost Plant Acct-Elec-P14(Reg'!H110</f>
        <v>578380.64</v>
      </c>
      <c r="I17" s="138"/>
      <c r="J17" s="138">
        <f t="shared" si="1"/>
        <v>-3407536.77</v>
      </c>
      <c r="K17" s="138"/>
      <c r="L17" s="138">
        <f t="shared" si="2"/>
        <v>79875476.189999998</v>
      </c>
      <c r="N17" s="39">
        <f>'KY_Res by Plant Acct-P29 (Reg)'!R17</f>
        <v>-31306859.589999992</v>
      </c>
      <c r="P17" s="39">
        <f t="shared" si="0"/>
        <v>48568616.600000009</v>
      </c>
    </row>
    <row r="18" spans="1:16" x14ac:dyDescent="0.2">
      <c r="A18" s="3" t="s">
        <v>285</v>
      </c>
      <c r="B18" s="138">
        <f>'KY_Cost Plant Acct-Elec-P14(Reg'!B18+'KY_Cost Plant Acct-Elec-P14(Reg'!B111</f>
        <v>201672612.00999999</v>
      </c>
      <c r="C18" s="138"/>
      <c r="D18" s="138">
        <f>'KY_Cost Plant Acct-Elec-P14(Reg'!D18+'KY_Cost Plant Acct-Elec-P14(Reg'!D111</f>
        <v>26500606.68</v>
      </c>
      <c r="E18" s="138"/>
      <c r="F18" s="138">
        <f>'KY_Cost Plant Acct-Elec-P14(Reg'!F18</f>
        <v>-1261866.46</v>
      </c>
      <c r="G18" s="138"/>
      <c r="H18" s="138">
        <f>'KY_Cost Plant Acct-Elec-P14(Reg'!H18+'KY_Cost Plant Acct-Elec-P14(Reg'!H111</f>
        <v>0</v>
      </c>
      <c r="I18" s="138"/>
      <c r="J18" s="138">
        <f t="shared" si="1"/>
        <v>25238740.219999999</v>
      </c>
      <c r="K18" s="138"/>
      <c r="L18" s="138">
        <f t="shared" si="2"/>
        <v>226911352.22999999</v>
      </c>
      <c r="N18" s="39">
        <f>'KY_Res by Plant Acct-P29 (Reg)'!R18</f>
        <v>-59081416.100000024</v>
      </c>
      <c r="P18" s="39">
        <f t="shared" si="0"/>
        <v>167829936.12999997</v>
      </c>
    </row>
    <row r="19" spans="1:16" x14ac:dyDescent="0.2">
      <c r="A19" s="3" t="s">
        <v>286</v>
      </c>
      <c r="B19" s="138">
        <f>'KY_Cost Plant Acct-Elec-P14(Reg'!B19+'KY_Cost Plant Acct-Elec-P14(Reg'!B112</f>
        <v>158614043.70999998</v>
      </c>
      <c r="C19" s="138"/>
      <c r="D19" s="138">
        <f>'KY_Cost Plant Acct-Elec-P14(Reg'!D19+'KY_Cost Plant Acct-Elec-P14(Reg'!D112</f>
        <v>4246017.63</v>
      </c>
      <c r="E19" s="138"/>
      <c r="F19" s="138">
        <f>'KY_Cost Plant Acct-Elec-P14(Reg'!F19</f>
        <v>-334282.64</v>
      </c>
      <c r="G19" s="138"/>
      <c r="H19" s="138">
        <f>'KY_Cost Plant Acct-Elec-P14(Reg'!H19+'KY_Cost Plant Acct-Elec-P14(Reg'!H112</f>
        <v>0</v>
      </c>
      <c r="I19" s="138"/>
      <c r="J19" s="138">
        <f t="shared" si="1"/>
        <v>3911734.9899999998</v>
      </c>
      <c r="K19" s="138"/>
      <c r="L19" s="138">
        <f t="shared" si="2"/>
        <v>162525778.69999999</v>
      </c>
      <c r="N19" s="39">
        <f>'KY_Res by Plant Acct-P29 (Reg)'!R19</f>
        <v>-77244820.88000001</v>
      </c>
      <c r="P19" s="39">
        <f t="shared" si="0"/>
        <v>85280957.819999978</v>
      </c>
    </row>
    <row r="20" spans="1:16" x14ac:dyDescent="0.2">
      <c r="A20" s="3" t="s">
        <v>287</v>
      </c>
      <c r="B20" s="138">
        <f>'KY_Cost Plant Acct-Elec-P14(Reg'!B20+'KY_Cost Plant Acct-Elec-P14(Reg'!B113</f>
        <v>7721903.5200000005</v>
      </c>
      <c r="C20" s="138"/>
      <c r="D20" s="138">
        <f>'KY_Cost Plant Acct-Elec-P14(Reg'!D20+'KY_Cost Plant Acct-Elec-P14(Reg'!D113</f>
        <v>1398049.89</v>
      </c>
      <c r="E20" s="138"/>
      <c r="F20" s="138">
        <f>'KY_Cost Plant Acct-Elec-P14(Reg'!F20</f>
        <v>-26404.25</v>
      </c>
      <c r="G20" s="138"/>
      <c r="H20" s="138">
        <f>'KY_Cost Plant Acct-Elec-P14(Reg'!H20</f>
        <v>0</v>
      </c>
      <c r="I20" s="138"/>
      <c r="J20" s="138">
        <f t="shared" si="1"/>
        <v>1371645.64</v>
      </c>
      <c r="K20" s="138"/>
      <c r="L20" s="138">
        <f t="shared" si="2"/>
        <v>9093549.1600000001</v>
      </c>
      <c r="N20" s="39">
        <f>'KY_Res by Plant Acct-P29 (Reg)'!R20</f>
        <v>-1682293.9899999995</v>
      </c>
      <c r="P20" s="39">
        <f t="shared" si="0"/>
        <v>7411255.1700000009</v>
      </c>
    </row>
    <row r="21" spans="1:16" x14ac:dyDescent="0.2">
      <c r="A21" s="3" t="s">
        <v>288</v>
      </c>
      <c r="B21" s="138">
        <f>'KY_Cost Plant Acct-Elec-P14(Reg'!B21</f>
        <v>22546422.620000005</v>
      </c>
      <c r="C21" s="138"/>
      <c r="D21" s="138">
        <f>'KY_Cost Plant Acct-Elec-P14(Reg'!D21</f>
        <v>1013408.21</v>
      </c>
      <c r="E21" s="138"/>
      <c r="F21" s="138">
        <f>'KY_Cost Plant Acct-Elec-P14(Reg'!F21</f>
        <v>-112759.03</v>
      </c>
      <c r="G21" s="138"/>
      <c r="H21" s="138">
        <f>'KY_Cost Plant Acct-Elec-P14(Reg'!H21</f>
        <v>0</v>
      </c>
      <c r="I21" s="138"/>
      <c r="J21" s="138">
        <f t="shared" si="1"/>
        <v>900649.17999999993</v>
      </c>
      <c r="K21" s="138"/>
      <c r="L21" s="138">
        <f t="shared" si="2"/>
        <v>23447071.800000004</v>
      </c>
      <c r="N21" s="39">
        <f>'KY_Res by Plant Acct-P29 (Reg)'!R21</f>
        <v>-23456102.720000003</v>
      </c>
      <c r="P21" s="39">
        <f t="shared" si="0"/>
        <v>-9030.9199999980628</v>
      </c>
    </row>
    <row r="22" spans="1:16" x14ac:dyDescent="0.2">
      <c r="A22" s="3" t="s">
        <v>290</v>
      </c>
      <c r="B22" s="138">
        <f>'KY_Cost Plant Acct-Elec-P14(Reg'!B22+'KY_Cost Plant Acct-Elec-P14(Reg'!B114</f>
        <v>41770460.539999999</v>
      </c>
      <c r="C22" s="138"/>
      <c r="D22" s="138">
        <f>'KY_Cost Plant Acct-Elec-P14(Reg'!D22+'KY_Cost Plant Acct-Elec-P14(Reg'!D114</f>
        <v>1194059.67</v>
      </c>
      <c r="E22" s="138"/>
      <c r="F22" s="138">
        <f>'KY_Cost Plant Acct-Elec-P14(Reg'!F22</f>
        <v>-523208.86</v>
      </c>
      <c r="G22" s="138"/>
      <c r="H22" s="138">
        <f>'KY_Cost Plant Acct-Elec-P14(Reg'!H22</f>
        <v>0</v>
      </c>
      <c r="I22" s="138"/>
      <c r="J22" s="138">
        <f t="shared" si="1"/>
        <v>670850.80999999994</v>
      </c>
      <c r="K22" s="138"/>
      <c r="L22" s="138">
        <f t="shared" si="2"/>
        <v>42441311.350000001</v>
      </c>
      <c r="N22" s="39">
        <f>'KY_Res by Plant Acct-P29 (Reg)'!R22</f>
        <v>-25109574</v>
      </c>
      <c r="P22" s="39">
        <f t="shared" si="0"/>
        <v>17331737.350000001</v>
      </c>
    </row>
    <row r="23" spans="1:16" x14ac:dyDescent="0.2">
      <c r="A23" s="3" t="s">
        <v>2632</v>
      </c>
      <c r="B23" s="138">
        <f>'KY_Cost Plant Acct-Elec-P14(Reg'!B23+'KY_Cost Plant Acct-Elec-P14(Reg'!B115</f>
        <v>1195968.08</v>
      </c>
      <c r="C23" s="138">
        <f>'KY_Cost Plant Acct-Elec-P14(Reg'!C115</f>
        <v>0</v>
      </c>
      <c r="D23" s="138">
        <f>'KY_Cost Plant Acct-Elec-P14(Reg'!D23+'KY_Cost Plant Acct-Elec-P14(Reg'!D115</f>
        <v>602463.74</v>
      </c>
      <c r="E23" s="138">
        <f>'KY_Cost Plant Acct-Elec-P14(Reg'!E115</f>
        <v>0</v>
      </c>
      <c r="F23" s="138">
        <f>'KY_Cost Plant Acct-Elec-P14(Reg'!F23</f>
        <v>0</v>
      </c>
      <c r="G23" s="138">
        <f>'KY_Cost Plant Acct-Elec-P14(Reg'!G115</f>
        <v>0</v>
      </c>
      <c r="H23" s="138">
        <f>'KY_Cost Plant Acct-Elec-P14(Reg'!H23</f>
        <v>0</v>
      </c>
      <c r="I23" s="138"/>
      <c r="J23" s="138">
        <f t="shared" si="1"/>
        <v>602463.74</v>
      </c>
      <c r="K23" s="138"/>
      <c r="L23" s="138">
        <f t="shared" si="2"/>
        <v>1798431.82</v>
      </c>
      <c r="N23" s="39">
        <f>'KY_Res by Plant Acct-P29 (Reg)'!R23</f>
        <v>-55178.04</v>
      </c>
      <c r="P23" s="39">
        <f t="shared" si="0"/>
        <v>1743253.78</v>
      </c>
    </row>
    <row r="24" spans="1:16" x14ac:dyDescent="0.2">
      <c r="A24" s="3" t="s">
        <v>291</v>
      </c>
      <c r="B24" s="138">
        <f>'KY_Cost Plant Acct-Elec-P14(Reg'!B24+'KY_Cost Plant Acct-Elec-P14(Reg'!B116</f>
        <v>41270079.160000004</v>
      </c>
      <c r="C24" s="138"/>
      <c r="D24" s="138">
        <f>'KY_Cost Plant Acct-Elec-P14(Reg'!D116+'KY_Cost Plant Acct-Elec-P14(Reg'!D24</f>
        <v>4679754.42</v>
      </c>
      <c r="E24" s="138"/>
      <c r="F24" s="138">
        <f>'KY_Cost Plant Acct-Elec-P14(Reg'!F24</f>
        <v>-1823106.25</v>
      </c>
      <c r="G24" s="138"/>
      <c r="H24" s="138">
        <f>'KY_Cost Plant Acct-Elec-P14(Reg'!H24</f>
        <v>0</v>
      </c>
      <c r="I24" s="138"/>
      <c r="J24" s="138">
        <f t="shared" si="1"/>
        <v>2856648.17</v>
      </c>
      <c r="K24" s="138"/>
      <c r="L24" s="138">
        <f t="shared" si="2"/>
        <v>44126727.330000006</v>
      </c>
      <c r="N24" s="39">
        <f>'KY_Res by Plant Acct-P29 (Reg)'!R25</f>
        <v>-11031481.91</v>
      </c>
      <c r="P24" s="39">
        <f t="shared" si="0"/>
        <v>33095245.420000006</v>
      </c>
    </row>
    <row r="25" spans="1:16" x14ac:dyDescent="0.2">
      <c r="A25" s="3" t="s">
        <v>292</v>
      </c>
      <c r="B25" s="138">
        <f>'KY_Cost Plant Acct-Elec-P14(Reg'!B25+'KY_Cost Plant Acct-Elec-P14(Reg'!B117</f>
        <v>56446011.690000013</v>
      </c>
      <c r="C25" s="138"/>
      <c r="D25" s="138">
        <f>'KY_Cost Plant Acct-Elec-P14(Reg'!D25+'KY_Cost Plant Acct-Elec-P14(Reg'!D117</f>
        <v>5230363.6700000009</v>
      </c>
      <c r="E25" s="138"/>
      <c r="F25" s="138">
        <f>'KY_Cost Plant Acct-Elec-P14(Reg'!F25</f>
        <v>-1600511.42</v>
      </c>
      <c r="G25" s="138"/>
      <c r="H25" s="138">
        <f>'KY_Cost Plant Acct-Elec-P14(Reg'!H25</f>
        <v>0</v>
      </c>
      <c r="I25" s="138"/>
      <c r="J25" s="138">
        <f t="shared" si="1"/>
        <v>3629852.2500000009</v>
      </c>
      <c r="K25" s="138"/>
      <c r="L25" s="138">
        <f t="shared" si="2"/>
        <v>60075863.940000013</v>
      </c>
      <c r="N25" s="39">
        <f>'KY_Res by Plant Acct-P29 (Reg)'!R26</f>
        <v>-26213635.110000007</v>
      </c>
      <c r="P25" s="39">
        <f t="shared" si="0"/>
        <v>33862228.830000006</v>
      </c>
    </row>
    <row r="26" spans="1:16" x14ac:dyDescent="0.2">
      <c r="A26" s="3" t="s">
        <v>293</v>
      </c>
      <c r="B26" s="138">
        <f>'KY_Cost Plant Acct-Elec-P14(Reg'!B26</f>
        <v>0</v>
      </c>
      <c r="C26" s="138"/>
      <c r="D26" s="138">
        <f>'KY_Cost Plant Acct-Elec-P14(Reg'!D26</f>
        <v>0</v>
      </c>
      <c r="E26" s="138"/>
      <c r="F26" s="138">
        <f>'KY_Cost Plant Acct-Elec-P14(Reg'!F26</f>
        <v>0</v>
      </c>
      <c r="G26" s="138"/>
      <c r="H26" s="138">
        <f>'KY_Cost Plant Acct-Elec-P14(Reg'!H26</f>
        <v>0</v>
      </c>
      <c r="I26" s="138"/>
      <c r="J26" s="138">
        <f>H26+F26+D26</f>
        <v>0</v>
      </c>
      <c r="K26" s="138"/>
      <c r="L26" s="138">
        <f>B26+J26</f>
        <v>0</v>
      </c>
      <c r="N26" s="39">
        <f>'KY_Res by Plant Acct-P29 (Reg)'!R27</f>
        <v>0</v>
      </c>
      <c r="P26" s="39">
        <f>L26+N26</f>
        <v>0</v>
      </c>
    </row>
    <row r="27" spans="1:16" x14ac:dyDescent="0.2">
      <c r="A27" s="3" t="s">
        <v>295</v>
      </c>
      <c r="B27" s="138">
        <f>'KY_Cost Plant Acct-Elec-P14(Reg'!B27</f>
        <v>414554.36</v>
      </c>
      <c r="C27" s="138"/>
      <c r="D27" s="138">
        <f>'KY_Cost Plant Acct-Elec-P14(Reg'!D27</f>
        <v>0</v>
      </c>
      <c r="E27" s="138"/>
      <c r="F27" s="138">
        <f>'KY_Cost Plant Acct-Elec-P14(Reg'!F27</f>
        <v>0</v>
      </c>
      <c r="G27" s="138"/>
      <c r="H27" s="138">
        <f>'KY_Cost Plant Acct-Elec-P14(Reg'!H27</f>
        <v>-3266.26</v>
      </c>
      <c r="I27" s="138"/>
      <c r="J27" s="138">
        <f>H27+F27+D27</f>
        <v>-3266.26</v>
      </c>
      <c r="K27" s="135"/>
      <c r="L27" s="138">
        <f>B27+J27</f>
        <v>411288.1</v>
      </c>
      <c r="N27" s="39">
        <f>'KY_Res by Plant Acct-P29 (Reg)'!R28</f>
        <v>-34491.480000000069</v>
      </c>
      <c r="P27" s="39">
        <f>L27+N27</f>
        <v>376796.61999999988</v>
      </c>
    </row>
    <row r="28" spans="1:16" x14ac:dyDescent="0.2">
      <c r="A28" s="22" t="s">
        <v>2633</v>
      </c>
      <c r="B28" s="149">
        <f>'KY_Cost Plant Acct-Elec-P14(Reg'!B28</f>
        <v>107736.76999999999</v>
      </c>
      <c r="C28" s="138"/>
      <c r="D28" s="149">
        <f>'KY_Cost Plant Acct-Elec-P14(Reg'!D28</f>
        <v>0</v>
      </c>
      <c r="E28" s="138"/>
      <c r="F28" s="149">
        <f>'KY_Cost Plant Acct-Elec-P14(Reg'!F28</f>
        <v>0</v>
      </c>
      <c r="G28" s="138"/>
      <c r="H28" s="149">
        <f>'KY_Cost Plant Acct-Elec-P14(Reg'!H28</f>
        <v>-77731.460000000006</v>
      </c>
      <c r="I28" s="138"/>
      <c r="J28" s="149">
        <f>H28+F28+D28</f>
        <v>-77731.460000000006</v>
      </c>
      <c r="K28" s="138"/>
      <c r="L28" s="149">
        <f>B28+J28</f>
        <v>30005.309999999983</v>
      </c>
      <c r="N28" s="136">
        <f>'KY_Res by Plant Acct-P29 (Reg)'!R29</f>
        <v>-15537.229999999998</v>
      </c>
      <c r="P28" s="136">
        <f>L28+N28</f>
        <v>14468.079999999985</v>
      </c>
    </row>
    <row r="29" spans="1:16" x14ac:dyDescent="0.2">
      <c r="B29" s="135">
        <f>SUM(B11:B28)</f>
        <v>1232856010.8199997</v>
      </c>
      <c r="C29" s="135"/>
      <c r="D29" s="135">
        <f>SUM(D11:D28)</f>
        <v>78589458.140000001</v>
      </c>
      <c r="E29" s="135"/>
      <c r="F29" s="135">
        <f>SUM(F11:F28)</f>
        <v>-10202649.220000001</v>
      </c>
      <c r="G29" s="135"/>
      <c r="H29" s="135">
        <f>SUM(H11:H28)</f>
        <v>-711002.93</v>
      </c>
      <c r="I29" s="135"/>
      <c r="J29" s="135">
        <f>SUM(J11:J28)</f>
        <v>67675805.99000001</v>
      </c>
      <c r="K29" s="135"/>
      <c r="L29" s="135">
        <f>SUM(L11:L28)</f>
        <v>1300531816.8099997</v>
      </c>
      <c r="N29" s="135">
        <f>SUM(N11:N28)</f>
        <v>-498416859.04000014</v>
      </c>
      <c r="P29" s="135">
        <f>SUM(P11:P28)</f>
        <v>802114957.76999998</v>
      </c>
    </row>
    <row r="30" spans="1:16" x14ac:dyDescent="0.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6" x14ac:dyDescent="0.2">
      <c r="A31" s="10" t="s">
        <v>299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6" x14ac:dyDescent="0.2">
      <c r="A32" s="22" t="s">
        <v>300</v>
      </c>
      <c r="B32" s="135">
        <f>'KY_Cost Plant Acct-Elec-P14(Reg'!B32</f>
        <v>740166.03</v>
      </c>
      <c r="C32" s="135"/>
      <c r="D32" s="135">
        <f>'KY_Cost Plant Acct-Elec-P14(Reg'!D32</f>
        <v>175762.76</v>
      </c>
      <c r="E32" s="135"/>
      <c r="F32" s="135">
        <f>'KY_Cost Plant Acct-Elec-P14(Reg'!F32</f>
        <v>-27381.54</v>
      </c>
      <c r="G32" s="135"/>
      <c r="H32" s="135">
        <f>'KY_Cost Plant Acct-Elec-P14(Reg'!H32</f>
        <v>0</v>
      </c>
      <c r="I32" s="135"/>
      <c r="J32" s="135">
        <f>H32+F32+D32</f>
        <v>148381.22</v>
      </c>
      <c r="K32" s="135"/>
      <c r="L32" s="138">
        <f>B32+J32</f>
        <v>888547.25</v>
      </c>
      <c r="N32" s="39">
        <f>'KY_Res by Plant Acct-P29 (Reg)'!R33</f>
        <v>-504353.23000000004</v>
      </c>
      <c r="P32" s="39">
        <f>L32+N32</f>
        <v>384194.01999999996</v>
      </c>
    </row>
    <row r="33" spans="1:16" x14ac:dyDescent="0.2">
      <c r="A33" s="3" t="s">
        <v>2634</v>
      </c>
      <c r="B33" s="135">
        <f>'KY_Cost Plant Acct-Elec-P14(Reg'!B33</f>
        <v>3030111.1400000006</v>
      </c>
      <c r="C33" s="135"/>
      <c r="D33" s="135">
        <f>'KY_Cost Plant Acct-Elec-P14(Reg'!D33</f>
        <v>1648766.84</v>
      </c>
      <c r="E33" s="135"/>
      <c r="F33" s="135">
        <f>'KY_Cost Plant Acct-Elec-P14(Reg'!F33</f>
        <v>-48978.5</v>
      </c>
      <c r="G33" s="135"/>
      <c r="H33" s="135">
        <f>'KY_Cost Plant Acct-Elec-P14(Reg'!H33</f>
        <v>0</v>
      </c>
      <c r="I33" s="135"/>
      <c r="J33" s="135">
        <f t="shared" ref="J33:J39" si="3">H33+F33+D33</f>
        <v>1599788.34</v>
      </c>
      <c r="K33" s="135"/>
      <c r="L33" s="138">
        <f t="shared" ref="L33:L39" si="4">B33+J33</f>
        <v>4629899.4800000004</v>
      </c>
      <c r="N33" s="39">
        <f>'KY_Res by Plant Acct-P29 (Reg)'!R34</f>
        <v>-2116500.7400000021</v>
      </c>
      <c r="P33" s="39">
        <f t="shared" ref="P33:P39" si="5">L33+N33</f>
        <v>2513398.7399999984</v>
      </c>
    </row>
    <row r="34" spans="1:16" x14ac:dyDescent="0.2">
      <c r="A34" s="3" t="s">
        <v>302</v>
      </c>
      <c r="B34" s="135">
        <f>'KY_Cost Plant Acct-Elec-P14(Reg'!B34+'KY_Cost Plant Acct-Elec-P14(Reg'!B121</f>
        <v>499404.83</v>
      </c>
      <c r="C34" s="135"/>
      <c r="D34" s="135">
        <f>'KY_Cost Plant Acct-Elec-P14(Reg'!D34+'KY_Cost Plant Acct-Elec-P14(Reg'!D121</f>
        <v>17824.98</v>
      </c>
      <c r="E34" s="135"/>
      <c r="F34" s="135">
        <f>'KY_Cost Plant Acct-Elec-P14(Reg'!F34</f>
        <v>0</v>
      </c>
      <c r="G34" s="135"/>
      <c r="H34" s="135">
        <f>'KY_Cost Plant Acct-Elec-P14(Reg'!H34</f>
        <v>0</v>
      </c>
      <c r="I34" s="135"/>
      <c r="J34" s="135">
        <f t="shared" si="3"/>
        <v>17824.98</v>
      </c>
      <c r="K34" s="135"/>
      <c r="L34" s="138">
        <f t="shared" si="4"/>
        <v>517229.81</v>
      </c>
      <c r="N34" s="39">
        <f>'KY_Res by Plant Acct-P29 (Reg)'!R35</f>
        <v>-148325.09000000003</v>
      </c>
      <c r="P34" s="39">
        <f t="shared" si="5"/>
        <v>368904.72</v>
      </c>
    </row>
    <row r="35" spans="1:16" x14ac:dyDescent="0.2">
      <c r="A35" s="3" t="s">
        <v>304</v>
      </c>
      <c r="B35" s="135">
        <f>'KY_Cost Plant Acct-Elec-P14(Reg'!B35+'KY_Cost Plant Acct-Elec-P14(Reg'!B122</f>
        <v>6352111.7800000012</v>
      </c>
      <c r="C35" s="135"/>
      <c r="D35" s="135">
        <f>'KY_Cost Plant Acct-Elec-P14(Reg'!D35+'KY_Cost Plant Acct-Elec-P14(Reg'!D122</f>
        <v>130976.09999999998</v>
      </c>
      <c r="E35" s="135"/>
      <c r="F35" s="135">
        <f>'KY_Cost Plant Acct-Elec-P14(Reg'!F35</f>
        <v>-92166.14</v>
      </c>
      <c r="G35" s="135"/>
      <c r="H35" s="135">
        <f>'KY_Cost Plant Acct-Elec-P14(Reg'!H35</f>
        <v>0</v>
      </c>
      <c r="I35" s="135"/>
      <c r="J35" s="135">
        <f t="shared" si="3"/>
        <v>38809.959999999977</v>
      </c>
      <c r="K35" s="135"/>
      <c r="L35" s="138">
        <f t="shared" si="4"/>
        <v>6390921.7400000012</v>
      </c>
      <c r="N35" s="39">
        <f>'KY_Res by Plant Acct-P29 (Reg)'!R36</f>
        <v>-2517300.4099999997</v>
      </c>
      <c r="P35" s="39">
        <f t="shared" si="5"/>
        <v>3873621.3300000015</v>
      </c>
    </row>
    <row r="36" spans="1:16" x14ac:dyDescent="0.2">
      <c r="A36" s="3" t="s">
        <v>305</v>
      </c>
      <c r="B36" s="135">
        <f>'KY_Cost Plant Acct-Elec-P14(Reg'!B36+'KY_Cost Plant Acct-Elec-P14(Reg'!B123</f>
        <v>0</v>
      </c>
      <c r="C36" s="135"/>
      <c r="D36" s="135">
        <f>'KY_Cost Plant Acct-Elec-P14(Reg'!D36</f>
        <v>0</v>
      </c>
      <c r="E36" s="135"/>
      <c r="F36" s="135">
        <f>'KY_Cost Plant Acct-Elec-P14(Reg'!F36</f>
        <v>0</v>
      </c>
      <c r="G36" s="135"/>
      <c r="H36" s="135">
        <f>'KY_Cost Plant Acct-Elec-P14(Reg'!H36+'KY_Cost Plant Acct-Elec-P14(Reg'!H123</f>
        <v>0</v>
      </c>
      <c r="I36" s="135"/>
      <c r="J36" s="135">
        <f t="shared" si="3"/>
        <v>0</v>
      </c>
      <c r="K36" s="135"/>
      <c r="L36" s="138">
        <f t="shared" si="4"/>
        <v>0</v>
      </c>
      <c r="N36" s="39">
        <f>'KY_Res by Plant Acct-P29 (Reg)'!R37</f>
        <v>1.3096723705530167E-10</v>
      </c>
      <c r="P36" s="39">
        <f t="shared" si="5"/>
        <v>1.3096723705530167E-10</v>
      </c>
    </row>
    <row r="37" spans="1:16" x14ac:dyDescent="0.2">
      <c r="A37" s="3" t="s">
        <v>306</v>
      </c>
      <c r="B37" s="135">
        <f>'KY_Cost Plant Acct-Elec-P14(Reg'!B37</f>
        <v>1877867.3099999998</v>
      </c>
      <c r="C37" s="135"/>
      <c r="D37" s="135">
        <f>'KY_Cost Plant Acct-Elec-P14(Reg'!D37</f>
        <v>235691.34</v>
      </c>
      <c r="E37" s="135"/>
      <c r="F37" s="135">
        <f>'KY_Cost Plant Acct-Elec-P14(Reg'!F37</f>
        <v>0</v>
      </c>
      <c r="G37" s="135"/>
      <c r="H37" s="135">
        <f>'KY_Cost Plant Acct-Elec-P14(Reg'!H37</f>
        <v>0</v>
      </c>
      <c r="I37" s="135"/>
      <c r="J37" s="135">
        <f t="shared" si="3"/>
        <v>235691.34</v>
      </c>
      <c r="K37" s="135"/>
      <c r="L37" s="138">
        <f t="shared" si="4"/>
        <v>2113558.65</v>
      </c>
      <c r="N37" s="39">
        <f>'KY_Res by Plant Acct-P29 (Reg)'!R38</f>
        <v>-1817489.5100000005</v>
      </c>
      <c r="P37" s="39">
        <f t="shared" si="5"/>
        <v>296069.13999999943</v>
      </c>
    </row>
    <row r="38" spans="1:16" x14ac:dyDescent="0.2">
      <c r="A38" s="3" t="s">
        <v>307</v>
      </c>
      <c r="B38" s="135">
        <f>'KY_Cost Plant Acct-Elec-P14(Reg'!B38+'KY_Cost Plant Acct-Elec-P14(Reg'!B124</f>
        <v>204508.94</v>
      </c>
      <c r="C38" s="135"/>
      <c r="D38" s="135">
        <f>'KY_Cost Plant Acct-Elec-P14(Reg'!D38+'KY_Cost Plant Acct-Elec-P14(Reg'!D124</f>
        <v>-8260.7000000000007</v>
      </c>
      <c r="E38" s="135"/>
      <c r="F38" s="135">
        <f>'KY_Cost Plant Acct-Elec-P14(Reg'!F38+'KY_Cost Plant Acct-Elec-P14(Reg'!F124</f>
        <v>0</v>
      </c>
      <c r="G38" s="135"/>
      <c r="H38" s="135">
        <f>'KY_Cost Plant Acct-Elec-P14(Reg'!H38+'KY_Cost Plant Acct-Elec-P14(Reg'!H124</f>
        <v>0</v>
      </c>
      <c r="I38" s="135"/>
      <c r="J38" s="135">
        <f t="shared" si="3"/>
        <v>-8260.7000000000007</v>
      </c>
      <c r="K38" s="135"/>
      <c r="L38" s="135">
        <f t="shared" si="4"/>
        <v>196248.24</v>
      </c>
      <c r="M38" s="31"/>
      <c r="N38" s="38">
        <f>'KY_Res by Plant Acct-P29 (Reg)'!R39</f>
        <v>-94447.87</v>
      </c>
      <c r="O38" s="31"/>
      <c r="P38" s="38">
        <f t="shared" si="5"/>
        <v>101800.37</v>
      </c>
    </row>
    <row r="39" spans="1:16" x14ac:dyDescent="0.2">
      <c r="A39" s="22" t="s">
        <v>309</v>
      </c>
      <c r="B39" s="135">
        <f>'KY_Cost Plant Acct-Elec-P14(Reg'!B39+'KY_Cost Plant Acct-Elec-P14(Reg'!B125</f>
        <v>4947585.72</v>
      </c>
      <c r="C39" s="135"/>
      <c r="D39" s="135">
        <f>'KY_Cost Plant Acct-Elec-P14(Reg'!D39+'KY_Cost Plant Acct-Elec-P14(Reg'!D125</f>
        <v>1430348.1300000001</v>
      </c>
      <c r="E39" s="135"/>
      <c r="F39" s="135">
        <f>'KY_Cost Plant Acct-Elec-P14(Reg'!F39+'KY_Cost Plant Acct-Elec-P14(Reg'!F125</f>
        <v>-407012.05</v>
      </c>
      <c r="G39" s="135"/>
      <c r="H39" s="135">
        <f>'KY_Cost Plant Acct-Elec-P14(Reg'!H39+'KY_Cost Plant Acct-Elec-P14(Reg'!H125</f>
        <v>0</v>
      </c>
      <c r="I39" s="135"/>
      <c r="J39" s="135">
        <f t="shared" si="3"/>
        <v>1023336.0800000001</v>
      </c>
      <c r="K39" s="135"/>
      <c r="L39" s="135">
        <f t="shared" si="4"/>
        <v>5970921.7999999998</v>
      </c>
      <c r="N39" s="38">
        <f>'KY_Res by Plant Acct-P29 (Reg)'!R40</f>
        <v>-1687214.64</v>
      </c>
      <c r="P39" s="38">
        <f t="shared" si="5"/>
        <v>4283707.16</v>
      </c>
    </row>
    <row r="40" spans="1:16" x14ac:dyDescent="0.2">
      <c r="B40" s="148">
        <f>SUM(B32:B39)</f>
        <v>17651755.75</v>
      </c>
      <c r="C40" s="135"/>
      <c r="D40" s="148">
        <f>SUM(D32:D39)</f>
        <v>3631109.45</v>
      </c>
      <c r="E40" s="135"/>
      <c r="F40" s="148">
        <f>SUM(F32:F39)</f>
        <v>-575538.23</v>
      </c>
      <c r="G40" s="135"/>
      <c r="H40" s="148">
        <f>SUM(H32:H39)</f>
        <v>0</v>
      </c>
      <c r="I40" s="135"/>
      <c r="J40" s="148">
        <f>SUM(J32:J39)</f>
        <v>3055571.22</v>
      </c>
      <c r="K40" s="135"/>
      <c r="L40" s="148">
        <f>SUM(L32:L39)</f>
        <v>20707326.970000003</v>
      </c>
      <c r="N40" s="148">
        <f>SUM(N32:N39)</f>
        <v>-8885631.4900000021</v>
      </c>
      <c r="P40" s="148">
        <f>SUM(P32:P39)</f>
        <v>11821695.48</v>
      </c>
    </row>
    <row r="41" spans="1:16" x14ac:dyDescent="0.2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6" x14ac:dyDescent="0.2">
      <c r="A42" s="10" t="s">
        <v>311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6" x14ac:dyDescent="0.2">
      <c r="A43" s="3" t="s">
        <v>312</v>
      </c>
      <c r="B43" s="135">
        <f>'KY_Cost Plant Acct-Elec-P14(Reg'!B43</f>
        <v>6.5</v>
      </c>
      <c r="C43" s="135"/>
      <c r="D43" s="135">
        <f>'KY_Cost Plant Acct-Elec-P14(Reg'!D43</f>
        <v>0</v>
      </c>
      <c r="E43" s="135"/>
      <c r="F43" s="135">
        <f>'KY_Cost Plant Acct-Elec-P14(Reg'!F43</f>
        <v>0</v>
      </c>
      <c r="G43" s="135"/>
      <c r="H43" s="135">
        <f>'KY_Cost Plant Acct-Elec-P14(Reg'!H43</f>
        <v>0</v>
      </c>
      <c r="I43" s="135"/>
      <c r="J43" s="135">
        <f t="shared" ref="J43:J50" si="6">H43+F43+D43</f>
        <v>0</v>
      </c>
      <c r="K43" s="135"/>
      <c r="L43" s="138">
        <f t="shared" ref="L43:L50" si="7">B43+J43</f>
        <v>6.5</v>
      </c>
      <c r="N43" s="39">
        <v>0</v>
      </c>
      <c r="P43" s="39">
        <f t="shared" ref="P43:P50" si="8">L43+N43</f>
        <v>6.5</v>
      </c>
    </row>
    <row r="44" spans="1:16" x14ac:dyDescent="0.2">
      <c r="A44" s="3" t="s">
        <v>313</v>
      </c>
      <c r="B44" s="135">
        <f>'KY_Cost Plant Acct-Elec-P14(Reg'!B44+'KY_Cost Plant Acct-Elec-P14(Reg'!B129</f>
        <v>7872008.1299999999</v>
      </c>
      <c r="C44" s="135"/>
      <c r="D44" s="135">
        <f>'KY_Cost Plant Acct-Elec-P14(Reg'!D44+'KY_Cost Plant Acct-Elec-P14(Reg'!D129</f>
        <v>3012057.5300000003</v>
      </c>
      <c r="E44" s="135"/>
      <c r="F44" s="135">
        <f>'KY_Cost Plant Acct-Elec-P14(Reg'!F44</f>
        <v>-3671.55</v>
      </c>
      <c r="G44" s="135"/>
      <c r="H44" s="135">
        <f>'KY_Cost Plant Acct-Elec-P14(Reg'!H44</f>
        <v>0</v>
      </c>
      <c r="I44" s="135"/>
      <c r="J44" s="135">
        <f t="shared" si="6"/>
        <v>3008385.9800000004</v>
      </c>
      <c r="K44" s="135"/>
      <c r="L44" s="138">
        <f t="shared" si="7"/>
        <v>10880394.109999999</v>
      </c>
      <c r="N44" s="39">
        <f>'KY_Res by Plant Acct-P29 (Reg)'!R46+'KY_Res by Plant Acct-P29 (Reg)'!R47</f>
        <v>-4348625.45</v>
      </c>
      <c r="P44" s="39">
        <f t="shared" si="8"/>
        <v>6531768.6599999992</v>
      </c>
    </row>
    <row r="45" spans="1:16" x14ac:dyDescent="0.2">
      <c r="A45" s="3" t="s">
        <v>314</v>
      </c>
      <c r="B45" s="135">
        <f>'KY_Cost Plant Acct-Elec-P14(Reg'!B45+'KY_Cost Plant Acct-Elec-P14(Reg'!B130</f>
        <v>17038183</v>
      </c>
      <c r="C45" s="135"/>
      <c r="D45" s="135">
        <f>'KY_Cost Plant Acct-Elec-P14(Reg'!D45+'KY_Cost Plant Acct-Elec-P14(Reg'!D130</f>
        <v>4568899.76</v>
      </c>
      <c r="E45" s="135"/>
      <c r="F45" s="135">
        <f>'KY_Cost Plant Acct-Elec-P14(Reg'!F45</f>
        <v>-73001.94</v>
      </c>
      <c r="G45" s="135"/>
      <c r="H45" s="135">
        <f>'KY_Cost Plant Acct-Elec-P14(Reg'!H45</f>
        <v>0</v>
      </c>
      <c r="I45" s="135"/>
      <c r="J45" s="135">
        <f t="shared" si="6"/>
        <v>4495897.8199999994</v>
      </c>
      <c r="K45" s="135"/>
      <c r="L45" s="138">
        <f t="shared" si="7"/>
        <v>21534080.82</v>
      </c>
      <c r="N45" s="39">
        <f>'KY_Res by Plant Acct-P29 (Reg)'!R48</f>
        <v>-3383556.66</v>
      </c>
      <c r="P45" s="39">
        <f t="shared" si="8"/>
        <v>18150524.16</v>
      </c>
    </row>
    <row r="46" spans="1:16" x14ac:dyDescent="0.2">
      <c r="A46" s="3" t="s">
        <v>315</v>
      </c>
      <c r="B46" s="135">
        <f>'KY_Cost Plant Acct-Elec-P14(Reg'!B46+'KY_Cost Plant Acct-Elec-P14(Reg'!B131</f>
        <v>62117401.340000004</v>
      </c>
      <c r="C46" s="135"/>
      <c r="D46" s="135">
        <f>'KY_Cost Plant Acct-Elec-P14(Reg'!D46+'KY_Cost Plant Acct-Elec-P14(Reg'!D131</f>
        <v>18616650.07</v>
      </c>
      <c r="E46" s="135"/>
      <c r="F46" s="135">
        <f>'KY_Cost Plant Acct-Elec-P14(Reg'!F46</f>
        <v>-57217.4</v>
      </c>
      <c r="G46" s="135"/>
      <c r="H46" s="135">
        <f>'KY_Cost Plant Acct-Elec-P14(Reg'!H46</f>
        <v>0</v>
      </c>
      <c r="I46" s="135"/>
      <c r="J46" s="135">
        <f t="shared" si="6"/>
        <v>18559432.670000002</v>
      </c>
      <c r="K46" s="135"/>
      <c r="L46" s="138">
        <f t="shared" si="7"/>
        <v>80676834.010000005</v>
      </c>
      <c r="N46" s="39">
        <f>'KY_Res by Plant Acct-P29 (Reg)'!R49</f>
        <v>-5838166.2399999984</v>
      </c>
      <c r="P46" s="39">
        <f t="shared" si="8"/>
        <v>74838667.770000011</v>
      </c>
    </row>
    <row r="47" spans="1:16" x14ac:dyDescent="0.2">
      <c r="A47" s="3" t="s">
        <v>316</v>
      </c>
      <c r="B47" s="135">
        <f>'KY_Cost Plant Acct-Elec-P14(Reg'!B47+'KY_Cost Plant Acct-Elec-P14(Reg'!B132</f>
        <v>8220468.7800000003</v>
      </c>
      <c r="C47" s="135"/>
      <c r="D47" s="135">
        <f>'KY_Cost Plant Acct-Elec-P14(Reg'!D47+'KY_Cost Plant Acct-Elec-P14(Reg'!D132</f>
        <v>3020304.7</v>
      </c>
      <c r="E47" s="135"/>
      <c r="F47" s="135">
        <f>'KY_Cost Plant Acct-Elec-P14(Reg'!F47</f>
        <v>0</v>
      </c>
      <c r="G47" s="135"/>
      <c r="H47" s="135">
        <f>'KY_Cost Plant Acct-Elec-P14(Reg'!H47</f>
        <v>0</v>
      </c>
      <c r="I47" s="135"/>
      <c r="J47" s="135">
        <f t="shared" si="6"/>
        <v>3020304.7</v>
      </c>
      <c r="K47" s="135"/>
      <c r="L47" s="138">
        <f t="shared" si="7"/>
        <v>11240773.48</v>
      </c>
      <c r="N47" s="39">
        <f>'KY_Res by Plant Acct-P29 (Reg)'!R50</f>
        <v>-2758631.75</v>
      </c>
      <c r="P47" s="39">
        <f t="shared" si="8"/>
        <v>8482141.7300000004</v>
      </c>
    </row>
    <row r="48" spans="1:16" x14ac:dyDescent="0.2">
      <c r="A48" s="3" t="s">
        <v>317</v>
      </c>
      <c r="B48" s="135">
        <f>'KY_Cost Plant Acct-Elec-P14(Reg'!B48+'KY_Cost Plant Acct-Elec-P14(Reg'!B133</f>
        <v>1189821.8500000001</v>
      </c>
      <c r="C48" s="135"/>
      <c r="D48" s="135">
        <f>'KY_Cost Plant Acct-Elec-P14(Reg'!D48+'KY_Cost Plant Acct-Elec-P14(Reg'!D133</f>
        <v>1475966.31</v>
      </c>
      <c r="E48" s="135"/>
      <c r="F48" s="135">
        <f>'KY_Cost Plant Acct-Elec-P14(Reg'!F48</f>
        <v>-1539</v>
      </c>
      <c r="G48" s="135"/>
      <c r="H48" s="135">
        <f>'KY_Cost Plant Acct-Elec-P14(Reg'!H48</f>
        <v>0</v>
      </c>
      <c r="I48" s="135"/>
      <c r="J48" s="135">
        <f t="shared" si="6"/>
        <v>1474427.31</v>
      </c>
      <c r="K48" s="135"/>
      <c r="L48" s="138">
        <f t="shared" si="7"/>
        <v>2664249.16</v>
      </c>
      <c r="N48" s="39">
        <f>'KY_Res by Plant Acct-P29 (Reg)'!R52+'KY_Res by Plant Acct-P29 (Reg)'!R51</f>
        <v>-193778.55999999997</v>
      </c>
      <c r="P48" s="39">
        <f t="shared" si="8"/>
        <v>2470470.6</v>
      </c>
    </row>
    <row r="49" spans="1:16" x14ac:dyDescent="0.2">
      <c r="A49" s="3" t="s">
        <v>318</v>
      </c>
      <c r="B49" s="135">
        <f>'KY_Cost Plant Acct-Elec-P14(Reg'!B49</f>
        <v>29930.61</v>
      </c>
      <c r="C49" s="135"/>
      <c r="D49" s="135">
        <f>'KY_Cost Plant Acct-Elec-P14(Reg'!D49</f>
        <v>0</v>
      </c>
      <c r="E49" s="135"/>
      <c r="F49" s="135">
        <f>'KY_Cost Plant Acct-Elec-P14(Reg'!F49</f>
        <v>0</v>
      </c>
      <c r="G49" s="135"/>
      <c r="H49" s="135">
        <f>'KY_Cost Plant Acct-Elec-P14(Reg'!H49</f>
        <v>0</v>
      </c>
      <c r="I49" s="135"/>
      <c r="J49" s="135">
        <f t="shared" si="6"/>
        <v>0</v>
      </c>
      <c r="K49" s="135"/>
      <c r="L49" s="138">
        <f t="shared" si="7"/>
        <v>29930.61</v>
      </c>
      <c r="N49" s="39">
        <f>'KY_Res by Plant Acct-P29 (Reg)'!R53+'KY_Res by Plant Acct-P29 (Reg)'!R54</f>
        <v>-20409.249999999996</v>
      </c>
      <c r="P49" s="39">
        <f t="shared" si="8"/>
        <v>9521.3600000000042</v>
      </c>
    </row>
    <row r="50" spans="1:16" x14ac:dyDescent="0.2">
      <c r="A50" s="3" t="s">
        <v>319</v>
      </c>
      <c r="B50" s="149">
        <f>'KY_Cost Plant Acct-Elec-P14(Reg'!B50</f>
        <v>257804.55</v>
      </c>
      <c r="C50" s="135"/>
      <c r="D50" s="149">
        <f>'KY_Cost Plant Acct-Elec-P14(Reg'!D50</f>
        <v>0</v>
      </c>
      <c r="E50" s="135"/>
      <c r="F50" s="149">
        <f>'KY_Cost Plant Acct-Elec-P14(Reg'!F50</f>
        <v>0</v>
      </c>
      <c r="G50" s="135"/>
      <c r="H50" s="149">
        <f>'KY_Cost Plant Acct-Elec-P14(Reg'!H50</f>
        <v>208841.18</v>
      </c>
      <c r="I50" s="135"/>
      <c r="J50" s="149">
        <f t="shared" si="6"/>
        <v>208841.18</v>
      </c>
      <c r="K50" s="135"/>
      <c r="L50" s="149">
        <f t="shared" si="7"/>
        <v>466645.73</v>
      </c>
      <c r="N50" s="136">
        <f>'KY_Res by Plant Acct-P29 (Reg)'!R55</f>
        <v>-10638.64000000001</v>
      </c>
      <c r="P50" s="136">
        <f t="shared" si="8"/>
        <v>456007.08999999997</v>
      </c>
    </row>
    <row r="51" spans="1:16" x14ac:dyDescent="0.2">
      <c r="B51" s="135">
        <f>SUM(B43:B50)</f>
        <v>96725624.75999999</v>
      </c>
      <c r="C51" s="135"/>
      <c r="D51" s="135">
        <f>SUM(D43:D50)</f>
        <v>30693878.369999997</v>
      </c>
      <c r="E51" s="135"/>
      <c r="F51" s="135">
        <f>SUM(F43:F50)</f>
        <v>-135429.89000000001</v>
      </c>
      <c r="G51" s="135"/>
      <c r="H51" s="135">
        <f>SUM(H43:H50)</f>
        <v>208841.18</v>
      </c>
      <c r="I51" s="135"/>
      <c r="J51" s="135">
        <f>SUM(J43:J50)</f>
        <v>30767289.66</v>
      </c>
      <c r="K51" s="135"/>
      <c r="L51" s="135">
        <f>SUM(L43:L50)</f>
        <v>127492914.42</v>
      </c>
      <c r="N51" s="39">
        <f>SUM(N43:N50)</f>
        <v>-16553806.549999999</v>
      </c>
      <c r="P51" s="39">
        <f>SUM(P43:P50)</f>
        <v>110939107.87</v>
      </c>
    </row>
    <row r="52" spans="1:16" x14ac:dyDescent="0.2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1:16" x14ac:dyDescent="0.2">
      <c r="A53" s="10" t="s">
        <v>321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6" x14ac:dyDescent="0.2">
      <c r="A54" s="3" t="s">
        <v>322</v>
      </c>
      <c r="B54" s="135">
        <f>'KY_Cost Plant Acct-Elec-P14(Reg'!B54</f>
        <v>2240.29</v>
      </c>
      <c r="C54" s="135"/>
      <c r="D54" s="135">
        <f>'KY_Cost Plant Acct-Elec-P14(Reg'!D54</f>
        <v>0</v>
      </c>
      <c r="E54" s="135"/>
      <c r="F54" s="135">
        <f>'KY_Cost Plant Acct-Elec-P14(Reg'!F54</f>
        <v>0</v>
      </c>
      <c r="G54" s="135"/>
      <c r="H54" s="135">
        <f>'KY_Cost Plant Acct-Elec-P14(Reg'!H54</f>
        <v>0</v>
      </c>
      <c r="I54" s="135"/>
      <c r="J54" s="135">
        <f>H54+F54+D54</f>
        <v>0</v>
      </c>
      <c r="K54" s="135"/>
      <c r="L54" s="138">
        <f>B54+J54</f>
        <v>2240.29</v>
      </c>
      <c r="N54" s="39">
        <f>'KY_Res by Plant Acct-P29 (Reg)'!R382</f>
        <v>0</v>
      </c>
      <c r="P54" s="39">
        <f>L54+N54</f>
        <v>2240.29</v>
      </c>
    </row>
    <row r="55" spans="1:16" x14ac:dyDescent="0.2">
      <c r="A55" s="3" t="s">
        <v>323</v>
      </c>
      <c r="B55" s="149">
        <f>'KY_Cost Plant Acct-Elec-P14(Reg'!B55</f>
        <v>0</v>
      </c>
      <c r="C55" s="135"/>
      <c r="D55" s="149">
        <f>'KY_Cost Plant Acct-Elec-P14(Reg'!D55</f>
        <v>0</v>
      </c>
      <c r="E55" s="135"/>
      <c r="F55" s="149">
        <f>'KY_Cost Plant Acct-Elec-P14(Reg'!F55</f>
        <v>0</v>
      </c>
      <c r="G55" s="135"/>
      <c r="H55" s="149">
        <f>'KY_Cost Plant Acct-Elec-P14(Reg'!H55</f>
        <v>0</v>
      </c>
      <c r="I55" s="135"/>
      <c r="J55" s="149">
        <f>H55+F55+D55</f>
        <v>0</v>
      </c>
      <c r="K55" s="135"/>
      <c r="L55" s="149">
        <f>B55+J55</f>
        <v>0</v>
      </c>
      <c r="N55" s="136">
        <f>'KY_Res by Plant Acct-P29 (Reg)'!R383</f>
        <v>0</v>
      </c>
      <c r="P55" s="136">
        <f>L55+N55</f>
        <v>0</v>
      </c>
    </row>
    <row r="56" spans="1:16" x14ac:dyDescent="0.2">
      <c r="B56" s="135">
        <f>SUM(B54:B55)</f>
        <v>2240.29</v>
      </c>
      <c r="C56" s="135"/>
      <c r="D56" s="135">
        <f>SUM(D54:D55)</f>
        <v>0</v>
      </c>
      <c r="E56" s="135"/>
      <c r="F56" s="135">
        <f>SUM(F54:F55)</f>
        <v>0</v>
      </c>
      <c r="G56" s="135"/>
      <c r="H56" s="135">
        <f>SUM(H54:H55)</f>
        <v>0</v>
      </c>
      <c r="I56" s="135"/>
      <c r="J56" s="135">
        <f>SUM(J54:J55)</f>
        <v>0</v>
      </c>
      <c r="K56" s="135"/>
      <c r="L56" s="135">
        <f>SUM(L54:L55)</f>
        <v>2240.29</v>
      </c>
      <c r="N56" s="39">
        <f>SUM(N54:N55)</f>
        <v>0</v>
      </c>
      <c r="P56" s="39">
        <f>SUM(P54:P55)</f>
        <v>2240.29</v>
      </c>
    </row>
    <row r="57" spans="1:16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6" x14ac:dyDescent="0.2">
      <c r="A58" s="10" t="s">
        <v>325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</row>
    <row r="59" spans="1:16" x14ac:dyDescent="0.2">
      <c r="A59" s="3" t="s">
        <v>326</v>
      </c>
      <c r="B59" s="138">
        <f>'KY_Cost Plant Acct-Elec-P14(Reg'!B59</f>
        <v>20260.009999999987</v>
      </c>
      <c r="C59" s="138"/>
      <c r="D59" s="138">
        <f>'KY_Cost Plant Acct-Elec-P14(Reg'!D59</f>
        <v>103618.65</v>
      </c>
      <c r="E59" s="138"/>
      <c r="F59" s="138">
        <f>'KY_Cost Plant Acct-Elec-P14(Reg'!F59</f>
        <v>0</v>
      </c>
      <c r="G59" s="138"/>
      <c r="H59" s="138">
        <f>'KY_Cost Plant Acct-Elec-P14(Reg'!H59</f>
        <v>0</v>
      </c>
      <c r="I59" s="138"/>
      <c r="J59" s="138">
        <f t="shared" ref="J59:J67" si="9">H59+F59+D59</f>
        <v>103618.65</v>
      </c>
      <c r="K59" s="138"/>
      <c r="L59" s="138">
        <f t="shared" ref="L59:L67" si="10">B59+J59</f>
        <v>123878.65999999997</v>
      </c>
      <c r="N59" s="39">
        <f>'KY_Res by Plant Acct-P29 (Reg)'!R59+'KY_Res by Plant Acct-P29 (Reg)'!R61</f>
        <v>0</v>
      </c>
      <c r="P59" s="39">
        <f t="shared" ref="P59:P67" si="11">L59+N59</f>
        <v>123878.65999999997</v>
      </c>
    </row>
    <row r="60" spans="1:16" x14ac:dyDescent="0.2">
      <c r="A60" s="3" t="s">
        <v>327</v>
      </c>
      <c r="B60" s="138">
        <f>'KY_Cost Plant Acct-Elec-P14(Reg'!B60+'KY_Cost Plant Acct-Elec-P14(Reg'!B137</f>
        <v>31992977.919999998</v>
      </c>
      <c r="C60" s="138"/>
      <c r="D60" s="138">
        <f>'KY_Cost Plant Acct-Elec-P14(Reg'!D60+'KY_Cost Plant Acct-Elec-P14(Reg'!D137</f>
        <v>10065552.060000001</v>
      </c>
      <c r="E60" s="138">
        <f>'KY_Cost Plant Acct-Elec-P14(Reg'!E60+'KY_Cost Plant Acct-Elec-P14(Reg'!E137</f>
        <v>0</v>
      </c>
      <c r="F60" s="138">
        <f>'KY_Cost Plant Acct-Elec-P14(Reg'!F60+'KY_Cost Plant Acct-Elec-P14(Reg'!F137</f>
        <v>-133323.26999999999</v>
      </c>
      <c r="G60" s="138">
        <f>'KY_Cost Plant Acct-Elec-P14(Reg'!G60+'KY_Cost Plant Acct-Elec-P14(Reg'!G137</f>
        <v>0</v>
      </c>
      <c r="H60" s="138">
        <f>'KY_Cost Plant Acct-Elec-P14(Reg'!H60+'KY_Cost Plant Acct-Elec-P14(Reg'!H137</f>
        <v>-8829349.2599999998</v>
      </c>
      <c r="I60" s="138"/>
      <c r="J60" s="138">
        <f>H60+F60+D60</f>
        <v>1102879.5300000012</v>
      </c>
      <c r="K60" s="138"/>
      <c r="L60" s="138">
        <f>B60+J60</f>
        <v>33095857.449999999</v>
      </c>
      <c r="N60" s="39">
        <f>'KY_Res by Plant Acct-P29 (Reg)'!R78</f>
        <v>-11324016.640000001</v>
      </c>
      <c r="P60" s="39">
        <f>L60+N60</f>
        <v>21771840.809999999</v>
      </c>
    </row>
    <row r="61" spans="1:16" x14ac:dyDescent="0.2">
      <c r="A61" s="3" t="s">
        <v>328</v>
      </c>
      <c r="B61" s="138">
        <f>'KY_Cost Plant Acct-Elec-P14(Reg'!B61+'KY_Cost Plant Acct-Elec-P14(Reg'!B138</f>
        <v>46113785.380000003</v>
      </c>
      <c r="C61" s="138"/>
      <c r="D61" s="138">
        <f>'KY_Cost Plant Acct-Elec-P14(Reg'!D61+'KY_Cost Plant Acct-Elec-P14(Reg'!D138</f>
        <v>-21846606.850000001</v>
      </c>
      <c r="E61" s="138"/>
      <c r="F61" s="138">
        <f>'KY_Cost Plant Acct-Elec-P14(Reg'!F61</f>
        <v>0</v>
      </c>
      <c r="G61" s="138"/>
      <c r="H61" s="138">
        <f>'KY_Cost Plant Acct-Elec-P14(Reg'!H61</f>
        <v>0</v>
      </c>
      <c r="I61" s="138"/>
      <c r="J61" s="138">
        <f t="shared" si="9"/>
        <v>-21846606.850000001</v>
      </c>
      <c r="K61" s="138"/>
      <c r="L61" s="138">
        <f t="shared" si="10"/>
        <v>24267178.530000001</v>
      </c>
      <c r="N61" s="39">
        <f>'KY_Res by Plant Acct-P29 (Reg)'!R97</f>
        <v>-5023124.68</v>
      </c>
      <c r="P61" s="39">
        <f t="shared" si="11"/>
        <v>19244053.850000001</v>
      </c>
    </row>
    <row r="62" spans="1:16" x14ac:dyDescent="0.2">
      <c r="A62" s="3" t="s">
        <v>329</v>
      </c>
      <c r="B62" s="138">
        <f>'KY_Cost Plant Acct-Elec-P14(Reg'!B62+'KY_Cost Plant Acct-Elec-P14(Reg'!B139</f>
        <v>188283662.81999996</v>
      </c>
      <c r="C62" s="138"/>
      <c r="D62" s="138">
        <f>'KY_Cost Plant Acct-Elec-P14(Reg'!D62+'KY_Cost Plant Acct-Elec-P14(Reg'!D139</f>
        <v>47453460.230000004</v>
      </c>
      <c r="E62" s="138"/>
      <c r="F62" s="138">
        <f>'KY_Cost Plant Acct-Elec-P14(Reg'!F62</f>
        <v>-27072.28</v>
      </c>
      <c r="G62" s="138"/>
      <c r="H62" s="138">
        <f>'KY_Cost Plant Acct-Elec-P14(Reg'!H62</f>
        <v>0</v>
      </c>
      <c r="I62" s="138"/>
      <c r="J62" s="138">
        <f t="shared" si="9"/>
        <v>47426387.950000003</v>
      </c>
      <c r="K62" s="138"/>
      <c r="L62" s="138">
        <f t="shared" si="10"/>
        <v>235710050.76999998</v>
      </c>
      <c r="N62" s="39">
        <f>'KY_Res by Plant Acct-P29 (Reg)'!R110</f>
        <v>-69488916.13000001</v>
      </c>
      <c r="P62" s="39">
        <f t="shared" si="11"/>
        <v>166221134.63999999</v>
      </c>
    </row>
    <row r="63" spans="1:16" x14ac:dyDescent="0.2">
      <c r="A63" s="3" t="s">
        <v>330</v>
      </c>
      <c r="B63" s="138">
        <f>'KY_Cost Plant Acct-Elec-P14(Reg'!B63+'KY_Cost Plant Acct-Elec-P14(Reg'!B140</f>
        <v>65440190.819999993</v>
      </c>
      <c r="C63" s="138"/>
      <c r="D63" s="138">
        <f>'KY_Cost Plant Acct-Elec-P14(Reg'!D63+'KY_Cost Plant Acct-Elec-P14(Reg'!D140</f>
        <v>-14549594.01</v>
      </c>
      <c r="E63" s="138">
        <f>'KY_Cost Plant Acct-Elec-P14(Reg'!E63+'KY_Cost Plant Acct-Elec-P14(Reg'!E140</f>
        <v>0</v>
      </c>
      <c r="F63" s="138">
        <f>'KY_Cost Plant Acct-Elec-P14(Reg'!F63+'KY_Cost Plant Acct-Elec-P14(Reg'!F140</f>
        <v>-40808.99</v>
      </c>
      <c r="G63" s="138">
        <f>'KY_Cost Plant Acct-Elec-P14(Reg'!G63+'KY_Cost Plant Acct-Elec-P14(Reg'!G140</f>
        <v>0</v>
      </c>
      <c r="H63" s="138">
        <f>'KY_Cost Plant Acct-Elec-P14(Reg'!H63+'KY_Cost Plant Acct-Elec-P14(Reg'!H140</f>
        <v>8227211.2300000004</v>
      </c>
      <c r="I63" s="138"/>
      <c r="J63" s="138">
        <f t="shared" si="9"/>
        <v>-6363191.7699999996</v>
      </c>
      <c r="K63" s="138"/>
      <c r="L63" s="138">
        <f t="shared" si="10"/>
        <v>59076999.049999997</v>
      </c>
      <c r="N63" s="39">
        <f>'KY_Res by Plant Acct-P29 (Reg)'!R128</f>
        <v>-22841845.609999996</v>
      </c>
      <c r="P63" s="39">
        <f t="shared" si="11"/>
        <v>36235153.439999998</v>
      </c>
    </row>
    <row r="64" spans="1:16" x14ac:dyDescent="0.2">
      <c r="A64" s="3" t="s">
        <v>331</v>
      </c>
      <c r="B64" s="138">
        <f>'KY_Cost Plant Acct-Elec-P14(Reg'!B64+'KY_Cost Plant Acct-Elec-P14(Reg'!B141</f>
        <v>29546423.140000001</v>
      </c>
      <c r="C64" s="138"/>
      <c r="D64" s="138">
        <f>'KY_Cost Plant Acct-Elec-P14(Reg'!D64+'KY_Cost Plant Acct-Elec-P14(Reg'!D141</f>
        <v>-2228730.9500000002</v>
      </c>
      <c r="E64" s="138">
        <f>'KY_Cost Plant Acct-Elec-P14(Reg'!E64+'KY_Cost Plant Acct-Elec-P14(Reg'!E141</f>
        <v>0</v>
      </c>
      <c r="F64" s="138">
        <f>'KY_Cost Plant Acct-Elec-P14(Reg'!F64+'KY_Cost Plant Acct-Elec-P14(Reg'!F141</f>
        <v>-89026.15</v>
      </c>
      <c r="G64" s="138">
        <f>'KY_Cost Plant Acct-Elec-P14(Reg'!G64+'KY_Cost Plant Acct-Elec-P14(Reg'!G141</f>
        <v>0</v>
      </c>
      <c r="H64" s="138">
        <f>'KY_Cost Plant Acct-Elec-P14(Reg'!H64+'KY_Cost Plant Acct-Elec-P14(Reg'!H141</f>
        <v>414341.01</v>
      </c>
      <c r="I64" s="138"/>
      <c r="J64" s="138">
        <f t="shared" si="9"/>
        <v>-1903416.0900000003</v>
      </c>
      <c r="K64" s="138"/>
      <c r="L64" s="138">
        <f t="shared" si="10"/>
        <v>27643007.050000001</v>
      </c>
      <c r="N64" s="39">
        <f>'KY_Res by Plant Acct-P29 (Reg)'!R146</f>
        <v>-10316256.139999999</v>
      </c>
      <c r="P64" s="39">
        <f t="shared" si="11"/>
        <v>17326750.910000004</v>
      </c>
    </row>
    <row r="65" spans="1:16" x14ac:dyDescent="0.2">
      <c r="A65" s="3" t="s">
        <v>332</v>
      </c>
      <c r="B65" s="138">
        <f>'KY_Cost Plant Acct-Elec-P14(Reg'!B65+'KY_Cost Plant Acct-Elec-P14(Reg'!B142</f>
        <v>3802291.09</v>
      </c>
      <c r="C65" s="138"/>
      <c r="D65" s="138">
        <f>'KY_Cost Plant Acct-Elec-P14(Reg'!D65+'KY_Cost Plant Acct-Elec-P14(Reg'!D142</f>
        <v>934680.77</v>
      </c>
      <c r="E65" s="138">
        <f>'KY_Cost Plant Acct-Elec-P14(Reg'!E65+'KY_Cost Plant Acct-Elec-P14(Reg'!E142</f>
        <v>0</v>
      </c>
      <c r="F65" s="138">
        <f>'KY_Cost Plant Acct-Elec-P14(Reg'!F65+'KY_Cost Plant Acct-Elec-P14(Reg'!F142</f>
        <v>0</v>
      </c>
      <c r="G65" s="138">
        <f>'KY_Cost Plant Acct-Elec-P14(Reg'!G65+'KY_Cost Plant Acct-Elec-P14(Reg'!G142</f>
        <v>0</v>
      </c>
      <c r="H65" s="138">
        <f>'KY_Cost Plant Acct-Elec-P14(Reg'!H65+'KY_Cost Plant Acct-Elec-P14(Reg'!H142</f>
        <v>187797.02</v>
      </c>
      <c r="I65" s="138"/>
      <c r="J65" s="138">
        <f t="shared" si="9"/>
        <v>1122477.79</v>
      </c>
      <c r="K65" s="138"/>
      <c r="L65" s="138">
        <f t="shared" si="10"/>
        <v>4924768.88</v>
      </c>
      <c r="N65" s="39">
        <f>'KY_Res by Plant Acct-P29 (Reg)'!R162</f>
        <v>-1959868.6300000004</v>
      </c>
      <c r="P65" s="39">
        <f t="shared" si="11"/>
        <v>2964900.2499999995</v>
      </c>
    </row>
    <row r="66" spans="1:16" x14ac:dyDescent="0.2">
      <c r="A66" s="3" t="s">
        <v>333</v>
      </c>
      <c r="B66" s="138">
        <f>'KY_Cost Plant Acct-Elec-P14(Reg'!B66</f>
        <v>21719.7</v>
      </c>
      <c r="C66" s="138"/>
      <c r="D66" s="138">
        <f>'KY_Cost Plant Acct-Elec-P14(Reg'!D66</f>
        <v>0</v>
      </c>
      <c r="E66" s="138"/>
      <c r="F66" s="138">
        <f>'KY_Cost Plant Acct-Elec-P14(Reg'!F66</f>
        <v>0</v>
      </c>
      <c r="G66" s="138"/>
      <c r="H66" s="138">
        <f>'KY_Cost Plant Acct-Elec-P14(Reg'!H66</f>
        <v>-6164.22</v>
      </c>
      <c r="I66" s="138"/>
      <c r="J66" s="138">
        <f t="shared" si="9"/>
        <v>-6164.22</v>
      </c>
      <c r="K66" s="138"/>
      <c r="L66" s="138">
        <f t="shared" si="10"/>
        <v>15555.48</v>
      </c>
      <c r="N66" s="39">
        <f>'KY_Res by Plant Acct-P29 (Reg)'!R163</f>
        <v>-4781.9999999999973</v>
      </c>
      <c r="P66" s="39">
        <f t="shared" si="11"/>
        <v>10773.480000000003</v>
      </c>
    </row>
    <row r="67" spans="1:16" x14ac:dyDescent="0.2">
      <c r="A67" s="3" t="s">
        <v>334</v>
      </c>
      <c r="B67" s="149">
        <f>'KY_Cost Plant Acct-Elec-P14(Reg'!B67</f>
        <v>62543.96</v>
      </c>
      <c r="C67" s="138"/>
      <c r="D67" s="149">
        <f>'KY_Cost Plant Acct-Elec-P14(Reg'!D67</f>
        <v>0</v>
      </c>
      <c r="E67" s="138"/>
      <c r="F67" s="149">
        <f>'KY_Cost Plant Acct-Elec-P14(Reg'!F67</f>
        <v>0</v>
      </c>
      <c r="G67" s="138"/>
      <c r="H67" s="149">
        <f>'KY_Cost Plant Acct-Elec-P14(Reg'!H67</f>
        <v>0</v>
      </c>
      <c r="I67" s="138"/>
      <c r="J67" s="149">
        <f t="shared" si="9"/>
        <v>0</v>
      </c>
      <c r="K67" s="135"/>
      <c r="L67" s="149">
        <f t="shared" si="10"/>
        <v>62543.96</v>
      </c>
      <c r="N67" s="136">
        <f>'KY_Res by Plant Acct-P29 (Reg)'!R164</f>
        <v>-4195.01</v>
      </c>
      <c r="P67" s="136">
        <f t="shared" si="11"/>
        <v>58348.95</v>
      </c>
    </row>
    <row r="68" spans="1:16" x14ac:dyDescent="0.2">
      <c r="B68" s="135">
        <f>SUM(B59:B67)</f>
        <v>365283854.83999985</v>
      </c>
      <c r="C68" s="135"/>
      <c r="D68" s="135">
        <f>SUM(D59:D67)</f>
        <v>19932379.900000006</v>
      </c>
      <c r="E68" s="135"/>
      <c r="F68" s="135">
        <f>SUM(F59:F67)</f>
        <v>-290230.68999999994</v>
      </c>
      <c r="G68" s="135"/>
      <c r="H68" s="135">
        <f>SUM(H59:H67)</f>
        <v>-6164.2199999993309</v>
      </c>
      <c r="I68" s="135"/>
      <c r="J68" s="135">
        <f>SUM(J59:J67)</f>
        <v>19635984.990000002</v>
      </c>
      <c r="K68" s="135"/>
      <c r="L68" s="135">
        <f>SUM(L59:L67)</f>
        <v>384919839.82999998</v>
      </c>
      <c r="N68" s="39">
        <f>SUM(N59:N67)</f>
        <v>-120963004.84000002</v>
      </c>
      <c r="P68" s="39">
        <f>SUM(P59:P67)</f>
        <v>263956834.98999995</v>
      </c>
    </row>
    <row r="69" spans="1:16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1:16" x14ac:dyDescent="0.2">
      <c r="A70" s="10" t="s">
        <v>337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1:16" x14ac:dyDescent="0.2">
      <c r="A71" s="3" t="s">
        <v>338</v>
      </c>
      <c r="B71" s="135">
        <f>'KY_Cost Plant Acct-Elec-P14(Reg'!B71</f>
        <v>6427075.1499999994</v>
      </c>
      <c r="C71" s="135"/>
      <c r="D71" s="135">
        <f>'KY_Cost Plant Acct-Elec-P14(Reg'!D71</f>
        <v>0</v>
      </c>
      <c r="E71" s="135"/>
      <c r="F71" s="135">
        <f>'KY_Cost Plant Acct-Elec-P14(Reg'!F71</f>
        <v>0</v>
      </c>
      <c r="G71" s="135"/>
      <c r="H71" s="135">
        <f>'KY_Cost Plant Acct-Elec-P14(Reg'!H71</f>
        <v>839535.3</v>
      </c>
      <c r="I71" s="135"/>
      <c r="J71" s="135">
        <f t="shared" ref="J71:J82" si="12">H71+F71+D71</f>
        <v>839535.3</v>
      </c>
      <c r="K71" s="135"/>
      <c r="L71" s="138">
        <f t="shared" ref="L71:L82" si="13">B71+J71</f>
        <v>7266610.4499999993</v>
      </c>
      <c r="N71" s="39">
        <f>'KY_Res by Plant Acct-P29 (Reg)'!R168</f>
        <v>0</v>
      </c>
      <c r="P71" s="39">
        <f t="shared" ref="P71:P83" si="14">L71+N71</f>
        <v>7266610.4499999993</v>
      </c>
    </row>
    <row r="72" spans="1:16" x14ac:dyDescent="0.2">
      <c r="A72" s="3" t="s">
        <v>339</v>
      </c>
      <c r="B72" s="135">
        <f>'KY_Cost Plant Acct-Elec-P14(Reg'!B72</f>
        <v>0</v>
      </c>
      <c r="C72" s="135"/>
      <c r="D72" s="135">
        <f>'KY_Cost Plant Acct-Elec-P14(Reg'!D72</f>
        <v>0</v>
      </c>
      <c r="E72" s="135"/>
      <c r="F72" s="135">
        <f>'KY_Cost Plant Acct-Elec-P14(Reg'!F72</f>
        <v>0</v>
      </c>
      <c r="G72" s="135"/>
      <c r="H72" s="135">
        <f>'KY_Cost Plant Acct-Elec-P14(Reg'!H72</f>
        <v>0</v>
      </c>
      <c r="I72" s="135"/>
      <c r="J72" s="135">
        <f>H72+F72+D72</f>
        <v>0</v>
      </c>
      <c r="K72" s="135"/>
      <c r="L72" s="138">
        <f>B72+J72</f>
        <v>0</v>
      </c>
      <c r="N72" s="39">
        <f>'KY_Res by Plant Acct-P29 (Reg)'!R169</f>
        <v>0</v>
      </c>
      <c r="P72" s="39">
        <f>L72+N72</f>
        <v>0</v>
      </c>
    </row>
    <row r="73" spans="1:16" x14ac:dyDescent="0.2">
      <c r="A73" s="3" t="s">
        <v>340</v>
      </c>
      <c r="B73" s="135">
        <f>'KY_Cost Plant Acct-Elec-P14(Reg'!B73</f>
        <v>360851.26</v>
      </c>
      <c r="C73" s="135"/>
      <c r="D73" s="135">
        <f>'KY_Cost Plant Acct-Elec-P14(Reg'!D73</f>
        <v>0</v>
      </c>
      <c r="E73" s="135"/>
      <c r="F73" s="135">
        <f>'KY_Cost Plant Acct-Elec-P14(Reg'!F73</f>
        <v>0</v>
      </c>
      <c r="G73" s="135"/>
      <c r="H73" s="135">
        <f>'KY_Cost Plant Acct-Elec-P14(Reg'!H73</f>
        <v>0</v>
      </c>
      <c r="I73" s="135"/>
      <c r="J73" s="135">
        <f>H73+F73+D73</f>
        <v>0</v>
      </c>
      <c r="K73" s="135"/>
      <c r="L73" s="138">
        <f>B73+J73</f>
        <v>360851.26</v>
      </c>
      <c r="N73" s="39">
        <f>'KY_Res by Plant Acct-P29 (Reg)'!R170</f>
        <v>0</v>
      </c>
      <c r="P73" s="39">
        <f>L73+N73</f>
        <v>360851.26</v>
      </c>
    </row>
    <row r="74" spans="1:16" x14ac:dyDescent="0.2">
      <c r="A74" s="3" t="s">
        <v>342</v>
      </c>
      <c r="B74" s="135">
        <f>'KY_Cost Plant Acct-Elec-P14(Reg'!B74+'KY_Cost Plant Acct-Elec-P14(Reg'!B145+'Capital Leased Prop P25 (Reg)'!B10</f>
        <v>291794739.31</v>
      </c>
      <c r="C74" s="135"/>
      <c r="D74" s="135">
        <f>'KY_Cost Plant Acct-Elec-P14(Reg'!D74+'KY_Cost Plant Acct-Elec-P14(Reg'!D145</f>
        <v>11847429.939999999</v>
      </c>
      <c r="E74" s="135"/>
      <c r="F74" s="135">
        <f>'KY_Cost Plant Acct-Elec-P14(Reg'!F74</f>
        <v>-533974.97</v>
      </c>
      <c r="G74" s="135"/>
      <c r="H74" s="135">
        <f>'KY_Cost Plant Acct-Elec-P14(Reg'!H74+'Capital Leased Prop P25 (Reg)'!H10</f>
        <v>-3933806.74</v>
      </c>
      <c r="I74" s="135"/>
      <c r="J74" s="135">
        <f t="shared" si="12"/>
        <v>7379648.2299999995</v>
      </c>
      <c r="K74" s="135"/>
      <c r="L74" s="138">
        <f t="shared" si="13"/>
        <v>299174387.54000002</v>
      </c>
      <c r="N74" s="39">
        <f>'KY_Res by Plant Acct-P29 (Reg)'!R207+'KY_Res by Plant Acct-P29 (Reg)'!R220+'KY_Res by Plant Acct-P29 (Reg)'!R217</f>
        <v>-180679843.59999996</v>
      </c>
      <c r="P74" s="39">
        <f t="shared" si="14"/>
        <v>118494543.94000006</v>
      </c>
    </row>
    <row r="75" spans="1:16" x14ac:dyDescent="0.2">
      <c r="A75" s="3" t="s">
        <v>343</v>
      </c>
      <c r="B75" s="135">
        <f>'KY_Cost Plant Acct-Elec-P14(Reg'!B75+'KY_Cost Plant Acct-Elec-P14(Reg'!B146</f>
        <v>0</v>
      </c>
      <c r="C75" s="135"/>
      <c r="D75" s="135">
        <f>'KY_Cost Plant Acct-Elec-P14(Reg'!D75+'KY_Cost Plant Acct-Elec-P14(Reg'!D146</f>
        <v>0</v>
      </c>
      <c r="E75" s="135"/>
      <c r="F75" s="135">
        <f>'KY_Cost Plant Acct-Elec-P14(Reg'!F75+'KY_Cost Plant Acct-Elec-P14(Reg'!F146</f>
        <v>0</v>
      </c>
      <c r="G75" s="135"/>
      <c r="H75" s="135">
        <f>'KY_Cost Plant Acct-Elec-P14(Reg'!H75+'KY_Cost Plant Acct-Elec-P14(Reg'!H146</f>
        <v>0</v>
      </c>
      <c r="I75" s="135"/>
      <c r="J75" s="135">
        <f t="shared" si="12"/>
        <v>0</v>
      </c>
      <c r="K75" s="135"/>
      <c r="L75" s="138">
        <f t="shared" si="13"/>
        <v>0</v>
      </c>
      <c r="N75" s="39">
        <f>'KY_Res by Plant Acct-P29 (Reg)'!R216</f>
        <v>7.8580342233181E-10</v>
      </c>
      <c r="P75" s="39">
        <f t="shared" si="14"/>
        <v>7.8580342233181E-10</v>
      </c>
    </row>
    <row r="76" spans="1:16" x14ac:dyDescent="0.2">
      <c r="A76" s="3" t="s">
        <v>345</v>
      </c>
      <c r="B76" s="135">
        <f>'KY_Cost Plant Acct-Elec-P14(Reg'!B76+'KY_Cost Plant Acct-Elec-P14(Reg'!B147</f>
        <v>1923575414.3600001</v>
      </c>
      <c r="C76" s="135"/>
      <c r="D76" s="135">
        <f>'KY_Cost Plant Acct-Elec-P14(Reg'!D76+'KY_Cost Plant Acct-Elec-P14(Reg'!D147</f>
        <v>299819012.74000001</v>
      </c>
      <c r="E76" s="135"/>
      <c r="F76" s="135">
        <f>'KY_Cost Plant Acct-Elec-P14(Reg'!F76</f>
        <v>-71290646.280000001</v>
      </c>
      <c r="G76" s="135"/>
      <c r="H76" s="135">
        <f>'KY_Cost Plant Acct-Elec-P14(Reg'!H76+'KY_Cost Plant Acct-Elec-P14(Reg'!H147</f>
        <v>6855563.4800000004</v>
      </c>
      <c r="I76" s="135"/>
      <c r="J76" s="135">
        <f t="shared" si="12"/>
        <v>235383929.94</v>
      </c>
      <c r="K76" s="135"/>
      <c r="L76" s="138">
        <f t="shared" si="13"/>
        <v>2158959344.3000002</v>
      </c>
      <c r="N76" s="39">
        <f>'KY_Res by Plant Acct-P29 (Reg)'!R272</f>
        <v>-459212842.65000004</v>
      </c>
      <c r="P76" s="39">
        <f t="shared" si="14"/>
        <v>1699746501.6500001</v>
      </c>
    </row>
    <row r="77" spans="1:16" x14ac:dyDescent="0.2">
      <c r="A77" s="3" t="s">
        <v>346</v>
      </c>
      <c r="B77" s="135">
        <f>'KY_Cost Plant Acct-Elec-P14(Reg'!B77</f>
        <v>0</v>
      </c>
      <c r="C77" s="135"/>
      <c r="D77" s="135">
        <f>'KY_Cost Plant Acct-Elec-P14(Reg'!D77</f>
        <v>0</v>
      </c>
      <c r="E77" s="135"/>
      <c r="F77" s="135">
        <f>'KY_Cost Plant Acct-Elec-P14(Reg'!F77</f>
        <v>0</v>
      </c>
      <c r="G77" s="135"/>
      <c r="H77" s="135">
        <f>'KY_Cost Plant Acct-Elec-P14(Reg'!H77</f>
        <v>0</v>
      </c>
      <c r="I77" s="135"/>
      <c r="J77" s="135">
        <f t="shared" si="12"/>
        <v>0</v>
      </c>
      <c r="K77" s="135"/>
      <c r="L77" s="138">
        <f t="shared" si="13"/>
        <v>0</v>
      </c>
      <c r="N77" s="39">
        <f>'KY_Res by Plant Acct-P29 (Reg)'!R275</f>
        <v>0</v>
      </c>
      <c r="P77" s="39">
        <f t="shared" si="14"/>
        <v>0</v>
      </c>
    </row>
    <row r="78" spans="1:16" x14ac:dyDescent="0.2">
      <c r="A78" s="3" t="s">
        <v>348</v>
      </c>
      <c r="B78" s="135">
        <f>'KY_Cost Plant Acct-Elec-P14(Reg'!B78+'KY_Cost Plant Acct-Elec-P14(Reg'!B148</f>
        <v>223874142.22</v>
      </c>
      <c r="C78" s="135"/>
      <c r="D78" s="135">
        <f>'KY_Cost Plant Acct-Elec-P14(Reg'!D78+'KY_Cost Plant Acct-Elec-P14(Reg'!D148</f>
        <v>1265946.7900000028</v>
      </c>
      <c r="E78" s="135"/>
      <c r="F78" s="135">
        <f>'KY_Cost Plant Acct-Elec-P14(Reg'!F78</f>
        <v>43222.04</v>
      </c>
      <c r="G78" s="135"/>
      <c r="H78" s="135">
        <f>'KY_Cost Plant Acct-Elec-P14(Reg'!H78</f>
        <v>0</v>
      </c>
      <c r="I78" s="135"/>
      <c r="J78" s="135">
        <f t="shared" si="12"/>
        <v>1309168.8300000029</v>
      </c>
      <c r="K78" s="135"/>
      <c r="L78" s="138">
        <f t="shared" si="13"/>
        <v>225183311.05000001</v>
      </c>
      <c r="N78" s="39">
        <f>'KY_Res by Plant Acct-P29 (Reg)'!R289</f>
        <v>-101410732.38</v>
      </c>
      <c r="P78" s="39">
        <f t="shared" si="14"/>
        <v>123772578.67000002</v>
      </c>
    </row>
    <row r="79" spans="1:16" x14ac:dyDescent="0.2">
      <c r="A79" s="3" t="s">
        <v>349</v>
      </c>
      <c r="B79" s="135">
        <f>'KY_Cost Plant Acct-Elec-P14(Reg'!B79+'KY_Cost Plant Acct-Elec-P14(Reg'!B149</f>
        <v>141648985.56999996</v>
      </c>
      <c r="C79" s="135"/>
      <c r="D79" s="135">
        <f>'KY_Cost Plant Acct-Elec-P14(Reg'!D79+'KY_Cost Plant Acct-Elec-P14(Reg'!D149</f>
        <v>25241335.970000003</v>
      </c>
      <c r="E79" s="135"/>
      <c r="F79" s="135">
        <f>'KY_Cost Plant Acct-Elec-P14(Reg'!F79</f>
        <v>-1616603.42</v>
      </c>
      <c r="G79" s="135"/>
      <c r="H79" s="135">
        <f>'KY_Cost Plant Acct-Elec-P14(Reg'!H79</f>
        <v>0</v>
      </c>
      <c r="I79" s="135"/>
      <c r="J79" s="135">
        <f t="shared" si="12"/>
        <v>23624732.550000004</v>
      </c>
      <c r="K79" s="135"/>
      <c r="L79" s="138">
        <f t="shared" si="13"/>
        <v>165273718.11999997</v>
      </c>
      <c r="N79" s="39">
        <f>'KY_Res by Plant Acct-P29 (Reg)'!R320</f>
        <v>-83761790.13000001</v>
      </c>
      <c r="P79" s="39">
        <f t="shared" si="14"/>
        <v>81511927.989999965</v>
      </c>
    </row>
    <row r="80" spans="1:16" x14ac:dyDescent="0.2">
      <c r="A80" s="3" t="s">
        <v>350</v>
      </c>
      <c r="B80" s="135">
        <f>'KY_Cost Plant Acct-Elec-P14(Reg'!B80</f>
        <v>0</v>
      </c>
      <c r="C80" s="135"/>
      <c r="D80" s="135">
        <f>'KY_Cost Plant Acct-Elec-P14(Reg'!D80</f>
        <v>0</v>
      </c>
      <c r="E80" s="135"/>
      <c r="F80" s="135">
        <f>'KY_Cost Plant Acct-Elec-P14(Reg'!F80</f>
        <v>0</v>
      </c>
      <c r="G80" s="135"/>
      <c r="H80" s="135">
        <f>'KY_Cost Plant Acct-Elec-P14(Reg'!H80</f>
        <v>0</v>
      </c>
      <c r="I80" s="135"/>
      <c r="J80" s="135">
        <f t="shared" si="12"/>
        <v>0</v>
      </c>
      <c r="K80" s="135"/>
      <c r="L80" s="138">
        <f t="shared" si="13"/>
        <v>0</v>
      </c>
      <c r="N80" s="39">
        <f>'KY_Res by Plant Acct-P29 (Reg)'!R329</f>
        <v>0</v>
      </c>
      <c r="P80" s="39">
        <f t="shared" si="14"/>
        <v>0</v>
      </c>
    </row>
    <row r="81" spans="1:16" x14ac:dyDescent="0.2">
      <c r="A81" s="3" t="s">
        <v>352</v>
      </c>
      <c r="B81" s="135">
        <f>'KY_Cost Plant Acct-Elec-P14(Reg'!B81+'KY_Cost Plant Acct-Elec-P14(Reg'!B150</f>
        <v>18258219.760000009</v>
      </c>
      <c r="C81" s="135"/>
      <c r="D81" s="135">
        <f>'KY_Cost Plant Acct-Elec-P14(Reg'!D81+'KY_Cost Plant Acct-Elec-P14(Reg'!D150</f>
        <v>718834.62</v>
      </c>
      <c r="E81" s="135">
        <f>'KY_Cost Plant Acct-Elec-P14(Reg'!E81+'KY_Cost Plant Acct-Elec-P14(Reg'!E150</f>
        <v>0</v>
      </c>
      <c r="F81" s="135">
        <f>'KY_Cost Plant Acct-Elec-P14(Reg'!F81+'KY_Cost Plant Acct-Elec-P14(Reg'!F150</f>
        <v>-123601.58</v>
      </c>
      <c r="G81" s="135">
        <f>'KY_Cost Plant Acct-Elec-P14(Reg'!G81+'KY_Cost Plant Acct-Elec-P14(Reg'!G150</f>
        <v>0</v>
      </c>
      <c r="H81" s="135">
        <f>'KY_Cost Plant Acct-Elec-P14(Reg'!H81+'KY_Cost Plant Acct-Elec-P14(Reg'!H150</f>
        <v>-149103.37</v>
      </c>
      <c r="I81" s="135"/>
      <c r="J81" s="135">
        <f t="shared" si="12"/>
        <v>446129.67</v>
      </c>
      <c r="K81" s="135"/>
      <c r="L81" s="138">
        <f t="shared" si="13"/>
        <v>18704349.430000011</v>
      </c>
      <c r="N81" s="39">
        <f>'KY_Res by Plant Acct-P29 (Reg)'!R350</f>
        <v>-6567494.8399999999</v>
      </c>
      <c r="P81" s="39">
        <f t="shared" si="14"/>
        <v>12136854.590000011</v>
      </c>
    </row>
    <row r="82" spans="1:16" x14ac:dyDescent="0.2">
      <c r="A82" s="3" t="s">
        <v>353</v>
      </c>
      <c r="B82" s="135">
        <f>'KY_Cost Plant Acct-Elec-P14(Reg'!B82</f>
        <v>137737820.99000001</v>
      </c>
      <c r="C82" s="135"/>
      <c r="D82" s="135">
        <f>'KY_Cost Plant Acct-Elec-P14(Reg'!D82</f>
        <v>0</v>
      </c>
      <c r="E82" s="135"/>
      <c r="F82" s="135">
        <f>'KY_Cost Plant Acct-Elec-P14(Reg'!F82</f>
        <v>-765926.26</v>
      </c>
      <c r="G82" s="135"/>
      <c r="H82" s="135">
        <f>'KY_Cost Plant Acct-Elec-P14(Reg'!H82</f>
        <v>-91950467.530000001</v>
      </c>
      <c r="I82" s="135"/>
      <c r="J82" s="135">
        <f t="shared" si="12"/>
        <v>-92716393.790000007</v>
      </c>
      <c r="K82" s="135"/>
      <c r="L82" s="135">
        <f t="shared" si="13"/>
        <v>45021427.200000003</v>
      </c>
      <c r="M82" s="31"/>
      <c r="N82" s="38">
        <f>'KY_Res by Plant Acct-P29 (Reg)'!R351</f>
        <v>-19536682.629999995</v>
      </c>
      <c r="O82" s="31"/>
      <c r="P82" s="38">
        <f t="shared" si="14"/>
        <v>25484744.570000008</v>
      </c>
    </row>
    <row r="83" spans="1:16" x14ac:dyDescent="0.2">
      <c r="A83" s="3" t="s">
        <v>354</v>
      </c>
      <c r="B83" s="149">
        <f>'KY_Cost Plant Acct-Elec-P14(Reg'!B83</f>
        <v>0</v>
      </c>
      <c r="C83" s="135"/>
      <c r="D83" s="149">
        <f>'KY_Cost Plant Acct-Elec-P14(Reg'!D83</f>
        <v>0</v>
      </c>
      <c r="E83" s="135"/>
      <c r="F83" s="149">
        <f>'KY_Cost Plant Acct-Elec-P14(Reg'!F83</f>
        <v>0</v>
      </c>
      <c r="G83" s="135"/>
      <c r="H83" s="149">
        <f>'KY_Cost Plant Acct-Elec-P14(Reg'!H83</f>
        <v>81908780.349999994</v>
      </c>
      <c r="I83" s="135"/>
      <c r="J83" s="149">
        <f>'KY_Cost Plant Acct-Elec-P14(Reg'!J83</f>
        <v>81908780.349999994</v>
      </c>
      <c r="K83" s="135"/>
      <c r="L83" s="149">
        <f>'KY_Cost Plant Acct-Elec-P14(Reg'!L83</f>
        <v>81908780.349999994</v>
      </c>
      <c r="N83" s="38">
        <f>'KY_Res by Plant Acct-P29 (Reg)'!R352</f>
        <v>-20285465.07</v>
      </c>
      <c r="P83" s="38">
        <f t="shared" si="14"/>
        <v>61623315.279999994</v>
      </c>
    </row>
    <row r="84" spans="1:16" x14ac:dyDescent="0.2">
      <c r="B84" s="135">
        <f>SUM(B71:B83)</f>
        <v>2743677248.6199999</v>
      </c>
      <c r="C84" s="135"/>
      <c r="D84" s="135">
        <f>SUM(D71:D83)</f>
        <v>338892560.06000006</v>
      </c>
      <c r="E84" s="135"/>
      <c r="F84" s="135">
        <f>SUM(F71:F83)</f>
        <v>-74287530.469999999</v>
      </c>
      <c r="G84" s="135"/>
      <c r="H84" s="135">
        <f>SUM(H71:H83)</f>
        <v>-6429498.5100000054</v>
      </c>
      <c r="I84" s="135"/>
      <c r="J84" s="135">
        <f>SUM(J71:J83)</f>
        <v>258175531.08000001</v>
      </c>
      <c r="K84" s="135"/>
      <c r="L84" s="135">
        <f>SUM(L71:L83)</f>
        <v>3001852779.6999998</v>
      </c>
      <c r="N84" s="148">
        <f>SUM(N71:N83)</f>
        <v>-871454851.30000007</v>
      </c>
      <c r="P84" s="148">
        <f>SUM(P71:P83)</f>
        <v>2130397928.4000001</v>
      </c>
    </row>
    <row r="85" spans="1:16" x14ac:dyDescent="0.2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6" x14ac:dyDescent="0.2">
      <c r="A86" s="10" t="s">
        <v>24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6" x14ac:dyDescent="0.2">
      <c r="A87" s="3" t="s">
        <v>356</v>
      </c>
      <c r="B87" s="135">
        <f>'KY_Cost Plant Acct-Elec-P14(Reg'!B87+'IN_Total PIS_Elec_NBV-P15 (Reg)'!B15</f>
        <v>8587652.5899999999</v>
      </c>
      <c r="C87" s="135"/>
      <c r="D87" s="135">
        <f>'KY_Cost Plant Acct-Elec-P14(Reg'!D87+'IN_Total PIS_Elec_NBV-P15 (Reg)'!D15</f>
        <v>0</v>
      </c>
      <c r="E87" s="135"/>
      <c r="F87" s="135">
        <f>'KY_Cost Plant Acct-Elec-P14(Reg'!F87+'IN_Total PIS_Elec_NBV-P15 (Reg)'!F15</f>
        <v>0</v>
      </c>
      <c r="G87" s="135"/>
      <c r="H87" s="135">
        <f>'KY_Cost Plant Acct-Elec-P14(Reg'!H87+'IN_Total PIS_Elec_NBV-P15 (Reg)'!H15</f>
        <v>0</v>
      </c>
      <c r="I87" s="135"/>
      <c r="J87" s="135">
        <f t="shared" ref="J87:J99" si="15">H87+F87+D87</f>
        <v>0</v>
      </c>
      <c r="K87" s="135"/>
      <c r="L87" s="138">
        <f t="shared" ref="L87:L99" si="16">B87+J87</f>
        <v>8587652.5899999999</v>
      </c>
      <c r="N87" s="39">
        <f>'KY_Res by Plant Acct-P29 (Reg)'!R356+'IN_Total PIS_Elec_NBV-P15 (Reg)'!N15</f>
        <v>-3093851.3200000003</v>
      </c>
      <c r="P87" s="39">
        <f t="shared" ref="P87:P99" si="17">L87+N87</f>
        <v>5493801.2699999996</v>
      </c>
    </row>
    <row r="88" spans="1:16" x14ac:dyDescent="0.2">
      <c r="A88" s="3" t="s">
        <v>357</v>
      </c>
      <c r="B88" s="135">
        <f>'KY_Cost Plant Acct-Elec-P14(Reg'!B88+'IN_Total PIS_Elec_NBV-P15 (Reg)'!B16</f>
        <v>2560181.1199999996</v>
      </c>
      <c r="C88" s="135"/>
      <c r="D88" s="135">
        <f>'KY_Cost Plant Acct-Elec-P14(Reg'!D88+'IN_Cost Plant Acct-Elec-P16(Reg'!D12</f>
        <v>0</v>
      </c>
      <c r="E88" s="135"/>
      <c r="F88" s="135">
        <f>'KY_Cost Plant Acct-Elec-P14(Reg'!F88+'IN_Cost Plant Acct-Elec-P16(Reg'!F12</f>
        <v>0</v>
      </c>
      <c r="G88" s="135"/>
      <c r="H88" s="135">
        <f>'KY_Cost Plant Acct-Elec-P14(Reg'!H88+'IN_Cost Plant Acct-Elec-P16(Reg'!H12</f>
        <v>-3671.69</v>
      </c>
      <c r="I88" s="135"/>
      <c r="J88" s="135">
        <f t="shared" si="15"/>
        <v>-3671.69</v>
      </c>
      <c r="K88" s="135"/>
      <c r="L88" s="138">
        <f t="shared" si="16"/>
        <v>2556509.4299999997</v>
      </c>
      <c r="N88" s="39">
        <f>'IN_Total PIS_Elec_NBV-P15 (Reg)'!N16+'KY_Res by Plant Acct-P29 (Reg)'!R357</f>
        <v>0</v>
      </c>
      <c r="P88" s="39">
        <f t="shared" si="17"/>
        <v>2556509.4299999997</v>
      </c>
    </row>
    <row r="89" spans="1:16" x14ac:dyDescent="0.2">
      <c r="A89" s="3" t="s">
        <v>359</v>
      </c>
      <c r="B89" s="135">
        <f>'KY_Cost Plant Acct-Elec-P14(Reg'!B89+'KY_Cost Plant Acct-Elec-P14(Reg'!B155+'IN_Total PIS_Elec_NBV-P15 (Reg)'!B17</f>
        <v>12348843.039999999</v>
      </c>
      <c r="C89" s="135"/>
      <c r="D89" s="135">
        <f>'KY_Cost Plant Acct-Elec-P14(Reg'!D89+'KY_Cost Plant Acct-Elec-P14(Reg'!D155+'IN_Total PIS_Elec_NBV-P15 (Reg)'!D17</f>
        <v>4819109.26</v>
      </c>
      <c r="E89" s="135"/>
      <c r="F89" s="135">
        <f>'KY_Cost Plant Acct-Elec-P14(Reg'!F89+'IN_Total PIS_Elec_NBV-P15 (Reg)'!F17</f>
        <v>-70611.929999999993</v>
      </c>
      <c r="G89" s="135"/>
      <c r="H89" s="135">
        <f>'KY_Cost Plant Acct-Elec-P14(Reg'!H89+'IN_Total PIS_Elec_NBV-P15 (Reg)'!H17</f>
        <v>0</v>
      </c>
      <c r="I89" s="135"/>
      <c r="J89" s="135">
        <f t="shared" si="15"/>
        <v>4748497.33</v>
      </c>
      <c r="K89" s="135"/>
      <c r="L89" s="138">
        <f t="shared" si="16"/>
        <v>17097340.369999997</v>
      </c>
      <c r="N89" s="39">
        <f>'KY_Res by Plant Acct-P29 (Reg)'!R358+'KY_Res by Plant Acct-P29 (Reg)'!R359+'IN_Total PIS_Elec_NBV-P15 (Reg)'!N17+'KY_Res by Plant Acct-P29 (Reg)'!R360</f>
        <v>-2144927.12</v>
      </c>
      <c r="P89" s="39">
        <f t="shared" si="17"/>
        <v>14952413.249999996</v>
      </c>
    </row>
    <row r="90" spans="1:16" x14ac:dyDescent="0.2">
      <c r="A90" s="3" t="s">
        <v>360</v>
      </c>
      <c r="B90" s="135">
        <f>+'KY_Cost Plant Acct-Elec-P14(Reg'!B90+'KY_Cost Plant Acct-Elec-P14(Reg'!B156+'IN_Cost Plant Acct-Elec-P16(Reg'!B14+'IN_Cost Plant Acct-Elec-P16(Reg'!B31</f>
        <v>177220906.5</v>
      </c>
      <c r="C90" s="135"/>
      <c r="D90" s="135">
        <f>+'KY_Cost Plant Acct-Elec-P14(Reg'!D90+'KY_Cost Plant Acct-Elec-P14(Reg'!D156+'IN_Cost Plant Acct-Elec-P16(Reg'!D14+'IN_Cost Plant Acct-Elec-P16(Reg'!D31</f>
        <v>16870466.419999998</v>
      </c>
      <c r="E90" s="135"/>
      <c r="F90" s="135">
        <f>+'KY_Cost Plant Acct-Elec-P14(Reg'!F90+'KY_Cost Plant Acct-Elec-P14(Reg'!F156+'IN_Cost Plant Acct-Elec-P16(Reg'!F14+'IN_Cost Plant Acct-Elec-P16(Reg'!F31</f>
        <v>-1387645.07</v>
      </c>
      <c r="G90" s="135"/>
      <c r="H90" s="135">
        <f>+'KY_Cost Plant Acct-Elec-P14(Reg'!H90+'KY_Cost Plant Acct-Elec-P14(Reg'!H156+'IN_Cost Plant Acct-Elec-P16(Reg'!H14+'IN_Cost Plant Acct-Elec-P16(Reg'!H31</f>
        <v>408839.02</v>
      </c>
      <c r="I90" s="135"/>
      <c r="J90" s="135">
        <f>H90+F90+D90</f>
        <v>15891660.369999997</v>
      </c>
      <c r="K90" s="135"/>
      <c r="L90" s="138">
        <f t="shared" si="16"/>
        <v>193112566.87</v>
      </c>
      <c r="N90" s="39">
        <f>'KY_Res by Plant Acct-P29 (Reg)'!R362+'KY_Res by Plant Acct-P29 (Reg)'!R363+'KY_Res by Plant Acct-P29 (Reg)'!R364+'IN_Total PIS_Elec_NBV-P15 (Reg)'!N18</f>
        <v>-68817752.960000008</v>
      </c>
      <c r="P90" s="39">
        <f t="shared" si="17"/>
        <v>124294813.91</v>
      </c>
    </row>
    <row r="91" spans="1:16" x14ac:dyDescent="0.2">
      <c r="A91" s="3" t="s">
        <v>361</v>
      </c>
      <c r="B91" s="135">
        <f>'KY_Cost Plant Acct-Elec-P14(Reg'!B91</f>
        <v>0</v>
      </c>
      <c r="C91" s="135"/>
      <c r="D91" s="135">
        <f>'KY_Cost Plant Acct-Elec-P14(Reg'!D91</f>
        <v>0</v>
      </c>
      <c r="E91" s="135"/>
      <c r="F91" s="135">
        <f>'KY_Cost Plant Acct-Elec-P14(Reg'!F91</f>
        <v>0</v>
      </c>
      <c r="G91" s="135"/>
      <c r="H91" s="135">
        <f>'KY_Cost Plant Acct-Elec-P14(Reg'!H91</f>
        <v>0</v>
      </c>
      <c r="I91" s="135"/>
      <c r="J91" s="135">
        <f t="shared" si="15"/>
        <v>0</v>
      </c>
      <c r="K91" s="135"/>
      <c r="L91" s="138">
        <f t="shared" si="16"/>
        <v>0</v>
      </c>
      <c r="N91" s="39">
        <f>'KY_Res by Plant Acct-P29 (Reg)'!R365+'KY_Res by Plant Acct-P29 (Reg)'!R366</f>
        <v>-3.5879565984942019E-10</v>
      </c>
      <c r="P91" s="39">
        <f t="shared" si="17"/>
        <v>-3.5879565984942019E-10</v>
      </c>
    </row>
    <row r="92" spans="1:16" x14ac:dyDescent="0.2">
      <c r="A92" s="165" t="s">
        <v>2635</v>
      </c>
      <c r="B92" s="135">
        <f>'KY_Cost Plant Acct-Elec-P14(Reg'!B157</f>
        <v>0</v>
      </c>
      <c r="C92" s="135">
        <f>'KY_Cost Plant Acct-Elec-P14(Reg'!C157</f>
        <v>0</v>
      </c>
      <c r="D92" s="135">
        <f>'KY_Cost Plant Acct-Elec-P14(Reg'!D157</f>
        <v>0</v>
      </c>
      <c r="E92" s="135">
        <f>'KY_Cost Plant Acct-Elec-P14(Reg'!E157</f>
        <v>0</v>
      </c>
      <c r="F92" s="135">
        <f>'KY_Cost Plant Acct-Elec-P14(Reg'!F157</f>
        <v>0</v>
      </c>
      <c r="G92" s="135">
        <f>'KY_Cost Plant Acct-Elec-P14(Reg'!G157</f>
        <v>0</v>
      </c>
      <c r="H92" s="135">
        <f>'KY_Cost Plant Acct-Elec-P14(Reg'!H157</f>
        <v>0</v>
      </c>
      <c r="I92" s="135">
        <f>'KY_Cost Plant Acct-Elec-P14(Reg'!I157</f>
        <v>0</v>
      </c>
      <c r="J92" s="135">
        <f t="shared" si="15"/>
        <v>0</v>
      </c>
      <c r="K92" s="135"/>
      <c r="L92" s="138">
        <f t="shared" si="16"/>
        <v>0</v>
      </c>
      <c r="N92" s="39">
        <f>'KY_Res by Plant Acct-P29 (Reg)'!R366+'KY_Res by Plant Acct-P29 (Reg)'!R367</f>
        <v>-9.822542779147625E-11</v>
      </c>
      <c r="P92" s="39">
        <f t="shared" si="17"/>
        <v>-9.822542779147625E-11</v>
      </c>
    </row>
    <row r="93" spans="1:16" x14ac:dyDescent="0.2">
      <c r="A93" s="3" t="s">
        <v>363</v>
      </c>
      <c r="B93" s="135">
        <f>'KY_Cost Plant Acct-Elec-P14(Reg'!B92+'IN_Total PIS_Elec_NBV-P15 (Reg)'!B19+'KY_Cost Plant Acct-Elec-P14(Reg'!B158</f>
        <v>43937509.409999996</v>
      </c>
      <c r="C93" s="135"/>
      <c r="D93" s="135">
        <f>'KY_Cost Plant Acct-Elec-P14(Reg'!D92+'IN_Total PIS_Elec_NBV-P15 (Reg)'!D19+'KY_Cost Plant Acct-Elec-P14(Reg'!D158</f>
        <v>9565.8299999999581</v>
      </c>
      <c r="E93" s="135"/>
      <c r="F93" s="135">
        <f>'KY_Cost Plant Acct-Elec-P14(Reg'!F92+'IN_Total PIS_Elec_NBV-P15 (Reg)'!F19</f>
        <v>-189827.35</v>
      </c>
      <c r="G93" s="135"/>
      <c r="H93" s="135">
        <f>'KY_Cost Plant Acct-Elec-P14(Reg'!H92+'IN_Total PIS_Elec_NBV-P15 (Reg)'!H19</f>
        <v>0</v>
      </c>
      <c r="I93" s="135"/>
      <c r="J93" s="135">
        <f t="shared" si="15"/>
        <v>-180261.52000000005</v>
      </c>
      <c r="K93" s="135"/>
      <c r="L93" s="138">
        <f t="shared" si="16"/>
        <v>43757247.889999993</v>
      </c>
      <c r="N93" s="39">
        <f>'KY_Res by Plant Acct-P29 (Reg)'!R368+'IN_Total PIS_Elec_NBV-P15 (Reg)'!N19</f>
        <v>-25018162.479999989</v>
      </c>
      <c r="P93" s="39">
        <f t="shared" si="17"/>
        <v>18739085.410000004</v>
      </c>
    </row>
    <row r="94" spans="1:16" x14ac:dyDescent="0.2">
      <c r="A94" s="3" t="s">
        <v>364</v>
      </c>
      <c r="B94" s="135">
        <f>'KY_Cost Plant Acct-Elec-P14(Reg'!B93+'KY_Cost Plant Acct-Elec-P14(Reg'!B159+'IN_Total PIS_Elec_NBV-P15 (Reg)'!B20</f>
        <v>72622298.37999998</v>
      </c>
      <c r="C94" s="135"/>
      <c r="D94" s="135">
        <f>'KY_Cost Plant Acct-Elec-P14(Reg'!D93+'KY_Cost Plant Acct-Elec-P14(Reg'!D159+'IN_Total PIS_Elec_NBV-P15 (Reg)'!D20</f>
        <v>19023754.799999997</v>
      </c>
      <c r="E94" s="135"/>
      <c r="F94" s="135">
        <f>'KY_Cost Plant Acct-Elec-P14(Reg'!F93+'IN_Total PIS_Elec_NBV-P15 (Reg)'!F20</f>
        <v>-389631.44</v>
      </c>
      <c r="G94" s="135"/>
      <c r="H94" s="135">
        <f>'KY_Cost Plant Acct-Elec-P14(Reg'!H93+'IN_Total PIS_Elec_NBV-P15 (Reg)'!H20</f>
        <v>0</v>
      </c>
      <c r="I94" s="135"/>
      <c r="J94" s="135">
        <f t="shared" si="15"/>
        <v>18634123.359999996</v>
      </c>
      <c r="K94" s="135"/>
      <c r="L94" s="138">
        <f t="shared" si="16"/>
        <v>91256421.73999998</v>
      </c>
      <c r="N94" s="39">
        <f>'KY_Res by Plant Acct-P29 (Reg)'!R369+'IN_Total PIS_Elec_NBV-P15 (Reg)'!N20</f>
        <v>-24013504.050000001</v>
      </c>
      <c r="P94" s="39">
        <f t="shared" si="17"/>
        <v>67242917.689999983</v>
      </c>
    </row>
    <row r="95" spans="1:16" x14ac:dyDescent="0.2">
      <c r="A95" s="3" t="s">
        <v>365</v>
      </c>
      <c r="B95" s="135">
        <f>'KY_Cost Plant Acct-Elec-P14(Reg'!B94+'KY_Cost Plant Acct-Elec-P14(Reg'!B160+'IN_Total PIS_Elec_NBV-P15 (Reg)'!B21</f>
        <v>55070079.069999993</v>
      </c>
      <c r="C95" s="135"/>
      <c r="D95" s="135">
        <f>'KY_Cost Plant Acct-Elec-P14(Reg'!D94+'KY_Cost Plant Acct-Elec-P14(Reg'!D160+'IN_Total PIS_Elec_NBV-P15 (Reg)'!D21</f>
        <v>4635605.0600000005</v>
      </c>
      <c r="E95" s="135"/>
      <c r="F95" s="135">
        <f>'KY_Cost Plant Acct-Elec-P14(Reg'!F94+'IN_Total PIS_Elec_NBV-P15 (Reg)'!F21</f>
        <v>-379145.06</v>
      </c>
      <c r="G95" s="135"/>
      <c r="H95" s="135">
        <f>'KY_Cost Plant Acct-Elec-P14(Reg'!H94+'IN_Total PIS_Elec_NBV-P15 (Reg)'!H21</f>
        <v>0</v>
      </c>
      <c r="I95" s="135"/>
      <c r="J95" s="135">
        <f t="shared" si="15"/>
        <v>4256460.0000000009</v>
      </c>
      <c r="K95" s="135"/>
      <c r="L95" s="138">
        <f t="shared" si="16"/>
        <v>59326539.069999993</v>
      </c>
      <c r="N95" s="39">
        <f>'KY_Res by Plant Acct-P29 (Reg)'!R370+'IN_Total PIS_Elec_NBV-P15 (Reg)'!N21</f>
        <v>-27170010.749999989</v>
      </c>
      <c r="P95" s="39">
        <f t="shared" si="17"/>
        <v>32156528.320000004</v>
      </c>
    </row>
    <row r="96" spans="1:16" x14ac:dyDescent="0.2">
      <c r="A96" s="3" t="s">
        <v>366</v>
      </c>
      <c r="B96" s="135">
        <f>'KY_Cost Plant Acct-Elec-P14(Reg'!B95</f>
        <v>2278627.52</v>
      </c>
      <c r="C96" s="135"/>
      <c r="D96" s="135">
        <f>'KY_Cost Plant Acct-Elec-P14(Reg'!D95</f>
        <v>0</v>
      </c>
      <c r="E96" s="135"/>
      <c r="F96" s="135">
        <f>'KY_Cost Plant Acct-Elec-P14(Reg'!F95</f>
        <v>0</v>
      </c>
      <c r="G96" s="135"/>
      <c r="H96" s="135">
        <f>'KY_Cost Plant Acct-Elec-P14(Reg'!H95</f>
        <v>-590814.56000000006</v>
      </c>
      <c r="I96" s="135"/>
      <c r="J96" s="135">
        <f t="shared" si="15"/>
        <v>-590814.56000000006</v>
      </c>
      <c r="K96" s="135"/>
      <c r="L96" s="138">
        <f t="shared" si="16"/>
        <v>1687812.96</v>
      </c>
      <c r="N96" s="39">
        <f>'KY_Res by Plant Acct-P29 (Reg)'!R371</f>
        <v>-610222.48999999987</v>
      </c>
      <c r="P96" s="39">
        <f t="shared" si="17"/>
        <v>1077590.4700000002</v>
      </c>
    </row>
    <row r="97" spans="1:16" x14ac:dyDescent="0.2">
      <c r="A97" s="3" t="s">
        <v>367</v>
      </c>
      <c r="B97" s="135">
        <f>'KY_Cost Plant Acct-Elec-P14(Reg'!B96</f>
        <v>7425136.2999999998</v>
      </c>
      <c r="C97" s="135"/>
      <c r="D97" s="135">
        <f>'KY_Cost Plant Acct-Elec-P14(Reg'!D96</f>
        <v>0</v>
      </c>
      <c r="E97" s="135"/>
      <c r="F97" s="135">
        <f>'KY_Cost Plant Acct-Elec-P14(Reg'!F96</f>
        <v>0</v>
      </c>
      <c r="G97" s="135"/>
      <c r="H97" s="135">
        <f>'KY_Cost Plant Acct-Elec-P14(Reg'!H96</f>
        <v>-59663.62</v>
      </c>
      <c r="I97" s="135"/>
      <c r="J97" s="135">
        <f t="shared" si="15"/>
        <v>-59663.62</v>
      </c>
      <c r="K97" s="135"/>
      <c r="L97" s="138">
        <f t="shared" si="16"/>
        <v>7365472.6799999997</v>
      </c>
      <c r="N97" s="39">
        <f>'KY_Res by Plant Acct-P29 (Reg)'!R372</f>
        <v>-3128608.35</v>
      </c>
      <c r="P97" s="39">
        <f t="shared" si="17"/>
        <v>4236864.33</v>
      </c>
    </row>
    <row r="98" spans="1:16" x14ac:dyDescent="0.2">
      <c r="A98" s="3" t="s">
        <v>368</v>
      </c>
      <c r="B98" s="135">
        <f>'KY_Cost Plant Acct-Elec-P14(Reg'!B97</f>
        <v>9342.4699999999993</v>
      </c>
      <c r="C98" s="135"/>
      <c r="D98" s="135">
        <f>'KY_Cost Plant Acct-Elec-P14(Reg'!D97</f>
        <v>0</v>
      </c>
      <c r="E98" s="135"/>
      <c r="F98" s="135">
        <f>'KY_Cost Plant Acct-Elec-P14(Reg'!F97</f>
        <v>0</v>
      </c>
      <c r="G98" s="135"/>
      <c r="H98" s="135">
        <f>'KY_Cost Plant Acct-Elec-P14(Reg'!H97</f>
        <v>11980.58</v>
      </c>
      <c r="I98" s="135"/>
      <c r="J98" s="135">
        <f t="shared" si="15"/>
        <v>11980.58</v>
      </c>
      <c r="K98" s="135"/>
      <c r="L98" s="138">
        <f t="shared" si="16"/>
        <v>21323.05</v>
      </c>
      <c r="N98" s="39">
        <f>'KY_Res by Plant Acct-P29 (Reg)'!R373</f>
        <v>-878.85999999999967</v>
      </c>
      <c r="P98" s="39">
        <f t="shared" si="17"/>
        <v>20444.189999999999</v>
      </c>
    </row>
    <row r="99" spans="1:16" x14ac:dyDescent="0.2">
      <c r="A99" s="3" t="s">
        <v>369</v>
      </c>
      <c r="B99" s="149">
        <f>'KY_Cost Plant Acct-Elec-P14(Reg'!B98</f>
        <v>208742.63</v>
      </c>
      <c r="C99" s="135"/>
      <c r="D99" s="149">
        <f>'KY_Cost Plant Acct-Elec-P14(Reg'!D98</f>
        <v>0</v>
      </c>
      <c r="E99" s="135"/>
      <c r="F99" s="149">
        <f>'KY_Cost Plant Acct-Elec-P14(Reg'!F98</f>
        <v>0</v>
      </c>
      <c r="G99" s="135"/>
      <c r="H99" s="149">
        <f>'KY_Cost Plant Acct-Elec-P14(Reg'!H98</f>
        <v>-21765.98</v>
      </c>
      <c r="I99" s="135"/>
      <c r="J99" s="149">
        <f t="shared" si="15"/>
        <v>-21765.98</v>
      </c>
      <c r="K99" s="135"/>
      <c r="L99" s="149">
        <f t="shared" si="16"/>
        <v>186976.65</v>
      </c>
      <c r="N99" s="136">
        <f>'KY_Res by Plant Acct-P29 (Reg)'!R374</f>
        <v>-29282.43</v>
      </c>
      <c r="P99" s="136">
        <f t="shared" si="17"/>
        <v>157694.22</v>
      </c>
    </row>
    <row r="100" spans="1:16" x14ac:dyDescent="0.2">
      <c r="B100" s="135">
        <f>SUM(B87:B99)</f>
        <v>382269319.02999997</v>
      </c>
      <c r="C100" s="135"/>
      <c r="D100" s="135">
        <f>SUM(D87:D99)</f>
        <v>45358501.369999997</v>
      </c>
      <c r="E100" s="135"/>
      <c r="F100" s="135">
        <f>SUM(F87:F99)</f>
        <v>-2416860.85</v>
      </c>
      <c r="G100" s="135"/>
      <c r="H100" s="135">
        <f>SUM(H87:H99)</f>
        <v>-255096.25000000006</v>
      </c>
      <c r="I100" s="135"/>
      <c r="J100" s="135">
        <f>SUM(J87:J99)</f>
        <v>42686544.269999996</v>
      </c>
      <c r="K100" s="135"/>
      <c r="L100" s="135">
        <f>SUM(L87:L99)</f>
        <v>424955863.29999995</v>
      </c>
      <c r="N100" s="135">
        <f>SUM(N87:N99)</f>
        <v>-154027200.81</v>
      </c>
      <c r="P100" s="39">
        <f>SUM(P87:P99)</f>
        <v>270928662.49000001</v>
      </c>
    </row>
    <row r="101" spans="1:16" x14ac:dyDescent="0.2">
      <c r="B101" s="135"/>
      <c r="C101" s="135"/>
      <c r="D101" s="135">
        <f>+D100-'KY_Cost Plant Acct-Elec-P14(Reg'!D161-'KY_Cost Plant Acct-Elec-P14(Reg'!D99-'IN_Cost Plant Acct-Elec-P16(Reg'!D35-'IN_Cost Plant Acct-Elec-P16(Reg'!D18</f>
        <v>0</v>
      </c>
      <c r="E101" s="135"/>
      <c r="F101" s="135"/>
      <c r="G101" s="135"/>
      <c r="H101" s="135"/>
      <c r="I101" s="135"/>
      <c r="J101" s="135"/>
      <c r="K101" s="135"/>
      <c r="L101" s="135"/>
    </row>
    <row r="102" spans="1:16" x14ac:dyDescent="0.2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6" x14ac:dyDescent="0.2">
      <c r="A103" s="10" t="s">
        <v>2636</v>
      </c>
      <c r="B103" s="164">
        <f>B100+B84+B68+B56+B51+B40+B29</f>
        <v>4838466054.1099987</v>
      </c>
      <c r="C103" s="135"/>
      <c r="D103" s="164">
        <f>D100+D84+D68+D56+D51+D40+D29</f>
        <v>517097887.29000002</v>
      </c>
      <c r="E103" s="135"/>
      <c r="F103" s="164">
        <f>F100+F84+F68+F56+F51+F40+F29</f>
        <v>-87908239.349999994</v>
      </c>
      <c r="G103" s="135"/>
      <c r="H103" s="164">
        <f>H100+H84+H68+H56+H51+H40+H29</f>
        <v>-7192920.7300000051</v>
      </c>
      <c r="I103" s="135"/>
      <c r="J103" s="164">
        <f>J100+J84+J68+J56+J51+J40+J29</f>
        <v>421996727.2100001</v>
      </c>
      <c r="K103" s="135"/>
      <c r="L103" s="164">
        <f>L100+L84+L68+L56+L51+L40+L29</f>
        <v>5260462781.3199997</v>
      </c>
      <c r="N103" s="164">
        <f>N100+N84+N68+N56+N51+N40+N29</f>
        <v>-1670301354.0300002</v>
      </c>
      <c r="P103" s="164">
        <f>P100+P84+P68+P56+P51+P40+P29</f>
        <v>3590161427.29</v>
      </c>
    </row>
    <row r="104" spans="1:16" x14ac:dyDescent="0.2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</row>
    <row r="105" spans="1:16" x14ac:dyDescent="0.2">
      <c r="B105" s="135"/>
      <c r="C105" s="138"/>
      <c r="D105" s="135"/>
      <c r="E105" s="138"/>
      <c r="F105" s="135"/>
      <c r="G105" s="138"/>
      <c r="H105" s="135"/>
      <c r="I105" s="138"/>
      <c r="J105" s="135"/>
      <c r="K105" s="135"/>
      <c r="L105" s="135"/>
      <c r="N105" s="135"/>
    </row>
    <row r="106" spans="1:16" x14ac:dyDescent="0.2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</row>
    <row r="107" spans="1:16" x14ac:dyDescent="0.2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</row>
    <row r="108" spans="1:16" x14ac:dyDescent="0.2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</row>
    <row r="109" spans="1:16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6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6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1:16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1" manualBreakCount="1">
    <brk id="5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169"/>
  <sheetViews>
    <sheetView zoomScaleNormal="100" workbookViewId="0">
      <selection sqref="A1:N1"/>
    </sheetView>
  </sheetViews>
  <sheetFormatPr defaultRowHeight="12.75" x14ac:dyDescent="0.2"/>
  <cols>
    <col min="1" max="1" width="50.85546875" style="3" bestFit="1" customWidth="1"/>
    <col min="2" max="2" width="19.42578125" style="3" bestFit="1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5703125" style="3" customWidth="1"/>
    <col min="12" max="12" width="17.7109375" style="3" customWidth="1"/>
    <col min="13" max="13" width="1.7109375" style="3" customWidth="1"/>
    <col min="14" max="14" width="15" style="3" bestFit="1" customWidth="1"/>
    <col min="15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132" customFormat="1" ht="15.75" x14ac:dyDescent="0.25">
      <c r="A2" s="210" t="s">
        <v>2637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38"/>
      <c r="F6" s="138"/>
      <c r="H6" s="8" t="s">
        <v>4</v>
      </c>
      <c r="J6" s="8" t="s">
        <v>242</v>
      </c>
      <c r="K6" s="138"/>
      <c r="L6" s="8" t="s">
        <v>5</v>
      </c>
    </row>
    <row r="7" spans="1:13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K7" s="18"/>
      <c r="L7" s="12" t="s">
        <v>7</v>
      </c>
    </row>
    <row r="8" spans="1:13" x14ac:dyDescent="0.2">
      <c r="A8" s="10" t="s">
        <v>2566</v>
      </c>
      <c r="B8" s="18"/>
      <c r="D8" s="18"/>
      <c r="F8" s="18"/>
      <c r="H8" s="18"/>
      <c r="J8" s="18"/>
      <c r="K8" s="18"/>
      <c r="L8" s="18"/>
    </row>
    <row r="9" spans="1:13" x14ac:dyDescent="0.2">
      <c r="A9" s="10" t="s">
        <v>2561</v>
      </c>
    </row>
    <row r="10" spans="1:13" x14ac:dyDescent="0.2">
      <c r="A10" s="10" t="s">
        <v>276</v>
      </c>
    </row>
    <row r="11" spans="1:13" x14ac:dyDescent="0.2">
      <c r="A11" s="22" t="s">
        <v>277</v>
      </c>
      <c r="B11" s="138">
        <f>'KY_Cost Plant Acct-Elec-P14(Reg'!B11</f>
        <v>0</v>
      </c>
      <c r="C11" s="138"/>
      <c r="D11" s="138">
        <f>'KY_Cost Plant Acct-Elec-P14(Reg'!D11</f>
        <v>0</v>
      </c>
      <c r="E11" s="138"/>
      <c r="F11" s="138">
        <f>'KY_Cost Plant Acct-Elec-P14(Reg'!F11</f>
        <v>0</v>
      </c>
      <c r="G11" s="138"/>
      <c r="H11" s="138">
        <f>'KY_Cost Plant Acct-Elec-P14(Reg'!H11</f>
        <v>0</v>
      </c>
      <c r="I11" s="138"/>
      <c r="J11" s="138">
        <f>H11+F11+D11</f>
        <v>0</v>
      </c>
      <c r="K11" s="138"/>
      <c r="L11" s="138">
        <f>B11+J11</f>
        <v>0</v>
      </c>
    </row>
    <row r="12" spans="1:13" x14ac:dyDescent="0.2">
      <c r="A12" s="3" t="s">
        <v>278</v>
      </c>
      <c r="B12" s="138">
        <f>'KY_Cost Plant Acct-Elec-P14(Reg'!B12</f>
        <v>4100654.4700000007</v>
      </c>
      <c r="C12" s="138"/>
      <c r="D12" s="138">
        <f>'KY_Cost Plant Acct-Elec-P14(Reg'!D12</f>
        <v>871644.37</v>
      </c>
      <c r="E12" s="138"/>
      <c r="F12" s="138">
        <f>'KY_Cost Plant Acct-Elec-P14(Reg'!F12</f>
        <v>0</v>
      </c>
      <c r="G12" s="138"/>
      <c r="H12" s="138">
        <f>'KY_Cost Plant Acct-Elec-P14(Reg'!H12</f>
        <v>-871644.37</v>
      </c>
      <c r="I12" s="138"/>
      <c r="J12" s="138">
        <f t="shared" ref="J12:J25" si="0">H12+F12+D12</f>
        <v>0</v>
      </c>
      <c r="K12" s="138"/>
      <c r="L12" s="138">
        <f t="shared" ref="L12:L25" si="1">B12+J12</f>
        <v>4100654.4700000007</v>
      </c>
    </row>
    <row r="13" spans="1:13" x14ac:dyDescent="0.2">
      <c r="A13" s="3" t="s">
        <v>280</v>
      </c>
      <c r="B13" s="138">
        <f>'KY_Cost Plant Acct-Elec-P14(Reg'!B13</f>
        <v>6790261.879999999</v>
      </c>
      <c r="C13" s="138"/>
      <c r="D13" s="138">
        <f>'KY_Cost Plant Acct-Elec-P14(Reg'!D13</f>
        <v>68412.710000000006</v>
      </c>
      <c r="E13" s="138"/>
      <c r="F13" s="138">
        <f>'KY_Cost Plant Acct-Elec-P14(Reg'!F13</f>
        <v>-25028.79</v>
      </c>
      <c r="G13" s="138"/>
      <c r="H13" s="138">
        <f>'KY_Cost Plant Acct-Elec-P14(Reg'!H13</f>
        <v>0</v>
      </c>
      <c r="I13" s="138"/>
      <c r="J13" s="138">
        <f t="shared" si="0"/>
        <v>43383.920000000006</v>
      </c>
      <c r="K13" s="138"/>
      <c r="L13" s="138">
        <f t="shared" si="1"/>
        <v>6833645.7999999989</v>
      </c>
    </row>
    <row r="14" spans="1:13" x14ac:dyDescent="0.2">
      <c r="A14" s="3" t="s">
        <v>281</v>
      </c>
      <c r="B14" s="138">
        <f>'KY_Cost Plant Acct-Elec-P14(Reg'!B14</f>
        <v>128446957.8</v>
      </c>
      <c r="C14" s="138"/>
      <c r="D14" s="138">
        <f>'KY_Cost Plant Acct-Elec-P14(Reg'!D14</f>
        <v>1848965.9</v>
      </c>
      <c r="E14" s="138"/>
      <c r="F14" s="138">
        <f>'KY_Cost Plant Acct-Elec-P14(Reg'!F14</f>
        <v>-595619.43000000005</v>
      </c>
      <c r="G14" s="138"/>
      <c r="H14" s="138">
        <f>'KY_Cost Plant Acct-Elec-P14(Reg'!H14</f>
        <v>-336741.48</v>
      </c>
      <c r="I14" s="138"/>
      <c r="J14" s="138">
        <f t="shared" si="0"/>
        <v>916604.98999999987</v>
      </c>
      <c r="K14" s="138"/>
      <c r="L14" s="138">
        <f t="shared" si="1"/>
        <v>129363562.78999999</v>
      </c>
    </row>
    <row r="15" spans="1:13" x14ac:dyDescent="0.2">
      <c r="A15" s="3" t="s">
        <v>282</v>
      </c>
      <c r="B15" s="138">
        <f>'KY_Cost Plant Acct-Elec-P14(Reg'!B15</f>
        <v>170022922.22000003</v>
      </c>
      <c r="C15" s="138"/>
      <c r="D15" s="138">
        <f>'KY_Cost Plant Acct-Elec-P14(Reg'!D15</f>
        <v>9226101.5800000001</v>
      </c>
      <c r="E15" s="138"/>
      <c r="F15" s="138">
        <f>'KY_Cost Plant Acct-Elec-P14(Reg'!F15</f>
        <v>-1437598.99</v>
      </c>
      <c r="G15" s="138"/>
      <c r="H15" s="138">
        <f>'KY_Cost Plant Acct-Elec-P14(Reg'!H15</f>
        <v>0</v>
      </c>
      <c r="I15" s="138"/>
      <c r="J15" s="138">
        <f t="shared" si="0"/>
        <v>7788502.5899999999</v>
      </c>
      <c r="K15" s="138"/>
      <c r="L15" s="138">
        <f t="shared" si="1"/>
        <v>177811424.81000003</v>
      </c>
    </row>
    <row r="16" spans="1:13" x14ac:dyDescent="0.2">
      <c r="A16" s="3" t="s">
        <v>283</v>
      </c>
      <c r="B16" s="138">
        <f>'KY_Cost Plant Acct-Elec-P14(Reg'!B16</f>
        <v>284807363.75</v>
      </c>
      <c r="C16" s="138"/>
      <c r="D16" s="138">
        <f>'KY_Cost Plant Acct-Elec-P14(Reg'!D16</f>
        <v>14439614.109999999</v>
      </c>
      <c r="E16" s="138"/>
      <c r="F16" s="138">
        <f>'KY_Cost Plant Acct-Elec-P14(Reg'!F16</f>
        <v>-2273790.48</v>
      </c>
      <c r="G16" s="138"/>
      <c r="H16" s="138">
        <f>'KY_Cost Plant Acct-Elec-P14(Reg'!H16</f>
        <v>0</v>
      </c>
      <c r="I16" s="138"/>
      <c r="J16" s="138">
        <f t="shared" si="0"/>
        <v>12165823.629999999</v>
      </c>
      <c r="K16" s="138"/>
      <c r="L16" s="138">
        <f t="shared" si="1"/>
        <v>296973187.38</v>
      </c>
    </row>
    <row r="17" spans="1:12" x14ac:dyDescent="0.2">
      <c r="A17" s="3" t="s">
        <v>284</v>
      </c>
      <c r="B17" s="138">
        <f>'KY_Cost Plant Acct-Elec-P14(Reg'!B17</f>
        <v>76312494.629999995</v>
      </c>
      <c r="C17" s="138"/>
      <c r="D17" s="138">
        <f>'KY_Cost Plant Acct-Elec-P14(Reg'!D17</f>
        <v>2461987.5499999998</v>
      </c>
      <c r="E17" s="138"/>
      <c r="F17" s="138">
        <f>'KY_Cost Plant Acct-Elec-P14(Reg'!F17</f>
        <v>-188472.62</v>
      </c>
      <c r="G17" s="138"/>
      <c r="H17" s="138">
        <f>'KY_Cost Plant Acct-Elec-P14(Reg'!H17</f>
        <v>578380.64</v>
      </c>
      <c r="I17" s="138"/>
      <c r="J17" s="138">
        <f t="shared" si="0"/>
        <v>2851895.57</v>
      </c>
      <c r="K17" s="138"/>
      <c r="L17" s="138">
        <f t="shared" si="1"/>
        <v>79164390.199999988</v>
      </c>
    </row>
    <row r="18" spans="1:12" x14ac:dyDescent="0.2">
      <c r="A18" s="3" t="s">
        <v>285</v>
      </c>
      <c r="B18" s="138">
        <f>'KY_Cost Plant Acct-Elec-P14(Reg'!B18</f>
        <v>189322350.32999998</v>
      </c>
      <c r="C18" s="138"/>
      <c r="D18" s="138">
        <f>'KY_Cost Plant Acct-Elec-P14(Reg'!D18</f>
        <v>15745812.300000001</v>
      </c>
      <c r="E18" s="138"/>
      <c r="F18" s="138">
        <f>'KY_Cost Plant Acct-Elec-P14(Reg'!F18</f>
        <v>-1261866.46</v>
      </c>
      <c r="G18" s="138"/>
      <c r="H18" s="138">
        <f>'KY_Cost Plant Acct-Elec-P14(Reg'!H18</f>
        <v>0</v>
      </c>
      <c r="I18" s="138"/>
      <c r="J18" s="138">
        <f t="shared" si="0"/>
        <v>14483945.84</v>
      </c>
      <c r="K18" s="138"/>
      <c r="L18" s="138">
        <f t="shared" si="1"/>
        <v>203806296.16999999</v>
      </c>
    </row>
    <row r="19" spans="1:12" x14ac:dyDescent="0.2">
      <c r="A19" s="3" t="s">
        <v>286</v>
      </c>
      <c r="B19" s="138">
        <f>'KY_Cost Plant Acct-Elec-P14(Reg'!B19</f>
        <v>157644268.84999996</v>
      </c>
      <c r="C19" s="138"/>
      <c r="D19" s="138">
        <f>'KY_Cost Plant Acct-Elec-P14(Reg'!D19</f>
        <v>3805473.66</v>
      </c>
      <c r="E19" s="138"/>
      <c r="F19" s="138">
        <f>'KY_Cost Plant Acct-Elec-P14(Reg'!F19</f>
        <v>-334282.64</v>
      </c>
      <c r="G19" s="138"/>
      <c r="H19" s="138">
        <f>'KY_Cost Plant Acct-Elec-P14(Reg'!H19</f>
        <v>0</v>
      </c>
      <c r="I19" s="138"/>
      <c r="J19" s="138">
        <f t="shared" si="0"/>
        <v>3471191.02</v>
      </c>
      <c r="K19" s="138"/>
      <c r="L19" s="138">
        <f t="shared" si="1"/>
        <v>161115459.86999997</v>
      </c>
    </row>
    <row r="20" spans="1:12" x14ac:dyDescent="0.2">
      <c r="A20" s="3" t="s">
        <v>287</v>
      </c>
      <c r="B20" s="138">
        <f>'KY_Cost Plant Acct-Elec-P14(Reg'!B20</f>
        <v>7209664.5</v>
      </c>
      <c r="C20" s="138"/>
      <c r="D20" s="138">
        <f>'KY_Cost Plant Acct-Elec-P14(Reg'!D20</f>
        <v>1918196.43</v>
      </c>
      <c r="E20" s="138"/>
      <c r="F20" s="138">
        <f>'KY_Cost Plant Acct-Elec-P14(Reg'!F20</f>
        <v>-26404.25</v>
      </c>
      <c r="G20" s="138"/>
      <c r="H20" s="138">
        <f>'KY_Cost Plant Acct-Elec-P14(Reg'!H20</f>
        <v>0</v>
      </c>
      <c r="I20" s="138"/>
      <c r="J20" s="138">
        <f t="shared" si="0"/>
        <v>1891792.18</v>
      </c>
      <c r="K20" s="138"/>
      <c r="L20" s="138">
        <f t="shared" si="1"/>
        <v>9101456.6799999997</v>
      </c>
    </row>
    <row r="21" spans="1:12" x14ac:dyDescent="0.2">
      <c r="A21" s="3" t="s">
        <v>288</v>
      </c>
      <c r="B21" s="138">
        <f>'KY_Cost Plant Acct-Elec-P14(Reg'!B21</f>
        <v>22546422.620000005</v>
      </c>
      <c r="C21" s="138"/>
      <c r="D21" s="138">
        <f>'KY_Cost Plant Acct-Elec-P14(Reg'!D21</f>
        <v>1013408.21</v>
      </c>
      <c r="E21" s="138"/>
      <c r="F21" s="138">
        <f>'KY_Cost Plant Acct-Elec-P14(Reg'!F21</f>
        <v>-112759.03</v>
      </c>
      <c r="G21" s="138"/>
      <c r="H21" s="138">
        <f>'KY_Cost Plant Acct-Elec-P14(Reg'!H21</f>
        <v>0</v>
      </c>
      <c r="I21" s="138"/>
      <c r="J21" s="138">
        <f t="shared" si="0"/>
        <v>900649.17999999993</v>
      </c>
      <c r="K21" s="138"/>
      <c r="L21" s="138">
        <f t="shared" si="1"/>
        <v>23447071.800000004</v>
      </c>
    </row>
    <row r="22" spans="1:12" x14ac:dyDescent="0.2">
      <c r="A22" s="3" t="s">
        <v>290</v>
      </c>
      <c r="B22" s="138">
        <f>'KY_Cost Plant Acct-Elec-P14(Reg'!B22</f>
        <v>41770460.539999999</v>
      </c>
      <c r="C22" s="138"/>
      <c r="D22" s="138">
        <f>'KY_Cost Plant Acct-Elec-P14(Reg'!D22</f>
        <v>1194059.67</v>
      </c>
      <c r="E22" s="138"/>
      <c r="F22" s="138">
        <f>'KY_Cost Plant Acct-Elec-P14(Reg'!F22</f>
        <v>-523208.86</v>
      </c>
      <c r="G22" s="138"/>
      <c r="H22" s="138">
        <f>'KY_Cost Plant Acct-Elec-P14(Reg'!H22</f>
        <v>0</v>
      </c>
      <c r="I22" s="138"/>
      <c r="J22" s="138">
        <f t="shared" si="0"/>
        <v>670850.80999999994</v>
      </c>
      <c r="K22" s="138"/>
      <c r="L22" s="138">
        <f t="shared" si="1"/>
        <v>42441311.350000001</v>
      </c>
    </row>
    <row r="23" spans="1:12" x14ac:dyDescent="0.2">
      <c r="A23" s="3" t="s">
        <v>2632</v>
      </c>
      <c r="B23" s="138">
        <f>'KY_Cost Plant Acct-Elec-P14(Reg'!B23</f>
        <v>0</v>
      </c>
      <c r="C23" s="138"/>
      <c r="D23" s="138">
        <f>'KY_Cost Plant Acct-Elec-P14(Reg'!D23</f>
        <v>1795362.03</v>
      </c>
      <c r="E23" s="138"/>
      <c r="F23" s="138">
        <f>'KY_Cost Plant Acct-Elec-P14(Reg'!F23</f>
        <v>0</v>
      </c>
      <c r="G23" s="138"/>
      <c r="H23" s="138">
        <f>'KY_Cost Plant Acct-Elec-P14(Reg'!H23</f>
        <v>0</v>
      </c>
      <c r="I23" s="138"/>
      <c r="J23" s="138">
        <f t="shared" si="0"/>
        <v>1795362.03</v>
      </c>
      <c r="K23" s="138"/>
      <c r="L23" s="138">
        <f t="shared" si="1"/>
        <v>1795362.03</v>
      </c>
    </row>
    <row r="24" spans="1:12" x14ac:dyDescent="0.2">
      <c r="A24" s="3" t="s">
        <v>291</v>
      </c>
      <c r="B24" s="138">
        <f>'KY_Cost Plant Acct-Elec-P14(Reg'!B24</f>
        <v>39244023.590000004</v>
      </c>
      <c r="C24" s="138"/>
      <c r="D24" s="138">
        <f>'KY_Cost Plant Acct-Elec-P14(Reg'!D24</f>
        <v>3853102.8</v>
      </c>
      <c r="E24" s="138"/>
      <c r="F24" s="138">
        <f>'KY_Cost Plant Acct-Elec-P14(Reg'!F24</f>
        <v>-1823106.25</v>
      </c>
      <c r="G24" s="138"/>
      <c r="H24" s="138">
        <f>'KY_Cost Plant Acct-Elec-P14(Reg'!H24</f>
        <v>0</v>
      </c>
      <c r="I24" s="138"/>
      <c r="J24" s="138">
        <f t="shared" si="0"/>
        <v>2029996.5499999998</v>
      </c>
      <c r="K24" s="138"/>
      <c r="L24" s="138">
        <f t="shared" si="1"/>
        <v>41274020.140000001</v>
      </c>
    </row>
    <row r="25" spans="1:12" x14ac:dyDescent="0.2">
      <c r="A25" s="3" t="s">
        <v>292</v>
      </c>
      <c r="B25" s="138">
        <f>'KY_Cost Plant Acct-Elec-P14(Reg'!B25</f>
        <v>55875851.420000009</v>
      </c>
      <c r="C25" s="138"/>
      <c r="D25" s="138">
        <f>'KY_Cost Plant Acct-Elec-P14(Reg'!D25</f>
        <v>5302976.4800000004</v>
      </c>
      <c r="E25" s="138"/>
      <c r="F25" s="138">
        <f>'KY_Cost Plant Acct-Elec-P14(Reg'!F25</f>
        <v>-1600511.42</v>
      </c>
      <c r="G25" s="138"/>
      <c r="H25" s="138">
        <f>'KY_Cost Plant Acct-Elec-P14(Reg'!H25</f>
        <v>0</v>
      </c>
      <c r="I25" s="138"/>
      <c r="J25" s="138">
        <f t="shared" si="0"/>
        <v>3702465.0600000005</v>
      </c>
      <c r="K25" s="138"/>
      <c r="L25" s="138">
        <f t="shared" si="1"/>
        <v>59578316.480000012</v>
      </c>
    </row>
    <row r="26" spans="1:12" x14ac:dyDescent="0.2">
      <c r="A26" s="3" t="s">
        <v>293</v>
      </c>
      <c r="B26" s="138">
        <f>'KY_Cost Plant Acct-Elec-P14(Reg'!B26</f>
        <v>0</v>
      </c>
      <c r="C26" s="138"/>
      <c r="D26" s="138">
        <f>'KY_Cost Plant Acct-Elec-P14(Reg'!D26</f>
        <v>0</v>
      </c>
      <c r="E26" s="138"/>
      <c r="F26" s="138">
        <f>'KY_Cost Plant Acct-Elec-P14(Reg'!F26</f>
        <v>0</v>
      </c>
      <c r="G26" s="138"/>
      <c r="H26" s="138">
        <f>'KY_Cost Plant Acct-Elec-P14(Reg'!H26</f>
        <v>0</v>
      </c>
      <c r="I26" s="138"/>
      <c r="J26" s="138">
        <f>H26+F26+D26</f>
        <v>0</v>
      </c>
      <c r="K26" s="138"/>
      <c r="L26" s="138">
        <f>B26+J26</f>
        <v>0</v>
      </c>
    </row>
    <row r="27" spans="1:12" x14ac:dyDescent="0.2">
      <c r="A27" s="3" t="s">
        <v>295</v>
      </c>
      <c r="B27" s="138">
        <f>'KY_Cost Plant Acct-Elec-P14(Reg'!B27</f>
        <v>414554.36</v>
      </c>
      <c r="C27" s="138"/>
      <c r="D27" s="138">
        <f>'KY_Cost Plant Acct-Elec-P14(Reg'!D27</f>
        <v>0</v>
      </c>
      <c r="E27" s="138"/>
      <c r="F27" s="138">
        <f>'KY_Cost Plant Acct-Elec-P14(Reg'!F27</f>
        <v>0</v>
      </c>
      <c r="G27" s="138"/>
      <c r="H27" s="138">
        <f>'KY_Cost Plant Acct-Elec-P14(Reg'!H27</f>
        <v>-3266.26</v>
      </c>
      <c r="I27" s="138"/>
      <c r="J27" s="138">
        <f>H27+F27+D27</f>
        <v>-3266.26</v>
      </c>
      <c r="K27" s="135"/>
      <c r="L27" s="138">
        <f>B27+J27</f>
        <v>411288.1</v>
      </c>
    </row>
    <row r="28" spans="1:12" x14ac:dyDescent="0.2">
      <c r="A28" s="22" t="s">
        <v>2633</v>
      </c>
      <c r="B28" s="149">
        <f>'KY_Cost Plant Acct-Elec-P14(Reg'!B28</f>
        <v>107736.76999999999</v>
      </c>
      <c r="C28" s="138"/>
      <c r="D28" s="149">
        <f>'KY_Cost Plant Acct-Elec-P14(Reg'!D28</f>
        <v>0</v>
      </c>
      <c r="E28" s="138"/>
      <c r="F28" s="149">
        <f>'KY_Cost Plant Acct-Elec-P14(Reg'!F28</f>
        <v>0</v>
      </c>
      <c r="G28" s="138"/>
      <c r="H28" s="149">
        <f>'KY_Cost Plant Acct-Elec-P14(Reg'!H28</f>
        <v>-77731.460000000006</v>
      </c>
      <c r="I28" s="138"/>
      <c r="J28" s="149">
        <f>H28+F28+D28</f>
        <v>-77731.460000000006</v>
      </c>
      <c r="K28" s="138"/>
      <c r="L28" s="149">
        <f>B28+J28</f>
        <v>30005.309999999983</v>
      </c>
    </row>
    <row r="29" spans="1:12" x14ac:dyDescent="0.2">
      <c r="B29" s="135">
        <f>SUM(B11:B28)</f>
        <v>1184615987.7299998</v>
      </c>
      <c r="C29" s="135"/>
      <c r="D29" s="135">
        <f>SUM(D11:D28)</f>
        <v>63545117.800000012</v>
      </c>
      <c r="E29" s="135"/>
      <c r="F29" s="135">
        <f>SUM(F11:F28)</f>
        <v>-10202649.220000001</v>
      </c>
      <c r="G29" s="135"/>
      <c r="H29" s="135">
        <f>SUM(H11:H28)</f>
        <v>-711002.93</v>
      </c>
      <c r="I29" s="135"/>
      <c r="J29" s="135">
        <f>SUM(J11:J28)</f>
        <v>52631465.650000006</v>
      </c>
      <c r="K29" s="135"/>
      <c r="L29" s="135">
        <f>SUM(L11:L28)</f>
        <v>1237247453.3799999</v>
      </c>
    </row>
    <row r="30" spans="1:12" x14ac:dyDescent="0.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2" x14ac:dyDescent="0.2">
      <c r="A31" s="10" t="s">
        <v>299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2" x14ac:dyDescent="0.2">
      <c r="A32" s="22" t="s">
        <v>300</v>
      </c>
      <c r="B32" s="135">
        <f>'KY_Cost Plant Acct-Elec-P14(Reg'!B32</f>
        <v>740166.03</v>
      </c>
      <c r="C32" s="135"/>
      <c r="D32" s="135">
        <f>'KY_Cost Plant Acct-Elec-P14(Reg'!D32</f>
        <v>175762.76</v>
      </c>
      <c r="E32" s="135"/>
      <c r="F32" s="135">
        <f>'KY_Cost Plant Acct-Elec-P14(Reg'!F32</f>
        <v>-27381.54</v>
      </c>
      <c r="G32" s="135"/>
      <c r="H32" s="135">
        <f>'KY_Cost Plant Acct-Elec-P14(Reg'!H32</f>
        <v>0</v>
      </c>
      <c r="I32" s="135"/>
      <c r="J32" s="135">
        <f>H32+F32+D32</f>
        <v>148381.22</v>
      </c>
      <c r="K32" s="135"/>
      <c r="L32" s="138">
        <f>B32+J32</f>
        <v>888547.25</v>
      </c>
    </row>
    <row r="33" spans="1:12" x14ac:dyDescent="0.2">
      <c r="A33" s="3" t="s">
        <v>2634</v>
      </c>
      <c r="B33" s="135">
        <f>'KY_Cost Plant Acct-Elec-P14(Reg'!B33</f>
        <v>3030111.1400000006</v>
      </c>
      <c r="C33" s="135"/>
      <c r="D33" s="135">
        <f>'KY_Cost Plant Acct-Elec-P14(Reg'!D33</f>
        <v>1648766.84</v>
      </c>
      <c r="E33" s="135"/>
      <c r="F33" s="135">
        <f>'KY_Cost Plant Acct-Elec-P14(Reg'!F33</f>
        <v>-48978.5</v>
      </c>
      <c r="G33" s="135"/>
      <c r="H33" s="135">
        <f>'KY_Cost Plant Acct-Elec-P14(Reg'!H33</f>
        <v>0</v>
      </c>
      <c r="I33" s="135"/>
      <c r="J33" s="135">
        <f t="shared" ref="J33:J39" si="2">H33+F33+D33</f>
        <v>1599788.34</v>
      </c>
      <c r="K33" s="135"/>
      <c r="L33" s="138">
        <f t="shared" ref="L33:L39" si="3">B33+J33</f>
        <v>4629899.4800000004</v>
      </c>
    </row>
    <row r="34" spans="1:12" x14ac:dyDescent="0.2">
      <c r="A34" s="3" t="s">
        <v>302</v>
      </c>
      <c r="B34" s="135">
        <f>'KY_Cost Plant Acct-Elec-P14(Reg'!B34</f>
        <v>499404.83</v>
      </c>
      <c r="C34" s="135"/>
      <c r="D34" s="135">
        <f>'KY_Cost Plant Acct-Elec-P14(Reg'!D34</f>
        <v>0</v>
      </c>
      <c r="E34" s="135"/>
      <c r="F34" s="135">
        <f>'KY_Cost Plant Acct-Elec-P14(Reg'!F34</f>
        <v>0</v>
      </c>
      <c r="G34" s="135"/>
      <c r="H34" s="135">
        <f>'KY_Cost Plant Acct-Elec-P14(Reg'!H34</f>
        <v>0</v>
      </c>
      <c r="I34" s="135"/>
      <c r="J34" s="135">
        <f t="shared" si="2"/>
        <v>0</v>
      </c>
      <c r="K34" s="135"/>
      <c r="L34" s="138">
        <f t="shared" si="3"/>
        <v>499404.83</v>
      </c>
    </row>
    <row r="35" spans="1:12" x14ac:dyDescent="0.2">
      <c r="A35" s="3" t="s">
        <v>304</v>
      </c>
      <c r="B35" s="135">
        <f>'KY_Cost Plant Acct-Elec-P14(Reg'!B35</f>
        <v>5554265.330000001</v>
      </c>
      <c r="C35" s="135"/>
      <c r="D35" s="135">
        <f>'KY_Cost Plant Acct-Elec-P14(Reg'!D35</f>
        <v>448930.63</v>
      </c>
      <c r="E35" s="135"/>
      <c r="F35" s="135">
        <f>'KY_Cost Plant Acct-Elec-P14(Reg'!F35</f>
        <v>-92166.14</v>
      </c>
      <c r="G35" s="135"/>
      <c r="H35" s="135">
        <f>'KY_Cost Plant Acct-Elec-P14(Reg'!H35</f>
        <v>0</v>
      </c>
      <c r="I35" s="135"/>
      <c r="J35" s="135">
        <f t="shared" si="2"/>
        <v>356764.49</v>
      </c>
      <c r="K35" s="135"/>
      <c r="L35" s="138">
        <f t="shared" si="3"/>
        <v>5911029.8200000012</v>
      </c>
    </row>
    <row r="36" spans="1:12" x14ac:dyDescent="0.2">
      <c r="A36" s="3" t="s">
        <v>305</v>
      </c>
      <c r="B36" s="135">
        <f>'KY_Cost Plant Acct-Elec-P14(Reg'!B36</f>
        <v>0</v>
      </c>
      <c r="C36" s="135"/>
      <c r="D36" s="135">
        <f>'KY_Cost Plant Acct-Elec-P14(Reg'!D36</f>
        <v>0</v>
      </c>
      <c r="E36" s="135"/>
      <c r="F36" s="135">
        <f>'KY_Cost Plant Acct-Elec-P14(Reg'!F36</f>
        <v>0</v>
      </c>
      <c r="G36" s="135"/>
      <c r="H36" s="135">
        <f>'KY_Cost Plant Acct-Elec-P14(Reg'!H36</f>
        <v>0</v>
      </c>
      <c r="I36" s="135"/>
      <c r="J36" s="135">
        <f t="shared" si="2"/>
        <v>0</v>
      </c>
      <c r="K36" s="135"/>
      <c r="L36" s="138">
        <f t="shared" si="3"/>
        <v>0</v>
      </c>
    </row>
    <row r="37" spans="1:12" x14ac:dyDescent="0.2">
      <c r="A37" s="3" t="s">
        <v>306</v>
      </c>
      <c r="B37" s="135">
        <f>'KY_Cost Plant Acct-Elec-P14(Reg'!B37</f>
        <v>1877867.3099999998</v>
      </c>
      <c r="C37" s="135"/>
      <c r="D37" s="135">
        <f>'KY_Cost Plant Acct-Elec-P14(Reg'!D37</f>
        <v>235691.34</v>
      </c>
      <c r="E37" s="135"/>
      <c r="F37" s="135">
        <f>'KY_Cost Plant Acct-Elec-P14(Reg'!F37</f>
        <v>0</v>
      </c>
      <c r="G37" s="135"/>
      <c r="H37" s="135">
        <f>'KY_Cost Plant Acct-Elec-P14(Reg'!H37</f>
        <v>0</v>
      </c>
      <c r="I37" s="135"/>
      <c r="J37" s="135">
        <f t="shared" si="2"/>
        <v>235691.34</v>
      </c>
      <c r="K37" s="135"/>
      <c r="L37" s="138">
        <f t="shared" si="3"/>
        <v>2113558.65</v>
      </c>
    </row>
    <row r="38" spans="1:12" x14ac:dyDescent="0.2">
      <c r="A38" s="3" t="s">
        <v>307</v>
      </c>
      <c r="B38" s="135">
        <f>'KY_Cost Plant Acct-Elec-P14(Reg'!B38</f>
        <v>196248.24</v>
      </c>
      <c r="C38" s="135"/>
      <c r="D38" s="135">
        <f>'KY_Cost Plant Acct-Elec-P14(Reg'!D38</f>
        <v>0</v>
      </c>
      <c r="E38" s="135"/>
      <c r="F38" s="135">
        <f>'KY_Cost Plant Acct-Elec-P14(Reg'!F38</f>
        <v>0</v>
      </c>
      <c r="G38" s="135"/>
      <c r="H38" s="135">
        <f>'KY_Cost Plant Acct-Elec-P14(Reg'!H38</f>
        <v>0</v>
      </c>
      <c r="I38" s="135"/>
      <c r="J38" s="135">
        <f t="shared" si="2"/>
        <v>0</v>
      </c>
      <c r="K38" s="135"/>
      <c r="L38" s="135">
        <f t="shared" si="3"/>
        <v>196248.24</v>
      </c>
    </row>
    <row r="39" spans="1:12" x14ac:dyDescent="0.2">
      <c r="A39" s="22" t="s">
        <v>309</v>
      </c>
      <c r="B39" s="135">
        <f>'KY_Cost Plant Acct-Elec-P14(Reg'!B39</f>
        <v>4696663.26</v>
      </c>
      <c r="C39" s="135"/>
      <c r="D39" s="135">
        <f>'KY_Cost Plant Acct-Elec-P14(Reg'!D39</f>
        <v>1503755.32</v>
      </c>
      <c r="E39" s="135"/>
      <c r="F39" s="135">
        <f>'KY_Cost Plant Acct-Elec-P14(Reg'!F39</f>
        <v>-407012.05</v>
      </c>
      <c r="G39" s="135"/>
      <c r="H39" s="135">
        <f>'KY_Cost Plant Acct-Elec-P14(Reg'!H39</f>
        <v>0</v>
      </c>
      <c r="I39" s="135"/>
      <c r="J39" s="135">
        <f t="shared" si="2"/>
        <v>1096743.27</v>
      </c>
      <c r="K39" s="135"/>
      <c r="L39" s="135">
        <f t="shared" si="3"/>
        <v>5793406.5299999993</v>
      </c>
    </row>
    <row r="40" spans="1:12" x14ac:dyDescent="0.2">
      <c r="B40" s="148">
        <f>SUM(B32:B39)</f>
        <v>16594726.140000002</v>
      </c>
      <c r="C40" s="135"/>
      <c r="D40" s="148">
        <f>SUM(D32:D39)</f>
        <v>4012906.8899999997</v>
      </c>
      <c r="E40" s="135"/>
      <c r="F40" s="148">
        <f>SUM(F32:F39)</f>
        <v>-575538.23</v>
      </c>
      <c r="G40" s="135"/>
      <c r="H40" s="148">
        <f>SUM(H32:H39)</f>
        <v>0</v>
      </c>
      <c r="I40" s="135"/>
      <c r="J40" s="148">
        <f>SUM(J32:J39)</f>
        <v>3437368.6599999997</v>
      </c>
      <c r="K40" s="135"/>
      <c r="L40" s="148">
        <f>SUM(L32:L39)</f>
        <v>20032094.800000004</v>
      </c>
    </row>
    <row r="41" spans="1:12" x14ac:dyDescent="0.2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2" x14ac:dyDescent="0.2">
      <c r="A42" s="10" t="s">
        <v>311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2" x14ac:dyDescent="0.2">
      <c r="A43" s="3" t="s">
        <v>312</v>
      </c>
      <c r="B43" s="135">
        <f>'KY_Cost Plant Acct-Elec-P14(Reg'!B43</f>
        <v>6.5</v>
      </c>
      <c r="C43" s="135"/>
      <c r="D43" s="135">
        <f>'KY_Cost Plant Acct-Elec-P14(Reg'!D43</f>
        <v>0</v>
      </c>
      <c r="E43" s="135"/>
      <c r="F43" s="135">
        <f>'KY_Cost Plant Acct-Elec-P14(Reg'!F43</f>
        <v>0</v>
      </c>
      <c r="G43" s="135"/>
      <c r="H43" s="135">
        <f>'KY_Cost Plant Acct-Elec-P14(Reg'!H43</f>
        <v>0</v>
      </c>
      <c r="I43" s="135"/>
      <c r="J43" s="135">
        <f t="shared" ref="J43:J50" si="4">H43+F43+D43</f>
        <v>0</v>
      </c>
      <c r="K43" s="135"/>
      <c r="L43" s="138">
        <f t="shared" ref="L43:L50" si="5">B43+J43</f>
        <v>6.5</v>
      </c>
    </row>
    <row r="44" spans="1:12" x14ac:dyDescent="0.2">
      <c r="A44" s="3" t="s">
        <v>313</v>
      </c>
      <c r="B44" s="135">
        <f>'KY_Cost Plant Acct-Elec-P14(Reg'!B44</f>
        <v>6080561.1600000001</v>
      </c>
      <c r="C44" s="135"/>
      <c r="D44" s="135">
        <f>'KY_Cost Plant Acct-Elec-P14(Reg'!D44</f>
        <v>144205.76000000001</v>
      </c>
      <c r="E44" s="135"/>
      <c r="F44" s="135">
        <f>'KY_Cost Plant Acct-Elec-P14(Reg'!F44</f>
        <v>-3671.55</v>
      </c>
      <c r="G44" s="135"/>
      <c r="H44" s="135">
        <f>'KY_Cost Plant Acct-Elec-P14(Reg'!H44</f>
        <v>0</v>
      </c>
      <c r="I44" s="135"/>
      <c r="J44" s="135">
        <f t="shared" si="4"/>
        <v>140534.21000000002</v>
      </c>
      <c r="K44" s="135"/>
      <c r="L44" s="138">
        <f t="shared" si="5"/>
        <v>6221095.3700000001</v>
      </c>
    </row>
    <row r="45" spans="1:12" x14ac:dyDescent="0.2">
      <c r="A45" s="3" t="s">
        <v>314</v>
      </c>
      <c r="B45" s="135">
        <f>'KY_Cost Plant Acct-Elec-P14(Reg'!B45</f>
        <v>13187542.780000001</v>
      </c>
      <c r="C45" s="135"/>
      <c r="D45" s="135">
        <f>'KY_Cost Plant Acct-Elec-P14(Reg'!D45</f>
        <v>104429.18</v>
      </c>
      <c r="E45" s="135"/>
      <c r="F45" s="135">
        <f>'KY_Cost Plant Acct-Elec-P14(Reg'!F45</f>
        <v>-73001.94</v>
      </c>
      <c r="G45" s="135"/>
      <c r="H45" s="135">
        <f>'KY_Cost Plant Acct-Elec-P14(Reg'!H45</f>
        <v>0</v>
      </c>
      <c r="I45" s="135"/>
      <c r="J45" s="135">
        <f t="shared" si="4"/>
        <v>31427.239999999991</v>
      </c>
      <c r="K45" s="135"/>
      <c r="L45" s="138">
        <f t="shared" si="5"/>
        <v>13218970.020000001</v>
      </c>
    </row>
    <row r="46" spans="1:12" x14ac:dyDescent="0.2">
      <c r="A46" s="3" t="s">
        <v>315</v>
      </c>
      <c r="B46" s="135">
        <f>'KY_Cost Plant Acct-Elec-P14(Reg'!B46</f>
        <v>35965551.840000004</v>
      </c>
      <c r="C46" s="135"/>
      <c r="D46" s="135">
        <f>'KY_Cost Plant Acct-Elec-P14(Reg'!D46</f>
        <v>262562</v>
      </c>
      <c r="E46" s="135"/>
      <c r="F46" s="135">
        <f>'KY_Cost Plant Acct-Elec-P14(Reg'!F46</f>
        <v>-57217.4</v>
      </c>
      <c r="G46" s="135"/>
      <c r="H46" s="135">
        <f>'KY_Cost Plant Acct-Elec-P14(Reg'!H46</f>
        <v>0</v>
      </c>
      <c r="I46" s="135"/>
      <c r="J46" s="135">
        <f t="shared" si="4"/>
        <v>205344.6</v>
      </c>
      <c r="K46" s="135"/>
      <c r="L46" s="138">
        <f t="shared" si="5"/>
        <v>36170896.440000005</v>
      </c>
    </row>
    <row r="47" spans="1:12" x14ac:dyDescent="0.2">
      <c r="A47" s="3" t="s">
        <v>316</v>
      </c>
      <c r="B47" s="135">
        <f>'KY_Cost Plant Acct-Elec-P14(Reg'!B47</f>
        <v>6138513.4100000001</v>
      </c>
      <c r="C47" s="135"/>
      <c r="D47" s="135">
        <f>'KY_Cost Plant Acct-Elec-P14(Reg'!D47</f>
        <v>9385.81</v>
      </c>
      <c r="E47" s="135"/>
      <c r="F47" s="135">
        <f>'KY_Cost Plant Acct-Elec-P14(Reg'!F47</f>
        <v>0</v>
      </c>
      <c r="G47" s="135"/>
      <c r="H47" s="135">
        <f>'KY_Cost Plant Acct-Elec-P14(Reg'!H47</f>
        <v>0</v>
      </c>
      <c r="I47" s="135"/>
      <c r="J47" s="135">
        <f t="shared" si="4"/>
        <v>9385.81</v>
      </c>
      <c r="K47" s="135"/>
      <c r="L47" s="138">
        <f t="shared" si="5"/>
        <v>6147899.2199999997</v>
      </c>
    </row>
    <row r="48" spans="1:12" x14ac:dyDescent="0.2">
      <c r="A48" s="3" t="s">
        <v>317</v>
      </c>
      <c r="B48" s="135">
        <f>'KY_Cost Plant Acct-Elec-P14(Reg'!B48</f>
        <v>340063.52</v>
      </c>
      <c r="C48" s="135"/>
      <c r="D48" s="135">
        <f>'KY_Cost Plant Acct-Elec-P14(Reg'!D48</f>
        <v>0</v>
      </c>
      <c r="E48" s="135"/>
      <c r="F48" s="135">
        <f>'KY_Cost Plant Acct-Elec-P14(Reg'!F48</f>
        <v>-1539</v>
      </c>
      <c r="G48" s="135"/>
      <c r="H48" s="135">
        <f>'KY_Cost Plant Acct-Elec-P14(Reg'!H48</f>
        <v>0</v>
      </c>
      <c r="I48" s="135"/>
      <c r="J48" s="135">
        <f t="shared" si="4"/>
        <v>-1539</v>
      </c>
      <c r="K48" s="135"/>
      <c r="L48" s="138">
        <f t="shared" si="5"/>
        <v>338524.52</v>
      </c>
    </row>
    <row r="49" spans="1:12" x14ac:dyDescent="0.2">
      <c r="A49" s="3" t="s">
        <v>318</v>
      </c>
      <c r="B49" s="135">
        <f>'KY_Cost Plant Acct-Elec-P14(Reg'!B49</f>
        <v>29930.61</v>
      </c>
      <c r="C49" s="135"/>
      <c r="D49" s="135">
        <f>'KY_Cost Plant Acct-Elec-P14(Reg'!D49</f>
        <v>0</v>
      </c>
      <c r="E49" s="135"/>
      <c r="F49" s="135">
        <f>'KY_Cost Plant Acct-Elec-P14(Reg'!F49</f>
        <v>0</v>
      </c>
      <c r="G49" s="135"/>
      <c r="H49" s="135">
        <f>'KY_Cost Plant Acct-Elec-P14(Reg'!H49</f>
        <v>0</v>
      </c>
      <c r="I49" s="135"/>
      <c r="J49" s="135">
        <f t="shared" si="4"/>
        <v>0</v>
      </c>
      <c r="K49" s="135"/>
      <c r="L49" s="138">
        <f t="shared" si="5"/>
        <v>29930.61</v>
      </c>
    </row>
    <row r="50" spans="1:12" x14ac:dyDescent="0.2">
      <c r="A50" s="3" t="s">
        <v>319</v>
      </c>
      <c r="B50" s="149">
        <f>'KY_Cost Plant Acct-Elec-P14(Reg'!B50</f>
        <v>257804.55</v>
      </c>
      <c r="C50" s="135"/>
      <c r="D50" s="149">
        <f>'KY_Cost Plant Acct-Elec-P14(Reg'!D50</f>
        <v>0</v>
      </c>
      <c r="E50" s="135"/>
      <c r="F50" s="149">
        <f>'KY_Cost Plant Acct-Elec-P14(Reg'!F50</f>
        <v>0</v>
      </c>
      <c r="G50" s="135"/>
      <c r="H50" s="149">
        <f>'KY_Cost Plant Acct-Elec-P14(Reg'!H50</f>
        <v>208841.18</v>
      </c>
      <c r="I50" s="135"/>
      <c r="J50" s="149">
        <f t="shared" si="4"/>
        <v>208841.18</v>
      </c>
      <c r="K50" s="135"/>
      <c r="L50" s="149">
        <f t="shared" si="5"/>
        <v>466645.73</v>
      </c>
    </row>
    <row r="51" spans="1:12" x14ac:dyDescent="0.2">
      <c r="B51" s="135">
        <f>SUM(B43:B50)</f>
        <v>61999974.369999997</v>
      </c>
      <c r="C51" s="135"/>
      <c r="D51" s="135">
        <f>SUM(D43:D50)</f>
        <v>520582.75</v>
      </c>
      <c r="E51" s="135"/>
      <c r="F51" s="135">
        <f>SUM(F43:F50)</f>
        <v>-135429.89000000001</v>
      </c>
      <c r="G51" s="135"/>
      <c r="H51" s="135">
        <f>SUM(H43:H50)</f>
        <v>208841.18</v>
      </c>
      <c r="I51" s="135"/>
      <c r="J51" s="135">
        <f>SUM(J43:J50)</f>
        <v>593994.04</v>
      </c>
      <c r="K51" s="135"/>
      <c r="L51" s="135">
        <f>SUM(L43:L50)</f>
        <v>62593968.410000004</v>
      </c>
    </row>
    <row r="52" spans="1:12" x14ac:dyDescent="0.2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1:12" x14ac:dyDescent="0.2">
      <c r="A53" s="10" t="s">
        <v>321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2" x14ac:dyDescent="0.2">
      <c r="A54" s="3" t="s">
        <v>322</v>
      </c>
      <c r="B54" s="135">
        <f>'KY_Cost Plant Acct-Elec-P14(Reg'!B54</f>
        <v>2240.29</v>
      </c>
      <c r="C54" s="135"/>
      <c r="D54" s="135">
        <f>'KY_Cost Plant Acct-Elec-P14(Reg'!D54</f>
        <v>0</v>
      </c>
      <c r="E54" s="135"/>
      <c r="F54" s="135">
        <f>'KY_Cost Plant Acct-Elec-P14(Reg'!F54</f>
        <v>0</v>
      </c>
      <c r="G54" s="135"/>
      <c r="H54" s="135">
        <f>'KY_Cost Plant Acct-Elec-P14(Reg'!H54</f>
        <v>0</v>
      </c>
      <c r="I54" s="135"/>
      <c r="J54" s="135">
        <f>H54+F54+D54</f>
        <v>0</v>
      </c>
      <c r="K54" s="135"/>
      <c r="L54" s="138">
        <f>B54+J54</f>
        <v>2240.29</v>
      </c>
    </row>
    <row r="55" spans="1:12" x14ac:dyDescent="0.2">
      <c r="A55" s="3" t="s">
        <v>323</v>
      </c>
      <c r="B55" s="149">
        <f>'KY_Cost Plant Acct-Elec-P14(Reg'!B55</f>
        <v>0</v>
      </c>
      <c r="C55" s="135"/>
      <c r="D55" s="149">
        <f>'KY_Cost Plant Acct-Elec-P14(Reg'!D55</f>
        <v>0</v>
      </c>
      <c r="E55" s="135"/>
      <c r="F55" s="149">
        <f>'KY_Cost Plant Acct-Elec-P14(Reg'!F55</f>
        <v>0</v>
      </c>
      <c r="G55" s="135"/>
      <c r="H55" s="149">
        <f>'KY_Cost Plant Acct-Elec-P14(Reg'!H55</f>
        <v>0</v>
      </c>
      <c r="I55" s="135"/>
      <c r="J55" s="149">
        <f>H55+F55+D55</f>
        <v>0</v>
      </c>
      <c r="K55" s="135"/>
      <c r="L55" s="149">
        <f>B55+J55</f>
        <v>0</v>
      </c>
    </row>
    <row r="56" spans="1:12" x14ac:dyDescent="0.2">
      <c r="B56" s="135">
        <f>SUM(B54:B55)</f>
        <v>2240.29</v>
      </c>
      <c r="C56" s="135"/>
      <c r="D56" s="135">
        <f>SUM(D54:D55)</f>
        <v>0</v>
      </c>
      <c r="E56" s="135"/>
      <c r="F56" s="135">
        <f>SUM(F54:F55)</f>
        <v>0</v>
      </c>
      <c r="G56" s="135"/>
      <c r="H56" s="135">
        <f>SUM(H54:H55)</f>
        <v>0</v>
      </c>
      <c r="I56" s="135"/>
      <c r="J56" s="135">
        <f>SUM(J54:J55)</f>
        <v>0</v>
      </c>
      <c r="K56" s="135"/>
      <c r="L56" s="135">
        <f>SUM(L54:L55)</f>
        <v>2240.29</v>
      </c>
    </row>
    <row r="57" spans="1:12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2" x14ac:dyDescent="0.2">
      <c r="A58" s="10" t="s">
        <v>325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</row>
    <row r="59" spans="1:12" x14ac:dyDescent="0.2">
      <c r="A59" s="3" t="s">
        <v>326</v>
      </c>
      <c r="B59" s="138">
        <f>'KY_Cost Plant Acct-Elec-P14(Reg'!B59</f>
        <v>20260.009999999987</v>
      </c>
      <c r="C59" s="138"/>
      <c r="D59" s="138">
        <f>'KY_Cost Plant Acct-Elec-P14(Reg'!D59</f>
        <v>103618.65</v>
      </c>
      <c r="E59" s="138"/>
      <c r="F59" s="138">
        <f>'KY_Cost Plant Acct-Elec-P14(Reg'!F59</f>
        <v>0</v>
      </c>
      <c r="G59" s="138"/>
      <c r="H59" s="138">
        <f>'KY_Cost Plant Acct-Elec-P14(Reg'!H59</f>
        <v>0</v>
      </c>
      <c r="I59" s="138"/>
      <c r="J59" s="138">
        <f t="shared" ref="J59:J67" si="6">H59+F59+D59</f>
        <v>103618.65</v>
      </c>
      <c r="K59" s="138"/>
      <c r="L59" s="138">
        <f t="shared" ref="L59:L67" si="7">B59+J59</f>
        <v>123878.65999999997</v>
      </c>
    </row>
    <row r="60" spans="1:12" x14ac:dyDescent="0.2">
      <c r="A60" s="3" t="s">
        <v>327</v>
      </c>
      <c r="B60" s="138">
        <f>'KY_Cost Plant Acct-Elec-P14(Reg'!B60</f>
        <v>18645070.309999999</v>
      </c>
      <c r="C60" s="138"/>
      <c r="D60" s="138">
        <f>'KY_Cost Plant Acct-Elec-P14(Reg'!D60</f>
        <v>13875318.99</v>
      </c>
      <c r="E60" s="138"/>
      <c r="F60" s="138">
        <f>'KY_Cost Plant Acct-Elec-P14(Reg'!F60</f>
        <v>-133323.26999999999</v>
      </c>
      <c r="G60" s="138"/>
      <c r="H60" s="138">
        <f>'KY_Cost Plant Acct-Elec-P14(Reg'!H60</f>
        <v>0</v>
      </c>
      <c r="I60" s="138"/>
      <c r="J60" s="138">
        <f t="shared" si="6"/>
        <v>13741995.720000001</v>
      </c>
      <c r="K60" s="138"/>
      <c r="L60" s="138">
        <f t="shared" si="7"/>
        <v>32387066.030000001</v>
      </c>
    </row>
    <row r="61" spans="1:12" x14ac:dyDescent="0.2">
      <c r="A61" s="3" t="s">
        <v>328</v>
      </c>
      <c r="B61" s="138">
        <f>'KY_Cost Plant Acct-Elec-P14(Reg'!B61</f>
        <v>8286919.4600000018</v>
      </c>
      <c r="C61" s="138"/>
      <c r="D61" s="138">
        <f>'KY_Cost Plant Acct-Elec-P14(Reg'!D61</f>
        <v>8361884.25</v>
      </c>
      <c r="E61" s="138"/>
      <c r="F61" s="138">
        <f>'KY_Cost Plant Acct-Elec-P14(Reg'!F61</f>
        <v>0</v>
      </c>
      <c r="G61" s="138"/>
      <c r="H61" s="138">
        <f>'KY_Cost Plant Acct-Elec-P14(Reg'!H61</f>
        <v>0</v>
      </c>
      <c r="I61" s="138"/>
      <c r="J61" s="138">
        <f t="shared" si="6"/>
        <v>8361884.25</v>
      </c>
      <c r="K61" s="138"/>
      <c r="L61" s="138">
        <f t="shared" si="7"/>
        <v>16648803.710000001</v>
      </c>
    </row>
    <row r="62" spans="1:12" x14ac:dyDescent="0.2">
      <c r="A62" s="3" t="s">
        <v>329</v>
      </c>
      <c r="B62" s="138">
        <f>'KY_Cost Plant Acct-Elec-P14(Reg'!B62</f>
        <v>163065119.24999997</v>
      </c>
      <c r="C62" s="138"/>
      <c r="D62" s="138">
        <f>'KY_Cost Plant Acct-Elec-P14(Reg'!D62</f>
        <v>71216776.469999999</v>
      </c>
      <c r="E62" s="138"/>
      <c r="F62" s="138">
        <f>'KY_Cost Plant Acct-Elec-P14(Reg'!F62</f>
        <v>-27072.28</v>
      </c>
      <c r="G62" s="138"/>
      <c r="H62" s="138">
        <f>'KY_Cost Plant Acct-Elec-P14(Reg'!H62</f>
        <v>0</v>
      </c>
      <c r="I62" s="138"/>
      <c r="J62" s="138">
        <f t="shared" si="6"/>
        <v>71189704.189999998</v>
      </c>
      <c r="K62" s="138"/>
      <c r="L62" s="138">
        <f t="shared" si="7"/>
        <v>234254823.43999997</v>
      </c>
    </row>
    <row r="63" spans="1:12" x14ac:dyDescent="0.2">
      <c r="A63" s="3" t="s">
        <v>330</v>
      </c>
      <c r="B63" s="138">
        <f>'KY_Cost Plant Acct-Elec-P14(Reg'!B63</f>
        <v>33697764.199999996</v>
      </c>
      <c r="C63" s="138"/>
      <c r="D63" s="138">
        <f>'KY_Cost Plant Acct-Elec-P14(Reg'!D63</f>
        <v>16202890.130000001</v>
      </c>
      <c r="E63" s="138"/>
      <c r="F63" s="138">
        <f>'KY_Cost Plant Acct-Elec-P14(Reg'!F63</f>
        <v>-40808.99</v>
      </c>
      <c r="G63" s="138"/>
      <c r="H63" s="138">
        <f>'KY_Cost Plant Acct-Elec-P14(Reg'!H63</f>
        <v>0</v>
      </c>
      <c r="I63" s="138"/>
      <c r="J63" s="138">
        <f t="shared" si="6"/>
        <v>16162081.140000001</v>
      </c>
      <c r="K63" s="138"/>
      <c r="L63" s="138">
        <f t="shared" si="7"/>
        <v>49859845.339999996</v>
      </c>
    </row>
    <row r="64" spans="1:12" x14ac:dyDescent="0.2">
      <c r="A64" s="3" t="s">
        <v>331</v>
      </c>
      <c r="B64" s="138">
        <f>'KY_Cost Plant Acct-Elec-P14(Reg'!B64</f>
        <v>21706212.809999999</v>
      </c>
      <c r="C64" s="138"/>
      <c r="D64" s="138">
        <f>'KY_Cost Plant Acct-Elec-P14(Reg'!D64</f>
        <v>5580777.29</v>
      </c>
      <c r="E64" s="138"/>
      <c r="F64" s="138">
        <f>'KY_Cost Plant Acct-Elec-P14(Reg'!F64</f>
        <v>-89026.15</v>
      </c>
      <c r="G64" s="138"/>
      <c r="H64" s="138">
        <f>'KY_Cost Plant Acct-Elec-P14(Reg'!H64</f>
        <v>0</v>
      </c>
      <c r="I64" s="138"/>
      <c r="J64" s="138">
        <f t="shared" si="6"/>
        <v>5491751.1399999997</v>
      </c>
      <c r="K64" s="138"/>
      <c r="L64" s="138">
        <f t="shared" si="7"/>
        <v>27197963.949999999</v>
      </c>
    </row>
    <row r="65" spans="1:12" x14ac:dyDescent="0.2">
      <c r="A65" s="3" t="s">
        <v>332</v>
      </c>
      <c r="B65" s="138">
        <f>'KY_Cost Plant Acct-Elec-P14(Reg'!B65</f>
        <v>3798739.55</v>
      </c>
      <c r="C65" s="138"/>
      <c r="D65" s="138">
        <f>'KY_Cost Plant Acct-Elec-P14(Reg'!D65</f>
        <v>881088.1</v>
      </c>
      <c r="E65" s="138"/>
      <c r="F65" s="138">
        <f>'KY_Cost Plant Acct-Elec-P14(Reg'!F65</f>
        <v>0</v>
      </c>
      <c r="G65" s="138"/>
      <c r="H65" s="138">
        <f>'KY_Cost Plant Acct-Elec-P14(Reg'!H65</f>
        <v>0</v>
      </c>
      <c r="I65" s="138"/>
      <c r="J65" s="138">
        <f t="shared" si="6"/>
        <v>881088.1</v>
      </c>
      <c r="K65" s="138"/>
      <c r="L65" s="138">
        <f t="shared" si="7"/>
        <v>4679827.6499999994</v>
      </c>
    </row>
    <row r="66" spans="1:12" x14ac:dyDescent="0.2">
      <c r="A66" s="3" t="s">
        <v>333</v>
      </c>
      <c r="B66" s="138">
        <f>'KY_Cost Plant Acct-Elec-P14(Reg'!B66</f>
        <v>21719.7</v>
      </c>
      <c r="C66" s="138"/>
      <c r="D66" s="138">
        <f>'KY_Cost Plant Acct-Elec-P14(Reg'!D66</f>
        <v>0</v>
      </c>
      <c r="E66" s="138"/>
      <c r="F66" s="138">
        <f>'KY_Cost Plant Acct-Elec-P14(Reg'!F66</f>
        <v>0</v>
      </c>
      <c r="G66" s="138"/>
      <c r="H66" s="138">
        <f>'KY_Cost Plant Acct-Elec-P14(Reg'!H66</f>
        <v>-6164.22</v>
      </c>
      <c r="I66" s="138"/>
      <c r="J66" s="138">
        <f t="shared" si="6"/>
        <v>-6164.22</v>
      </c>
      <c r="K66" s="138"/>
      <c r="L66" s="138">
        <f t="shared" si="7"/>
        <v>15555.48</v>
      </c>
    </row>
    <row r="67" spans="1:12" x14ac:dyDescent="0.2">
      <c r="A67" s="3" t="s">
        <v>334</v>
      </c>
      <c r="B67" s="149">
        <f>'KY_Cost Plant Acct-Elec-P14(Reg'!B67</f>
        <v>62543.96</v>
      </c>
      <c r="C67" s="138"/>
      <c r="D67" s="149">
        <f>'KY_Cost Plant Acct-Elec-P14(Reg'!D67</f>
        <v>0</v>
      </c>
      <c r="E67" s="138"/>
      <c r="F67" s="149">
        <f>'KY_Cost Plant Acct-Elec-P14(Reg'!F67</f>
        <v>0</v>
      </c>
      <c r="G67" s="138"/>
      <c r="H67" s="149">
        <f>'KY_Cost Plant Acct-Elec-P14(Reg'!H67</f>
        <v>0</v>
      </c>
      <c r="I67" s="138"/>
      <c r="J67" s="149">
        <f t="shared" si="6"/>
        <v>0</v>
      </c>
      <c r="K67" s="135"/>
      <c r="L67" s="149">
        <f t="shared" si="7"/>
        <v>62543.96</v>
      </c>
    </row>
    <row r="68" spans="1:12" x14ac:dyDescent="0.2">
      <c r="B68" s="135">
        <f>SUM(B59:B67)</f>
        <v>249304349.24999997</v>
      </c>
      <c r="C68" s="135"/>
      <c r="D68" s="135">
        <f>SUM(D59:D67)</f>
        <v>116222353.88</v>
      </c>
      <c r="E68" s="135"/>
      <c r="F68" s="135">
        <f>SUM(F59:F67)</f>
        <v>-290230.68999999994</v>
      </c>
      <c r="G68" s="135"/>
      <c r="H68" s="135">
        <f>SUM(H59:H67)</f>
        <v>-6164.22</v>
      </c>
      <c r="I68" s="135"/>
      <c r="J68" s="135">
        <f>SUM(J59:J67)</f>
        <v>115925958.97</v>
      </c>
      <c r="K68" s="135"/>
      <c r="L68" s="135">
        <f>SUM(L59:L67)</f>
        <v>365230308.21999991</v>
      </c>
    </row>
    <row r="69" spans="1:12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1:12" x14ac:dyDescent="0.2">
      <c r="A70" s="10" t="s">
        <v>337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1:12" x14ac:dyDescent="0.2">
      <c r="A71" s="3" t="s">
        <v>338</v>
      </c>
      <c r="B71" s="135">
        <f>'KY_Cost Plant Acct-Elec-P14(Reg'!B71</f>
        <v>6427075.1499999994</v>
      </c>
      <c r="C71" s="135"/>
      <c r="D71" s="135">
        <f>'KY_Cost Plant Acct-Elec-P14(Reg'!D71</f>
        <v>0</v>
      </c>
      <c r="E71" s="135"/>
      <c r="F71" s="135">
        <f>'KY_Cost Plant Acct-Elec-P14(Reg'!F71</f>
        <v>0</v>
      </c>
      <c r="G71" s="135"/>
      <c r="H71" s="135">
        <f>'KY_Cost Plant Acct-Elec-P14(Reg'!H71</f>
        <v>839535.3</v>
      </c>
      <c r="I71" s="135"/>
      <c r="J71" s="135">
        <f t="shared" ref="J71:J83" si="8">H71+F71+D71</f>
        <v>839535.3</v>
      </c>
      <c r="K71" s="135"/>
      <c r="L71" s="138">
        <f t="shared" ref="L71:L83" si="9">B71+J71</f>
        <v>7266610.4499999993</v>
      </c>
    </row>
    <row r="72" spans="1:12" x14ac:dyDescent="0.2">
      <c r="A72" s="3" t="s">
        <v>339</v>
      </c>
      <c r="B72" s="135">
        <f>'KY_Cost Plant Acct-Elec-P14(Reg'!B72</f>
        <v>0</v>
      </c>
      <c r="C72" s="135"/>
      <c r="D72" s="135">
        <f>'KY_Cost Plant Acct-Elec-P14(Reg'!D72</f>
        <v>0</v>
      </c>
      <c r="E72" s="135"/>
      <c r="F72" s="135">
        <f>'KY_Cost Plant Acct-Elec-P14(Reg'!F72</f>
        <v>0</v>
      </c>
      <c r="G72" s="135"/>
      <c r="H72" s="135">
        <f>'KY_Cost Plant Acct-Elec-P14(Reg'!H72</f>
        <v>0</v>
      </c>
      <c r="I72" s="135"/>
      <c r="J72" s="135">
        <f>H72+F72+D72</f>
        <v>0</v>
      </c>
      <c r="K72" s="135"/>
      <c r="L72" s="138">
        <f>B72+J72</f>
        <v>0</v>
      </c>
    </row>
    <row r="73" spans="1:12" x14ac:dyDescent="0.2">
      <c r="A73" s="3" t="s">
        <v>340</v>
      </c>
      <c r="B73" s="135">
        <f>'KY_Cost Plant Acct-Elec-P14(Reg'!B73</f>
        <v>360851.26</v>
      </c>
      <c r="C73" s="135"/>
      <c r="D73" s="135">
        <f>'KY_Cost Plant Acct-Elec-P14(Reg'!D73</f>
        <v>0</v>
      </c>
      <c r="E73" s="135"/>
      <c r="F73" s="135">
        <f>'KY_Cost Plant Acct-Elec-P14(Reg'!F73</f>
        <v>0</v>
      </c>
      <c r="G73" s="135"/>
      <c r="H73" s="135">
        <f>'KY_Cost Plant Acct-Elec-P14(Reg'!H73</f>
        <v>0</v>
      </c>
      <c r="I73" s="135"/>
      <c r="J73" s="135">
        <f>H73+F73+D73</f>
        <v>0</v>
      </c>
      <c r="K73" s="135"/>
      <c r="L73" s="138">
        <f>B73+J73</f>
        <v>360851.26</v>
      </c>
    </row>
    <row r="74" spans="1:12" x14ac:dyDescent="0.2">
      <c r="A74" s="3" t="s">
        <v>342</v>
      </c>
      <c r="B74" s="135">
        <f>'KY_Cost Plant Acct-Elec-P14(Reg'!B74+'Capital Leased Prop P25 (Reg)'!B10</f>
        <v>275774463.87</v>
      </c>
      <c r="C74" s="135"/>
      <c r="D74" s="135">
        <f>'KY_Cost Plant Acct-Elec-P14(Reg'!D74+'Capital Leased Prop P25 (Reg)'!D10</f>
        <v>1180349.02</v>
      </c>
      <c r="E74" s="135"/>
      <c r="F74" s="135">
        <f>'KY_Cost Plant Acct-Elec-P14(Reg'!F74+'Capital Leased Prop P25 (Reg)'!F10</f>
        <v>-533974.97</v>
      </c>
      <c r="G74" s="135"/>
      <c r="H74" s="135">
        <f>'KY_Cost Plant Acct-Elec-P14(Reg'!H74+'Capital Leased Prop P25 (Reg)'!H10</f>
        <v>-3933806.74</v>
      </c>
      <c r="I74" s="135"/>
      <c r="J74" s="135">
        <f t="shared" si="8"/>
        <v>-3287432.69</v>
      </c>
      <c r="K74" s="135"/>
      <c r="L74" s="138">
        <f t="shared" si="9"/>
        <v>272487031.18000001</v>
      </c>
    </row>
    <row r="75" spans="1:12" x14ac:dyDescent="0.2">
      <c r="A75" s="3" t="s">
        <v>343</v>
      </c>
      <c r="B75" s="135">
        <f>'KY_Cost Plant Acct-Elec-P14(Reg'!B75</f>
        <v>0</v>
      </c>
      <c r="C75" s="135"/>
      <c r="D75" s="135">
        <f>'KY_Cost Plant Acct-Elec-P14(Reg'!D75</f>
        <v>0</v>
      </c>
      <c r="E75" s="135"/>
      <c r="F75" s="135">
        <f>'KY_Cost Plant Acct-Elec-P14(Reg'!F75</f>
        <v>0</v>
      </c>
      <c r="G75" s="135"/>
      <c r="H75" s="135">
        <f>'KY_Cost Plant Acct-Elec-P14(Reg'!H75</f>
        <v>0</v>
      </c>
      <c r="I75" s="135"/>
      <c r="J75" s="135">
        <f t="shared" si="8"/>
        <v>0</v>
      </c>
      <c r="K75" s="135"/>
      <c r="L75" s="138">
        <f t="shared" si="9"/>
        <v>0</v>
      </c>
    </row>
    <row r="76" spans="1:12" x14ac:dyDescent="0.2">
      <c r="A76" s="3" t="s">
        <v>345</v>
      </c>
      <c r="B76" s="135">
        <f>'KY_Cost Plant Acct-Elec-P14(Reg'!B76</f>
        <v>1116972794.96</v>
      </c>
      <c r="C76" s="135"/>
      <c r="D76" s="135">
        <f>'KY_Cost Plant Acct-Elec-P14(Reg'!D76</f>
        <v>30858619.379999999</v>
      </c>
      <c r="E76" s="135"/>
      <c r="F76" s="135">
        <f>'KY_Cost Plant Acct-Elec-P14(Reg'!F76</f>
        <v>-71290646.280000001</v>
      </c>
      <c r="G76" s="135"/>
      <c r="H76" s="135">
        <f>'KY_Cost Plant Acct-Elec-P14(Reg'!H76</f>
        <v>6855563.4800000004</v>
      </c>
      <c r="I76" s="135"/>
      <c r="J76" s="135">
        <f t="shared" si="8"/>
        <v>-33576463.420000002</v>
      </c>
      <c r="K76" s="135"/>
      <c r="L76" s="138">
        <f t="shared" si="9"/>
        <v>1083396331.54</v>
      </c>
    </row>
    <row r="77" spans="1:12" x14ac:dyDescent="0.2">
      <c r="A77" s="3" t="s">
        <v>346</v>
      </c>
      <c r="B77" s="135">
        <f>'KY_Cost Plant Acct-Elec-P14(Reg'!B77</f>
        <v>0</v>
      </c>
      <c r="C77" s="135"/>
      <c r="D77" s="135">
        <f>'KY_Cost Plant Acct-Elec-P14(Reg'!D77</f>
        <v>0</v>
      </c>
      <c r="E77" s="135"/>
      <c r="F77" s="135">
        <f>'KY_Cost Plant Acct-Elec-P14(Reg'!F77</f>
        <v>0</v>
      </c>
      <c r="G77" s="135"/>
      <c r="H77" s="135">
        <f>'KY_Cost Plant Acct-Elec-P14(Reg'!H77</f>
        <v>0</v>
      </c>
      <c r="I77" s="135"/>
      <c r="J77" s="135">
        <f t="shared" si="8"/>
        <v>0</v>
      </c>
      <c r="K77" s="135"/>
      <c r="L77" s="138">
        <f t="shared" si="9"/>
        <v>0</v>
      </c>
    </row>
    <row r="78" spans="1:12" x14ac:dyDescent="0.2">
      <c r="A78" s="3" t="s">
        <v>348</v>
      </c>
      <c r="B78" s="135">
        <f>'KY_Cost Plant Acct-Elec-P14(Reg'!B78</f>
        <v>205376764.87</v>
      </c>
      <c r="C78" s="135"/>
      <c r="D78" s="135">
        <f>'KY_Cost Plant Acct-Elec-P14(Reg'!D78</f>
        <v>18722201.600000001</v>
      </c>
      <c r="E78" s="135"/>
      <c r="F78" s="135">
        <f>'KY_Cost Plant Acct-Elec-P14(Reg'!F78</f>
        <v>43222.04</v>
      </c>
      <c r="G78" s="135"/>
      <c r="H78" s="135">
        <f>'KY_Cost Plant Acct-Elec-P14(Reg'!H78</f>
        <v>0</v>
      </c>
      <c r="I78" s="135"/>
      <c r="J78" s="135">
        <f t="shared" si="8"/>
        <v>18765423.640000001</v>
      </c>
      <c r="K78" s="135"/>
      <c r="L78" s="138">
        <f t="shared" si="9"/>
        <v>224142188.50999999</v>
      </c>
    </row>
    <row r="79" spans="1:12" x14ac:dyDescent="0.2">
      <c r="A79" s="3" t="s">
        <v>349</v>
      </c>
      <c r="B79" s="135">
        <f>'KY_Cost Plant Acct-Elec-P14(Reg'!B79</f>
        <v>131176175.03999996</v>
      </c>
      <c r="C79" s="135"/>
      <c r="D79" s="135">
        <f>'KY_Cost Plant Acct-Elec-P14(Reg'!D79</f>
        <v>979242.71</v>
      </c>
      <c r="E79" s="135"/>
      <c r="F79" s="135">
        <f>'KY_Cost Plant Acct-Elec-P14(Reg'!F79</f>
        <v>-1616603.42</v>
      </c>
      <c r="G79" s="135"/>
      <c r="H79" s="135">
        <f>'KY_Cost Plant Acct-Elec-P14(Reg'!H79</f>
        <v>0</v>
      </c>
      <c r="I79" s="135"/>
      <c r="J79" s="135">
        <f t="shared" si="8"/>
        <v>-637360.71</v>
      </c>
      <c r="K79" s="135"/>
      <c r="L79" s="138">
        <f t="shared" si="9"/>
        <v>130538814.32999997</v>
      </c>
    </row>
    <row r="80" spans="1:12" x14ac:dyDescent="0.2">
      <c r="A80" s="3" t="s">
        <v>350</v>
      </c>
      <c r="B80" s="135">
        <f>'KY_Cost Plant Acct-Elec-P14(Reg'!B80</f>
        <v>0</v>
      </c>
      <c r="C80" s="135"/>
      <c r="D80" s="135">
        <f>'KY_Cost Plant Acct-Elec-P14(Reg'!D80</f>
        <v>0</v>
      </c>
      <c r="E80" s="135"/>
      <c r="F80" s="135">
        <f>'KY_Cost Plant Acct-Elec-P14(Reg'!F80</f>
        <v>0</v>
      </c>
      <c r="G80" s="135"/>
      <c r="H80" s="135">
        <f>'KY_Cost Plant Acct-Elec-P14(Reg'!H80</f>
        <v>0</v>
      </c>
      <c r="I80" s="135"/>
      <c r="J80" s="135">
        <f t="shared" si="8"/>
        <v>0</v>
      </c>
      <c r="K80" s="135"/>
      <c r="L80" s="138">
        <f t="shared" si="9"/>
        <v>0</v>
      </c>
    </row>
    <row r="81" spans="1:12" x14ac:dyDescent="0.2">
      <c r="A81" s="3" t="s">
        <v>352</v>
      </c>
      <c r="B81" s="135">
        <f>'KY_Cost Plant Acct-Elec-P14(Reg'!B81</f>
        <v>17433231.840000007</v>
      </c>
      <c r="C81" s="135"/>
      <c r="D81" s="135">
        <f>'KY_Cost Plant Acct-Elec-P14(Reg'!D81</f>
        <v>606782.69999999995</v>
      </c>
      <c r="E81" s="135"/>
      <c r="F81" s="135">
        <f>'KY_Cost Plant Acct-Elec-P14(Reg'!F81</f>
        <v>-123601.58</v>
      </c>
      <c r="G81" s="135"/>
      <c r="H81" s="135">
        <f>'KY_Cost Plant Acct-Elec-P14(Reg'!H81</f>
        <v>-149103.37</v>
      </c>
      <c r="I81" s="135"/>
      <c r="J81" s="135">
        <f t="shared" si="8"/>
        <v>334077.74999999994</v>
      </c>
      <c r="K81" s="135"/>
      <c r="L81" s="138">
        <f t="shared" si="9"/>
        <v>17767309.590000007</v>
      </c>
    </row>
    <row r="82" spans="1:12" x14ac:dyDescent="0.2">
      <c r="A82" s="3" t="s">
        <v>353</v>
      </c>
      <c r="B82" s="135">
        <f>'KY_Cost Plant Acct-Elec-P14(Reg'!B82</f>
        <v>137737820.99000001</v>
      </c>
      <c r="C82" s="135"/>
      <c r="D82" s="135">
        <f>'KY_Cost Plant Acct-Elec-P14(Reg'!D82</f>
        <v>0</v>
      </c>
      <c r="E82" s="135"/>
      <c r="F82" s="135">
        <f>'KY_Cost Plant Acct-Elec-P14(Reg'!F82</f>
        <v>-765926.26</v>
      </c>
      <c r="G82" s="135"/>
      <c r="H82" s="135">
        <f>'KY_Cost Plant Acct-Elec-P14(Reg'!H82</f>
        <v>-91950467.530000001</v>
      </c>
      <c r="I82" s="135"/>
      <c r="J82" s="135">
        <f t="shared" si="8"/>
        <v>-92716393.790000007</v>
      </c>
      <c r="K82" s="135"/>
      <c r="L82" s="135">
        <f t="shared" si="9"/>
        <v>45021427.200000003</v>
      </c>
    </row>
    <row r="83" spans="1:12" x14ac:dyDescent="0.2">
      <c r="A83" s="3" t="s">
        <v>354</v>
      </c>
      <c r="B83" s="149">
        <f>'KY_Cost Plant Acct-Elec-P14(Reg'!B83</f>
        <v>0</v>
      </c>
      <c r="C83" s="135"/>
      <c r="D83" s="149">
        <f>'KY_Cost Plant Acct-Elec-P14(Reg'!D83</f>
        <v>0</v>
      </c>
      <c r="E83" s="135"/>
      <c r="F83" s="149">
        <f>'KY_Cost Plant Acct-Elec-P14(Reg'!F83</f>
        <v>0</v>
      </c>
      <c r="G83" s="135"/>
      <c r="H83" s="149">
        <f>'KY_Cost Plant Acct-Elec-P14(Reg'!H83</f>
        <v>81908780.349999994</v>
      </c>
      <c r="I83" s="135"/>
      <c r="J83" s="149">
        <f t="shared" si="8"/>
        <v>81908780.349999994</v>
      </c>
      <c r="K83" s="135"/>
      <c r="L83" s="149">
        <f t="shared" si="9"/>
        <v>81908780.349999994</v>
      </c>
    </row>
    <row r="84" spans="1:12" x14ac:dyDescent="0.2">
      <c r="B84" s="135">
        <f>SUM(B71:B83)</f>
        <v>1891259177.98</v>
      </c>
      <c r="C84" s="135"/>
      <c r="D84" s="135">
        <f>SUM(D71:D83)</f>
        <v>52347195.410000004</v>
      </c>
      <c r="E84" s="135"/>
      <c r="F84" s="135">
        <f>SUM(F71:F83)</f>
        <v>-74287530.469999999</v>
      </c>
      <c r="G84" s="135"/>
      <c r="H84" s="135">
        <f>SUM(H71:H83)</f>
        <v>-6429498.5100000054</v>
      </c>
      <c r="I84" s="135"/>
      <c r="J84" s="135">
        <f>SUM(J71:J83)</f>
        <v>-28369833.570000023</v>
      </c>
      <c r="K84" s="135"/>
      <c r="L84" s="135">
        <f>SUM(L71:L83)</f>
        <v>1862889344.4099996</v>
      </c>
    </row>
    <row r="85" spans="1:12" x14ac:dyDescent="0.2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2" x14ac:dyDescent="0.2">
      <c r="A86" s="10" t="s">
        <v>24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2" x14ac:dyDescent="0.2">
      <c r="A87" s="3" t="s">
        <v>356</v>
      </c>
      <c r="B87" s="135">
        <f>'KY_Cost Plant Acct-Elec-P14(Reg'!B87+'IN_Cost Plant Acct-Elec-P16(Reg'!B11</f>
        <v>8587652.5899999999</v>
      </c>
      <c r="C87" s="135"/>
      <c r="D87" s="135">
        <f>'KY_Cost Plant Acct-Elec-P14(Reg'!D87+'IN_Cost Plant Acct-Elec-P16(Reg'!D11</f>
        <v>0</v>
      </c>
      <c r="E87" s="135"/>
      <c r="F87" s="135">
        <f>'KY_Cost Plant Acct-Elec-P14(Reg'!F87+'IN_Cost Plant Acct-Elec-P16(Reg'!F11</f>
        <v>0</v>
      </c>
      <c r="G87" s="135"/>
      <c r="H87" s="135">
        <f>'KY_Cost Plant Acct-Elec-P14(Reg'!H87+'IN_Cost Plant Acct-Elec-P16(Reg'!H11</f>
        <v>0</v>
      </c>
      <c r="I87" s="135"/>
      <c r="J87" s="135">
        <f t="shared" ref="J87:J98" si="10">H87+F87+D87</f>
        <v>0</v>
      </c>
      <c r="K87" s="135"/>
      <c r="L87" s="138">
        <f t="shared" ref="L87:L98" si="11">B87+J87</f>
        <v>8587652.5899999999</v>
      </c>
    </row>
    <row r="88" spans="1:12" x14ac:dyDescent="0.2">
      <c r="A88" s="3" t="s">
        <v>357</v>
      </c>
      <c r="B88" s="135">
        <f>'KY_Cost Plant Acct-Elec-P14(Reg'!B88+'IN_Cost Plant Acct-Elec-P16(Reg'!B12</f>
        <v>2560181.1199999996</v>
      </c>
      <c r="C88" s="135"/>
      <c r="D88" s="135">
        <f>'KY_Cost Plant Acct-Elec-P14(Reg'!D88+'IN_Cost Plant Acct-Elec-P16(Reg'!D12</f>
        <v>0</v>
      </c>
      <c r="E88" s="135"/>
      <c r="F88" s="135">
        <f>'KY_Cost Plant Acct-Elec-P14(Reg'!F88+'IN_Cost Plant Acct-Elec-P16(Reg'!F12</f>
        <v>0</v>
      </c>
      <c r="G88" s="135"/>
      <c r="H88" s="135">
        <f>'KY_Cost Plant Acct-Elec-P14(Reg'!H88+'IN_Cost Plant Acct-Elec-P16(Reg'!H12</f>
        <v>-3671.69</v>
      </c>
      <c r="I88" s="135"/>
      <c r="J88" s="135">
        <f t="shared" si="10"/>
        <v>-3671.69</v>
      </c>
      <c r="K88" s="135"/>
      <c r="L88" s="138">
        <f t="shared" si="11"/>
        <v>2556509.4299999997</v>
      </c>
    </row>
    <row r="89" spans="1:12" x14ac:dyDescent="0.2">
      <c r="A89" s="3" t="s">
        <v>359</v>
      </c>
      <c r="B89" s="135">
        <f>'KY_Cost Plant Acct-Elec-P14(Reg'!B89+'IN_Cost Plant Acct-Elec-P16(Reg'!B13</f>
        <v>7925459.6399999997</v>
      </c>
      <c r="C89" s="135"/>
      <c r="D89" s="135">
        <f>'KY_Cost Plant Acct-Elec-P14(Reg'!D89+'IN_Cost Plant Acct-Elec-P16(Reg'!D13</f>
        <v>9016632.5600000005</v>
      </c>
      <c r="E89" s="135"/>
      <c r="F89" s="135">
        <f>'KY_Cost Plant Acct-Elec-P14(Reg'!F89+'IN_Cost Plant Acct-Elec-P16(Reg'!F13</f>
        <v>-70611.929999999993</v>
      </c>
      <c r="G89" s="135"/>
      <c r="H89" s="135">
        <f>'KY_Cost Plant Acct-Elec-P14(Reg'!H89+'IN_Cost Plant Acct-Elec-P16(Reg'!H13</f>
        <v>0</v>
      </c>
      <c r="I89" s="135"/>
      <c r="J89" s="135">
        <f t="shared" si="10"/>
        <v>8946020.6300000008</v>
      </c>
      <c r="K89" s="135"/>
      <c r="L89" s="138">
        <f t="shared" si="11"/>
        <v>16871480.27</v>
      </c>
    </row>
    <row r="90" spans="1:12" x14ac:dyDescent="0.2">
      <c r="A90" s="3" t="s">
        <v>360</v>
      </c>
      <c r="B90" s="135">
        <f>'KY_Cost Plant Acct-Elec-P14(Reg'!B90+'IN_Cost Plant Acct-Elec-P16(Reg'!B14</f>
        <v>149562305.09</v>
      </c>
      <c r="C90" s="135"/>
      <c r="D90" s="135">
        <f>'KY_Cost Plant Acct-Elec-P14(Reg'!D90+'IN_Cost Plant Acct-Elec-P16(Reg'!D14</f>
        <v>34631586.789999999</v>
      </c>
      <c r="E90" s="135"/>
      <c r="F90" s="135">
        <f>'KY_Cost Plant Acct-Elec-P14(Reg'!F90+'IN_Cost Plant Acct-Elec-P16(Reg'!F14</f>
        <v>-1387645.07</v>
      </c>
      <c r="G90" s="135"/>
      <c r="H90" s="135">
        <f>'KY_Cost Plant Acct-Elec-P14(Reg'!H90+'IN_Cost Plant Acct-Elec-P16(Reg'!H14</f>
        <v>408839.02</v>
      </c>
      <c r="I90" s="135"/>
      <c r="J90" s="135">
        <f t="shared" si="10"/>
        <v>33652780.740000002</v>
      </c>
      <c r="K90" s="135"/>
      <c r="L90" s="138">
        <f t="shared" si="11"/>
        <v>183215085.83000001</v>
      </c>
    </row>
    <row r="91" spans="1:12" x14ac:dyDescent="0.2">
      <c r="A91" s="3" t="s">
        <v>361</v>
      </c>
      <c r="B91" s="135">
        <f>'KY_Cost Plant Acct-Elec-P14(Reg'!B91</f>
        <v>0</v>
      </c>
      <c r="C91" s="135"/>
      <c r="D91" s="135">
        <f>'KY_Cost Plant Acct-Elec-P14(Reg'!D91</f>
        <v>0</v>
      </c>
      <c r="E91" s="135"/>
      <c r="F91" s="135">
        <f>'KY_Cost Plant Acct-Elec-P14(Reg'!F91</f>
        <v>0</v>
      </c>
      <c r="G91" s="135"/>
      <c r="H91" s="135">
        <f>'KY_Cost Plant Acct-Elec-P14(Reg'!H91</f>
        <v>0</v>
      </c>
      <c r="I91" s="135"/>
      <c r="J91" s="135">
        <f t="shared" si="10"/>
        <v>0</v>
      </c>
      <c r="K91" s="135"/>
      <c r="L91" s="138">
        <f t="shared" si="11"/>
        <v>0</v>
      </c>
    </row>
    <row r="92" spans="1:12" x14ac:dyDescent="0.2">
      <c r="A92" s="3" t="s">
        <v>363</v>
      </c>
      <c r="B92" s="135">
        <f>'KY_Cost Plant Acct-Elec-P14(Reg'!B92+'IN_Cost Plant Acct-Elec-P16(Reg'!B15</f>
        <v>43333847.559999995</v>
      </c>
      <c r="C92" s="135"/>
      <c r="D92" s="135">
        <f>'KY_Cost Plant Acct-Elec-P14(Reg'!D92+'IN_Cost Plant Acct-Elec-P16(Reg'!D15</f>
        <v>611309.35</v>
      </c>
      <c r="E92" s="135"/>
      <c r="F92" s="135">
        <f>'KY_Cost Plant Acct-Elec-P14(Reg'!F92+'IN_Cost Plant Acct-Elec-P16(Reg'!F15</f>
        <v>-189827.35</v>
      </c>
      <c r="G92" s="135"/>
      <c r="H92" s="135">
        <f>'KY_Cost Plant Acct-Elec-P14(Reg'!H92+'IN_Cost Plant Acct-Elec-P16(Reg'!H15</f>
        <v>0</v>
      </c>
      <c r="I92" s="135"/>
      <c r="J92" s="135">
        <f t="shared" si="10"/>
        <v>421482</v>
      </c>
      <c r="K92" s="135"/>
      <c r="L92" s="138">
        <f t="shared" si="11"/>
        <v>43755329.559999995</v>
      </c>
    </row>
    <row r="93" spans="1:12" x14ac:dyDescent="0.2">
      <c r="A93" s="3" t="s">
        <v>364</v>
      </c>
      <c r="B93" s="135">
        <f>'KY_Cost Plant Acct-Elec-P14(Reg'!B93+'IN_Cost Plant Acct-Elec-P16(Reg'!B16</f>
        <v>70282631.189999998</v>
      </c>
      <c r="C93" s="135"/>
      <c r="D93" s="135">
        <f>'KY_Cost Plant Acct-Elec-P14(Reg'!D93+'IN_Cost Plant Acct-Elec-P16(Reg'!D16</f>
        <v>17158876.120000001</v>
      </c>
      <c r="E93" s="135"/>
      <c r="F93" s="135">
        <f>'KY_Cost Plant Acct-Elec-P14(Reg'!F93+'IN_Cost Plant Acct-Elec-P16(Reg'!F16</f>
        <v>-389631.44</v>
      </c>
      <c r="G93" s="135"/>
      <c r="H93" s="135">
        <f>'KY_Cost Plant Acct-Elec-P14(Reg'!H93+'IN_Cost Plant Acct-Elec-P16(Reg'!H16</f>
        <v>0</v>
      </c>
      <c r="I93" s="135"/>
      <c r="J93" s="135">
        <f t="shared" si="10"/>
        <v>16769244.680000002</v>
      </c>
      <c r="K93" s="135"/>
      <c r="L93" s="138">
        <f t="shared" si="11"/>
        <v>87051875.870000005</v>
      </c>
    </row>
    <row r="94" spans="1:12" x14ac:dyDescent="0.2">
      <c r="A94" s="3" t="s">
        <v>365</v>
      </c>
      <c r="B94" s="135">
        <f>'KY_Cost Plant Acct-Elec-P14(Reg'!B94+'IN_Cost Plant Acct-Elec-P16(Reg'!B17</f>
        <v>52727208.189999998</v>
      </c>
      <c r="C94" s="135"/>
      <c r="D94" s="135">
        <f>'KY_Cost Plant Acct-Elec-P14(Reg'!D94+'IN_Cost Plant Acct-Elec-P16(Reg'!D17</f>
        <v>5828762.3900000006</v>
      </c>
      <c r="E94" s="135"/>
      <c r="F94" s="135">
        <f>'KY_Cost Plant Acct-Elec-P14(Reg'!F94+'IN_Cost Plant Acct-Elec-P16(Reg'!F17</f>
        <v>-379145.06</v>
      </c>
      <c r="G94" s="135"/>
      <c r="H94" s="135">
        <f>'KY_Cost Plant Acct-Elec-P14(Reg'!H94+'IN_Cost Plant Acct-Elec-P16(Reg'!H17</f>
        <v>0</v>
      </c>
      <c r="I94" s="135"/>
      <c r="J94" s="135">
        <f t="shared" si="10"/>
        <v>5449617.330000001</v>
      </c>
      <c r="K94" s="135"/>
      <c r="L94" s="138">
        <f t="shared" si="11"/>
        <v>58176825.519999996</v>
      </c>
    </row>
    <row r="95" spans="1:12" x14ac:dyDescent="0.2">
      <c r="A95" s="3" t="s">
        <v>366</v>
      </c>
      <c r="B95" s="135">
        <f>'KY_Cost Plant Acct-Elec-P14(Reg'!B95</f>
        <v>2278627.52</v>
      </c>
      <c r="C95" s="135"/>
      <c r="D95" s="135">
        <f>'KY_Cost Plant Acct-Elec-P14(Reg'!D95</f>
        <v>0</v>
      </c>
      <c r="E95" s="135"/>
      <c r="F95" s="135">
        <f>'KY_Cost Plant Acct-Elec-P14(Reg'!F95</f>
        <v>0</v>
      </c>
      <c r="G95" s="135"/>
      <c r="H95" s="135">
        <f>'KY_Cost Plant Acct-Elec-P14(Reg'!H95</f>
        <v>-590814.56000000006</v>
      </c>
      <c r="I95" s="135"/>
      <c r="J95" s="135">
        <f t="shared" si="10"/>
        <v>-590814.56000000006</v>
      </c>
      <c r="K95" s="135"/>
      <c r="L95" s="138">
        <f t="shared" si="11"/>
        <v>1687812.96</v>
      </c>
    </row>
    <row r="96" spans="1:12" x14ac:dyDescent="0.2">
      <c r="A96" s="3" t="s">
        <v>367</v>
      </c>
      <c r="B96" s="135">
        <f>'KY_Cost Plant Acct-Elec-P14(Reg'!B96</f>
        <v>7425136.2999999998</v>
      </c>
      <c r="C96" s="135"/>
      <c r="D96" s="135">
        <f>'KY_Cost Plant Acct-Elec-P14(Reg'!D96</f>
        <v>0</v>
      </c>
      <c r="E96" s="135"/>
      <c r="F96" s="135">
        <f>'KY_Cost Plant Acct-Elec-P14(Reg'!F96</f>
        <v>0</v>
      </c>
      <c r="G96" s="135"/>
      <c r="H96" s="135">
        <f>'KY_Cost Plant Acct-Elec-P14(Reg'!H96</f>
        <v>-59663.62</v>
      </c>
      <c r="I96" s="135"/>
      <c r="J96" s="135">
        <f t="shared" si="10"/>
        <v>-59663.62</v>
      </c>
      <c r="K96" s="135"/>
      <c r="L96" s="138">
        <f t="shared" si="11"/>
        <v>7365472.6799999997</v>
      </c>
    </row>
    <row r="97" spans="1:12" x14ac:dyDescent="0.2">
      <c r="A97" s="3" t="s">
        <v>368</v>
      </c>
      <c r="B97" s="135">
        <f>'KY_Cost Plant Acct-Elec-P14(Reg'!B97</f>
        <v>9342.4699999999993</v>
      </c>
      <c r="C97" s="135"/>
      <c r="D97" s="135">
        <f>'KY_Cost Plant Acct-Elec-P14(Reg'!D97</f>
        <v>0</v>
      </c>
      <c r="E97" s="135"/>
      <c r="F97" s="135">
        <f>'KY_Cost Plant Acct-Elec-P14(Reg'!F97</f>
        <v>0</v>
      </c>
      <c r="G97" s="135"/>
      <c r="H97" s="135">
        <f>'KY_Cost Plant Acct-Elec-P14(Reg'!H97</f>
        <v>11980.58</v>
      </c>
      <c r="I97" s="135"/>
      <c r="J97" s="135">
        <f t="shared" si="10"/>
        <v>11980.58</v>
      </c>
      <c r="K97" s="135"/>
      <c r="L97" s="138">
        <f t="shared" si="11"/>
        <v>21323.05</v>
      </c>
    </row>
    <row r="98" spans="1:12" x14ac:dyDescent="0.2">
      <c r="A98" s="3" t="s">
        <v>369</v>
      </c>
      <c r="B98" s="149">
        <f>'KY_Cost Plant Acct-Elec-P14(Reg'!B98</f>
        <v>208742.63</v>
      </c>
      <c r="C98" s="135"/>
      <c r="D98" s="149">
        <f>'KY_Cost Plant Acct-Elec-P14(Reg'!D98</f>
        <v>0</v>
      </c>
      <c r="E98" s="135"/>
      <c r="F98" s="149">
        <f>'KY_Cost Plant Acct-Elec-P14(Reg'!F98</f>
        <v>0</v>
      </c>
      <c r="G98" s="135"/>
      <c r="H98" s="149">
        <f>'KY_Cost Plant Acct-Elec-P14(Reg'!H98</f>
        <v>-21765.98</v>
      </c>
      <c r="I98" s="135"/>
      <c r="J98" s="149">
        <f t="shared" si="10"/>
        <v>-21765.98</v>
      </c>
      <c r="K98" s="135"/>
      <c r="L98" s="149">
        <f t="shared" si="11"/>
        <v>186976.65</v>
      </c>
    </row>
    <row r="99" spans="1:12" x14ac:dyDescent="0.2">
      <c r="B99" s="135">
        <f>SUM(B87:B98)</f>
        <v>344901134.30000001</v>
      </c>
      <c r="C99" s="135"/>
      <c r="D99" s="135">
        <f>SUM(D87:D98)</f>
        <v>67247167.210000008</v>
      </c>
      <c r="E99" s="135"/>
      <c r="F99" s="135">
        <f>SUM(F87:F98)</f>
        <v>-2416860.85</v>
      </c>
      <c r="G99" s="135"/>
      <c r="H99" s="135">
        <f>SUM(H87:H98)</f>
        <v>-255096.25000000006</v>
      </c>
      <c r="I99" s="135"/>
      <c r="J99" s="135">
        <f>SUM(J87:J98)</f>
        <v>64575210.110000007</v>
      </c>
      <c r="K99" s="135"/>
      <c r="L99" s="135">
        <f>SUM(L87:L98)</f>
        <v>409476344.40999997</v>
      </c>
    </row>
    <row r="100" spans="1:12" x14ac:dyDescent="0.2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1:12" x14ac:dyDescent="0.2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</row>
    <row r="102" spans="1:12" x14ac:dyDescent="0.2">
      <c r="A102" s="10" t="s">
        <v>2638</v>
      </c>
      <c r="B102" s="164">
        <f>B99+B84+B68+B56+B51+B40+B29</f>
        <v>3748677590.0599995</v>
      </c>
      <c r="C102" s="135"/>
      <c r="D102" s="164">
        <f>D99+D84+D68+D56+D51+D40+D29</f>
        <v>303895323.94</v>
      </c>
      <c r="E102" s="135"/>
      <c r="F102" s="164">
        <f>F99+F84+F68+F56+F51+F40+F29</f>
        <v>-87908239.349999994</v>
      </c>
      <c r="G102" s="135"/>
      <c r="H102" s="164">
        <f>H99+H84+H68+H56+H51+H40+H29</f>
        <v>-7192920.7300000051</v>
      </c>
      <c r="I102" s="135"/>
      <c r="J102" s="164">
        <f>J99+J84+J68+J56+J51+J40+J29</f>
        <v>208794163.85999998</v>
      </c>
      <c r="K102" s="135"/>
      <c r="L102" s="164">
        <f>L99+L84+L68+L56+L51+L40+L29</f>
        <v>3957471753.9199991</v>
      </c>
    </row>
    <row r="103" spans="1:12" x14ac:dyDescent="0.2"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</row>
    <row r="104" spans="1:12" x14ac:dyDescent="0.2">
      <c r="B104" s="135"/>
      <c r="C104" s="138"/>
      <c r="D104" s="135"/>
      <c r="E104" s="138"/>
      <c r="F104" s="135"/>
      <c r="G104" s="138"/>
      <c r="H104" s="135"/>
      <c r="I104" s="138"/>
      <c r="J104" s="135"/>
      <c r="K104" s="135"/>
      <c r="L104" s="135"/>
    </row>
    <row r="105" spans="1:12" x14ac:dyDescent="0.2">
      <c r="A105" s="10" t="s">
        <v>2639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x14ac:dyDescent="0.2">
      <c r="A106" s="10" t="s">
        <v>276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x14ac:dyDescent="0.2">
      <c r="A107" s="3" t="s">
        <v>280</v>
      </c>
      <c r="B107" s="15">
        <f>'KY_Cost Plant Acct-Elec-P14(Reg'!B106</f>
        <v>706361.56</v>
      </c>
      <c r="C107" s="15"/>
      <c r="D107" s="15">
        <f>'KY_Cost Plant Acct-Elec-P14(Reg'!D106</f>
        <v>-706361.56</v>
      </c>
      <c r="E107" s="15"/>
      <c r="F107" s="15">
        <f>'KY_Cost Plant Acct-Elec-P14(Reg'!F106</f>
        <v>0</v>
      </c>
      <c r="G107" s="15"/>
      <c r="H107" s="15">
        <f>'KY_Cost Plant Acct-Elec-P14(Reg'!H106</f>
        <v>0</v>
      </c>
      <c r="I107" s="15"/>
      <c r="J107" s="15">
        <f>D107+F107+H107</f>
        <v>-706361.56</v>
      </c>
      <c r="K107" s="15"/>
      <c r="L107" s="15">
        <f>J107+B107</f>
        <v>0</v>
      </c>
    </row>
    <row r="108" spans="1:12" x14ac:dyDescent="0.2">
      <c r="A108" s="3" t="s">
        <v>281</v>
      </c>
      <c r="B108" s="15">
        <f>'KY_Cost Plant Acct-Elec-P14(Reg'!B107+'IN_Cost Plant Acct-Elec-P16(Reg'!B26</f>
        <v>2397571.8800000008</v>
      </c>
      <c r="C108" s="15"/>
      <c r="D108" s="15">
        <f>'KY_Cost Plant Acct-Elec-P14(Reg'!D107+'IN_Cost Plant Acct-Elec-P16(Reg'!D26</f>
        <v>17614.05</v>
      </c>
      <c r="E108" s="15"/>
      <c r="F108" s="15">
        <f>'KY_Cost Plant Acct-Elec-P14(Reg'!F107</f>
        <v>0</v>
      </c>
      <c r="G108" s="15"/>
      <c r="H108" s="15">
        <f>'KY_Cost Plant Acct-Elec-P14(Reg'!H107</f>
        <v>0</v>
      </c>
      <c r="I108" s="15"/>
      <c r="J108" s="15">
        <f t="shared" ref="J108:J118" si="12">D108+F108+H108</f>
        <v>17614.05</v>
      </c>
      <c r="K108" s="15"/>
      <c r="L108" s="15">
        <f t="shared" ref="L108:L118" si="13">J108+B108</f>
        <v>2415185.9300000006</v>
      </c>
    </row>
    <row r="109" spans="1:12" x14ac:dyDescent="0.2">
      <c r="A109" s="3" t="s">
        <v>282</v>
      </c>
      <c r="B109" s="15">
        <f>'KY_Cost Plant Acct-Elec-P14(Reg'!B108</f>
        <v>10716824.810000002</v>
      </c>
      <c r="C109" s="15"/>
      <c r="D109" s="15">
        <f>'KY_Cost Plant Acct-Elec-P14(Reg'!D108</f>
        <v>6274746.96</v>
      </c>
      <c r="E109" s="15"/>
      <c r="F109" s="15">
        <f>'KY_Cost Plant Acct-Elec-P14(Reg'!F108</f>
        <v>0</v>
      </c>
      <c r="G109" s="15"/>
      <c r="H109" s="15">
        <f>'KY_Cost Plant Acct-Elec-P14(Reg'!H108</f>
        <v>0</v>
      </c>
      <c r="I109" s="15"/>
      <c r="J109" s="15">
        <f t="shared" si="12"/>
        <v>6274746.96</v>
      </c>
      <c r="K109" s="15"/>
      <c r="L109" s="15">
        <f t="shared" si="13"/>
        <v>16991571.770000003</v>
      </c>
    </row>
    <row r="110" spans="1:12" x14ac:dyDescent="0.2">
      <c r="A110" s="3" t="s">
        <v>283</v>
      </c>
      <c r="B110" s="15">
        <f>'KY_Cost Plant Acct-Elec-P14(Reg'!B109</f>
        <v>9824287.0300000012</v>
      </c>
      <c r="C110" s="15"/>
      <c r="D110" s="15">
        <f>'KY_Cost Plant Acct-Elec-P14(Reg'!D109</f>
        <v>5481440.9000000004</v>
      </c>
      <c r="E110" s="15"/>
      <c r="F110" s="15">
        <f>'KY_Cost Plant Acct-Elec-P14(Reg'!F109</f>
        <v>0</v>
      </c>
      <c r="G110" s="15"/>
      <c r="H110" s="15">
        <f>'KY_Cost Plant Acct-Elec-P14(Reg'!H109</f>
        <v>0</v>
      </c>
      <c r="I110" s="15"/>
      <c r="J110" s="15">
        <f t="shared" si="12"/>
        <v>5481440.9000000004</v>
      </c>
      <c r="K110" s="15"/>
      <c r="L110" s="15">
        <f t="shared" si="13"/>
        <v>15305727.930000002</v>
      </c>
    </row>
    <row r="111" spans="1:12" x14ac:dyDescent="0.2">
      <c r="A111" s="3" t="s">
        <v>284</v>
      </c>
      <c r="B111" s="15">
        <f>'KY_Cost Plant Acct-Elec-P14(Reg'!B110</f>
        <v>6970518.3299999991</v>
      </c>
      <c r="C111" s="15"/>
      <c r="D111" s="15">
        <f>'KY_Cost Plant Acct-Elec-P14(Reg'!D110</f>
        <v>-6259432.3399999999</v>
      </c>
      <c r="E111" s="15"/>
      <c r="F111" s="15">
        <f>'KY_Cost Plant Acct-Elec-P14(Reg'!F110</f>
        <v>0</v>
      </c>
      <c r="G111" s="15"/>
      <c r="H111" s="15">
        <f>'KY_Cost Plant Acct-Elec-P14(Reg'!H110</f>
        <v>0</v>
      </c>
      <c r="I111" s="15"/>
      <c r="J111" s="15">
        <f t="shared" si="12"/>
        <v>-6259432.3399999999</v>
      </c>
      <c r="K111" s="15"/>
      <c r="L111" s="15">
        <f t="shared" si="13"/>
        <v>711085.98999999929</v>
      </c>
    </row>
    <row r="112" spans="1:12" x14ac:dyDescent="0.2">
      <c r="A112" s="3" t="s">
        <v>285</v>
      </c>
      <c r="B112" s="15">
        <f>'KY_Cost Plant Acct-Elec-P14(Reg'!B111</f>
        <v>12350261.679999996</v>
      </c>
      <c r="C112" s="15"/>
      <c r="D112" s="15">
        <f>'KY_Cost Plant Acct-Elec-P14(Reg'!D111</f>
        <v>10754794.380000001</v>
      </c>
      <c r="E112" s="15"/>
      <c r="F112" s="15">
        <f>'KY_Cost Plant Acct-Elec-P14(Reg'!F111</f>
        <v>0</v>
      </c>
      <c r="G112" s="15"/>
      <c r="H112" s="15">
        <f>'KY_Cost Plant Acct-Elec-P14(Reg'!H111</f>
        <v>0</v>
      </c>
      <c r="I112" s="15"/>
      <c r="J112" s="15">
        <f t="shared" si="12"/>
        <v>10754794.380000001</v>
      </c>
      <c r="K112" s="15"/>
      <c r="L112" s="15">
        <f t="shared" si="13"/>
        <v>23105056.059999995</v>
      </c>
    </row>
    <row r="113" spans="1:13" x14ac:dyDescent="0.2">
      <c r="A113" s="3" t="s">
        <v>286</v>
      </c>
      <c r="B113" s="15">
        <f>'KY_Cost Plant Acct-Elec-P14(Reg'!B112</f>
        <v>969774.8600000001</v>
      </c>
      <c r="C113" s="15"/>
      <c r="D113" s="15">
        <f>'KY_Cost Plant Acct-Elec-P14(Reg'!D112</f>
        <v>440543.97</v>
      </c>
      <c r="E113" s="15"/>
      <c r="F113" s="15">
        <f>'KY_Cost Plant Acct-Elec-P14(Reg'!F112</f>
        <v>0</v>
      </c>
      <c r="G113" s="15"/>
      <c r="H113" s="15">
        <f>'KY_Cost Plant Acct-Elec-P14(Reg'!H112</f>
        <v>0</v>
      </c>
      <c r="I113" s="15"/>
      <c r="J113" s="15">
        <f t="shared" si="12"/>
        <v>440543.97</v>
      </c>
      <c r="K113" s="15"/>
      <c r="L113" s="15">
        <f t="shared" si="13"/>
        <v>1410318.83</v>
      </c>
    </row>
    <row r="114" spans="1:13" x14ac:dyDescent="0.2">
      <c r="A114" s="3" t="s">
        <v>287</v>
      </c>
      <c r="B114" s="15">
        <f>'KY_Cost Plant Acct-Elec-P14(Reg'!B113</f>
        <v>512239.02000000025</v>
      </c>
      <c r="C114" s="15"/>
      <c r="D114" s="15">
        <f>'KY_Cost Plant Acct-Elec-P14(Reg'!D113</f>
        <v>-520146.54</v>
      </c>
      <c r="E114" s="15"/>
      <c r="F114" s="15">
        <f>'KY_Cost Plant Acct-Elec-P14(Reg'!F113</f>
        <v>0</v>
      </c>
      <c r="G114" s="15"/>
      <c r="H114" s="15">
        <f>'KY_Cost Plant Acct-Elec-P14(Reg'!H113</f>
        <v>0</v>
      </c>
      <c r="I114" s="15"/>
      <c r="J114" s="15">
        <f t="shared" si="12"/>
        <v>-520146.54</v>
      </c>
      <c r="K114" s="15"/>
      <c r="L114" s="15">
        <f t="shared" si="13"/>
        <v>-7907.5199999997276</v>
      </c>
    </row>
    <row r="115" spans="1:13" x14ac:dyDescent="0.2">
      <c r="A115" s="3" t="s">
        <v>290</v>
      </c>
      <c r="B115" s="15">
        <f>'KY_Cost Plant Acct-Elec-P14(Reg'!B114</f>
        <v>0</v>
      </c>
      <c r="C115" s="15"/>
      <c r="D115" s="15">
        <f>'KY_Cost Plant Acct-Elec-P14(Reg'!D114</f>
        <v>0</v>
      </c>
      <c r="E115" s="15"/>
      <c r="F115" s="15">
        <f>'KY_Cost Plant Acct-Elec-P14(Reg'!F114</f>
        <v>0</v>
      </c>
      <c r="G115" s="15"/>
      <c r="H115" s="15">
        <f>'KY_Cost Plant Acct-Elec-P14(Reg'!H114</f>
        <v>0</v>
      </c>
      <c r="I115" s="15"/>
      <c r="J115" s="15">
        <f t="shared" si="12"/>
        <v>0</v>
      </c>
      <c r="K115" s="15"/>
      <c r="L115" s="15">
        <f t="shared" si="13"/>
        <v>0</v>
      </c>
    </row>
    <row r="116" spans="1:13" x14ac:dyDescent="0.2">
      <c r="A116" s="3" t="s">
        <v>2640</v>
      </c>
      <c r="B116" s="15">
        <f>'KY_Cost Plant Acct-Elec-P14(Reg'!B115</f>
        <v>1195968.08</v>
      </c>
      <c r="C116" s="15">
        <f>'KY_Cost Plant Acct-Elec-P14(Reg'!C115</f>
        <v>0</v>
      </c>
      <c r="D116" s="15">
        <f>'KY_Cost Plant Acct-Elec-P14(Reg'!D115</f>
        <v>-1192898.29</v>
      </c>
      <c r="E116" s="15">
        <f>'KY_Cost Plant Acct-Elec-P14(Reg'!E115</f>
        <v>0</v>
      </c>
      <c r="F116" s="15">
        <f>'KY_Cost Plant Acct-Elec-P14(Reg'!F115</f>
        <v>0</v>
      </c>
      <c r="G116" s="15">
        <f>'KY_Cost Plant Acct-Elec-P14(Reg'!G115</f>
        <v>0</v>
      </c>
      <c r="H116" s="15">
        <f>'KY_Cost Plant Acct-Elec-P14(Reg'!H115</f>
        <v>0</v>
      </c>
      <c r="I116" s="15">
        <f>'KY_Cost Plant Acct-Elec-P14(Reg'!I115</f>
        <v>0</v>
      </c>
      <c r="J116" s="15">
        <f t="shared" si="12"/>
        <v>-1192898.29</v>
      </c>
      <c r="K116" s="15"/>
      <c r="L116" s="15">
        <f>J116+B116</f>
        <v>3069.7900000000373</v>
      </c>
    </row>
    <row r="117" spans="1:13" x14ac:dyDescent="0.2">
      <c r="A117" s="3" t="s">
        <v>291</v>
      </c>
      <c r="B117" s="15">
        <f>'KY_Cost Plant Acct-Elec-P14(Reg'!B116</f>
        <v>2026055.5700000005</v>
      </c>
      <c r="C117" s="15"/>
      <c r="D117" s="15">
        <f>'KY_Cost Plant Acct-Elec-P14(Reg'!D116</f>
        <v>826651.62</v>
      </c>
      <c r="E117" s="15"/>
      <c r="F117" s="15">
        <f>'KY_Cost Plant Acct-Elec-P14(Reg'!F116</f>
        <v>0</v>
      </c>
      <c r="G117" s="15"/>
      <c r="H117" s="15">
        <f>'KY_Cost Plant Acct-Elec-P14(Reg'!H116</f>
        <v>0</v>
      </c>
      <c r="I117" s="15"/>
      <c r="J117" s="15">
        <f t="shared" si="12"/>
        <v>826651.62</v>
      </c>
      <c r="K117" s="15"/>
      <c r="L117" s="15">
        <f t="shared" si="13"/>
        <v>2852707.1900000004</v>
      </c>
    </row>
    <row r="118" spans="1:13" x14ac:dyDescent="0.2">
      <c r="A118" s="3" t="s">
        <v>292</v>
      </c>
      <c r="B118" s="16">
        <f>'KY_Cost Plant Acct-Elec-P14(Reg'!B117</f>
        <v>570160.27000000025</v>
      </c>
      <c r="C118" s="17"/>
      <c r="D118" s="16">
        <f>'KY_Cost Plant Acct-Elec-P14(Reg'!D117</f>
        <v>-72612.81</v>
      </c>
      <c r="E118" s="17"/>
      <c r="F118" s="16">
        <f>'KY_Cost Plant Acct-Elec-P14(Reg'!F117</f>
        <v>0</v>
      </c>
      <c r="G118" s="17"/>
      <c r="H118" s="16">
        <f>'KY_Cost Plant Acct-Elec-P14(Reg'!H117</f>
        <v>0</v>
      </c>
      <c r="I118" s="17"/>
      <c r="J118" s="16">
        <f t="shared" si="12"/>
        <v>-72612.81</v>
      </c>
      <c r="K118" s="17"/>
      <c r="L118" s="16">
        <f t="shared" si="13"/>
        <v>497547.46000000025</v>
      </c>
      <c r="M118" s="31"/>
    </row>
    <row r="119" spans="1:13" x14ac:dyDescent="0.2">
      <c r="B119" s="17">
        <f>SUM(B107:B118)</f>
        <v>48240023.090000004</v>
      </c>
      <c r="C119" s="17"/>
      <c r="D119" s="17">
        <f>SUM(D107:D118)</f>
        <v>15044340.340000004</v>
      </c>
      <c r="E119" s="17"/>
      <c r="F119" s="17">
        <f>SUM(F107:F118)</f>
        <v>0</v>
      </c>
      <c r="G119" s="17"/>
      <c r="H119" s="17">
        <f>SUM(H107:H118)</f>
        <v>0</v>
      </c>
      <c r="I119" s="17"/>
      <c r="J119" s="17">
        <f>SUM(J107:J118)</f>
        <v>15044340.340000004</v>
      </c>
      <c r="K119" s="17"/>
      <c r="L119" s="17">
        <f>SUM(L107:L118)</f>
        <v>63284363.429999992</v>
      </c>
      <c r="M119" s="31"/>
    </row>
    <row r="120" spans="1:13" x14ac:dyDescent="0.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31"/>
    </row>
    <row r="121" spans="1:13" x14ac:dyDescent="0.2">
      <c r="A121" s="10" t="s">
        <v>2641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31"/>
    </row>
    <row r="122" spans="1:13" x14ac:dyDescent="0.2">
      <c r="A122" s="3" t="s">
        <v>302</v>
      </c>
      <c r="B122" s="17">
        <f>'KY_Cost Plant Acct-Elec-P14(Reg'!B121</f>
        <v>0</v>
      </c>
      <c r="C122" s="17"/>
      <c r="D122" s="17">
        <f>'KY_Cost Plant Acct-Elec-P14(Reg'!D121</f>
        <v>17824.98</v>
      </c>
      <c r="E122" s="17"/>
      <c r="F122" s="17">
        <f>'KY_Cost Plant Acct-Elec-P14(Reg'!F121</f>
        <v>0</v>
      </c>
      <c r="G122" s="17"/>
      <c r="H122" s="17">
        <f>'KY_Cost Plant Acct-Elec-P14(Reg'!H121</f>
        <v>0</v>
      </c>
      <c r="I122" s="17"/>
      <c r="J122" s="17">
        <f>D122+F122+H122</f>
        <v>17824.98</v>
      </c>
      <c r="K122" s="17"/>
      <c r="L122" s="17">
        <f>J122+B122</f>
        <v>17824.98</v>
      </c>
      <c r="M122" s="31"/>
    </row>
    <row r="123" spans="1:13" x14ac:dyDescent="0.2">
      <c r="A123" s="3" t="s">
        <v>2642</v>
      </c>
      <c r="B123" s="17">
        <f>'KY_Cost Plant Acct-Elec-P14(Reg'!B122</f>
        <v>797846.45</v>
      </c>
      <c r="C123" s="17"/>
      <c r="D123" s="17">
        <f>'KY_Cost Plant Acct-Elec-P14(Reg'!D122</f>
        <v>-317954.53000000003</v>
      </c>
      <c r="E123" s="17"/>
      <c r="F123" s="17">
        <f>'KY_Cost Plant Acct-Elec-P14(Reg'!F122</f>
        <v>0</v>
      </c>
      <c r="G123" s="17"/>
      <c r="H123" s="17">
        <f>'KY_Cost Plant Acct-Elec-P14(Reg'!H122</f>
        <v>0</v>
      </c>
      <c r="I123" s="17"/>
      <c r="J123" s="17">
        <f>D123+F123+H123</f>
        <v>-317954.53000000003</v>
      </c>
      <c r="K123" s="17"/>
      <c r="L123" s="17">
        <f>J123+B123</f>
        <v>479891.91999999993</v>
      </c>
      <c r="M123" s="31"/>
    </row>
    <row r="124" spans="1:13" x14ac:dyDescent="0.2">
      <c r="A124" s="3" t="s">
        <v>305</v>
      </c>
      <c r="B124" s="17">
        <f>'KY_Cost Plant Acct-Elec-P14(Reg'!B123</f>
        <v>0</v>
      </c>
      <c r="C124" s="17"/>
      <c r="D124" s="17">
        <f>'KY_Cost Plant Acct-Elec-P14(Reg'!D123</f>
        <v>0</v>
      </c>
      <c r="E124" s="17"/>
      <c r="F124" s="17">
        <f>'KY_Cost Plant Acct-Elec-P14(Reg'!F123</f>
        <v>0</v>
      </c>
      <c r="G124" s="17"/>
      <c r="H124" s="17">
        <f>'KY_Cost Plant Acct-Elec-P14(Reg'!H123</f>
        <v>0</v>
      </c>
      <c r="I124" s="17"/>
      <c r="J124" s="17">
        <f>D124+F124+H124</f>
        <v>0</v>
      </c>
      <c r="K124" s="17"/>
      <c r="L124" s="17">
        <f>J124+B124</f>
        <v>0</v>
      </c>
      <c r="M124" s="31"/>
    </row>
    <row r="125" spans="1:13" x14ac:dyDescent="0.2">
      <c r="A125" s="3" t="s">
        <v>307</v>
      </c>
      <c r="B125" s="17">
        <f>+'KY_Cost Plant Acct-Elec-P14(Reg'!B124</f>
        <v>8260.6999999999971</v>
      </c>
      <c r="C125" s="17"/>
      <c r="D125" s="17">
        <f>+'KY_Cost Plant Acct-Elec-P14(Reg'!D124</f>
        <v>-8260.7000000000007</v>
      </c>
      <c r="E125" s="17"/>
      <c r="F125" s="17">
        <f>+'KY_Cost Plant Acct-Elec-P14(Reg'!F124</f>
        <v>0</v>
      </c>
      <c r="G125" s="17"/>
      <c r="H125" s="17">
        <f>+'KY_Cost Plant Acct-Elec-P14(Reg'!H124</f>
        <v>0</v>
      </c>
      <c r="I125" s="17"/>
      <c r="J125" s="17">
        <f>D125+F125+H125</f>
        <v>-8260.7000000000007</v>
      </c>
      <c r="K125" s="17"/>
      <c r="L125" s="17">
        <f>J125+B125</f>
        <v>0</v>
      </c>
      <c r="M125" s="31"/>
    </row>
    <row r="126" spans="1:13" x14ac:dyDescent="0.2">
      <c r="A126" s="22" t="s">
        <v>309</v>
      </c>
      <c r="B126" s="17">
        <f>+'KY_Cost Plant Acct-Elec-P14(Reg'!B125</f>
        <v>250922.46</v>
      </c>
      <c r="C126" s="17"/>
      <c r="D126" s="17">
        <f>+'KY_Cost Plant Acct-Elec-P14(Reg'!D125</f>
        <v>-73407.19</v>
      </c>
      <c r="E126" s="17"/>
      <c r="F126" s="17">
        <f>+'KY_Cost Plant Acct-Elec-P14(Reg'!F125</f>
        <v>0</v>
      </c>
      <c r="G126" s="17"/>
      <c r="H126" s="17">
        <f>+'KY_Cost Plant Acct-Elec-P14(Reg'!H125</f>
        <v>0</v>
      </c>
      <c r="I126" s="17"/>
      <c r="J126" s="17">
        <f>D126+F126+H126</f>
        <v>-73407.19</v>
      </c>
      <c r="K126" s="17"/>
      <c r="L126" s="17">
        <f>J126+B126</f>
        <v>177515.27</v>
      </c>
      <c r="M126" s="31"/>
    </row>
    <row r="127" spans="1:13" x14ac:dyDescent="0.2">
      <c r="B127" s="20">
        <f>SUM(B122:B126)</f>
        <v>1057029.6099999999</v>
      </c>
      <c r="C127" s="17"/>
      <c r="D127" s="20">
        <f>SUM(D122:D126)</f>
        <v>-381797.44000000006</v>
      </c>
      <c r="E127" s="17"/>
      <c r="F127" s="20">
        <f>SUM(F122:F126)</f>
        <v>0</v>
      </c>
      <c r="G127" s="17"/>
      <c r="H127" s="20">
        <f>SUM(H122:H126)</f>
        <v>0</v>
      </c>
      <c r="I127" s="17"/>
      <c r="J127" s="20">
        <f>SUM(J122:J126)</f>
        <v>-381797.44000000006</v>
      </c>
      <c r="K127" s="17"/>
      <c r="L127" s="20">
        <f>SUM(L122:L126)</f>
        <v>675232.16999999993</v>
      </c>
      <c r="M127" s="31"/>
    </row>
    <row r="128" spans="1:13" x14ac:dyDescent="0.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31"/>
    </row>
    <row r="129" spans="1:14" x14ac:dyDescent="0.2">
      <c r="A129" s="10" t="s">
        <v>311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31"/>
    </row>
    <row r="130" spans="1:14" x14ac:dyDescent="0.2">
      <c r="A130" s="3" t="s">
        <v>313</v>
      </c>
      <c r="B130" s="17">
        <f>'KY_Cost Plant Acct-Elec-P14(Reg'!B129</f>
        <v>1791446.9699999995</v>
      </c>
      <c r="C130" s="17"/>
      <c r="D130" s="17">
        <f>'KY_Cost Plant Acct-Elec-P14(Reg'!D129</f>
        <v>2867851.77</v>
      </c>
      <c r="E130" s="17"/>
      <c r="F130" s="17">
        <f>'KY_Cost Plant Acct-Elec-P14(Reg'!F129</f>
        <v>0</v>
      </c>
      <c r="G130" s="17"/>
      <c r="H130" s="17">
        <f>'KY_Cost Plant Acct-Elec-P14(Reg'!H129</f>
        <v>0</v>
      </c>
      <c r="I130" s="17"/>
      <c r="J130" s="17">
        <f>D130+F130+H130</f>
        <v>2867851.77</v>
      </c>
      <c r="K130" s="17"/>
      <c r="L130" s="17">
        <f>J130+B130</f>
        <v>4659298.7399999993</v>
      </c>
      <c r="M130" s="31"/>
    </row>
    <row r="131" spans="1:14" x14ac:dyDescent="0.2">
      <c r="A131" s="3" t="s">
        <v>314</v>
      </c>
      <c r="B131" s="17">
        <f>'KY_Cost Plant Acct-Elec-P14(Reg'!B130</f>
        <v>3850640.22</v>
      </c>
      <c r="C131" s="17"/>
      <c r="D131" s="17">
        <f>'KY_Cost Plant Acct-Elec-P14(Reg'!D130</f>
        <v>4464470.58</v>
      </c>
      <c r="E131" s="17"/>
      <c r="F131" s="17">
        <f>'KY_Cost Plant Acct-Elec-P14(Reg'!F130</f>
        <v>0</v>
      </c>
      <c r="G131" s="17"/>
      <c r="H131" s="17">
        <f>'KY_Cost Plant Acct-Elec-P14(Reg'!H130</f>
        <v>0</v>
      </c>
      <c r="I131" s="17"/>
      <c r="J131" s="17">
        <f>D131+F131+H131</f>
        <v>4464470.58</v>
      </c>
      <c r="K131" s="17"/>
      <c r="L131" s="17">
        <f>J131+B131</f>
        <v>8315110.8000000007</v>
      </c>
      <c r="M131" s="31"/>
    </row>
    <row r="132" spans="1:14" x14ac:dyDescent="0.2">
      <c r="A132" s="3" t="s">
        <v>315</v>
      </c>
      <c r="B132" s="17">
        <f>'KY_Cost Plant Acct-Elec-P14(Reg'!B131</f>
        <v>26151849.5</v>
      </c>
      <c r="C132" s="17"/>
      <c r="D132" s="17">
        <f>'KY_Cost Plant Acct-Elec-P14(Reg'!D131</f>
        <v>18354088.07</v>
      </c>
      <c r="E132" s="17"/>
      <c r="F132" s="17">
        <f>'KY_Cost Plant Acct-Elec-P14(Reg'!F131</f>
        <v>0</v>
      </c>
      <c r="G132" s="17"/>
      <c r="H132" s="17">
        <f>'KY_Cost Plant Acct-Elec-P14(Reg'!H131</f>
        <v>0</v>
      </c>
      <c r="I132" s="17"/>
      <c r="J132" s="17">
        <f>D132+F132+H132</f>
        <v>18354088.07</v>
      </c>
      <c r="K132" s="17"/>
      <c r="L132" s="17">
        <f>J132+B132</f>
        <v>44505937.57</v>
      </c>
      <c r="M132" s="31"/>
    </row>
    <row r="133" spans="1:14" s="31" customFormat="1" x14ac:dyDescent="0.2">
      <c r="A133" s="31" t="s">
        <v>316</v>
      </c>
      <c r="B133" s="17">
        <f>'KY_Cost Plant Acct-Elec-P14(Reg'!B132</f>
        <v>2081955.3699999999</v>
      </c>
      <c r="C133" s="17"/>
      <c r="D133" s="17">
        <f>'KY_Cost Plant Acct-Elec-P14(Reg'!D132</f>
        <v>3010918.89</v>
      </c>
      <c r="E133" s="17"/>
      <c r="F133" s="17">
        <f>'KY_Cost Plant Acct-Elec-P14(Reg'!F131</f>
        <v>0</v>
      </c>
      <c r="G133" s="17"/>
      <c r="H133" s="17">
        <f>'KY_Cost Plant Acct-Elec-P14(Reg'!H131</f>
        <v>0</v>
      </c>
      <c r="I133" s="17"/>
      <c r="J133" s="17">
        <f>D133+F133+H133</f>
        <v>3010918.89</v>
      </c>
      <c r="K133" s="17"/>
      <c r="L133" s="17">
        <f>J133+B133</f>
        <v>5092874.26</v>
      </c>
    </row>
    <row r="134" spans="1:14" x14ac:dyDescent="0.2">
      <c r="A134" s="3" t="s">
        <v>2643</v>
      </c>
      <c r="B134" s="16">
        <f>'KY_Cost Plant Acct-Elec-P14(Reg'!B133</f>
        <v>849758.33000000007</v>
      </c>
      <c r="C134" s="17"/>
      <c r="D134" s="16">
        <f>'KY_Cost Plant Acct-Elec-P14(Reg'!D133</f>
        <v>1475966.31</v>
      </c>
      <c r="E134" s="17"/>
      <c r="F134" s="16">
        <f>'KY_Cost Plant Acct-Elec-P14(Reg'!F132</f>
        <v>0</v>
      </c>
      <c r="G134" s="17"/>
      <c r="H134" s="16">
        <f>'KY_Cost Plant Acct-Elec-P14(Reg'!H132</f>
        <v>0</v>
      </c>
      <c r="I134" s="17"/>
      <c r="J134" s="16">
        <f>D134+F134+H134</f>
        <v>1475966.31</v>
      </c>
      <c r="K134" s="17"/>
      <c r="L134" s="16">
        <f>J134+B134</f>
        <v>2325724.64</v>
      </c>
      <c r="M134" s="31"/>
    </row>
    <row r="135" spans="1:14" x14ac:dyDescent="0.2">
      <c r="B135" s="17">
        <f>SUM(B130:B134)</f>
        <v>34725650.389999993</v>
      </c>
      <c r="C135" s="17"/>
      <c r="D135" s="17">
        <f>SUM(D130:D134)</f>
        <v>30173295.620000001</v>
      </c>
      <c r="E135" s="17"/>
      <c r="F135" s="17">
        <f>SUM(F130:F134)</f>
        <v>0</v>
      </c>
      <c r="G135" s="17"/>
      <c r="H135" s="17">
        <f>SUM(H130:H134)</f>
        <v>0</v>
      </c>
      <c r="I135" s="17"/>
      <c r="J135" s="17">
        <f>SUM(J130:J134)</f>
        <v>30173295.620000001</v>
      </c>
      <c r="K135" s="17"/>
      <c r="L135" s="17">
        <f>SUM(L130:L134)</f>
        <v>64898946.009999998</v>
      </c>
      <c r="M135" s="31"/>
    </row>
    <row r="136" spans="1:14" x14ac:dyDescent="0.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31"/>
    </row>
    <row r="137" spans="1:14" x14ac:dyDescent="0.2">
      <c r="A137" s="10" t="s">
        <v>325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31"/>
    </row>
    <row r="138" spans="1:14" x14ac:dyDescent="0.2">
      <c r="A138" s="3" t="s">
        <v>327</v>
      </c>
      <c r="B138" s="17">
        <f>'KY_Cost Plant Acct-Elec-P14(Reg'!B137</f>
        <v>13347907.609999999</v>
      </c>
      <c r="C138" s="17"/>
      <c r="D138" s="17">
        <f>'KY_Cost Plant Acct-Elec-P14(Reg'!D137</f>
        <v>-3809766.93</v>
      </c>
      <c r="E138" s="17">
        <f>'KY_Cost Plant Acct-Elec-P14(Reg'!E137</f>
        <v>0</v>
      </c>
      <c r="F138" s="17">
        <f>'KY_Cost Plant Acct-Elec-P14(Reg'!F137</f>
        <v>0</v>
      </c>
      <c r="G138" s="17">
        <f>'KY_Cost Plant Acct-Elec-P14(Reg'!G137</f>
        <v>0</v>
      </c>
      <c r="H138" s="17">
        <f>'KY_Cost Plant Acct-Elec-P14(Reg'!H137</f>
        <v>-8829349.2599999998</v>
      </c>
      <c r="I138" s="17"/>
      <c r="J138" s="17">
        <f t="shared" ref="J138:J143" si="14">D138+F138+H138</f>
        <v>-12639116.189999999</v>
      </c>
      <c r="K138" s="17"/>
      <c r="L138" s="17">
        <f t="shared" ref="L138:L143" si="15">J138+B138</f>
        <v>708791.41999999993</v>
      </c>
      <c r="M138" s="31"/>
    </row>
    <row r="139" spans="1:14" x14ac:dyDescent="0.2">
      <c r="A139" s="3" t="s">
        <v>328</v>
      </c>
      <c r="B139" s="17">
        <f>'KY_Cost Plant Acct-Elec-P14(Reg'!B138</f>
        <v>37826865.920000002</v>
      </c>
      <c r="C139" s="17"/>
      <c r="D139" s="17">
        <f>'KY_Cost Plant Acct-Elec-P14(Reg'!D138</f>
        <v>-30208491.100000001</v>
      </c>
      <c r="E139" s="17"/>
      <c r="F139" s="17">
        <v>0</v>
      </c>
      <c r="G139" s="17"/>
      <c r="H139" s="17">
        <v>0</v>
      </c>
      <c r="I139" s="17"/>
      <c r="J139" s="17">
        <f t="shared" si="14"/>
        <v>-30208491.100000001</v>
      </c>
      <c r="K139" s="17"/>
      <c r="L139" s="17">
        <f t="shared" si="15"/>
        <v>7618374.8200000003</v>
      </c>
      <c r="M139" s="31"/>
    </row>
    <row r="140" spans="1:14" x14ac:dyDescent="0.2">
      <c r="A140" s="3" t="s">
        <v>329</v>
      </c>
      <c r="B140" s="17">
        <f>'KY_Cost Plant Acct-Elec-P14(Reg'!B139</f>
        <v>25218543.57</v>
      </c>
      <c r="C140" s="17"/>
      <c r="D140" s="17">
        <f>'KY_Cost Plant Acct-Elec-P14(Reg'!D139</f>
        <v>-23763316.239999998</v>
      </c>
      <c r="E140" s="17"/>
      <c r="F140" s="17">
        <f>'KY_Cost Plant Acct-Elec-P14(Reg'!F139</f>
        <v>0</v>
      </c>
      <c r="G140" s="17"/>
      <c r="H140" s="17">
        <f>'KY_Cost Plant Acct-Elec-P14(Reg'!H139</f>
        <v>0</v>
      </c>
      <c r="I140" s="17"/>
      <c r="J140" s="17">
        <f t="shared" si="14"/>
        <v>-23763316.239999998</v>
      </c>
      <c r="K140" s="17"/>
      <c r="L140" s="17">
        <f t="shared" si="15"/>
        <v>1455227.3300000019</v>
      </c>
      <c r="M140" s="31"/>
    </row>
    <row r="141" spans="1:14" x14ac:dyDescent="0.2">
      <c r="A141" s="3" t="s">
        <v>330</v>
      </c>
      <c r="B141" s="17">
        <f>'KY_Cost Plant Acct-Elec-P14(Reg'!B140</f>
        <v>31742426.620000001</v>
      </c>
      <c r="C141" s="17"/>
      <c r="D141" s="17">
        <f>'KY_Cost Plant Acct-Elec-P14(Reg'!D140</f>
        <v>-30752484.140000001</v>
      </c>
      <c r="E141" s="17"/>
      <c r="F141" s="17">
        <f>'KY_Cost Plant Acct-Elec-P14(Reg'!F140</f>
        <v>0</v>
      </c>
      <c r="G141" s="17"/>
      <c r="H141" s="17">
        <f>'KY_Cost Plant Acct-Elec-P14(Reg'!H140</f>
        <v>8227211.2300000004</v>
      </c>
      <c r="I141" s="17"/>
      <c r="J141" s="17">
        <f t="shared" si="14"/>
        <v>-22525272.91</v>
      </c>
      <c r="K141" s="17"/>
      <c r="L141" s="17">
        <f t="shared" si="15"/>
        <v>9217153.7100000009</v>
      </c>
      <c r="M141" s="31"/>
    </row>
    <row r="142" spans="1:14" x14ac:dyDescent="0.2">
      <c r="A142" s="3" t="s">
        <v>2644</v>
      </c>
      <c r="B142" s="17">
        <f>'KY_Cost Plant Acct-Elec-P14(Reg'!B141</f>
        <v>7840210.3300000001</v>
      </c>
      <c r="C142" s="17"/>
      <c r="D142" s="17">
        <f>'KY_Cost Plant Acct-Elec-P14(Reg'!D141</f>
        <v>-7809508.2400000002</v>
      </c>
      <c r="E142" s="17">
        <f>'KY_Cost Plant Acct-Elec-P14(Reg'!E141</f>
        <v>0</v>
      </c>
      <c r="F142" s="17">
        <f>'KY_Cost Plant Acct-Elec-P14(Reg'!F141</f>
        <v>0</v>
      </c>
      <c r="G142" s="17">
        <f>'KY_Cost Plant Acct-Elec-P14(Reg'!G141</f>
        <v>0</v>
      </c>
      <c r="H142" s="17">
        <f>'KY_Cost Plant Acct-Elec-P14(Reg'!H141</f>
        <v>414341.01</v>
      </c>
      <c r="I142" s="17"/>
      <c r="J142" s="17">
        <f t="shared" si="14"/>
        <v>-7395167.2300000004</v>
      </c>
      <c r="K142" s="17"/>
      <c r="L142" s="17">
        <f t="shared" si="15"/>
        <v>445043.09999999963</v>
      </c>
      <c r="M142" s="31"/>
    </row>
    <row r="143" spans="1:14" x14ac:dyDescent="0.2">
      <c r="A143" s="3" t="s">
        <v>2645</v>
      </c>
      <c r="B143" s="16">
        <f>'KY_Cost Plant Acct-Elec-P14(Reg'!B142</f>
        <v>3551.54</v>
      </c>
      <c r="C143" s="17"/>
      <c r="D143" s="16">
        <f>'KY_Cost Plant Acct-Elec-P14(Reg'!D142</f>
        <v>53592.67</v>
      </c>
      <c r="E143" s="16">
        <f>'KY_Cost Plant Acct-Elec-P14(Reg'!E142</f>
        <v>0</v>
      </c>
      <c r="F143" s="16">
        <f>'KY_Cost Plant Acct-Elec-P14(Reg'!F142</f>
        <v>0</v>
      </c>
      <c r="G143" s="16">
        <f>'KY_Cost Plant Acct-Elec-P14(Reg'!G142</f>
        <v>0</v>
      </c>
      <c r="H143" s="16">
        <f>'KY_Cost Plant Acct-Elec-P14(Reg'!H142</f>
        <v>187797.02</v>
      </c>
      <c r="I143" s="17"/>
      <c r="J143" s="16">
        <f t="shared" si="14"/>
        <v>241389.69</v>
      </c>
      <c r="K143" s="17"/>
      <c r="L143" s="16">
        <f t="shared" si="15"/>
        <v>244941.23</v>
      </c>
      <c r="M143" s="31"/>
    </row>
    <row r="144" spans="1:14" x14ac:dyDescent="0.2">
      <c r="B144" s="17">
        <f>SUM(B138:B143)</f>
        <v>115979505.59</v>
      </c>
      <c r="C144" s="17"/>
      <c r="D144" s="17">
        <f>SUM(D138:D143)</f>
        <v>-96289973.979999989</v>
      </c>
      <c r="E144" s="17"/>
      <c r="F144" s="17">
        <f>SUM(F138:F143)</f>
        <v>0</v>
      </c>
      <c r="G144" s="17"/>
      <c r="H144" s="17">
        <f>SUM(H138:H143)</f>
        <v>6.6938810050487518E-10</v>
      </c>
      <c r="I144" s="17"/>
      <c r="J144" s="17">
        <f>SUM(J138:J143)</f>
        <v>-96289973.980000004</v>
      </c>
      <c r="K144" s="17"/>
      <c r="L144" s="17">
        <f>SUM(L138:L143)</f>
        <v>19689531.610000003</v>
      </c>
      <c r="M144" s="31"/>
      <c r="N144" s="39"/>
    </row>
    <row r="145" spans="1:13" x14ac:dyDescent="0.2">
      <c r="A145" s="10" t="s">
        <v>337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31"/>
    </row>
    <row r="146" spans="1:13" x14ac:dyDescent="0.2">
      <c r="A146" s="3" t="s">
        <v>342</v>
      </c>
      <c r="B146" s="17">
        <f>'KY_Cost Plant Acct-Elec-P14(Reg'!B145</f>
        <v>16020275.440000001</v>
      </c>
      <c r="C146" s="17"/>
      <c r="D146" s="17">
        <f>'KY_Cost Plant Acct-Elec-P14(Reg'!D145</f>
        <v>10667080.92</v>
      </c>
      <c r="E146" s="17"/>
      <c r="F146" s="17">
        <f>'KY_Cost Plant Acct-Elec-P14(Reg'!F145</f>
        <v>0</v>
      </c>
      <c r="G146" s="17"/>
      <c r="H146" s="17">
        <f>'KY_Cost Plant Acct-Elec-P14(Reg'!H145</f>
        <v>0</v>
      </c>
      <c r="I146" s="17"/>
      <c r="J146" s="17">
        <f t="shared" ref="J146:J151" si="16">D146+F146+H146</f>
        <v>10667080.92</v>
      </c>
      <c r="K146" s="17"/>
      <c r="L146" s="17">
        <f t="shared" ref="L146:L151" si="17">J146+B146</f>
        <v>26687356.359999999</v>
      </c>
      <c r="M146" s="31"/>
    </row>
    <row r="147" spans="1:13" x14ac:dyDescent="0.2">
      <c r="A147" s="3" t="s">
        <v>2646</v>
      </c>
      <c r="B147" s="17">
        <f>'KY_Cost Plant Acct-Elec-P14(Reg'!B146</f>
        <v>0</v>
      </c>
      <c r="C147" s="17"/>
      <c r="D147" s="17">
        <f>'KY_Cost Plant Acct-Elec-P14(Reg'!D146</f>
        <v>0</v>
      </c>
      <c r="E147" s="17"/>
      <c r="F147" s="17">
        <f>'KY_Cost Plant Acct-Elec-P14(Reg'!F146</f>
        <v>0</v>
      </c>
      <c r="G147" s="17"/>
      <c r="H147" s="17">
        <f>'KY_Cost Plant Acct-Elec-P14(Reg'!H146</f>
        <v>0</v>
      </c>
      <c r="I147" s="17"/>
      <c r="J147" s="17">
        <f t="shared" si="16"/>
        <v>0</v>
      </c>
      <c r="K147" s="17"/>
      <c r="L147" s="17">
        <f t="shared" si="17"/>
        <v>0</v>
      </c>
      <c r="M147" s="31"/>
    </row>
    <row r="148" spans="1:13" x14ac:dyDescent="0.2">
      <c r="A148" s="3" t="s">
        <v>345</v>
      </c>
      <c r="B148" s="17">
        <f>'KY_Cost Plant Acct-Elec-P14(Reg'!B147</f>
        <v>806602619.39999998</v>
      </c>
      <c r="C148" s="17"/>
      <c r="D148" s="17">
        <f>'KY_Cost Plant Acct-Elec-P14(Reg'!D147</f>
        <v>268960393.36000001</v>
      </c>
      <c r="E148" s="17"/>
      <c r="F148" s="17">
        <f>'KY_Cost Plant Acct-Elec-P14(Reg'!F147</f>
        <v>0</v>
      </c>
      <c r="G148" s="17"/>
      <c r="H148" s="17">
        <f>'KY_Cost Plant Acct-Elec-P14(Reg'!H147</f>
        <v>0</v>
      </c>
      <c r="I148" s="17"/>
      <c r="J148" s="17">
        <f t="shared" si="16"/>
        <v>268960393.36000001</v>
      </c>
      <c r="K148" s="17"/>
      <c r="L148" s="17">
        <f t="shared" si="17"/>
        <v>1075563012.76</v>
      </c>
      <c r="M148" s="31"/>
    </row>
    <row r="149" spans="1:13" x14ac:dyDescent="0.2">
      <c r="A149" s="3" t="s">
        <v>348</v>
      </c>
      <c r="B149" s="17">
        <f>'KY_Cost Plant Acct-Elec-P14(Reg'!B148</f>
        <v>18497377.350000001</v>
      </c>
      <c r="C149" s="17"/>
      <c r="D149" s="17">
        <f>'KY_Cost Plant Acct-Elec-P14(Reg'!D148</f>
        <v>-17456254.809999999</v>
      </c>
      <c r="E149" s="17"/>
      <c r="F149" s="17">
        <f>'KY_Cost Plant Acct-Elec-P14(Reg'!F148</f>
        <v>0</v>
      </c>
      <c r="G149" s="17"/>
      <c r="H149" s="17">
        <f>'KY_Cost Plant Acct-Elec-P14(Reg'!H148</f>
        <v>0</v>
      </c>
      <c r="I149" s="17"/>
      <c r="J149" s="17">
        <f t="shared" si="16"/>
        <v>-17456254.809999999</v>
      </c>
      <c r="K149" s="17"/>
      <c r="L149" s="17">
        <f t="shared" si="17"/>
        <v>1041122.5400000028</v>
      </c>
      <c r="M149" s="31"/>
    </row>
    <row r="150" spans="1:13" x14ac:dyDescent="0.2">
      <c r="A150" s="3" t="s">
        <v>349</v>
      </c>
      <c r="B150" s="17">
        <f>'KY_Cost Plant Acct-Elec-P14(Reg'!B149</f>
        <v>10472810.529999999</v>
      </c>
      <c r="C150" s="17"/>
      <c r="D150" s="17">
        <f>'KY_Cost Plant Acct-Elec-P14(Reg'!D149</f>
        <v>24262093.260000002</v>
      </c>
      <c r="E150" s="17"/>
      <c r="F150" s="17">
        <f>'KY_Cost Plant Acct-Elec-P14(Reg'!F149</f>
        <v>0</v>
      </c>
      <c r="G150" s="17"/>
      <c r="H150" s="17">
        <f>'KY_Cost Plant Acct-Elec-P14(Reg'!H149</f>
        <v>0</v>
      </c>
      <c r="I150" s="17"/>
      <c r="J150" s="17">
        <f t="shared" si="16"/>
        <v>24262093.260000002</v>
      </c>
      <c r="K150" s="17"/>
      <c r="L150" s="17">
        <f t="shared" si="17"/>
        <v>34734903.789999999</v>
      </c>
      <c r="M150" s="31"/>
    </row>
    <row r="151" spans="1:13" x14ac:dyDescent="0.2">
      <c r="A151" s="3" t="s">
        <v>352</v>
      </c>
      <c r="B151" s="16">
        <f>'KY_Cost Plant Acct-Elec-P14(Reg'!B150</f>
        <v>824987.92000000039</v>
      </c>
      <c r="C151" s="17"/>
      <c r="D151" s="16">
        <f>'KY_Cost Plant Acct-Elec-P14(Reg'!D150</f>
        <v>112051.92</v>
      </c>
      <c r="E151" s="17"/>
      <c r="F151" s="16">
        <f>'KY_Cost Plant Acct-Elec-P14(Reg'!F150</f>
        <v>0</v>
      </c>
      <c r="G151" s="17"/>
      <c r="H151" s="16">
        <f>'KY_Cost Plant Acct-Elec-P14(Reg'!H150</f>
        <v>0</v>
      </c>
      <c r="I151" s="17"/>
      <c r="J151" s="16">
        <f t="shared" si="16"/>
        <v>112051.92</v>
      </c>
      <c r="K151" s="17"/>
      <c r="L151" s="16">
        <f t="shared" si="17"/>
        <v>937039.84000000043</v>
      </c>
      <c r="M151" s="31"/>
    </row>
    <row r="152" spans="1:13" x14ac:dyDescent="0.2">
      <c r="B152" s="17">
        <f>SUM(B146:B151)</f>
        <v>852418070.63999999</v>
      </c>
      <c r="C152" s="17"/>
      <c r="D152" s="17">
        <f>SUM(D146:D151)</f>
        <v>286545364.65000004</v>
      </c>
      <c r="E152" s="17"/>
      <c r="F152" s="17">
        <f>SUM(F146:F151)</f>
        <v>0</v>
      </c>
      <c r="G152" s="17"/>
      <c r="H152" s="17">
        <f>SUM(H146:H151)</f>
        <v>0</v>
      </c>
      <c r="I152" s="17"/>
      <c r="J152" s="17">
        <f>SUM(J146:J151)</f>
        <v>286545364.65000004</v>
      </c>
      <c r="K152" s="17"/>
      <c r="L152" s="17">
        <f>SUM(L146:L151)</f>
        <v>1138963435.2899997</v>
      </c>
      <c r="M152" s="31"/>
    </row>
    <row r="153" spans="1:13" x14ac:dyDescent="0.2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31"/>
    </row>
    <row r="154" spans="1:13" x14ac:dyDescent="0.2">
      <c r="A154" s="10" t="s">
        <v>2647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31"/>
    </row>
    <row r="155" spans="1:13" x14ac:dyDescent="0.2">
      <c r="A155" s="3" t="s">
        <v>357</v>
      </c>
      <c r="B155" s="17">
        <f>'KY_Cost Plant Acct-Elec-P14(Reg'!B154</f>
        <v>0</v>
      </c>
      <c r="C155" s="17"/>
      <c r="D155" s="17">
        <f>'KY_Cost Plant Acct-Elec-P14(Reg'!D154</f>
        <v>0</v>
      </c>
      <c r="E155" s="17"/>
      <c r="F155" s="17">
        <f>'KY_Cost Plant Acct-Elec-P14(Reg'!F154</f>
        <v>0</v>
      </c>
      <c r="G155" s="17"/>
      <c r="H155" s="17">
        <f>'KY_Cost Plant Acct-Elec-P14(Reg'!H154</f>
        <v>0</v>
      </c>
      <c r="I155" s="17"/>
      <c r="J155" s="17">
        <f t="shared" ref="J155:J161" si="18">D155+F155+H155</f>
        <v>0</v>
      </c>
      <c r="K155" s="17"/>
      <c r="L155" s="17">
        <f t="shared" ref="L155:L161" si="19">J155+B155</f>
        <v>0</v>
      </c>
      <c r="M155" s="31"/>
    </row>
    <row r="156" spans="1:13" x14ac:dyDescent="0.2">
      <c r="A156" s="3" t="s">
        <v>359</v>
      </c>
      <c r="B156" s="17">
        <f>'KY_Cost Plant Acct-Elec-P14(Reg'!B155+'IN_Cost Plant Acct-Elec-P16(Reg'!B30</f>
        <v>4423383.4000000004</v>
      </c>
      <c r="C156" s="17"/>
      <c r="D156" s="17">
        <f>'KY_Cost Plant Acct-Elec-P14(Reg'!D155+'IN_Cost Plant Acct-Elec-P16(Reg'!D30</f>
        <v>-4197523.3</v>
      </c>
      <c r="E156" s="17"/>
      <c r="F156" s="17">
        <f>'KY_Cost Plant Acct-Elec-P14(Reg'!F155</f>
        <v>0</v>
      </c>
      <c r="G156" s="17"/>
      <c r="H156" s="17">
        <f>'KY_Cost Plant Acct-Elec-P14(Reg'!H155</f>
        <v>0</v>
      </c>
      <c r="I156" s="17"/>
      <c r="J156" s="17">
        <f t="shared" si="18"/>
        <v>-4197523.3</v>
      </c>
      <c r="K156" s="17"/>
      <c r="L156" s="17">
        <f t="shared" si="19"/>
        <v>225860.10000000056</v>
      </c>
      <c r="M156" s="31"/>
    </row>
    <row r="157" spans="1:13" x14ac:dyDescent="0.2">
      <c r="A157" s="3" t="s">
        <v>360</v>
      </c>
      <c r="B157" s="17">
        <f>'KY_Cost Plant Acct-Elec-P14(Reg'!B156+'IN_Cost Plant Acct-Elec-P16(Reg'!B31</f>
        <v>27658601.409999996</v>
      </c>
      <c r="C157" s="17"/>
      <c r="D157" s="17">
        <f>'KY_Cost Plant Acct-Elec-P14(Reg'!D156+'IN_Cost Plant Acct-Elec-P16(Reg'!D31</f>
        <v>-17761120.370000001</v>
      </c>
      <c r="E157" s="17"/>
      <c r="F157" s="17">
        <f>'KY_Cost Plant Acct-Elec-P14(Reg'!F156+'IN_Cost Plant Acct-Elec-P16(Reg'!F31</f>
        <v>0</v>
      </c>
      <c r="G157" s="17"/>
      <c r="H157" s="17">
        <f>'KY_Cost Plant Acct-Elec-P14(Reg'!H156+'IN_Cost Plant Acct-Elec-P16(Reg'!H31</f>
        <v>0</v>
      </c>
      <c r="I157" s="17"/>
      <c r="J157" s="17">
        <f t="shared" si="18"/>
        <v>-17761120.370000001</v>
      </c>
      <c r="K157" s="17"/>
      <c r="L157" s="17">
        <f t="shared" si="19"/>
        <v>9897481.0399999954</v>
      </c>
      <c r="M157" s="31"/>
    </row>
    <row r="158" spans="1:13" x14ac:dyDescent="0.2">
      <c r="A158" s="124" t="s">
        <v>2635</v>
      </c>
      <c r="B158" s="17">
        <f>'KY_Cost Plant Acct-Elec-P14(Reg'!B157+'IN_Cost Plant Acct-Elec-P16(Reg'!B32</f>
        <v>0</v>
      </c>
      <c r="C158" s="17">
        <f>'KY_Cost Plant Acct-Elec-P14(Reg'!C157+'IN_Cost Plant Acct-Elec-P16(Reg'!C32</f>
        <v>0</v>
      </c>
      <c r="D158" s="17">
        <f>'KY_Cost Plant Acct-Elec-P14(Reg'!D157+'IN_Cost Plant Acct-Elec-P16(Reg'!D32</f>
        <v>0</v>
      </c>
      <c r="E158" s="17">
        <f>'KY_Cost Plant Acct-Elec-P14(Reg'!E157+'IN_Cost Plant Acct-Elec-P16(Reg'!E32</f>
        <v>0</v>
      </c>
      <c r="F158" s="17">
        <f>'KY_Cost Plant Acct-Elec-P14(Reg'!F157+'IN_Cost Plant Acct-Elec-P16(Reg'!F32</f>
        <v>0</v>
      </c>
      <c r="G158" s="17">
        <f>'KY_Cost Plant Acct-Elec-P14(Reg'!G157+'IN_Cost Plant Acct-Elec-P16(Reg'!G32</f>
        <v>0</v>
      </c>
      <c r="H158" s="17">
        <f>'KY_Cost Plant Acct-Elec-P14(Reg'!H157+'IN_Cost Plant Acct-Elec-P16(Reg'!H32</f>
        <v>0</v>
      </c>
      <c r="I158" s="17">
        <f>'KY_Cost Plant Acct-Elec-P14(Reg'!I157+'IN_Cost Plant Acct-Elec-P16(Reg'!I32</f>
        <v>0</v>
      </c>
      <c r="J158" s="17">
        <f t="shared" si="18"/>
        <v>0</v>
      </c>
      <c r="K158" s="17"/>
      <c r="L158" s="17">
        <f t="shared" si="19"/>
        <v>0</v>
      </c>
      <c r="M158" s="31"/>
    </row>
    <row r="159" spans="1:13" x14ac:dyDescent="0.2">
      <c r="A159" s="3" t="s">
        <v>363</v>
      </c>
      <c r="B159" s="17">
        <f>'IN_Cost Plant Acct-Elec-P16(Reg'!B32+'KY_Cost Plant Acct-Elec-P14(Reg'!B158</f>
        <v>603661.85000000102</v>
      </c>
      <c r="C159" s="17"/>
      <c r="D159" s="17">
        <f>'IN_Cost Plant Acct-Elec-P16(Reg'!D32+'KY_Cost Plant Acct-Elec-P14(Reg'!D158</f>
        <v>-601743.52</v>
      </c>
      <c r="E159" s="17"/>
      <c r="F159" s="17">
        <f>'IN_Cost Plant Acct-Elec-P16(Reg'!F32</f>
        <v>0</v>
      </c>
      <c r="G159" s="17"/>
      <c r="H159" s="17">
        <f>'IN_Cost Plant Acct-Elec-P16(Reg'!H32</f>
        <v>0</v>
      </c>
      <c r="I159" s="17"/>
      <c r="J159" s="17">
        <f t="shared" si="18"/>
        <v>-601743.52</v>
      </c>
      <c r="K159" s="17"/>
      <c r="L159" s="17">
        <f t="shared" si="19"/>
        <v>1918.3300000010058</v>
      </c>
      <c r="M159" s="31"/>
    </row>
    <row r="160" spans="1:13" x14ac:dyDescent="0.2">
      <c r="A160" s="3" t="s">
        <v>364</v>
      </c>
      <c r="B160" s="17">
        <f>'KY_Cost Plant Acct-Elec-P14(Reg'!B159+'IN_Cost Plant Acct-Elec-P16(Reg'!B33</f>
        <v>2339667.1899999981</v>
      </c>
      <c r="C160" s="17"/>
      <c r="D160" s="17">
        <f>'KY_Cost Plant Acct-Elec-P14(Reg'!D159+'IN_Cost Plant Acct-Elec-P16(Reg'!D33</f>
        <v>1864878.68</v>
      </c>
      <c r="E160" s="17"/>
      <c r="F160" s="17">
        <f>'KY_Cost Plant Acct-Elec-P14(Reg'!F159+'IN_Cost Plant Acct-Elec-P16(Reg'!F33</f>
        <v>0</v>
      </c>
      <c r="G160" s="17"/>
      <c r="H160" s="17">
        <f>'KY_Cost Plant Acct-Elec-P14(Reg'!H159+'IN_Cost Plant Acct-Elec-P16(Reg'!H33</f>
        <v>0</v>
      </c>
      <c r="I160" s="17"/>
      <c r="J160" s="17">
        <f t="shared" si="18"/>
        <v>1864878.68</v>
      </c>
      <c r="K160" s="17"/>
      <c r="L160" s="17">
        <f t="shared" si="19"/>
        <v>4204545.8699999982</v>
      </c>
      <c r="M160" s="31"/>
    </row>
    <row r="161" spans="1:13" x14ac:dyDescent="0.2">
      <c r="A161" s="3" t="s">
        <v>365</v>
      </c>
      <c r="B161" s="16">
        <f>'KY_Cost Plant Acct-Elec-P14(Reg'!B160+'IN_Cost Plant Acct-Elec-P16(Reg'!B34</f>
        <v>2342870.88</v>
      </c>
      <c r="C161" s="17"/>
      <c r="D161" s="16">
        <f>'KY_Cost Plant Acct-Elec-P14(Reg'!D160+'IN_Cost Plant Acct-Elec-P16(Reg'!D34</f>
        <v>-1193157.33</v>
      </c>
      <c r="E161" s="17"/>
      <c r="F161" s="16">
        <f>'KY_Cost Plant Acct-Elec-P14(Reg'!F160+'IN_Cost Plant Acct-Elec-P16(Reg'!F34</f>
        <v>0</v>
      </c>
      <c r="G161" s="17"/>
      <c r="H161" s="16">
        <f>'KY_Cost Plant Acct-Elec-P14(Reg'!H160+'IN_Cost Plant Acct-Elec-P16(Reg'!H34</f>
        <v>0</v>
      </c>
      <c r="I161" s="17"/>
      <c r="J161" s="16">
        <f t="shared" si="18"/>
        <v>-1193157.33</v>
      </c>
      <c r="K161" s="17"/>
      <c r="L161" s="16">
        <f t="shared" si="19"/>
        <v>1149713.5499999998</v>
      </c>
      <c r="M161" s="31"/>
    </row>
    <row r="162" spans="1:13" x14ac:dyDescent="0.2">
      <c r="B162" s="17">
        <f>SUM(B155:B161)</f>
        <v>37368184.729999997</v>
      </c>
      <c r="C162" s="17"/>
      <c r="D162" s="17">
        <f>SUM(D155:D161)</f>
        <v>-21888665.840000004</v>
      </c>
      <c r="E162" s="17"/>
      <c r="F162" s="17">
        <f>SUM(F157:F161)</f>
        <v>0</v>
      </c>
      <c r="G162" s="17"/>
      <c r="H162" s="17">
        <f>SUM(H157:H161)</f>
        <v>0</v>
      </c>
      <c r="I162" s="17"/>
      <c r="J162" s="17">
        <f>SUM(J155:J161)</f>
        <v>-21888665.840000004</v>
      </c>
      <c r="K162" s="17"/>
      <c r="L162" s="17">
        <f>SUM(L155:L161)</f>
        <v>15479518.889999997</v>
      </c>
      <c r="M162" s="31"/>
    </row>
    <row r="163" spans="1:13" x14ac:dyDescent="0.2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31"/>
    </row>
    <row r="164" spans="1:13" x14ac:dyDescent="0.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3" x14ac:dyDescent="0.2">
      <c r="A165" s="10" t="s">
        <v>2648</v>
      </c>
      <c r="B165" s="21">
        <f>B162+B152+B127+B119+B144+B135</f>
        <v>1089788464.0500002</v>
      </c>
      <c r="C165" s="17"/>
      <c r="D165" s="21">
        <f>D162+D152+D127+D119+D144+D135</f>
        <v>213202563.35000005</v>
      </c>
      <c r="E165" s="17"/>
      <c r="F165" s="21">
        <f>F162+F152+F127+F119+F144+F135</f>
        <v>0</v>
      </c>
      <c r="G165" s="17"/>
      <c r="H165" s="21">
        <f>H162+H152+H127+H119+H144+H135</f>
        <v>6.6938810050487518E-10</v>
      </c>
      <c r="I165" s="17"/>
      <c r="J165" s="21">
        <f>J162+J152+J127+J119+J144+J135</f>
        <v>213202563.35000002</v>
      </c>
      <c r="K165" s="17"/>
      <c r="L165" s="21">
        <f>L162+L152+L127+L119+L144+L135</f>
        <v>1302991027.3999999</v>
      </c>
    </row>
    <row r="167" spans="1:13" ht="13.5" thickBot="1" x14ac:dyDescent="0.25">
      <c r="A167" s="10" t="s">
        <v>2649</v>
      </c>
      <c r="B167" s="97">
        <f>B165+B102</f>
        <v>4838466054.1099997</v>
      </c>
      <c r="D167" s="97">
        <f>D165+D102</f>
        <v>517097887.29000008</v>
      </c>
      <c r="F167" s="97">
        <f>F165+F102</f>
        <v>-87908239.349999994</v>
      </c>
      <c r="H167" s="97">
        <f>H165+H102</f>
        <v>-7192920.7300000042</v>
      </c>
      <c r="J167" s="97">
        <f>J165+J102</f>
        <v>421996727.21000004</v>
      </c>
      <c r="L167" s="97">
        <f>L165+L102</f>
        <v>5260462781.3199987</v>
      </c>
    </row>
    <row r="168" spans="1:13" ht="13.5" thickTop="1" x14ac:dyDescent="0.2">
      <c r="B168" s="39"/>
    </row>
    <row r="169" spans="1:13" x14ac:dyDescent="0.2">
      <c r="B169" s="39">
        <f>+B167-'KY_Total Elec PIS_NBV-P13 (Reg)'!B103-'IN_Total PIS_Elec_NBV-P15 (Reg)'!B25</f>
        <v>8.0466270446777344E-7</v>
      </c>
      <c r="D169" s="39">
        <f>+D167-'KY_Total Elec PIS_NBV-P13 (Reg)'!D103-'IN_Total PIS_Elec_NBV-P15 (Reg)'!D25</f>
        <v>0</v>
      </c>
      <c r="F169" s="39">
        <f>+F167-'KY_Total Elec PIS_NBV-P13 (Reg)'!F103-'IN_Total PIS_Elec_NBV-P15 (Reg)'!F25</f>
        <v>1.1918018572032452E-8</v>
      </c>
      <c r="H169" s="39">
        <f>+H167-'KY_Total Elec PIS_NBV-P13 (Reg)'!H103-'IN_Total PIS_Elec_NBV-P15 (Reg)'!H25</f>
        <v>0</v>
      </c>
      <c r="J169" s="39">
        <f>+J167-'KY_Total Elec PIS_NBV-P13 (Reg)'!J103-'IN_Total PIS_Elec_NBV-P15 (Reg)'!J25</f>
        <v>-5.4016709327697754E-8</v>
      </c>
      <c r="L169" s="39">
        <f>+L167-'KY_Total Elec PIS_NBV-P13 (Reg)'!L103-'IN_Total PIS_Elec_NBV-P15 (Reg)'!L25</f>
        <v>-2.6077032089233398E-7</v>
      </c>
    </row>
  </sheetData>
  <mergeCells count="3">
    <mergeCell ref="A1:M1"/>
    <mergeCell ref="A2:M2"/>
    <mergeCell ref="A3:M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3" manualBreakCount="3">
    <brk id="52" max="16383" man="1"/>
    <brk id="85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137"/>
  <sheetViews>
    <sheetView zoomScaleNormal="100" workbookViewId="0">
      <selection sqref="A1:N1"/>
    </sheetView>
  </sheetViews>
  <sheetFormatPr defaultRowHeight="12.75" x14ac:dyDescent="0.2"/>
  <cols>
    <col min="1" max="1" width="50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5703125" style="3" customWidth="1"/>
    <col min="12" max="12" width="17.7109375" style="3" customWidth="1"/>
    <col min="13" max="13" width="1.7109375" style="3" customWidth="1"/>
    <col min="14" max="14" width="21.85546875" style="3" customWidth="1"/>
    <col min="15" max="15" width="2.710937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2650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8" t="s">
        <v>242</v>
      </c>
      <c r="K6" s="138"/>
      <c r="L6" s="8" t="s">
        <v>5</v>
      </c>
      <c r="P6" s="1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K7" s="18"/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K8" s="18"/>
      <c r="L8" s="18"/>
    </row>
    <row r="9" spans="1:16" x14ac:dyDescent="0.2">
      <c r="A9" s="10" t="s">
        <v>2561</v>
      </c>
    </row>
    <row r="10" spans="1:16" x14ac:dyDescent="0.2">
      <c r="A10" s="10" t="s">
        <v>276</v>
      </c>
    </row>
    <row r="11" spans="1:16" x14ac:dyDescent="0.2">
      <c r="A11" s="22" t="s">
        <v>277</v>
      </c>
      <c r="B11" s="138">
        <f>'KY_Cost Plant Acct-Elec-P14(Reg'!B11</f>
        <v>0</v>
      </c>
      <c r="C11" s="138"/>
      <c r="D11" s="138">
        <f>'KY_Cost Plant Acct-Elec-P14(Reg'!D11</f>
        <v>0</v>
      </c>
      <c r="E11" s="138"/>
      <c r="F11" s="138">
        <f>'KY_Cost Plant Acct-Elec-P14(Reg'!F11</f>
        <v>0</v>
      </c>
      <c r="G11" s="138"/>
      <c r="H11" s="138">
        <f>'KY_Cost Plant Acct-Elec-P14(Reg'!H11</f>
        <v>0</v>
      </c>
      <c r="I11" s="138"/>
      <c r="J11" s="138">
        <f>H11+F11+D11</f>
        <v>0</v>
      </c>
      <c r="K11" s="138"/>
      <c r="L11" s="138">
        <f>B11+J11</f>
        <v>0</v>
      </c>
      <c r="N11" s="39">
        <v>0</v>
      </c>
      <c r="P11" s="39">
        <f>L11+N11</f>
        <v>0</v>
      </c>
    </row>
    <row r="12" spans="1:16" x14ac:dyDescent="0.2">
      <c r="A12" s="3" t="s">
        <v>278</v>
      </c>
      <c r="B12" s="138">
        <f>'KY_Cost Plant Acct-Elec-P14(Reg'!B12</f>
        <v>4100654.4700000007</v>
      </c>
      <c r="C12" s="138"/>
      <c r="D12" s="138">
        <f>'KY_Cost Plant Acct-Elec-P14(Reg'!D12</f>
        <v>871644.37</v>
      </c>
      <c r="E12" s="138"/>
      <c r="F12" s="138">
        <f>'KY_Cost Plant Acct-Elec-P14(Reg'!F12</f>
        <v>0</v>
      </c>
      <c r="G12" s="138"/>
      <c r="H12" s="138">
        <f>'KY_Cost Plant Acct-Elec-P14(Reg'!H12</f>
        <v>-871644.37</v>
      </c>
      <c r="I12" s="138"/>
      <c r="J12" s="138">
        <f>H12+F12+D12</f>
        <v>0</v>
      </c>
      <c r="K12" s="138"/>
      <c r="L12" s="138">
        <f>B12+J12</f>
        <v>4100654.4700000007</v>
      </c>
      <c r="N12" s="39">
        <f>'KY_Res by Plant Acct-P29 (Reg)'!R11</f>
        <v>-3.5527136788005009E-15</v>
      </c>
      <c r="P12" s="39">
        <f>L12+N12</f>
        <v>4100654.4700000007</v>
      </c>
    </row>
    <row r="13" spans="1:16" x14ac:dyDescent="0.2">
      <c r="A13" s="3" t="s">
        <v>280</v>
      </c>
      <c r="B13" s="138">
        <f>'KY_Cost Plant Acct-Elec-P14(Reg'!B13+'KY_Cost Plant Acct-Elec-P14(Reg'!B106</f>
        <v>7496623.4399999995</v>
      </c>
      <c r="C13" s="138"/>
      <c r="D13" s="138">
        <f>'KY_Cost Plant Acct-Elec-P14(Reg'!D13+'KY_Cost Plant Acct-Elec-P14(Reg'!D106</f>
        <v>-637948.85000000009</v>
      </c>
      <c r="E13" s="138"/>
      <c r="F13" s="138">
        <f>'KY_Cost Plant Acct-Elec-P14(Reg'!F13</f>
        <v>-25028.79</v>
      </c>
      <c r="G13" s="138"/>
      <c r="H13" s="138">
        <f>'KY_Cost Plant Acct-Elec-P14(Reg'!H13</f>
        <v>0</v>
      </c>
      <c r="I13" s="138"/>
      <c r="J13" s="138">
        <f t="shared" ref="J13:J25" si="0">H13+F13+D13</f>
        <v>-662977.64000000013</v>
      </c>
      <c r="K13" s="138"/>
      <c r="L13" s="138">
        <f t="shared" ref="L13:L25" si="1">B13+J13</f>
        <v>6833645.7999999989</v>
      </c>
      <c r="N13" s="39">
        <f>'KY_Res by Plant Acct-P29 (Reg)'!R12</f>
        <v>-2252423.5199999996</v>
      </c>
      <c r="P13" s="39">
        <f t="shared" ref="P13:P25" si="2">L13+N13</f>
        <v>4581222.2799999993</v>
      </c>
    </row>
    <row r="14" spans="1:16" x14ac:dyDescent="0.2">
      <c r="A14" s="3" t="s">
        <v>281</v>
      </c>
      <c r="B14" s="138">
        <f>'KY_Cost Plant Acct-Elec-P14(Reg'!B14+'KY_Cost Plant Acct-Elec-P14(Reg'!B107</f>
        <v>130844529.67999999</v>
      </c>
      <c r="C14" s="138"/>
      <c r="D14" s="138">
        <f>'KY_Cost Plant Acct-Elec-P14(Reg'!D14+'KY_Cost Plant Acct-Elec-P14(Reg'!D107</f>
        <v>1866579.95</v>
      </c>
      <c r="E14" s="138"/>
      <c r="F14" s="138">
        <f>'KY_Cost Plant Acct-Elec-P14(Reg'!F14</f>
        <v>-595619.43000000005</v>
      </c>
      <c r="G14" s="138"/>
      <c r="H14" s="138">
        <f>'KY_Cost Plant Acct-Elec-P14(Reg'!H14</f>
        <v>-336741.48</v>
      </c>
      <c r="I14" s="138"/>
      <c r="J14" s="138">
        <f t="shared" si="0"/>
        <v>934219.03999999992</v>
      </c>
      <c r="K14" s="138"/>
      <c r="L14" s="138">
        <f t="shared" si="1"/>
        <v>131778748.72</v>
      </c>
      <c r="N14" s="39">
        <f>'KY_Res by Plant Acct-P29 (Reg)'!R13+'KY_Res by Plant Acct-P29 (Reg)'!R14</f>
        <v>-43679225.150000006</v>
      </c>
      <c r="P14" s="39">
        <f t="shared" si="2"/>
        <v>88099523.569999993</v>
      </c>
    </row>
    <row r="15" spans="1:16" x14ac:dyDescent="0.2">
      <c r="A15" s="3" t="s">
        <v>282</v>
      </c>
      <c r="B15" s="138">
        <f>'KY_Cost Plant Acct-Elec-P14(Reg'!B15+'KY_Cost Plant Acct-Elec-P14(Reg'!B108</f>
        <v>180739747.03000003</v>
      </c>
      <c r="C15" s="138"/>
      <c r="D15" s="138">
        <f>'KY_Cost Plant Acct-Elec-P14(Reg'!D15+'KY_Cost Plant Acct-Elec-P14(Reg'!D108</f>
        <v>15500848.539999999</v>
      </c>
      <c r="E15" s="138"/>
      <c r="F15" s="138">
        <f>'KY_Cost Plant Acct-Elec-P14(Reg'!F15</f>
        <v>-1437598.99</v>
      </c>
      <c r="G15" s="138"/>
      <c r="H15" s="138">
        <f>'KY_Cost Plant Acct-Elec-P14(Reg'!H15+'KY_Cost Plant Acct-Elec-P14(Reg'!H108</f>
        <v>0</v>
      </c>
      <c r="I15" s="138"/>
      <c r="J15" s="138">
        <f t="shared" si="0"/>
        <v>14063249.549999999</v>
      </c>
      <c r="K15" s="138"/>
      <c r="L15" s="138">
        <f t="shared" si="1"/>
        <v>194802996.58000004</v>
      </c>
      <c r="N15" s="39">
        <f>'KY_Res by Plant Acct-P29 (Reg)'!R15</f>
        <v>-80356191.730000004</v>
      </c>
      <c r="P15" s="39">
        <f t="shared" si="2"/>
        <v>114446804.85000004</v>
      </c>
    </row>
    <row r="16" spans="1:16" x14ac:dyDescent="0.2">
      <c r="A16" s="3" t="s">
        <v>283</v>
      </c>
      <c r="B16" s="138">
        <f>'KY_Cost Plant Acct-Elec-P14(Reg'!B16+'KY_Cost Plant Acct-Elec-P14(Reg'!B109</f>
        <v>294631650.77999997</v>
      </c>
      <c r="C16" s="138"/>
      <c r="D16" s="138">
        <f>'KY_Cost Plant Acct-Elec-P14(Reg'!D16+'KY_Cost Plant Acct-Elec-P14(Reg'!D109</f>
        <v>19921055.009999998</v>
      </c>
      <c r="E16" s="138"/>
      <c r="F16" s="138">
        <f>'KY_Cost Plant Acct-Elec-P14(Reg'!F16</f>
        <v>-2273790.48</v>
      </c>
      <c r="G16" s="138"/>
      <c r="H16" s="138">
        <f>'KY_Cost Plant Acct-Elec-P14(Reg'!H16+'KY_Cost Plant Acct-Elec-P14(Reg'!H109</f>
        <v>0</v>
      </c>
      <c r="I16" s="138"/>
      <c r="J16" s="138">
        <f t="shared" si="0"/>
        <v>17647264.529999997</v>
      </c>
      <c r="K16" s="138"/>
      <c r="L16" s="138">
        <f t="shared" si="1"/>
        <v>312278915.30999994</v>
      </c>
      <c r="N16" s="39">
        <f>'KY_Res by Plant Acct-P29 (Reg)'!R16</f>
        <v>-116897627.58999997</v>
      </c>
      <c r="P16" s="39">
        <f t="shared" si="2"/>
        <v>195381287.71999997</v>
      </c>
    </row>
    <row r="17" spans="1:16" x14ac:dyDescent="0.2">
      <c r="A17" s="3" t="s">
        <v>284</v>
      </c>
      <c r="B17" s="138">
        <f>'KY_Cost Plant Acct-Elec-P14(Reg'!B17+'KY_Cost Plant Acct-Elec-P14(Reg'!B110</f>
        <v>83283012.959999993</v>
      </c>
      <c r="C17" s="138"/>
      <c r="D17" s="138">
        <f>'KY_Cost Plant Acct-Elec-P14(Reg'!D17+'KY_Cost Plant Acct-Elec-P14(Reg'!D110</f>
        <v>-3797444.79</v>
      </c>
      <c r="E17" s="138"/>
      <c r="F17" s="138">
        <f>'KY_Cost Plant Acct-Elec-P14(Reg'!F17</f>
        <v>-188472.62</v>
      </c>
      <c r="G17" s="138"/>
      <c r="H17" s="138">
        <f>'KY_Cost Plant Acct-Elec-P14(Reg'!H17+'KY_Cost Plant Acct-Elec-P14(Reg'!H110</f>
        <v>578380.64</v>
      </c>
      <c r="I17" s="138"/>
      <c r="J17" s="138">
        <f t="shared" si="0"/>
        <v>-3407536.77</v>
      </c>
      <c r="K17" s="138"/>
      <c r="L17" s="138">
        <f t="shared" si="1"/>
        <v>79875476.189999998</v>
      </c>
      <c r="N17" s="39">
        <f>'KY_Res by Plant Acct-P29 (Reg)'!R17</f>
        <v>-31306859.589999992</v>
      </c>
      <c r="P17" s="39">
        <f t="shared" si="2"/>
        <v>48568616.600000009</v>
      </c>
    </row>
    <row r="18" spans="1:16" x14ac:dyDescent="0.2">
      <c r="A18" s="3" t="s">
        <v>285</v>
      </c>
      <c r="B18" s="138">
        <f>'KY_Cost Plant Acct-Elec-P14(Reg'!B18+'KY_Cost Plant Acct-Elec-P14(Reg'!B111</f>
        <v>201672612.00999999</v>
      </c>
      <c r="C18" s="138"/>
      <c r="D18" s="138">
        <f>'KY_Cost Plant Acct-Elec-P14(Reg'!D18+'KY_Cost Plant Acct-Elec-P14(Reg'!D111</f>
        <v>26500606.68</v>
      </c>
      <c r="E18" s="138"/>
      <c r="F18" s="138">
        <f>'KY_Cost Plant Acct-Elec-P14(Reg'!F18</f>
        <v>-1261866.46</v>
      </c>
      <c r="G18" s="138"/>
      <c r="H18" s="138">
        <f>'KY_Cost Plant Acct-Elec-P14(Reg'!H18+'KY_Cost Plant Acct-Elec-P14(Reg'!H111</f>
        <v>0</v>
      </c>
      <c r="I18" s="138"/>
      <c r="J18" s="138">
        <f t="shared" si="0"/>
        <v>25238740.219999999</v>
      </c>
      <c r="K18" s="138"/>
      <c r="L18" s="138">
        <f t="shared" si="1"/>
        <v>226911352.22999999</v>
      </c>
      <c r="N18" s="39">
        <f>'KY_Res by Plant Acct-P29 (Reg)'!R18</f>
        <v>-59081416.100000024</v>
      </c>
      <c r="P18" s="39">
        <f t="shared" si="2"/>
        <v>167829936.12999997</v>
      </c>
    </row>
    <row r="19" spans="1:16" x14ac:dyDescent="0.2">
      <c r="A19" s="3" t="s">
        <v>286</v>
      </c>
      <c r="B19" s="138">
        <f>'KY_Cost Plant Acct-Elec-P14(Reg'!B19+'KY_Cost Plant Acct-Elec-P14(Reg'!B112</f>
        <v>158614043.70999998</v>
      </c>
      <c r="C19" s="138"/>
      <c r="D19" s="138">
        <f>'KY_Cost Plant Acct-Elec-P14(Reg'!D19+'KY_Cost Plant Acct-Elec-P14(Reg'!D112</f>
        <v>4246017.63</v>
      </c>
      <c r="E19" s="138"/>
      <c r="F19" s="138">
        <f>'KY_Cost Plant Acct-Elec-P14(Reg'!F19</f>
        <v>-334282.64</v>
      </c>
      <c r="G19" s="138"/>
      <c r="H19" s="138">
        <f>'KY_Cost Plant Acct-Elec-P14(Reg'!H19+'KY_Cost Plant Acct-Elec-P14(Reg'!H112</f>
        <v>0</v>
      </c>
      <c r="I19" s="138"/>
      <c r="J19" s="138">
        <f t="shared" si="0"/>
        <v>3911734.9899999998</v>
      </c>
      <c r="K19" s="138"/>
      <c r="L19" s="138">
        <f t="shared" si="1"/>
        <v>162525778.69999999</v>
      </c>
      <c r="N19" s="39">
        <f>'KY_Res by Plant Acct-P29 (Reg)'!R19</f>
        <v>-77244820.88000001</v>
      </c>
      <c r="P19" s="39">
        <f t="shared" si="2"/>
        <v>85280957.819999978</v>
      </c>
    </row>
    <row r="20" spans="1:16" x14ac:dyDescent="0.2">
      <c r="A20" s="3" t="s">
        <v>287</v>
      </c>
      <c r="B20" s="138">
        <f>'KY_Cost Plant Acct-Elec-P14(Reg'!B20+'KY_Cost Plant Acct-Elec-P14(Reg'!B113</f>
        <v>7721903.5200000005</v>
      </c>
      <c r="C20" s="138"/>
      <c r="D20" s="138">
        <f>'KY_Cost Plant Acct-Elec-P14(Reg'!D20+'KY_Cost Plant Acct-Elec-P14(Reg'!D113</f>
        <v>1398049.89</v>
      </c>
      <c r="E20" s="138"/>
      <c r="F20" s="138">
        <f>'KY_Cost Plant Acct-Elec-P14(Reg'!F20</f>
        <v>-26404.25</v>
      </c>
      <c r="G20" s="138"/>
      <c r="H20" s="138">
        <f>'KY_Cost Plant Acct-Elec-P14(Reg'!H20</f>
        <v>0</v>
      </c>
      <c r="I20" s="138"/>
      <c r="J20" s="138">
        <f t="shared" si="0"/>
        <v>1371645.64</v>
      </c>
      <c r="K20" s="138"/>
      <c r="L20" s="138">
        <f t="shared" si="1"/>
        <v>9093549.1600000001</v>
      </c>
      <c r="N20" s="39">
        <f>'KY_Res by Plant Acct-P29 (Reg)'!R20</f>
        <v>-1682293.9899999995</v>
      </c>
      <c r="P20" s="39">
        <f t="shared" si="2"/>
        <v>7411255.1700000009</v>
      </c>
    </row>
    <row r="21" spans="1:16" x14ac:dyDescent="0.2">
      <c r="A21" s="3" t="s">
        <v>288</v>
      </c>
      <c r="B21" s="138">
        <f>'KY_Cost Plant Acct-Elec-P14(Reg'!B21</f>
        <v>22546422.620000005</v>
      </c>
      <c r="C21" s="138"/>
      <c r="D21" s="138">
        <f>'KY_Cost Plant Acct-Elec-P14(Reg'!D21</f>
        <v>1013408.21</v>
      </c>
      <c r="E21" s="138"/>
      <c r="F21" s="138">
        <f>'KY_Cost Plant Acct-Elec-P14(Reg'!F21</f>
        <v>-112759.03</v>
      </c>
      <c r="G21" s="138"/>
      <c r="H21" s="138">
        <f>'KY_Cost Plant Acct-Elec-P14(Reg'!H21</f>
        <v>0</v>
      </c>
      <c r="I21" s="138"/>
      <c r="J21" s="138">
        <f t="shared" si="0"/>
        <v>900649.17999999993</v>
      </c>
      <c r="K21" s="138"/>
      <c r="L21" s="138">
        <f t="shared" si="1"/>
        <v>23447071.800000004</v>
      </c>
      <c r="N21" s="39">
        <f>'KY_Res by Plant Acct-P29 (Reg)'!R21</f>
        <v>-23456102.720000003</v>
      </c>
      <c r="P21" s="39">
        <f t="shared" si="2"/>
        <v>-9030.9199999980628</v>
      </c>
    </row>
    <row r="22" spans="1:16" x14ac:dyDescent="0.2">
      <c r="A22" s="3" t="s">
        <v>290</v>
      </c>
      <c r="B22" s="138">
        <f>'KY_Cost Plant Acct-Elec-P14(Reg'!B22+'KY_Cost Plant Acct-Elec-P14(Reg'!B114</f>
        <v>41770460.539999999</v>
      </c>
      <c r="C22" s="138"/>
      <c r="D22" s="138">
        <f>'KY_Cost Plant Acct-Elec-P14(Reg'!D22+'KY_Cost Plant Acct-Elec-P14(Reg'!D114</f>
        <v>1194059.67</v>
      </c>
      <c r="E22" s="138"/>
      <c r="F22" s="138">
        <f>'KY_Cost Plant Acct-Elec-P14(Reg'!F22</f>
        <v>-523208.86</v>
      </c>
      <c r="G22" s="138"/>
      <c r="H22" s="138">
        <f>'KY_Cost Plant Acct-Elec-P14(Reg'!H22</f>
        <v>0</v>
      </c>
      <c r="I22" s="138"/>
      <c r="J22" s="138">
        <f t="shared" si="0"/>
        <v>670850.80999999994</v>
      </c>
      <c r="K22" s="138"/>
      <c r="L22" s="138">
        <f t="shared" si="1"/>
        <v>42441311.350000001</v>
      </c>
      <c r="N22" s="39">
        <f>'KY_Res by Plant Acct-P29 (Reg)'!R22</f>
        <v>-25109574</v>
      </c>
      <c r="P22" s="39">
        <f t="shared" si="2"/>
        <v>17331737.350000001</v>
      </c>
    </row>
    <row r="23" spans="1:16" x14ac:dyDescent="0.2">
      <c r="A23" s="3" t="s">
        <v>2632</v>
      </c>
      <c r="B23" s="138">
        <f>'KY_Cost Plant Acct-Elec-P14(Reg'!B115</f>
        <v>1195968.08</v>
      </c>
      <c r="C23" s="138">
        <f>'KY_Cost Plant Acct-Elec-P14(Reg'!C115</f>
        <v>0</v>
      </c>
      <c r="D23" s="138">
        <f>'KY_Cost Plant Acct-Elec-P14(Reg'!D23+'KY_Cost Plant Acct-Elec-P14(Reg'!D115</f>
        <v>602463.74</v>
      </c>
      <c r="E23" s="138">
        <f>'KY_Cost Plant Acct-Elec-P14(Reg'!E115</f>
        <v>0</v>
      </c>
      <c r="F23" s="138">
        <f>'KY_Cost Plant Acct-Elec-P14(Reg'!F23+'KY_Cost Plant Acct-Elec-P14(Reg'!F115</f>
        <v>0</v>
      </c>
      <c r="G23" s="138">
        <f>'KY_Cost Plant Acct-Elec-P14(Reg'!G115</f>
        <v>0</v>
      </c>
      <c r="H23" s="138">
        <f>'KY_Cost Plant Acct-Elec-P14(Reg'!H23+'KY_Cost Plant Acct-Elec-P14(Reg'!H115</f>
        <v>0</v>
      </c>
      <c r="I23" s="138">
        <f>'KY_Cost Plant Acct-Elec-P14(Reg'!I115</f>
        <v>0</v>
      </c>
      <c r="J23" s="138">
        <f t="shared" si="0"/>
        <v>602463.74</v>
      </c>
      <c r="K23" s="138"/>
      <c r="L23" s="138">
        <f t="shared" si="1"/>
        <v>1798431.82</v>
      </c>
      <c r="N23" s="39">
        <f>'KY_Res by Plant Acct-P29 (Reg)'!R23</f>
        <v>-55178.04</v>
      </c>
      <c r="P23" s="39">
        <f>L23+N23</f>
        <v>1743253.78</v>
      </c>
    </row>
    <row r="24" spans="1:16" x14ac:dyDescent="0.2">
      <c r="A24" s="3" t="s">
        <v>291</v>
      </c>
      <c r="B24" s="138">
        <f>'KY_Cost Plant Acct-Elec-P14(Reg'!B24+'KY_Cost Plant Acct-Elec-P14(Reg'!B116</f>
        <v>41270079.160000004</v>
      </c>
      <c r="C24" s="138"/>
      <c r="D24" s="138">
        <f>'KY_Cost Plant Acct-Elec-P14(Reg'!D116+'KY_Cost Plant Acct-Elec-P14(Reg'!D24</f>
        <v>4679754.42</v>
      </c>
      <c r="E24" s="138"/>
      <c r="F24" s="138">
        <f>'KY_Cost Plant Acct-Elec-P14(Reg'!F24</f>
        <v>-1823106.25</v>
      </c>
      <c r="G24" s="138"/>
      <c r="H24" s="138">
        <f>'KY_Cost Plant Acct-Elec-P14(Reg'!H24</f>
        <v>0</v>
      </c>
      <c r="I24" s="138"/>
      <c r="J24" s="138">
        <f t="shared" si="0"/>
        <v>2856648.17</v>
      </c>
      <c r="K24" s="138"/>
      <c r="L24" s="138">
        <f t="shared" si="1"/>
        <v>44126727.330000006</v>
      </c>
      <c r="N24" s="39">
        <f>'KY_Res by Plant Acct-P29 (Reg)'!R25</f>
        <v>-11031481.91</v>
      </c>
      <c r="P24" s="39">
        <f t="shared" si="2"/>
        <v>33095245.420000006</v>
      </c>
    </row>
    <row r="25" spans="1:16" x14ac:dyDescent="0.2">
      <c r="A25" s="3" t="s">
        <v>292</v>
      </c>
      <c r="B25" s="138">
        <f>'KY_Cost Plant Acct-Elec-P14(Reg'!B25+'KY_Cost Plant Acct-Elec-P14(Reg'!B117</f>
        <v>56446011.690000013</v>
      </c>
      <c r="C25" s="138"/>
      <c r="D25" s="138">
        <f>'KY_Cost Plant Acct-Elec-P14(Reg'!D25+'KY_Cost Plant Acct-Elec-P14(Reg'!D117</f>
        <v>5230363.6700000009</v>
      </c>
      <c r="E25" s="138"/>
      <c r="F25" s="138">
        <f>'KY_Cost Plant Acct-Elec-P14(Reg'!F25</f>
        <v>-1600511.42</v>
      </c>
      <c r="G25" s="138"/>
      <c r="H25" s="138">
        <f>'KY_Cost Plant Acct-Elec-P14(Reg'!H25</f>
        <v>0</v>
      </c>
      <c r="I25" s="138"/>
      <c r="J25" s="138">
        <f t="shared" si="0"/>
        <v>3629852.2500000009</v>
      </c>
      <c r="K25" s="138"/>
      <c r="L25" s="138">
        <f t="shared" si="1"/>
        <v>60075863.940000013</v>
      </c>
      <c r="N25" s="39">
        <f>'KY_Res by Plant Acct-P29 (Reg)'!R26</f>
        <v>-26213635.110000007</v>
      </c>
      <c r="P25" s="39">
        <f t="shared" si="2"/>
        <v>33862228.830000006</v>
      </c>
    </row>
    <row r="26" spans="1:16" x14ac:dyDescent="0.2">
      <c r="A26" s="3" t="s">
        <v>293</v>
      </c>
      <c r="B26" s="138">
        <f>'KY_Cost Plant Acct-Elec-P14(Reg'!B26</f>
        <v>0</v>
      </c>
      <c r="C26" s="138"/>
      <c r="D26" s="138">
        <f>'KY_Cost Plant Acct-Elec-P14(Reg'!D26</f>
        <v>0</v>
      </c>
      <c r="E26" s="138"/>
      <c r="F26" s="138">
        <f>'KY_Cost Plant Acct-Elec-P14(Reg'!F26</f>
        <v>0</v>
      </c>
      <c r="G26" s="138"/>
      <c r="H26" s="138">
        <f>'KY_Cost Plant Acct-Elec-P14(Reg'!H26</f>
        <v>0</v>
      </c>
      <c r="I26" s="138"/>
      <c r="J26" s="138">
        <f>H26+F26+D26</f>
        <v>0</v>
      </c>
      <c r="K26" s="138"/>
      <c r="L26" s="138">
        <f>B26+J26</f>
        <v>0</v>
      </c>
      <c r="N26" s="39">
        <f>'KY_Res by Plant Acct-P29 (Reg)'!R27</f>
        <v>0</v>
      </c>
      <c r="P26" s="39">
        <f>L26+N26</f>
        <v>0</v>
      </c>
    </row>
    <row r="27" spans="1:16" x14ac:dyDescent="0.2">
      <c r="A27" s="3" t="s">
        <v>295</v>
      </c>
      <c r="B27" s="138">
        <f>'KY_Cost Plant Acct-Elec-P14(Reg'!B27</f>
        <v>414554.36</v>
      </c>
      <c r="C27" s="135"/>
      <c r="D27" s="138">
        <f>'KY_Cost Plant Acct-Elec-P14(Reg'!D27</f>
        <v>0</v>
      </c>
      <c r="E27" s="135"/>
      <c r="F27" s="138">
        <f>'KY_Cost Plant Acct-Elec-P14(Reg'!F27</f>
        <v>0</v>
      </c>
      <c r="G27" s="138"/>
      <c r="H27" s="138">
        <f>'KY_Cost Plant Acct-Elec-P14(Reg'!H27</f>
        <v>-3266.26</v>
      </c>
      <c r="I27" s="138"/>
      <c r="J27" s="138">
        <f>'KY_Cost Plant Acct-Elec-P14(Reg'!J27</f>
        <v>-3266.26</v>
      </c>
      <c r="K27" s="135"/>
      <c r="L27" s="138">
        <f>'KY_Cost Plant Acct-Elec-P14(Reg'!L27</f>
        <v>411288.1</v>
      </c>
      <c r="N27" s="39">
        <f>'KY_Res by Plant Acct-P29 (Reg)'!R28</f>
        <v>-34491.480000000069</v>
      </c>
      <c r="P27" s="39">
        <f>L27+N27</f>
        <v>376796.61999999988</v>
      </c>
    </row>
    <row r="28" spans="1:16" x14ac:dyDescent="0.2">
      <c r="A28" s="22" t="s">
        <v>2633</v>
      </c>
      <c r="B28" s="149">
        <f>'KY_Cost Plant Acct-Elec-P14(Reg'!B28</f>
        <v>107736.76999999999</v>
      </c>
      <c r="C28" s="138"/>
      <c r="D28" s="149">
        <f>'KY_Cost Plant Acct-Elec-P14(Reg'!D28</f>
        <v>0</v>
      </c>
      <c r="E28" s="138"/>
      <c r="F28" s="149">
        <f>'KY_Cost Plant Acct-Elec-P14(Reg'!F28</f>
        <v>0</v>
      </c>
      <c r="G28" s="138"/>
      <c r="H28" s="149">
        <f>'KY_Cost Plant Acct-Elec-P14(Reg'!H28</f>
        <v>-77731.460000000006</v>
      </c>
      <c r="I28" s="138"/>
      <c r="J28" s="149">
        <f>'KY_Cost Plant Acct-Elec-P14(Reg'!J28</f>
        <v>-77731.460000000006</v>
      </c>
      <c r="K28" s="138"/>
      <c r="L28" s="149">
        <f>'KY_Cost Plant Acct-Elec-P14(Reg'!L28</f>
        <v>30005.309999999983</v>
      </c>
      <c r="N28" s="136">
        <f>'KY_Res by Plant Acct-P29 (Reg)'!R29</f>
        <v>-15537.229999999998</v>
      </c>
      <c r="P28" s="136">
        <f>L28+N28</f>
        <v>14468.079999999985</v>
      </c>
    </row>
    <row r="29" spans="1:16" x14ac:dyDescent="0.2">
      <c r="B29" s="135">
        <f>SUM(B11:B28)</f>
        <v>1232856010.8199997</v>
      </c>
      <c r="C29" s="135"/>
      <c r="D29" s="135">
        <f>SUM(D11:D28)</f>
        <v>78589458.140000001</v>
      </c>
      <c r="E29" s="135"/>
      <c r="F29" s="135">
        <f>SUM(F11:F28)</f>
        <v>-10202649.220000001</v>
      </c>
      <c r="G29" s="135"/>
      <c r="H29" s="135">
        <f>SUM(H11:H28)</f>
        <v>-711002.93</v>
      </c>
      <c r="I29" s="135"/>
      <c r="J29" s="135">
        <f>SUM(J11:J28)</f>
        <v>67675805.99000001</v>
      </c>
      <c r="K29" s="135"/>
      <c r="L29" s="135">
        <f>SUM(L11:L28)</f>
        <v>1300531816.8099997</v>
      </c>
      <c r="N29" s="135">
        <f>SUM(N11:N28)</f>
        <v>-498416859.04000014</v>
      </c>
      <c r="P29" s="135">
        <f>SUM(P11:P28)</f>
        <v>802114957.76999998</v>
      </c>
    </row>
    <row r="30" spans="1:16" x14ac:dyDescent="0.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6" x14ac:dyDescent="0.2">
      <c r="A31" s="10" t="s">
        <v>299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6" x14ac:dyDescent="0.2">
      <c r="A32" s="22" t="s">
        <v>300</v>
      </c>
      <c r="B32" s="135">
        <f>'KY_Cost Plant Acct-Elec-P14(Reg'!B32</f>
        <v>740166.03</v>
      </c>
      <c r="C32" s="135"/>
      <c r="D32" s="135">
        <f>'KY_Cost Plant Acct-Elec-P14(Reg'!D32</f>
        <v>175762.76</v>
      </c>
      <c r="E32" s="135"/>
      <c r="F32" s="135">
        <f>'KY_Cost Plant Acct-Elec-P14(Reg'!F32</f>
        <v>-27381.54</v>
      </c>
      <c r="G32" s="135"/>
      <c r="H32" s="135">
        <f>'KY_Cost Plant Acct-Elec-P14(Reg'!H32</f>
        <v>0</v>
      </c>
      <c r="I32" s="135"/>
      <c r="J32" s="135">
        <f>H32+F32+D32</f>
        <v>148381.22</v>
      </c>
      <c r="K32" s="135"/>
      <c r="L32" s="138">
        <f>B32+J32</f>
        <v>888547.25</v>
      </c>
      <c r="N32" s="39">
        <f>'KY_Res by Plant Acct-P29 (Reg)'!R33</f>
        <v>-504353.23000000004</v>
      </c>
      <c r="P32" s="39">
        <f>L32+N32</f>
        <v>384194.01999999996</v>
      </c>
    </row>
    <row r="33" spans="1:16" x14ac:dyDescent="0.2">
      <c r="A33" s="3" t="s">
        <v>2634</v>
      </c>
      <c r="B33" s="135">
        <f>'KY_Cost Plant Acct-Elec-P14(Reg'!B33</f>
        <v>3030111.1400000006</v>
      </c>
      <c r="C33" s="135"/>
      <c r="D33" s="135">
        <f>'KY_Cost Plant Acct-Elec-P14(Reg'!D33</f>
        <v>1648766.84</v>
      </c>
      <c r="E33" s="135"/>
      <c r="F33" s="135">
        <f>'KY_Cost Plant Acct-Elec-P14(Reg'!F33</f>
        <v>-48978.5</v>
      </c>
      <c r="G33" s="135"/>
      <c r="H33" s="135">
        <f>'KY_Cost Plant Acct-Elec-P14(Reg'!H33</f>
        <v>0</v>
      </c>
      <c r="I33" s="135"/>
      <c r="J33" s="135">
        <f t="shared" ref="J33:J39" si="3">H33+F33+D33</f>
        <v>1599788.34</v>
      </c>
      <c r="K33" s="135"/>
      <c r="L33" s="138">
        <f t="shared" ref="L33:L39" si="4">B33+J33</f>
        <v>4629899.4800000004</v>
      </c>
      <c r="N33" s="39">
        <f>'KY_Res by Plant Acct-P29 (Reg)'!R34</f>
        <v>-2116500.7400000021</v>
      </c>
      <c r="P33" s="39">
        <f t="shared" ref="P33:P39" si="5">L33+N33</f>
        <v>2513398.7399999984</v>
      </c>
    </row>
    <row r="34" spans="1:16" x14ac:dyDescent="0.2">
      <c r="A34" s="3" t="s">
        <v>302</v>
      </c>
      <c r="B34" s="135">
        <f>'KY_Cost Plant Acct-Elec-P14(Reg'!B34+'KY_Cost Plant Acct-Elec-P14(Reg'!B121</f>
        <v>499404.83</v>
      </c>
      <c r="C34" s="135"/>
      <c r="D34" s="135">
        <f>'KY_Cost Plant Acct-Elec-P14(Reg'!D34+'KY_Cost Plant Acct-Elec-P14(Reg'!D121</f>
        <v>17824.98</v>
      </c>
      <c r="E34" s="135"/>
      <c r="F34" s="135">
        <f>'KY_Cost Plant Acct-Elec-P14(Reg'!F34</f>
        <v>0</v>
      </c>
      <c r="G34" s="135"/>
      <c r="H34" s="135">
        <f>'KY_Cost Plant Acct-Elec-P14(Reg'!H34</f>
        <v>0</v>
      </c>
      <c r="I34" s="135"/>
      <c r="J34" s="135">
        <f t="shared" si="3"/>
        <v>17824.98</v>
      </c>
      <c r="K34" s="135"/>
      <c r="L34" s="138">
        <f t="shared" si="4"/>
        <v>517229.81</v>
      </c>
      <c r="N34" s="39">
        <f>'KY_Res by Plant Acct-P29 (Reg)'!R35</f>
        <v>-148325.09000000003</v>
      </c>
      <c r="P34" s="39">
        <f t="shared" si="5"/>
        <v>368904.72</v>
      </c>
    </row>
    <row r="35" spans="1:16" x14ac:dyDescent="0.2">
      <c r="A35" s="3" t="s">
        <v>304</v>
      </c>
      <c r="B35" s="135">
        <f>'KY_Cost Plant Acct-Elec-P14(Reg'!B35+'KY_Cost Plant Acct-Elec-P14(Reg'!B122</f>
        <v>6352111.7800000012</v>
      </c>
      <c r="C35" s="135"/>
      <c r="D35" s="135">
        <f>'KY_Cost Plant Acct-Elec-P14(Reg'!D35+'KY_Cost Plant Acct-Elec-P14(Reg'!D122</f>
        <v>130976.09999999998</v>
      </c>
      <c r="E35" s="135"/>
      <c r="F35" s="135">
        <f>'KY_Cost Plant Acct-Elec-P14(Reg'!F35</f>
        <v>-92166.14</v>
      </c>
      <c r="G35" s="135"/>
      <c r="H35" s="135">
        <f>'KY_Cost Plant Acct-Elec-P14(Reg'!H35</f>
        <v>0</v>
      </c>
      <c r="I35" s="135"/>
      <c r="J35" s="135">
        <f t="shared" si="3"/>
        <v>38809.959999999977</v>
      </c>
      <c r="K35" s="135"/>
      <c r="L35" s="138">
        <f t="shared" si="4"/>
        <v>6390921.7400000012</v>
      </c>
      <c r="N35" s="39">
        <f>'KY_Res by Plant Acct-P29 (Reg)'!R36</f>
        <v>-2517300.4099999997</v>
      </c>
      <c r="P35" s="39">
        <f t="shared" si="5"/>
        <v>3873621.3300000015</v>
      </c>
    </row>
    <row r="36" spans="1:16" x14ac:dyDescent="0.2">
      <c r="A36" s="3" t="s">
        <v>305</v>
      </c>
      <c r="B36" s="135">
        <f>'KY_Cost Plant Acct-Elec-P14(Reg'!B36+'KY_Cost Plant Acct-Elec-P14(Reg'!B123</f>
        <v>0</v>
      </c>
      <c r="C36" s="135"/>
      <c r="D36" s="135">
        <f>'KY_Cost Plant Acct-Elec-P14(Reg'!D36+'KY_Cost Plant Acct-Elec-P14(Reg'!D123</f>
        <v>0</v>
      </c>
      <c r="E36" s="135">
        <f>'KY_Cost Plant Acct-Elec-P14(Reg'!E36+'KY_Cost Plant Acct-Elec-P14(Reg'!E123</f>
        <v>0</v>
      </c>
      <c r="F36" s="135">
        <f>'KY_Cost Plant Acct-Elec-P14(Reg'!F36+'KY_Cost Plant Acct-Elec-P14(Reg'!F123</f>
        <v>0</v>
      </c>
      <c r="G36" s="135">
        <f>'KY_Cost Plant Acct-Elec-P14(Reg'!G36+'KY_Cost Plant Acct-Elec-P14(Reg'!G123</f>
        <v>0</v>
      </c>
      <c r="H36" s="135">
        <f>'KY_Cost Plant Acct-Elec-P14(Reg'!H36+'KY_Cost Plant Acct-Elec-P14(Reg'!H123</f>
        <v>0</v>
      </c>
      <c r="I36" s="135"/>
      <c r="J36" s="135">
        <f t="shared" si="3"/>
        <v>0</v>
      </c>
      <c r="K36" s="135"/>
      <c r="L36" s="138">
        <f t="shared" si="4"/>
        <v>0</v>
      </c>
      <c r="N36" s="39">
        <f>'KY_Res by Plant Acct-P29 (Reg)'!R37</f>
        <v>1.3096723705530167E-10</v>
      </c>
      <c r="P36" s="39">
        <f t="shared" si="5"/>
        <v>1.3096723705530167E-10</v>
      </c>
    </row>
    <row r="37" spans="1:16" x14ac:dyDescent="0.2">
      <c r="A37" s="3" t="s">
        <v>306</v>
      </c>
      <c r="B37" s="135">
        <f>'KY_Cost Plant Acct-Elec-P14(Reg'!B37</f>
        <v>1877867.3099999998</v>
      </c>
      <c r="C37" s="135"/>
      <c r="D37" s="135">
        <f>'KY_Cost Plant Acct-Elec-P14(Reg'!D37</f>
        <v>235691.34</v>
      </c>
      <c r="E37" s="135"/>
      <c r="F37" s="135">
        <f>'KY_Cost Plant Acct-Elec-P14(Reg'!F37</f>
        <v>0</v>
      </c>
      <c r="G37" s="135"/>
      <c r="H37" s="135">
        <f>'KY_Cost Plant Acct-Elec-P14(Reg'!H37</f>
        <v>0</v>
      </c>
      <c r="I37" s="135"/>
      <c r="J37" s="135">
        <f t="shared" si="3"/>
        <v>235691.34</v>
      </c>
      <c r="K37" s="135"/>
      <c r="L37" s="138">
        <f t="shared" si="4"/>
        <v>2113558.65</v>
      </c>
      <c r="N37" s="39">
        <f>'KY_Res by Plant Acct-P29 (Reg)'!R38</f>
        <v>-1817489.5100000005</v>
      </c>
      <c r="P37" s="39">
        <f t="shared" si="5"/>
        <v>296069.13999999943</v>
      </c>
    </row>
    <row r="38" spans="1:16" x14ac:dyDescent="0.2">
      <c r="A38" s="3" t="s">
        <v>307</v>
      </c>
      <c r="B38" s="135">
        <f>'KY_Cost Plant Acct-Elec-P14(Reg'!B38+'KY_Cost Plant Acct-Elec-P14(Reg'!B124</f>
        <v>204508.94</v>
      </c>
      <c r="C38" s="135"/>
      <c r="D38" s="135">
        <f>'KY_Cost Plant Acct-Elec-P14(Reg'!D38+'KY_Cost Plant Acct-Elec-P14(Reg'!D124</f>
        <v>-8260.7000000000007</v>
      </c>
      <c r="E38" s="135"/>
      <c r="F38" s="135">
        <f>'KY_Cost Plant Acct-Elec-P14(Reg'!F38+'KY_Cost Plant Acct-Elec-P14(Reg'!F124</f>
        <v>0</v>
      </c>
      <c r="G38" s="135"/>
      <c r="H38" s="135">
        <f>'KY_Cost Plant Acct-Elec-P14(Reg'!H38+'KY_Cost Plant Acct-Elec-P14(Reg'!H124</f>
        <v>0</v>
      </c>
      <c r="I38" s="135"/>
      <c r="J38" s="135">
        <f t="shared" si="3"/>
        <v>-8260.7000000000007</v>
      </c>
      <c r="K38" s="135"/>
      <c r="L38" s="135">
        <f t="shared" si="4"/>
        <v>196248.24</v>
      </c>
      <c r="M38" s="31"/>
      <c r="N38" s="38">
        <f>'KY_Res by Plant Acct-P29 (Reg)'!R39</f>
        <v>-94447.87</v>
      </c>
      <c r="O38" s="31"/>
      <c r="P38" s="38">
        <f t="shared" si="5"/>
        <v>101800.37</v>
      </c>
    </row>
    <row r="39" spans="1:16" x14ac:dyDescent="0.2">
      <c r="A39" s="22" t="s">
        <v>309</v>
      </c>
      <c r="B39" s="135">
        <f>'KY_Cost Plant Acct-Elec-P14(Reg'!B39+'KY_Cost Plant Acct-Elec-P14(Reg'!B125</f>
        <v>4947585.72</v>
      </c>
      <c r="C39" s="135"/>
      <c r="D39" s="135">
        <f>'KY_Cost Plant Acct-Elec-P14(Reg'!D39+'KY_Cost Plant Acct-Elec-P14(Reg'!D125</f>
        <v>1430348.1300000001</v>
      </c>
      <c r="E39" s="135"/>
      <c r="F39" s="135">
        <f>'KY_Cost Plant Acct-Elec-P14(Reg'!F39+'KY_Cost Plant Acct-Elec-P14(Reg'!F125</f>
        <v>-407012.05</v>
      </c>
      <c r="G39" s="135"/>
      <c r="H39" s="135">
        <f>'KY_Cost Plant Acct-Elec-P14(Reg'!H39+'KY_Cost Plant Acct-Elec-P14(Reg'!H125</f>
        <v>0</v>
      </c>
      <c r="I39" s="135"/>
      <c r="J39" s="135">
        <f t="shared" si="3"/>
        <v>1023336.0800000001</v>
      </c>
      <c r="K39" s="135"/>
      <c r="L39" s="135">
        <f t="shared" si="4"/>
        <v>5970921.7999999998</v>
      </c>
      <c r="N39" s="38">
        <f>'KY_Res by Plant Acct-P29 (Reg)'!R40</f>
        <v>-1687214.64</v>
      </c>
      <c r="P39" s="38">
        <f t="shared" si="5"/>
        <v>4283707.16</v>
      </c>
    </row>
    <row r="40" spans="1:16" x14ac:dyDescent="0.2">
      <c r="B40" s="148">
        <f>SUM(B32:B39)</f>
        <v>17651755.75</v>
      </c>
      <c r="C40" s="135"/>
      <c r="D40" s="148">
        <f>SUM(D32:D39)</f>
        <v>3631109.45</v>
      </c>
      <c r="E40" s="135"/>
      <c r="F40" s="148">
        <f>SUM(F32:F39)</f>
        <v>-575538.23</v>
      </c>
      <c r="G40" s="135"/>
      <c r="H40" s="148">
        <f>SUM(H32:H39)</f>
        <v>0</v>
      </c>
      <c r="I40" s="135"/>
      <c r="J40" s="148">
        <f>SUM(J32:J39)</f>
        <v>3055571.22</v>
      </c>
      <c r="K40" s="135"/>
      <c r="L40" s="148">
        <f>SUM(L32:L39)</f>
        <v>20707326.970000003</v>
      </c>
      <c r="N40" s="148">
        <f>SUM(N32:N39)</f>
        <v>-8885631.4900000021</v>
      </c>
      <c r="P40" s="148">
        <f>SUM(P32:P39)</f>
        <v>11821695.48</v>
      </c>
    </row>
    <row r="41" spans="1:16" x14ac:dyDescent="0.2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6" x14ac:dyDescent="0.2">
      <c r="A42" s="10" t="s">
        <v>311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6" x14ac:dyDescent="0.2">
      <c r="A43" s="3" t="s">
        <v>312</v>
      </c>
      <c r="B43" s="135">
        <f>'KY_Cost Plant Acct-Elec-P14(Reg'!B43</f>
        <v>6.5</v>
      </c>
      <c r="C43" s="135"/>
      <c r="D43" s="135">
        <f>'KY_Cost Plant Acct-Elec-P14(Reg'!D43</f>
        <v>0</v>
      </c>
      <c r="E43" s="135"/>
      <c r="F43" s="135">
        <f>'KY_Cost Plant Acct-Elec-P14(Reg'!F43</f>
        <v>0</v>
      </c>
      <c r="G43" s="135"/>
      <c r="H43" s="135">
        <f>'KY_Cost Plant Acct-Elec-P14(Reg'!H43</f>
        <v>0</v>
      </c>
      <c r="I43" s="135"/>
      <c r="J43" s="135">
        <f t="shared" ref="J43:J50" si="6">H43+F43+D43</f>
        <v>0</v>
      </c>
      <c r="K43" s="135"/>
      <c r="L43" s="138">
        <f t="shared" ref="L43:L50" si="7">B43+J43</f>
        <v>6.5</v>
      </c>
      <c r="N43" s="39">
        <v>0</v>
      </c>
      <c r="P43" s="39">
        <f t="shared" ref="P43:P50" si="8">L43+N43</f>
        <v>6.5</v>
      </c>
    </row>
    <row r="44" spans="1:16" x14ac:dyDescent="0.2">
      <c r="A44" s="3" t="s">
        <v>313</v>
      </c>
      <c r="B44" s="135">
        <f>'KY_Cost Plant Acct-Elec-P14(Reg'!B44+'KY_Cost Plant Acct-Elec-P14(Reg'!B129</f>
        <v>7872008.1299999999</v>
      </c>
      <c r="C44" s="135"/>
      <c r="D44" s="135">
        <f>'KY_Cost Plant Acct-Elec-P14(Reg'!D44+'KY_Cost Plant Acct-Elec-P14(Reg'!D129</f>
        <v>3012057.5300000003</v>
      </c>
      <c r="E44" s="135"/>
      <c r="F44" s="135">
        <f>'KY_Cost Plant Acct-Elec-P14(Reg'!F44</f>
        <v>-3671.55</v>
      </c>
      <c r="G44" s="135"/>
      <c r="H44" s="135">
        <f>'KY_Cost Plant Acct-Elec-P14(Reg'!H44</f>
        <v>0</v>
      </c>
      <c r="I44" s="135"/>
      <c r="J44" s="135">
        <f t="shared" si="6"/>
        <v>3008385.9800000004</v>
      </c>
      <c r="K44" s="135"/>
      <c r="L44" s="138">
        <f t="shared" si="7"/>
        <v>10880394.109999999</v>
      </c>
      <c r="N44" s="39">
        <f>'KY_Res by Plant Acct-P29 (Reg)'!R46+'KY_Res by Plant Acct-P29 (Reg)'!R47</f>
        <v>-4348625.45</v>
      </c>
      <c r="P44" s="39">
        <f t="shared" si="8"/>
        <v>6531768.6599999992</v>
      </c>
    </row>
    <row r="45" spans="1:16" x14ac:dyDescent="0.2">
      <c r="A45" s="3" t="s">
        <v>314</v>
      </c>
      <c r="B45" s="135">
        <f>'KY_Cost Plant Acct-Elec-P14(Reg'!B45+'KY_Cost Plant Acct-Elec-P14(Reg'!B130</f>
        <v>17038183</v>
      </c>
      <c r="C45" s="135"/>
      <c r="D45" s="135">
        <f>'KY_Cost Plant Acct-Elec-P14(Reg'!D45+'KY_Cost Plant Acct-Elec-P14(Reg'!D130</f>
        <v>4568899.76</v>
      </c>
      <c r="E45" s="135"/>
      <c r="F45" s="135">
        <f>'KY_Cost Plant Acct-Elec-P14(Reg'!F45</f>
        <v>-73001.94</v>
      </c>
      <c r="G45" s="135"/>
      <c r="H45" s="135">
        <f>'KY_Cost Plant Acct-Elec-P14(Reg'!H45</f>
        <v>0</v>
      </c>
      <c r="I45" s="135"/>
      <c r="J45" s="135">
        <f t="shared" si="6"/>
        <v>4495897.8199999994</v>
      </c>
      <c r="K45" s="135"/>
      <c r="L45" s="138">
        <f t="shared" si="7"/>
        <v>21534080.82</v>
      </c>
      <c r="N45" s="39">
        <f>'KY_Res by Plant Acct-P29 (Reg)'!R48</f>
        <v>-3383556.66</v>
      </c>
      <c r="P45" s="39">
        <f t="shared" si="8"/>
        <v>18150524.16</v>
      </c>
    </row>
    <row r="46" spans="1:16" x14ac:dyDescent="0.2">
      <c r="A46" s="3" t="s">
        <v>315</v>
      </c>
      <c r="B46" s="135">
        <f>'KY_Cost Plant Acct-Elec-P14(Reg'!B46+'KY_Cost Plant Acct-Elec-P14(Reg'!B131</f>
        <v>62117401.340000004</v>
      </c>
      <c r="C46" s="135"/>
      <c r="D46" s="135">
        <f>'KY_Cost Plant Acct-Elec-P14(Reg'!D46+'KY_Cost Plant Acct-Elec-P14(Reg'!D131</f>
        <v>18616650.07</v>
      </c>
      <c r="E46" s="135"/>
      <c r="F46" s="135">
        <f>'KY_Cost Plant Acct-Elec-P14(Reg'!F46</f>
        <v>-57217.4</v>
      </c>
      <c r="G46" s="135"/>
      <c r="H46" s="135">
        <f>'KY_Cost Plant Acct-Elec-P14(Reg'!H46</f>
        <v>0</v>
      </c>
      <c r="I46" s="135"/>
      <c r="J46" s="135">
        <f t="shared" si="6"/>
        <v>18559432.670000002</v>
      </c>
      <c r="K46" s="135"/>
      <c r="L46" s="138">
        <f t="shared" si="7"/>
        <v>80676834.010000005</v>
      </c>
      <c r="N46" s="39">
        <f>'KY_Res by Plant Acct-P29 (Reg)'!R49</f>
        <v>-5838166.2399999984</v>
      </c>
      <c r="P46" s="39">
        <f t="shared" si="8"/>
        <v>74838667.770000011</v>
      </c>
    </row>
    <row r="47" spans="1:16" x14ac:dyDescent="0.2">
      <c r="A47" s="3" t="s">
        <v>316</v>
      </c>
      <c r="B47" s="135">
        <f>'KY_Cost Plant Acct-Elec-P14(Reg'!B47+'KY_Cost Plant Acct-Elec-P14(Reg'!B132</f>
        <v>8220468.7800000003</v>
      </c>
      <c r="C47" s="135"/>
      <c r="D47" s="135">
        <f>'KY_Cost Plant Acct-Elec-P14(Reg'!D47+'KY_Cost Plant Acct-Elec-P14(Reg'!D132</f>
        <v>3020304.7</v>
      </c>
      <c r="E47" s="135"/>
      <c r="F47" s="135">
        <f>'KY_Cost Plant Acct-Elec-P14(Reg'!F47</f>
        <v>0</v>
      </c>
      <c r="G47" s="135"/>
      <c r="H47" s="135">
        <f>'KY_Cost Plant Acct-Elec-P14(Reg'!H47</f>
        <v>0</v>
      </c>
      <c r="I47" s="135"/>
      <c r="J47" s="135">
        <f t="shared" si="6"/>
        <v>3020304.7</v>
      </c>
      <c r="K47" s="135"/>
      <c r="L47" s="138">
        <f t="shared" si="7"/>
        <v>11240773.48</v>
      </c>
      <c r="N47" s="39">
        <f>'KY_Res by Plant Acct-P29 (Reg)'!R50</f>
        <v>-2758631.75</v>
      </c>
      <c r="P47" s="39">
        <f t="shared" si="8"/>
        <v>8482141.7300000004</v>
      </c>
    </row>
    <row r="48" spans="1:16" x14ac:dyDescent="0.2">
      <c r="A48" s="3" t="s">
        <v>317</v>
      </c>
      <c r="B48" s="135">
        <f>'KY_Cost Plant Acct-Elec-P14(Reg'!B48+'KY_Cost Plant Acct-Elec-P14(Reg'!B133</f>
        <v>1189821.8500000001</v>
      </c>
      <c r="C48" s="135"/>
      <c r="D48" s="135">
        <f>'KY_Cost Plant Acct-Elec-P14(Reg'!D48+'KY_Cost Plant Acct-Elec-P14(Reg'!D133</f>
        <v>1475966.31</v>
      </c>
      <c r="E48" s="135"/>
      <c r="F48" s="135">
        <f>'KY_Cost Plant Acct-Elec-P14(Reg'!F48</f>
        <v>-1539</v>
      </c>
      <c r="G48" s="135"/>
      <c r="H48" s="135">
        <f>'KY_Cost Plant Acct-Elec-P14(Reg'!H48</f>
        <v>0</v>
      </c>
      <c r="I48" s="135"/>
      <c r="J48" s="135">
        <f t="shared" si="6"/>
        <v>1474427.31</v>
      </c>
      <c r="K48" s="135"/>
      <c r="L48" s="138">
        <f t="shared" si="7"/>
        <v>2664249.16</v>
      </c>
      <c r="N48" s="39">
        <f>'KY_Res by Plant Acct-P29 (Reg)'!R52+'KY_Res by Plant Acct-P29 (Reg)'!R51</f>
        <v>-193778.55999999997</v>
      </c>
      <c r="P48" s="39">
        <f t="shared" si="8"/>
        <v>2470470.6</v>
      </c>
    </row>
    <row r="49" spans="1:16" x14ac:dyDescent="0.2">
      <c r="A49" s="3" t="s">
        <v>318</v>
      </c>
      <c r="B49" s="135">
        <f>'KY_Cost Plant Acct-Elec-P14(Reg'!B49</f>
        <v>29930.61</v>
      </c>
      <c r="C49" s="135"/>
      <c r="D49" s="135">
        <f>'KY_Cost Plant Acct-Elec-P14(Reg'!D49</f>
        <v>0</v>
      </c>
      <c r="E49" s="135"/>
      <c r="F49" s="135">
        <f>'KY_Cost Plant Acct-Elec-P14(Reg'!F49</f>
        <v>0</v>
      </c>
      <c r="G49" s="135"/>
      <c r="H49" s="135">
        <f>'KY_Cost Plant Acct-Elec-P14(Reg'!H49</f>
        <v>0</v>
      </c>
      <c r="I49" s="135"/>
      <c r="J49" s="135">
        <f t="shared" si="6"/>
        <v>0</v>
      </c>
      <c r="K49" s="135"/>
      <c r="L49" s="138">
        <f t="shared" si="7"/>
        <v>29930.61</v>
      </c>
      <c r="N49" s="39">
        <f>'KY_Res by Plant Acct-P29 (Reg)'!R53+'KY_Res by Plant Acct-P29 (Reg)'!R54</f>
        <v>-20409.249999999996</v>
      </c>
      <c r="P49" s="39">
        <f t="shared" si="8"/>
        <v>9521.3600000000042</v>
      </c>
    </row>
    <row r="50" spans="1:16" x14ac:dyDescent="0.2">
      <c r="A50" s="3" t="s">
        <v>319</v>
      </c>
      <c r="B50" s="149">
        <f>'KY_Cost Plant Acct-Elec-P14(Reg'!B50</f>
        <v>257804.55</v>
      </c>
      <c r="C50" s="135"/>
      <c r="D50" s="149">
        <f>'KY_Cost Plant Acct-Elec-P14(Reg'!D50</f>
        <v>0</v>
      </c>
      <c r="E50" s="135"/>
      <c r="F50" s="149">
        <f>'KY_Cost Plant Acct-Elec-P14(Reg'!F50</f>
        <v>0</v>
      </c>
      <c r="G50" s="135"/>
      <c r="H50" s="149">
        <f>'KY_Cost Plant Acct-Elec-P14(Reg'!H50</f>
        <v>208841.18</v>
      </c>
      <c r="I50" s="135"/>
      <c r="J50" s="149">
        <f t="shared" si="6"/>
        <v>208841.18</v>
      </c>
      <c r="K50" s="135"/>
      <c r="L50" s="149">
        <f t="shared" si="7"/>
        <v>466645.73</v>
      </c>
      <c r="N50" s="136">
        <f>'KY_Res by Plant Acct-P29 (Reg)'!R55</f>
        <v>-10638.64000000001</v>
      </c>
      <c r="P50" s="136">
        <f t="shared" si="8"/>
        <v>456007.08999999997</v>
      </c>
    </row>
    <row r="51" spans="1:16" x14ac:dyDescent="0.2">
      <c r="B51" s="135">
        <f>SUM(B43:B50)</f>
        <v>96725624.75999999</v>
      </c>
      <c r="C51" s="135"/>
      <c r="D51" s="135">
        <f>SUM(D43:D50)</f>
        <v>30693878.369999997</v>
      </c>
      <c r="E51" s="135"/>
      <c r="F51" s="135">
        <f>SUM(F43:F50)</f>
        <v>-135429.89000000001</v>
      </c>
      <c r="G51" s="135"/>
      <c r="H51" s="135">
        <f>SUM(H43:H50)</f>
        <v>208841.18</v>
      </c>
      <c r="I51" s="135"/>
      <c r="J51" s="135">
        <f>SUM(J43:J50)</f>
        <v>30767289.66</v>
      </c>
      <c r="K51" s="135"/>
      <c r="L51" s="135">
        <f>SUM(L43:L50)</f>
        <v>127492914.42</v>
      </c>
      <c r="N51" s="39">
        <f>SUM(N43:N50)</f>
        <v>-16553806.549999999</v>
      </c>
      <c r="P51" s="39">
        <f>SUM(P43:P50)</f>
        <v>110939107.87</v>
      </c>
    </row>
    <row r="52" spans="1:16" x14ac:dyDescent="0.2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1:16" x14ac:dyDescent="0.2">
      <c r="A53" s="10" t="s">
        <v>321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6" x14ac:dyDescent="0.2">
      <c r="A54" s="3" t="s">
        <v>322</v>
      </c>
      <c r="B54" s="135">
        <f>'KY_Cost Plant Acct-Elec-P14(Reg'!B54</f>
        <v>2240.29</v>
      </c>
      <c r="C54" s="135"/>
      <c r="D54" s="135">
        <f>'KY_Cost Plant Acct-Elec-P14(Reg'!D54</f>
        <v>0</v>
      </c>
      <c r="E54" s="135"/>
      <c r="F54" s="135">
        <f>'KY_Cost Plant Acct-Elec-P14(Reg'!F54</f>
        <v>0</v>
      </c>
      <c r="G54" s="135"/>
      <c r="H54" s="135">
        <f>'KY_Cost Plant Acct-Elec-P14(Reg'!H54</f>
        <v>0</v>
      </c>
      <c r="I54" s="135"/>
      <c r="J54" s="135">
        <f>'KY_Cost Plant Acct-Elec-P14(Reg'!J54</f>
        <v>0</v>
      </c>
      <c r="K54" s="135"/>
      <c r="L54" s="138">
        <f>B54+J54</f>
        <v>2240.29</v>
      </c>
      <c r="N54" s="39">
        <f>'KY_Res by Plant Acct-P29 (Reg)'!R382</f>
        <v>0</v>
      </c>
      <c r="P54" s="39">
        <f>L54+N54</f>
        <v>2240.29</v>
      </c>
    </row>
    <row r="55" spans="1:16" x14ac:dyDescent="0.2">
      <c r="A55" s="3" t="s">
        <v>323</v>
      </c>
      <c r="B55" s="149">
        <f>'KY_Cost Plant Acct-Elec-P14(Reg'!B55</f>
        <v>0</v>
      </c>
      <c r="C55" s="135"/>
      <c r="D55" s="149">
        <f>'KY_Cost Plant Acct-Elec-P14(Reg'!D55</f>
        <v>0</v>
      </c>
      <c r="E55" s="135"/>
      <c r="F55" s="149">
        <f>'KY_Cost Plant Acct-Elec-P14(Reg'!F55</f>
        <v>0</v>
      </c>
      <c r="G55" s="135"/>
      <c r="H55" s="149">
        <f>'KY_Cost Plant Acct-Elec-P14(Reg'!H55</f>
        <v>0</v>
      </c>
      <c r="I55" s="135"/>
      <c r="J55" s="149">
        <f>H55+F55+D55</f>
        <v>0</v>
      </c>
      <c r="K55" s="135"/>
      <c r="L55" s="149">
        <f>B55+J55</f>
        <v>0</v>
      </c>
      <c r="N55" s="136">
        <f>'KY_Res by Plant Acct-P29 (Reg)'!R383</f>
        <v>0</v>
      </c>
      <c r="P55" s="136">
        <f>L55+N55</f>
        <v>0</v>
      </c>
    </row>
    <row r="56" spans="1:16" x14ac:dyDescent="0.2">
      <c r="B56" s="135">
        <f>SUM(B54:B55)</f>
        <v>2240.29</v>
      </c>
      <c r="C56" s="135"/>
      <c r="D56" s="135">
        <f>SUM(D54:D55)</f>
        <v>0</v>
      </c>
      <c r="E56" s="135"/>
      <c r="F56" s="135">
        <f>SUM(F54:F55)</f>
        <v>0</v>
      </c>
      <c r="G56" s="135"/>
      <c r="H56" s="135">
        <f>SUM(H54:H55)</f>
        <v>0</v>
      </c>
      <c r="I56" s="135"/>
      <c r="J56" s="135">
        <f>SUM(J54:J55)</f>
        <v>0</v>
      </c>
      <c r="K56" s="135"/>
      <c r="L56" s="135">
        <f>SUM(L54:L55)</f>
        <v>2240.29</v>
      </c>
      <c r="N56" s="39">
        <f>SUM(N54:N55)</f>
        <v>0</v>
      </c>
      <c r="P56" s="39">
        <f>SUM(P54:P55)</f>
        <v>2240.29</v>
      </c>
    </row>
    <row r="57" spans="1:16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6" x14ac:dyDescent="0.2">
      <c r="A58" s="10" t="s">
        <v>325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</row>
    <row r="59" spans="1:16" x14ac:dyDescent="0.2">
      <c r="A59" s="3" t="s">
        <v>326</v>
      </c>
      <c r="B59" s="138">
        <f>'KY_Cost Plant Acct-Elec-P14(Reg'!B59</f>
        <v>20260.009999999987</v>
      </c>
      <c r="C59" s="138"/>
      <c r="D59" s="138">
        <f>'KY_Cost Plant Acct-Elec-P14(Reg'!D59</f>
        <v>103618.65</v>
      </c>
      <c r="E59" s="138"/>
      <c r="F59" s="138">
        <f>'KY_Cost Plant Acct-Elec-P14(Reg'!F59</f>
        <v>0</v>
      </c>
      <c r="G59" s="138"/>
      <c r="H59" s="138">
        <f>'KY_Cost Plant Acct-Elec-P14(Reg'!H59</f>
        <v>0</v>
      </c>
      <c r="I59" s="138"/>
      <c r="J59" s="138">
        <f t="shared" ref="J59:J67" si="9">H59+F59+D59</f>
        <v>103618.65</v>
      </c>
      <c r="K59" s="138"/>
      <c r="L59" s="138">
        <f t="shared" ref="L59:L67" si="10">B59+J59</f>
        <v>123878.65999999997</v>
      </c>
      <c r="N59" s="39">
        <f>'KY_Res by Plant Acct-P29 (Reg)'!R59+'KY_Res by Plant Acct-P29 (Reg)'!R61</f>
        <v>0</v>
      </c>
      <c r="P59" s="39">
        <f t="shared" ref="P59:P67" si="11">L59+N59</f>
        <v>123878.65999999997</v>
      </c>
    </row>
    <row r="60" spans="1:16" x14ac:dyDescent="0.2">
      <c r="A60" s="3" t="s">
        <v>327</v>
      </c>
      <c r="B60" s="138">
        <f>'KY_Cost Plant Acct-Elec-P14(Reg'!B60+'KY_Cost Plant Acct-Elec-P14(Reg'!B137</f>
        <v>31992977.919999998</v>
      </c>
      <c r="C60" s="138"/>
      <c r="D60" s="138">
        <f>'KY_Cost Plant Acct-Elec-P14(Reg'!D60+'KY_Cost Plant Acct-Elec-P14(Reg'!D137</f>
        <v>10065552.060000001</v>
      </c>
      <c r="E60" s="138">
        <f>'KY_Cost Plant Acct-Elec-P14(Reg'!E60+'KY_Cost Plant Acct-Elec-P14(Reg'!E137</f>
        <v>0</v>
      </c>
      <c r="F60" s="138">
        <f>'KY_Cost Plant Acct-Elec-P14(Reg'!F60+'KY_Cost Plant Acct-Elec-P14(Reg'!F137</f>
        <v>-133323.26999999999</v>
      </c>
      <c r="G60" s="138">
        <f>'KY_Cost Plant Acct-Elec-P14(Reg'!G60+'KY_Cost Plant Acct-Elec-P14(Reg'!G137</f>
        <v>0</v>
      </c>
      <c r="H60" s="138">
        <f>'KY_Cost Plant Acct-Elec-P14(Reg'!H60+'KY_Cost Plant Acct-Elec-P14(Reg'!H137</f>
        <v>-8829349.2599999998</v>
      </c>
      <c r="I60" s="138"/>
      <c r="J60" s="138">
        <f t="shared" si="9"/>
        <v>1102879.5300000012</v>
      </c>
      <c r="K60" s="138"/>
      <c r="L60" s="138">
        <f t="shared" si="10"/>
        <v>33095857.449999999</v>
      </c>
      <c r="N60" s="39">
        <f>'KY_Res by Plant Acct-P29 (Reg)'!R78</f>
        <v>-11324016.640000001</v>
      </c>
      <c r="P60" s="39">
        <f t="shared" si="11"/>
        <v>21771840.809999999</v>
      </c>
    </row>
    <row r="61" spans="1:16" x14ac:dyDescent="0.2">
      <c r="A61" s="3" t="s">
        <v>328</v>
      </c>
      <c r="B61" s="138">
        <f>'KY_Cost Plant Acct-Elec-P14(Reg'!B61+'KY_Cost Plant Acct-Elec-P14(Reg'!B138</f>
        <v>46113785.380000003</v>
      </c>
      <c r="C61" s="138"/>
      <c r="D61" s="138">
        <f>'KY_Cost Plant Acct-Elec-P14(Reg'!D61+'KY_Cost Plant Acct-Elec-P14(Reg'!D138</f>
        <v>-21846606.850000001</v>
      </c>
      <c r="E61" s="138"/>
      <c r="F61" s="138">
        <f>'KY_Cost Plant Acct-Elec-P14(Reg'!F61</f>
        <v>0</v>
      </c>
      <c r="G61" s="138"/>
      <c r="H61" s="138">
        <f>'KY_Cost Plant Acct-Elec-P14(Reg'!H61+'KY_Cost Plant Acct-Elec-P14(Reg'!H138</f>
        <v>0</v>
      </c>
      <c r="I61" s="138"/>
      <c r="J61" s="138">
        <f t="shared" si="9"/>
        <v>-21846606.850000001</v>
      </c>
      <c r="K61" s="138"/>
      <c r="L61" s="138">
        <f t="shared" si="10"/>
        <v>24267178.530000001</v>
      </c>
      <c r="N61" s="39">
        <f>'KY_Res by Plant Acct-P29 (Reg)'!R97</f>
        <v>-5023124.68</v>
      </c>
      <c r="P61" s="39">
        <f t="shared" si="11"/>
        <v>19244053.850000001</v>
      </c>
    </row>
    <row r="62" spans="1:16" x14ac:dyDescent="0.2">
      <c r="A62" s="3" t="s">
        <v>329</v>
      </c>
      <c r="B62" s="138">
        <f>'KY_Cost Plant Acct-Elec-P14(Reg'!B62+'KY_Cost Plant Acct-Elec-P14(Reg'!B139</f>
        <v>188283662.81999996</v>
      </c>
      <c r="C62" s="138"/>
      <c r="D62" s="138">
        <f>'KY_Cost Plant Acct-Elec-P14(Reg'!D62+'KY_Cost Plant Acct-Elec-P14(Reg'!D139</f>
        <v>47453460.230000004</v>
      </c>
      <c r="E62" s="138"/>
      <c r="F62" s="138">
        <f>'KY_Cost Plant Acct-Elec-P14(Reg'!F62</f>
        <v>-27072.28</v>
      </c>
      <c r="G62" s="138"/>
      <c r="H62" s="138">
        <f>'KY_Cost Plant Acct-Elec-P14(Reg'!H62+'KY_Cost Plant Acct-Elec-P14(Reg'!H139</f>
        <v>0</v>
      </c>
      <c r="I62" s="138"/>
      <c r="J62" s="138">
        <f t="shared" si="9"/>
        <v>47426387.950000003</v>
      </c>
      <c r="K62" s="138"/>
      <c r="L62" s="138">
        <f t="shared" si="10"/>
        <v>235710050.76999998</v>
      </c>
      <c r="N62" s="39">
        <f>'KY_Res by Plant Acct-P29 (Reg)'!R110</f>
        <v>-69488916.13000001</v>
      </c>
      <c r="P62" s="39">
        <f t="shared" si="11"/>
        <v>166221134.63999999</v>
      </c>
    </row>
    <row r="63" spans="1:16" x14ac:dyDescent="0.2">
      <c r="A63" s="3" t="s">
        <v>330</v>
      </c>
      <c r="B63" s="138">
        <f>'KY_Cost Plant Acct-Elec-P14(Reg'!B63+'KY_Cost Plant Acct-Elec-P14(Reg'!B140</f>
        <v>65440190.819999993</v>
      </c>
      <c r="C63" s="138"/>
      <c r="D63" s="138">
        <f>'KY_Cost Plant Acct-Elec-P14(Reg'!D63+'KY_Cost Plant Acct-Elec-P14(Reg'!D140</f>
        <v>-14549594.01</v>
      </c>
      <c r="E63" s="138"/>
      <c r="F63" s="138">
        <f>'KY_Cost Plant Acct-Elec-P14(Reg'!F63</f>
        <v>-40808.99</v>
      </c>
      <c r="G63" s="138"/>
      <c r="H63" s="138">
        <f>'KY_Cost Plant Acct-Elec-P14(Reg'!H63+'KY_Cost Plant Acct-Elec-P14(Reg'!H140</f>
        <v>8227211.2300000004</v>
      </c>
      <c r="I63" s="138"/>
      <c r="J63" s="138">
        <f t="shared" si="9"/>
        <v>-6363191.7699999996</v>
      </c>
      <c r="K63" s="138"/>
      <c r="L63" s="138">
        <f t="shared" si="10"/>
        <v>59076999.049999997</v>
      </c>
      <c r="N63" s="39">
        <f>'KY_Res by Plant Acct-P29 (Reg)'!R128</f>
        <v>-22841845.609999996</v>
      </c>
      <c r="P63" s="39">
        <f t="shared" si="11"/>
        <v>36235153.439999998</v>
      </c>
    </row>
    <row r="64" spans="1:16" x14ac:dyDescent="0.2">
      <c r="A64" s="3" t="s">
        <v>331</v>
      </c>
      <c r="B64" s="138">
        <f>'KY_Cost Plant Acct-Elec-P14(Reg'!B64+'KY_Cost Plant Acct-Elec-P14(Reg'!B141</f>
        <v>29546423.140000001</v>
      </c>
      <c r="C64" s="138"/>
      <c r="D64" s="138">
        <f>'KY_Cost Plant Acct-Elec-P14(Reg'!D64+'KY_Cost Plant Acct-Elec-P14(Reg'!D141</f>
        <v>-2228730.9500000002</v>
      </c>
      <c r="E64" s="138"/>
      <c r="F64" s="138">
        <f>'KY_Cost Plant Acct-Elec-P14(Reg'!F64</f>
        <v>-89026.15</v>
      </c>
      <c r="G64" s="138"/>
      <c r="H64" s="138">
        <f>'KY_Cost Plant Acct-Elec-P14(Reg'!H64+'KY_Cost Plant Acct-Elec-P14(Reg'!H141</f>
        <v>414341.01</v>
      </c>
      <c r="I64" s="138"/>
      <c r="J64" s="138">
        <f t="shared" si="9"/>
        <v>-1903416.0900000003</v>
      </c>
      <c r="K64" s="138"/>
      <c r="L64" s="138">
        <f t="shared" si="10"/>
        <v>27643007.050000001</v>
      </c>
      <c r="N64" s="39">
        <f>'KY_Res by Plant Acct-P29 (Reg)'!R146</f>
        <v>-10316256.139999999</v>
      </c>
      <c r="P64" s="39">
        <f t="shared" si="11"/>
        <v>17326750.910000004</v>
      </c>
    </row>
    <row r="65" spans="1:16" x14ac:dyDescent="0.2">
      <c r="A65" s="3" t="s">
        <v>332</v>
      </c>
      <c r="B65" s="138">
        <f>'KY_Cost Plant Acct-Elec-P14(Reg'!B65+'KY_Cost Plant Acct-Elec-P14(Reg'!B142</f>
        <v>3802291.09</v>
      </c>
      <c r="C65" s="138"/>
      <c r="D65" s="138">
        <f>'KY_Cost Plant Acct-Elec-P14(Reg'!D65+'KY_Cost Plant Acct-Elec-P14(Reg'!D142</f>
        <v>934680.77</v>
      </c>
      <c r="E65" s="138"/>
      <c r="F65" s="138">
        <f>'KY_Cost Plant Acct-Elec-P14(Reg'!F65</f>
        <v>0</v>
      </c>
      <c r="G65" s="138"/>
      <c r="H65" s="138">
        <f>'KY_Cost Plant Acct-Elec-P14(Reg'!H65+'KY_Cost Plant Acct-Elec-P14(Reg'!H142</f>
        <v>187797.02</v>
      </c>
      <c r="I65" s="138"/>
      <c r="J65" s="138">
        <f t="shared" si="9"/>
        <v>1122477.79</v>
      </c>
      <c r="K65" s="138"/>
      <c r="L65" s="138">
        <f t="shared" si="10"/>
        <v>4924768.88</v>
      </c>
      <c r="N65" s="39">
        <f>'KY_Res by Plant Acct-P29 (Reg)'!R162</f>
        <v>-1959868.6300000004</v>
      </c>
      <c r="P65" s="39">
        <f t="shared" si="11"/>
        <v>2964900.2499999995</v>
      </c>
    </row>
    <row r="66" spans="1:16" x14ac:dyDescent="0.2">
      <c r="A66" s="3" t="s">
        <v>333</v>
      </c>
      <c r="B66" s="138">
        <f>'KY_Cost Plant Acct-Elec-P14(Reg'!B66</f>
        <v>21719.7</v>
      </c>
      <c r="C66" s="138"/>
      <c r="D66" s="138">
        <f>'KY_Cost Plant Acct-Elec-P14(Reg'!D66</f>
        <v>0</v>
      </c>
      <c r="E66" s="138"/>
      <c r="F66" s="138">
        <f>'KY_Cost Plant Acct-Elec-P14(Reg'!F66</f>
        <v>0</v>
      </c>
      <c r="G66" s="138"/>
      <c r="H66" s="138">
        <f>'KY_Cost Plant Acct-Elec-P14(Reg'!H66+'KY_Cost Plant Acct-Elec-P14(Reg'!H143</f>
        <v>-6164.2199999993309</v>
      </c>
      <c r="I66" s="138"/>
      <c r="J66" s="138">
        <f t="shared" si="9"/>
        <v>-6164.2199999993309</v>
      </c>
      <c r="K66" s="138"/>
      <c r="L66" s="138">
        <f t="shared" si="10"/>
        <v>15555.480000000669</v>
      </c>
      <c r="N66" s="39">
        <f>'KY_Res by Plant Acct-P29 (Reg)'!R163</f>
        <v>-4781.9999999999973</v>
      </c>
      <c r="P66" s="39">
        <f t="shared" si="11"/>
        <v>10773.480000000673</v>
      </c>
    </row>
    <row r="67" spans="1:16" x14ac:dyDescent="0.2">
      <c r="A67" s="3" t="s">
        <v>334</v>
      </c>
      <c r="B67" s="149">
        <f>'KY_Cost Plant Acct-Elec-P14(Reg'!B67</f>
        <v>62543.96</v>
      </c>
      <c r="C67" s="138"/>
      <c r="D67" s="149">
        <f>'KY_Cost Plant Acct-Elec-P14(Reg'!D67</f>
        <v>0</v>
      </c>
      <c r="E67" s="138"/>
      <c r="F67" s="149">
        <f>'KY_Cost Plant Acct-Elec-P14(Reg'!F67</f>
        <v>0</v>
      </c>
      <c r="G67" s="138"/>
      <c r="H67" s="149">
        <f>'KY_Cost Plant Acct-Elec-P14(Reg'!H67</f>
        <v>0</v>
      </c>
      <c r="I67" s="138"/>
      <c r="J67" s="149">
        <f t="shared" si="9"/>
        <v>0</v>
      </c>
      <c r="K67" s="135"/>
      <c r="L67" s="149">
        <f t="shared" si="10"/>
        <v>62543.96</v>
      </c>
      <c r="N67" s="136">
        <f>'KY_Res by Plant Acct-P29 (Reg)'!R164</f>
        <v>-4195.01</v>
      </c>
      <c r="P67" s="136">
        <f t="shared" si="11"/>
        <v>58348.95</v>
      </c>
    </row>
    <row r="68" spans="1:16" x14ac:dyDescent="0.2">
      <c r="B68" s="135">
        <f>SUM(B59:B67)</f>
        <v>365283854.83999985</v>
      </c>
      <c r="C68" s="135"/>
      <c r="D68" s="135">
        <f>SUM(D59:D67)</f>
        <v>19932379.900000006</v>
      </c>
      <c r="E68" s="135"/>
      <c r="F68" s="135">
        <f>SUM(F59:F67)</f>
        <v>-290230.68999999994</v>
      </c>
      <c r="G68" s="135"/>
      <c r="H68" s="135">
        <f>SUM(H59:H67)</f>
        <v>-6164.2199999986615</v>
      </c>
      <c r="I68" s="135"/>
      <c r="J68" s="135">
        <f>SUM(J59:J67)</f>
        <v>19635984.990000002</v>
      </c>
      <c r="K68" s="135"/>
      <c r="L68" s="135">
        <f>SUM(L59:L67)</f>
        <v>384919839.82999998</v>
      </c>
      <c r="N68" s="39">
        <f>SUM(N59:N67)</f>
        <v>-120963004.84000002</v>
      </c>
      <c r="P68" s="39">
        <f>SUM(P59:P67)</f>
        <v>263956834.98999995</v>
      </c>
    </row>
    <row r="69" spans="1:16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1:16" x14ac:dyDescent="0.2">
      <c r="A70" s="10" t="s">
        <v>337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1:16" x14ac:dyDescent="0.2">
      <c r="A71" s="3" t="s">
        <v>338</v>
      </c>
      <c r="B71" s="135">
        <f>'KY_Cost Plant Acct-Elec-P14(Reg'!B71</f>
        <v>6427075.1499999994</v>
      </c>
      <c r="C71" s="135"/>
      <c r="D71" s="135">
        <f>'KY_Cost Plant Acct-Elec-P14(Reg'!D71</f>
        <v>0</v>
      </c>
      <c r="E71" s="135"/>
      <c r="F71" s="135">
        <f>'KY_Cost Plant Acct-Elec-P14(Reg'!F71</f>
        <v>0</v>
      </c>
      <c r="G71" s="135"/>
      <c r="H71" s="135">
        <f>'KY_Cost Plant Acct-Elec-P14(Reg'!H71</f>
        <v>839535.3</v>
      </c>
      <c r="I71" s="135"/>
      <c r="J71" s="135">
        <f t="shared" ref="J71:J81" si="12">H71+F71+D71</f>
        <v>839535.3</v>
      </c>
      <c r="K71" s="135"/>
      <c r="L71" s="138">
        <f t="shared" ref="L71:L83" si="13">B71+J71</f>
        <v>7266610.4499999993</v>
      </c>
      <c r="N71" s="39">
        <f>'KY_Res by Plant Acct-P29 (Reg)'!R168</f>
        <v>0</v>
      </c>
      <c r="P71" s="39">
        <f t="shared" ref="P71:P83" si="14">L71+N71</f>
        <v>7266610.4499999993</v>
      </c>
    </row>
    <row r="72" spans="1:16" x14ac:dyDescent="0.2">
      <c r="A72" s="3" t="s">
        <v>339</v>
      </c>
      <c r="B72" s="135">
        <f>'KY_Cost Plant Acct-Elec-P14(Reg'!B72</f>
        <v>0</v>
      </c>
      <c r="C72" s="135"/>
      <c r="D72" s="135">
        <f>'KY_Cost Plant Acct-Elec-P14(Reg'!D72</f>
        <v>0</v>
      </c>
      <c r="E72" s="135"/>
      <c r="F72" s="135">
        <f>'KY_Cost Plant Acct-Elec-P14(Reg'!F72</f>
        <v>0</v>
      </c>
      <c r="G72" s="135"/>
      <c r="H72" s="135">
        <f>'KY_Cost Plant Acct-Elec-P14(Reg'!H72</f>
        <v>0</v>
      </c>
      <c r="I72" s="135"/>
      <c r="J72" s="135">
        <f>H72+F72+D72</f>
        <v>0</v>
      </c>
      <c r="K72" s="135"/>
      <c r="L72" s="138">
        <f>B72+J72</f>
        <v>0</v>
      </c>
      <c r="N72" s="39">
        <f>'KY_Res by Plant Acct-P29 (Reg)'!R169</f>
        <v>0</v>
      </c>
      <c r="P72" s="39">
        <f>L72+N72</f>
        <v>0</v>
      </c>
    </row>
    <row r="73" spans="1:16" x14ac:dyDescent="0.2">
      <c r="A73" s="3" t="s">
        <v>340</v>
      </c>
      <c r="B73" s="135">
        <f>'KY_Cost Plant Acct-Elec-P14(Reg'!B73</f>
        <v>360851.26</v>
      </c>
      <c r="C73" s="135"/>
      <c r="D73" s="135">
        <f>'KY_Cost Plant Acct-Elec-P14(Reg'!D73</f>
        <v>0</v>
      </c>
      <c r="E73" s="135"/>
      <c r="F73" s="135">
        <f>'KY_Cost Plant Acct-Elec-P14(Reg'!F73</f>
        <v>0</v>
      </c>
      <c r="G73" s="135"/>
      <c r="H73" s="135">
        <f>'KY_Cost Plant Acct-Elec-P14(Reg'!H73</f>
        <v>0</v>
      </c>
      <c r="I73" s="135"/>
      <c r="J73" s="135">
        <f>H73+F73+D73</f>
        <v>0</v>
      </c>
      <c r="K73" s="135"/>
      <c r="L73" s="138">
        <f>B73+J73</f>
        <v>360851.26</v>
      </c>
      <c r="N73" s="39">
        <f>'KY_Res by Plant Acct-P29 (Reg)'!R170</f>
        <v>0</v>
      </c>
      <c r="P73" s="39">
        <f>L73+N73</f>
        <v>360851.26</v>
      </c>
    </row>
    <row r="74" spans="1:16" x14ac:dyDescent="0.2">
      <c r="A74" s="3" t="s">
        <v>342</v>
      </c>
      <c r="B74" s="135">
        <f>'KY_Cost Plant Acct-Elec-P14(Reg'!B74+'KY_Cost Plant Acct-Elec-P14(Reg'!B145+'Capital Leased Prop P25 (Reg)'!B10</f>
        <v>291794739.31</v>
      </c>
      <c r="C74" s="135"/>
      <c r="D74" s="135">
        <f>'KY_Cost Plant Acct-Elec-P14(Reg'!D74+'KY_Cost Plant Acct-Elec-P14(Reg'!D145</f>
        <v>11847429.939999999</v>
      </c>
      <c r="E74" s="135"/>
      <c r="F74" s="135">
        <f>'KY_Cost Plant Acct-Elec-P14(Reg'!F74</f>
        <v>-533974.97</v>
      </c>
      <c r="G74" s="135"/>
      <c r="H74" s="135">
        <f>'KY_Cost Plant Acct-Elec-P14(Reg'!H74+'KY_Cost Plant Acct-Elec-P14(Reg'!H145+'Capital Leased Prop P25 (Reg)'!H10</f>
        <v>-3933806.74</v>
      </c>
      <c r="I74" s="135"/>
      <c r="J74" s="135">
        <f t="shared" si="12"/>
        <v>7379648.2299999995</v>
      </c>
      <c r="K74" s="135"/>
      <c r="L74" s="138">
        <f t="shared" si="13"/>
        <v>299174387.54000002</v>
      </c>
      <c r="N74" s="39">
        <f>'KY_Res by Plant Acct-P29 (Reg)'!R207+'KY_Res by Plant Acct-P29 (Reg)'!R220+'KY_Res by Plant Acct-P29 (Reg)'!R217</f>
        <v>-180679843.59999996</v>
      </c>
      <c r="P74" s="39">
        <f t="shared" si="14"/>
        <v>118494543.94000006</v>
      </c>
    </row>
    <row r="75" spans="1:16" x14ac:dyDescent="0.2">
      <c r="A75" s="3" t="s">
        <v>343</v>
      </c>
      <c r="B75" s="135">
        <f>'KY_Cost Plant Acct-Elec-P14(Reg'!B75+'KY_Cost Plant Acct-Elec-P14(Reg'!B146</f>
        <v>0</v>
      </c>
      <c r="C75" s="135"/>
      <c r="D75" s="135">
        <f>'KY_Cost Plant Acct-Elec-P14(Reg'!D75+'KY_Cost Plant Acct-Elec-P14(Reg'!D146</f>
        <v>0</v>
      </c>
      <c r="E75" s="135"/>
      <c r="F75" s="135">
        <f>'KY_Cost Plant Acct-Elec-P14(Reg'!F75+'KY_Cost Plant Acct-Elec-P14(Reg'!F146</f>
        <v>0</v>
      </c>
      <c r="G75" s="135"/>
      <c r="H75" s="135">
        <f>'KY_Cost Plant Acct-Elec-P14(Reg'!H75+'KY_Cost Plant Acct-Elec-P14(Reg'!H146</f>
        <v>0</v>
      </c>
      <c r="I75" s="135"/>
      <c r="J75" s="135">
        <f t="shared" si="12"/>
        <v>0</v>
      </c>
      <c r="K75" s="135"/>
      <c r="L75" s="138">
        <f t="shared" si="13"/>
        <v>0</v>
      </c>
      <c r="N75" s="39">
        <f>'KY_Res by Plant Acct-P29 (Reg)'!R216</f>
        <v>7.8580342233181E-10</v>
      </c>
      <c r="P75" s="39">
        <f t="shared" si="14"/>
        <v>7.8580342233181E-10</v>
      </c>
    </row>
    <row r="76" spans="1:16" x14ac:dyDescent="0.2">
      <c r="A76" s="3" t="s">
        <v>345</v>
      </c>
      <c r="B76" s="135">
        <f>'KY_Cost Plant Acct-Elec-P14(Reg'!B76+'KY_Cost Plant Acct-Elec-P14(Reg'!B147</f>
        <v>1923575414.3600001</v>
      </c>
      <c r="C76" s="135"/>
      <c r="D76" s="135">
        <f>'KY_Cost Plant Acct-Elec-P14(Reg'!D76+'KY_Cost Plant Acct-Elec-P14(Reg'!D147</f>
        <v>299819012.74000001</v>
      </c>
      <c r="E76" s="135"/>
      <c r="F76" s="135">
        <f>'KY_Cost Plant Acct-Elec-P14(Reg'!F76</f>
        <v>-71290646.280000001</v>
      </c>
      <c r="G76" s="135"/>
      <c r="H76" s="135">
        <f>'KY_Cost Plant Acct-Elec-P14(Reg'!H76+'KY_Cost Plant Acct-Elec-P14(Reg'!H147</f>
        <v>6855563.4800000004</v>
      </c>
      <c r="I76" s="135"/>
      <c r="J76" s="135">
        <f t="shared" si="12"/>
        <v>235383929.94</v>
      </c>
      <c r="K76" s="135"/>
      <c r="L76" s="138">
        <f t="shared" si="13"/>
        <v>2158959344.3000002</v>
      </c>
      <c r="N76" s="39">
        <f>'KY_Res by Plant Acct-P29 (Reg)'!R272</f>
        <v>-459212842.65000004</v>
      </c>
      <c r="P76" s="39">
        <f t="shared" si="14"/>
        <v>1699746501.6500001</v>
      </c>
    </row>
    <row r="77" spans="1:16" x14ac:dyDescent="0.2">
      <c r="A77" s="3" t="s">
        <v>346</v>
      </c>
      <c r="B77" s="135">
        <f>'KY_Cost Plant Acct-Elec-P14(Reg'!B77</f>
        <v>0</v>
      </c>
      <c r="C77" s="135"/>
      <c r="D77" s="135">
        <f>'KY_Cost Plant Acct-Elec-P14(Reg'!D77</f>
        <v>0</v>
      </c>
      <c r="E77" s="135"/>
      <c r="F77" s="135">
        <f>'KY_Cost Plant Acct-Elec-P14(Reg'!F77</f>
        <v>0</v>
      </c>
      <c r="G77" s="135"/>
      <c r="H77" s="135">
        <f>'KY_Cost Plant Acct-Elec-P14(Reg'!H77</f>
        <v>0</v>
      </c>
      <c r="I77" s="135"/>
      <c r="J77" s="135">
        <f t="shared" si="12"/>
        <v>0</v>
      </c>
      <c r="K77" s="135"/>
      <c r="L77" s="138">
        <f t="shared" si="13"/>
        <v>0</v>
      </c>
      <c r="N77" s="39">
        <f>'KY_Res by Plant Acct-P29 (Reg)'!R275</f>
        <v>0</v>
      </c>
      <c r="P77" s="39">
        <f t="shared" si="14"/>
        <v>0</v>
      </c>
    </row>
    <row r="78" spans="1:16" x14ac:dyDescent="0.2">
      <c r="A78" s="3" t="s">
        <v>348</v>
      </c>
      <c r="B78" s="135">
        <f>'KY_Cost Plant Acct-Elec-P14(Reg'!B78+'KY_Cost Plant Acct-Elec-P14(Reg'!B148</f>
        <v>223874142.22</v>
      </c>
      <c r="C78" s="135"/>
      <c r="D78" s="135">
        <f>'KY_Cost Plant Acct-Elec-P14(Reg'!D78+'KY_Cost Plant Acct-Elec-P14(Reg'!D148</f>
        <v>1265946.7900000028</v>
      </c>
      <c r="E78" s="135"/>
      <c r="F78" s="135">
        <f>'KY_Cost Plant Acct-Elec-P14(Reg'!F78</f>
        <v>43222.04</v>
      </c>
      <c r="G78" s="135"/>
      <c r="H78" s="135">
        <f>'KY_Cost Plant Acct-Elec-P14(Reg'!H78</f>
        <v>0</v>
      </c>
      <c r="I78" s="135"/>
      <c r="J78" s="135">
        <f t="shared" si="12"/>
        <v>1309168.8300000029</v>
      </c>
      <c r="K78" s="135"/>
      <c r="L78" s="138">
        <f t="shared" si="13"/>
        <v>225183311.05000001</v>
      </c>
      <c r="N78" s="39">
        <f>'KY_Res by Plant Acct-P29 (Reg)'!R289</f>
        <v>-101410732.38</v>
      </c>
      <c r="P78" s="39">
        <f t="shared" si="14"/>
        <v>123772578.67000002</v>
      </c>
    </row>
    <row r="79" spans="1:16" x14ac:dyDescent="0.2">
      <c r="A79" s="3" t="s">
        <v>349</v>
      </c>
      <c r="B79" s="135">
        <f>'KY_Cost Plant Acct-Elec-P14(Reg'!B79+'KY_Cost Plant Acct-Elec-P14(Reg'!B149</f>
        <v>141648985.56999996</v>
      </c>
      <c r="C79" s="135"/>
      <c r="D79" s="135">
        <f>'KY_Cost Plant Acct-Elec-P14(Reg'!D79+'KY_Cost Plant Acct-Elec-P14(Reg'!D149</f>
        <v>25241335.970000003</v>
      </c>
      <c r="E79" s="135"/>
      <c r="F79" s="135">
        <f>'KY_Cost Plant Acct-Elec-P14(Reg'!F79</f>
        <v>-1616603.42</v>
      </c>
      <c r="G79" s="135"/>
      <c r="H79" s="135">
        <f>'KY_Cost Plant Acct-Elec-P14(Reg'!H79</f>
        <v>0</v>
      </c>
      <c r="I79" s="135"/>
      <c r="J79" s="135">
        <f t="shared" si="12"/>
        <v>23624732.550000004</v>
      </c>
      <c r="K79" s="135"/>
      <c r="L79" s="138">
        <f t="shared" si="13"/>
        <v>165273718.11999997</v>
      </c>
      <c r="N79" s="39">
        <f>'KY_Res by Plant Acct-P29 (Reg)'!R320</f>
        <v>-83761790.13000001</v>
      </c>
      <c r="P79" s="39">
        <f t="shared" si="14"/>
        <v>81511927.989999965</v>
      </c>
    </row>
    <row r="80" spans="1:16" x14ac:dyDescent="0.2">
      <c r="A80" s="3" t="s">
        <v>350</v>
      </c>
      <c r="B80" s="135">
        <f>'KY_Cost Plant Acct-Elec-P14(Reg'!B80</f>
        <v>0</v>
      </c>
      <c r="C80" s="135"/>
      <c r="D80" s="135">
        <f>'KY_Cost Plant Acct-Elec-P14(Reg'!D80</f>
        <v>0</v>
      </c>
      <c r="E80" s="135"/>
      <c r="F80" s="135">
        <f>'KY_Cost Plant Acct-Elec-P14(Reg'!F80</f>
        <v>0</v>
      </c>
      <c r="G80" s="135"/>
      <c r="H80" s="135">
        <f>'KY_Cost Plant Acct-Elec-P14(Reg'!H80</f>
        <v>0</v>
      </c>
      <c r="I80" s="135"/>
      <c r="J80" s="135">
        <f t="shared" si="12"/>
        <v>0</v>
      </c>
      <c r="K80" s="135"/>
      <c r="L80" s="138">
        <f t="shared" si="13"/>
        <v>0</v>
      </c>
      <c r="N80" s="39">
        <f>'KY_Res by Plant Acct-P29 (Reg)'!R329</f>
        <v>0</v>
      </c>
      <c r="P80" s="39">
        <f t="shared" si="14"/>
        <v>0</v>
      </c>
    </row>
    <row r="81" spans="1:16" x14ac:dyDescent="0.2">
      <c r="A81" s="3" t="s">
        <v>352</v>
      </c>
      <c r="B81" s="135">
        <f>'KY_Cost Plant Acct-Elec-P14(Reg'!B81+'KY_Cost Plant Acct-Elec-P14(Reg'!B150</f>
        <v>18258219.760000009</v>
      </c>
      <c r="C81" s="135"/>
      <c r="D81" s="135">
        <f>'KY_Cost Plant Acct-Elec-P14(Reg'!D81+'KY_Cost Plant Acct-Elec-P14(Reg'!D150</f>
        <v>718834.62</v>
      </c>
      <c r="E81" s="135">
        <f>'KY_Cost Plant Acct-Elec-P14(Reg'!E81+'KY_Cost Plant Acct-Elec-P14(Reg'!E150</f>
        <v>0</v>
      </c>
      <c r="F81" s="135">
        <f>'KY_Cost Plant Acct-Elec-P14(Reg'!F81+'KY_Cost Plant Acct-Elec-P14(Reg'!F150</f>
        <v>-123601.58</v>
      </c>
      <c r="G81" s="135">
        <f>'KY_Cost Plant Acct-Elec-P14(Reg'!G81+'KY_Cost Plant Acct-Elec-P14(Reg'!G150</f>
        <v>0</v>
      </c>
      <c r="H81" s="135">
        <f>'KY_Cost Plant Acct-Elec-P14(Reg'!H81+'KY_Cost Plant Acct-Elec-P14(Reg'!H150</f>
        <v>-149103.37</v>
      </c>
      <c r="I81" s="135"/>
      <c r="J81" s="135">
        <f t="shared" si="12"/>
        <v>446129.67</v>
      </c>
      <c r="K81" s="135"/>
      <c r="L81" s="138">
        <f t="shared" si="13"/>
        <v>18704349.430000011</v>
      </c>
      <c r="N81" s="39">
        <f>'KY_Res by Plant Acct-P29 (Reg)'!R350</f>
        <v>-6567494.8399999999</v>
      </c>
      <c r="P81" s="39">
        <f t="shared" si="14"/>
        <v>12136854.590000011</v>
      </c>
    </row>
    <row r="82" spans="1:16" x14ac:dyDescent="0.2">
      <c r="A82" s="3" t="s">
        <v>353</v>
      </c>
      <c r="B82" s="135">
        <f>'KY_Cost Plant Acct-Elec-P14(Reg'!B82</f>
        <v>137737820.99000001</v>
      </c>
      <c r="C82" s="135"/>
      <c r="D82" s="135">
        <f>'KY_Cost Plant Acct-Elec-P14(Reg'!D82</f>
        <v>0</v>
      </c>
      <c r="E82" s="135"/>
      <c r="F82" s="135">
        <f>'KY_Cost Plant Acct-Elec-P14(Reg'!F82</f>
        <v>-765926.26</v>
      </c>
      <c r="G82" s="135"/>
      <c r="H82" s="135">
        <f>'KY_Cost Plant Acct-Elec-P14(Reg'!H82</f>
        <v>-91950467.530000001</v>
      </c>
      <c r="I82" s="135"/>
      <c r="J82" s="135">
        <f>'KY_Cost Plant Acct-Elec-P14(Reg'!J82</f>
        <v>-92716393.790000007</v>
      </c>
      <c r="K82" s="135"/>
      <c r="L82" s="135">
        <f t="shared" si="13"/>
        <v>45021427.200000003</v>
      </c>
      <c r="M82" s="31"/>
      <c r="N82" s="38">
        <f>'KY_Res by Plant Acct-P29 (Reg)'!R351</f>
        <v>-19536682.629999995</v>
      </c>
      <c r="O82" s="31"/>
      <c r="P82" s="38">
        <f>L82+N82</f>
        <v>25484744.570000008</v>
      </c>
    </row>
    <row r="83" spans="1:16" x14ac:dyDescent="0.2">
      <c r="A83" s="3" t="s">
        <v>354</v>
      </c>
      <c r="B83" s="149">
        <f>'KY_Cost Plant Acct-Elec-P14(Reg'!B83</f>
        <v>0</v>
      </c>
      <c r="C83" s="135"/>
      <c r="D83" s="149">
        <f>'KY_Cost Plant Acct-Elec-P14(Reg'!D83</f>
        <v>0</v>
      </c>
      <c r="E83" s="135"/>
      <c r="F83" s="149">
        <f>'KY_Cost Plant Acct-Elec-P14(Reg'!F83</f>
        <v>0</v>
      </c>
      <c r="G83" s="135"/>
      <c r="H83" s="149">
        <f>'KY_Cost Plant Acct-Elec-P14(Reg'!H83</f>
        <v>81908780.349999994</v>
      </c>
      <c r="I83" s="135"/>
      <c r="J83" s="149">
        <f>'KY_Cost Plant Acct-Elec-P14(Reg'!J83</f>
        <v>81908780.349999994</v>
      </c>
      <c r="K83" s="135"/>
      <c r="L83" s="149">
        <f t="shared" si="13"/>
        <v>81908780.349999994</v>
      </c>
      <c r="N83" s="136">
        <f>'KY_Res by Plant Acct-P29 (Reg)'!R352</f>
        <v>-20285465.07</v>
      </c>
      <c r="P83" s="136">
        <f t="shared" si="14"/>
        <v>61623315.279999994</v>
      </c>
    </row>
    <row r="84" spans="1:16" x14ac:dyDescent="0.2">
      <c r="B84" s="135">
        <f>SUM(B71:B83)</f>
        <v>2743677248.6199999</v>
      </c>
      <c r="C84" s="135"/>
      <c r="D84" s="135">
        <f>SUM(D71:D83)</f>
        <v>338892560.06000006</v>
      </c>
      <c r="E84" s="135"/>
      <c r="F84" s="135">
        <f>SUM(F71:F83)</f>
        <v>-74287530.469999999</v>
      </c>
      <c r="G84" s="135"/>
      <c r="H84" s="135">
        <f>SUM(H71:H83)</f>
        <v>-6429498.5100000054</v>
      </c>
      <c r="I84" s="135"/>
      <c r="J84" s="135">
        <f>SUM(J71:J83)</f>
        <v>258175531.08000001</v>
      </c>
      <c r="K84" s="135"/>
      <c r="L84" s="135">
        <f>SUM(L71:L83)</f>
        <v>3001852779.6999998</v>
      </c>
      <c r="N84" s="135">
        <f>SUM(N71:N83)</f>
        <v>-871454851.30000007</v>
      </c>
      <c r="P84" s="135">
        <f>SUM(P71:P83)</f>
        <v>2130397928.4000001</v>
      </c>
    </row>
    <row r="85" spans="1:16" x14ac:dyDescent="0.2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6" x14ac:dyDescent="0.2">
      <c r="A86" s="10" t="s">
        <v>24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6" x14ac:dyDescent="0.2">
      <c r="A87" s="3" t="s">
        <v>356</v>
      </c>
      <c r="B87" s="135">
        <f>'KY_Cost Plant Acct-Elec-P14(Reg'!B87</f>
        <v>7933707.5499999998</v>
      </c>
      <c r="C87" s="135"/>
      <c r="D87" s="135">
        <f>'KY_Cost Plant Acct-Elec-P14(Reg'!D87</f>
        <v>0</v>
      </c>
      <c r="E87" s="135"/>
      <c r="F87" s="135">
        <f>'KY_Cost Plant Acct-Elec-P14(Reg'!F87</f>
        <v>0</v>
      </c>
      <c r="G87" s="135"/>
      <c r="H87" s="135">
        <f>'KY_Cost Plant Acct-Elec-P14(Reg'!H87</f>
        <v>0</v>
      </c>
      <c r="I87" s="135"/>
      <c r="J87" s="135">
        <f t="shared" ref="J87:J99" si="15">H87+F87+D87</f>
        <v>0</v>
      </c>
      <c r="K87" s="135"/>
      <c r="L87" s="138">
        <f t="shared" ref="L87:L99" si="16">B87+J87</f>
        <v>7933707.5499999998</v>
      </c>
      <c r="N87" s="39">
        <f>'KY_Res by Plant Acct-P29 (Reg)'!R356</f>
        <v>-2755044.5700000003</v>
      </c>
      <c r="P87" s="39">
        <f t="shared" ref="P87:P99" si="17">L87+N87</f>
        <v>5178662.9799999995</v>
      </c>
    </row>
    <row r="88" spans="1:16" x14ac:dyDescent="0.2">
      <c r="A88" s="3" t="s">
        <v>357</v>
      </c>
      <c r="B88" s="135">
        <f>'KY_Cost Plant Acct-Elec-P14(Reg'!B88</f>
        <v>2151600.7999999998</v>
      </c>
      <c r="C88" s="135"/>
      <c r="D88" s="135">
        <f>'KY_Cost Plant Acct-Elec-P14(Reg'!D88</f>
        <v>0</v>
      </c>
      <c r="E88" s="135"/>
      <c r="F88" s="135">
        <f>'KY_Cost Plant Acct-Elec-P14(Reg'!F88</f>
        <v>0</v>
      </c>
      <c r="G88" s="135"/>
      <c r="H88" s="135">
        <f>'KY_Cost Plant Acct-Elec-P14(Reg'!H88</f>
        <v>-3671.69</v>
      </c>
      <c r="I88" s="135"/>
      <c r="J88" s="135">
        <f t="shared" si="15"/>
        <v>-3671.69</v>
      </c>
      <c r="K88" s="135"/>
      <c r="L88" s="138">
        <f t="shared" si="16"/>
        <v>2147929.11</v>
      </c>
      <c r="N88" s="3">
        <v>0</v>
      </c>
      <c r="P88" s="39">
        <f t="shared" si="17"/>
        <v>2147929.11</v>
      </c>
    </row>
    <row r="89" spans="1:16" x14ac:dyDescent="0.2">
      <c r="A89" s="3" t="s">
        <v>359</v>
      </c>
      <c r="B89" s="135">
        <f>'KY_Cost Plant Acct-Elec-P14(Reg'!B89+'KY_Cost Plant Acct-Elec-P14(Reg'!B155</f>
        <v>7821421.7499999991</v>
      </c>
      <c r="C89" s="135"/>
      <c r="D89" s="135">
        <f>'KY_Cost Plant Acct-Elec-P14(Reg'!D89+'KY_Cost Plant Acct-Elec-P14(Reg'!D155</f>
        <v>438943.42000000004</v>
      </c>
      <c r="E89" s="135"/>
      <c r="F89" s="135">
        <f>'KY_Cost Plant Acct-Elec-P14(Reg'!F89</f>
        <v>-70068.42</v>
      </c>
      <c r="G89" s="135"/>
      <c r="H89" s="135">
        <f>'KY_Cost Plant Acct-Elec-P14(Reg'!H89</f>
        <v>0</v>
      </c>
      <c r="I89" s="135"/>
      <c r="J89" s="135">
        <f t="shared" si="15"/>
        <v>368875.00000000006</v>
      </c>
      <c r="K89" s="135"/>
      <c r="L89" s="138">
        <f t="shared" si="16"/>
        <v>8190296.7499999991</v>
      </c>
      <c r="N89" s="39">
        <f>'KY_Res by Plant Acct-P29 (Reg)'!R358+'KY_Res by Plant Acct-P29 (Reg)'!R359+'KY_Res by Plant Acct-P29 (Reg)'!R360</f>
        <v>-1727944.7899999998</v>
      </c>
      <c r="P89" s="39">
        <f t="shared" si="17"/>
        <v>6462351.959999999</v>
      </c>
    </row>
    <row r="90" spans="1:16" x14ac:dyDescent="0.2">
      <c r="A90" s="3" t="s">
        <v>360</v>
      </c>
      <c r="B90" s="135">
        <f>'KY_Cost Plant Acct-Elec-P14(Reg'!B90+'KY_Cost Plant Acct-Elec-P14(Reg'!B156</f>
        <v>154511187.38</v>
      </c>
      <c r="C90" s="135"/>
      <c r="D90" s="135">
        <f>'KY_Cost Plant Acct-Elec-P14(Reg'!D90+'KY_Cost Plant Acct-Elec-P14(Reg'!D156</f>
        <v>21088399.209999997</v>
      </c>
      <c r="E90" s="135"/>
      <c r="F90" s="135">
        <f>'KY_Cost Plant Acct-Elec-P14(Reg'!F90</f>
        <v>-1369581.57</v>
      </c>
      <c r="G90" s="135"/>
      <c r="H90" s="135">
        <f>'KY_Cost Plant Acct-Elec-P14(Reg'!H90</f>
        <v>408839.02</v>
      </c>
      <c r="I90" s="135"/>
      <c r="J90" s="135">
        <f t="shared" si="15"/>
        <v>20127656.659999996</v>
      </c>
      <c r="K90" s="135"/>
      <c r="L90" s="138">
        <f t="shared" si="16"/>
        <v>174638844.03999999</v>
      </c>
      <c r="N90" s="39">
        <f>'KY_Res by Plant Acct-P29 (Reg)'!R362+'KY_Res by Plant Acct-P29 (Reg)'!R363+'KY_Res by Plant Acct-P29 (Reg)'!R364</f>
        <v>-61258441.24000001</v>
      </c>
      <c r="P90" s="39">
        <f t="shared" si="17"/>
        <v>113380402.79999998</v>
      </c>
    </row>
    <row r="91" spans="1:16" x14ac:dyDescent="0.2">
      <c r="A91" s="3" t="s">
        <v>361</v>
      </c>
      <c r="B91" s="135">
        <f>'KY_Cost Plant Acct-Elec-P14(Reg'!B91</f>
        <v>0</v>
      </c>
      <c r="C91" s="135"/>
      <c r="D91" s="135">
        <f>'KY_Cost Plant Acct-Elec-P14(Reg'!D91</f>
        <v>0</v>
      </c>
      <c r="E91" s="135"/>
      <c r="F91" s="135">
        <f>'KY_Cost Plant Acct-Elec-P14(Reg'!F91</f>
        <v>0</v>
      </c>
      <c r="G91" s="135"/>
      <c r="H91" s="135">
        <f>'KY_Cost Plant Acct-Elec-P14(Reg'!H91</f>
        <v>0</v>
      </c>
      <c r="I91" s="135"/>
      <c r="J91" s="135">
        <f t="shared" si="15"/>
        <v>0</v>
      </c>
      <c r="K91" s="135"/>
      <c r="L91" s="138">
        <f t="shared" si="16"/>
        <v>0</v>
      </c>
      <c r="N91" s="39">
        <f>'KY_Res by Plant Acct-P29 (Reg)'!R365+'KY_Res by Plant Acct-P29 (Reg)'!R366</f>
        <v>-3.5879565984942019E-10</v>
      </c>
      <c r="P91" s="39">
        <f t="shared" si="17"/>
        <v>-3.5879565984942019E-10</v>
      </c>
    </row>
    <row r="92" spans="1:16" x14ac:dyDescent="0.2">
      <c r="A92" s="150" t="s">
        <v>2651</v>
      </c>
      <c r="B92" s="135">
        <f>'KY_Cost Plant Acct-Elec-P14(Reg'!B157</f>
        <v>0</v>
      </c>
      <c r="C92" s="135">
        <f>'KY_Cost Plant Acct-Elec-P14(Reg'!C157</f>
        <v>0</v>
      </c>
      <c r="D92" s="135">
        <f>'KY_Cost Plant Acct-Elec-P14(Reg'!D157</f>
        <v>0</v>
      </c>
      <c r="E92" s="135">
        <f>'KY_Cost Plant Acct-Elec-P14(Reg'!E157</f>
        <v>0</v>
      </c>
      <c r="F92" s="135">
        <f>'KY_Cost Plant Acct-Elec-P14(Reg'!F157</f>
        <v>0</v>
      </c>
      <c r="G92" s="135">
        <f>'KY_Cost Plant Acct-Elec-P14(Reg'!G157</f>
        <v>0</v>
      </c>
      <c r="H92" s="135">
        <f>'KY_Cost Plant Acct-Elec-P14(Reg'!H157</f>
        <v>0</v>
      </c>
      <c r="I92" s="135">
        <f>'KY_Cost Plant Acct-Elec-P14(Reg'!I157</f>
        <v>0</v>
      </c>
      <c r="J92" s="135">
        <f t="shared" si="15"/>
        <v>0</v>
      </c>
      <c r="K92" s="135"/>
      <c r="L92" s="138">
        <f t="shared" si="16"/>
        <v>0</v>
      </c>
      <c r="N92" s="39">
        <f>'KY_Res by Plant Acct-P29 (Reg)'!R366+'KY_Res by Plant Acct-P29 (Reg)'!R367</f>
        <v>-9.822542779147625E-11</v>
      </c>
      <c r="P92" s="39"/>
    </row>
    <row r="93" spans="1:16" x14ac:dyDescent="0.2">
      <c r="A93" s="3" t="s">
        <v>363</v>
      </c>
      <c r="B93" s="135">
        <f>'KY_Cost Plant Acct-Elec-P14(Reg'!B92+'KY_Cost Plant Acct-Elec-P14(Reg'!B158</f>
        <v>30132006.979999997</v>
      </c>
      <c r="C93" s="135"/>
      <c r="D93" s="135">
        <f>'KY_Cost Plant Acct-Elec-P14(Reg'!D92+'KY_Cost Plant Acct-Elec-P14(Reg'!D158</f>
        <v>9565.8299999999581</v>
      </c>
      <c r="E93" s="135"/>
      <c r="F93" s="135">
        <f>'KY_Cost Plant Acct-Elec-P14(Reg'!F92</f>
        <v>-189827.35</v>
      </c>
      <c r="G93" s="135"/>
      <c r="H93" s="135">
        <f>'KY_Cost Plant Acct-Elec-P14(Reg'!H92</f>
        <v>0</v>
      </c>
      <c r="I93" s="135"/>
      <c r="J93" s="135">
        <f t="shared" si="15"/>
        <v>-180261.52000000005</v>
      </c>
      <c r="K93" s="135"/>
      <c r="L93" s="138">
        <f t="shared" si="16"/>
        <v>29951745.459999997</v>
      </c>
      <c r="N93" s="39">
        <f>'KY_Res by Plant Acct-P29 (Reg)'!R368</f>
        <v>-19781472.75999999</v>
      </c>
      <c r="P93" s="39">
        <f t="shared" si="17"/>
        <v>10170272.700000007</v>
      </c>
    </row>
    <row r="94" spans="1:16" x14ac:dyDescent="0.2">
      <c r="A94" s="3" t="s">
        <v>364</v>
      </c>
      <c r="B94" s="135">
        <f>'KY_Cost Plant Acct-Elec-P14(Reg'!B93+'KY_Cost Plant Acct-Elec-P14(Reg'!B159</f>
        <v>68779141.529999986</v>
      </c>
      <c r="C94" s="135"/>
      <c r="D94" s="135">
        <f>'KY_Cost Plant Acct-Elec-P14(Reg'!D93+'KY_Cost Plant Acct-Elec-P14(Reg'!D159</f>
        <v>8989240.5999999996</v>
      </c>
      <c r="E94" s="135"/>
      <c r="F94" s="135">
        <f>'KY_Cost Plant Acct-Elec-P14(Reg'!F93</f>
        <v>-389631.44</v>
      </c>
      <c r="G94" s="135"/>
      <c r="H94" s="135">
        <f>'KY_Cost Plant Acct-Elec-P14(Reg'!H93</f>
        <v>0</v>
      </c>
      <c r="I94" s="135"/>
      <c r="J94" s="135">
        <f t="shared" si="15"/>
        <v>8599609.1600000001</v>
      </c>
      <c r="K94" s="135"/>
      <c r="L94" s="138">
        <f t="shared" si="16"/>
        <v>77378750.689999983</v>
      </c>
      <c r="N94" s="39">
        <f>'KY_Res by Plant Acct-P29 (Reg)'!R369</f>
        <v>-22336163.120000001</v>
      </c>
      <c r="P94" s="39">
        <f t="shared" si="17"/>
        <v>55042587.569999978</v>
      </c>
    </row>
    <row r="95" spans="1:16" x14ac:dyDescent="0.2">
      <c r="A95" s="3" t="s">
        <v>365</v>
      </c>
      <c r="B95" s="135">
        <f>'KY_Cost Plant Acct-Elec-P14(Reg'!B94+'KY_Cost Plant Acct-Elec-P14(Reg'!B160</f>
        <v>49831673.959999993</v>
      </c>
      <c r="C95" s="135"/>
      <c r="D95" s="135">
        <f>'KY_Cost Plant Acct-Elec-P14(Reg'!D94+'KY_Cost Plant Acct-Elec-P14(Reg'!D160</f>
        <v>3527757.24</v>
      </c>
      <c r="E95" s="135"/>
      <c r="F95" s="135">
        <f>'KY_Cost Plant Acct-Elec-P14(Reg'!F94</f>
        <v>-355566.37</v>
      </c>
      <c r="G95" s="135"/>
      <c r="H95" s="135">
        <f>'KY_Cost Plant Acct-Elec-P14(Reg'!H94</f>
        <v>0</v>
      </c>
      <c r="I95" s="135"/>
      <c r="J95" s="135">
        <f t="shared" si="15"/>
        <v>3172190.87</v>
      </c>
      <c r="K95" s="135"/>
      <c r="L95" s="138">
        <f t="shared" si="16"/>
        <v>53003864.829999991</v>
      </c>
      <c r="N95" s="39">
        <f>'KY_Res by Plant Acct-P29 (Reg)'!R370</f>
        <v>-23672628.479999989</v>
      </c>
      <c r="P95" s="39">
        <f t="shared" si="17"/>
        <v>29331236.350000001</v>
      </c>
    </row>
    <row r="96" spans="1:16" x14ac:dyDescent="0.2">
      <c r="A96" s="3" t="s">
        <v>366</v>
      </c>
      <c r="B96" s="135">
        <f>'KY_Cost Plant Acct-Elec-P14(Reg'!B95</f>
        <v>2278627.52</v>
      </c>
      <c r="C96" s="135"/>
      <c r="D96" s="135">
        <f>'KY_Cost Plant Acct-Elec-P14(Reg'!D95</f>
        <v>0</v>
      </c>
      <c r="E96" s="135"/>
      <c r="F96" s="135">
        <f>'KY_Cost Plant Acct-Elec-P14(Reg'!F95</f>
        <v>0</v>
      </c>
      <c r="G96" s="135"/>
      <c r="H96" s="135">
        <f>'KY_Cost Plant Acct-Elec-P14(Reg'!H95</f>
        <v>-590814.56000000006</v>
      </c>
      <c r="I96" s="135"/>
      <c r="J96" s="135">
        <f t="shared" si="15"/>
        <v>-590814.56000000006</v>
      </c>
      <c r="K96" s="135"/>
      <c r="L96" s="138">
        <f t="shared" si="16"/>
        <v>1687812.96</v>
      </c>
      <c r="N96" s="39">
        <f>'KY_Res by Plant Acct-P29 (Reg)'!R371</f>
        <v>-610222.48999999987</v>
      </c>
      <c r="P96" s="39">
        <f t="shared" si="17"/>
        <v>1077590.4700000002</v>
      </c>
    </row>
    <row r="97" spans="1:16" x14ac:dyDescent="0.2">
      <c r="A97" s="3" t="s">
        <v>367</v>
      </c>
      <c r="B97" s="135">
        <f>'KY_Cost Plant Acct-Elec-P14(Reg'!B96</f>
        <v>7425136.2999999998</v>
      </c>
      <c r="C97" s="135"/>
      <c r="D97" s="135">
        <f>'KY_Cost Plant Acct-Elec-P14(Reg'!D96</f>
        <v>0</v>
      </c>
      <c r="E97" s="135"/>
      <c r="F97" s="135">
        <f>'KY_Cost Plant Acct-Elec-P14(Reg'!F96</f>
        <v>0</v>
      </c>
      <c r="G97" s="135"/>
      <c r="H97" s="135">
        <f>'KY_Cost Plant Acct-Elec-P14(Reg'!H96</f>
        <v>-59663.62</v>
      </c>
      <c r="I97" s="135"/>
      <c r="J97" s="135">
        <f t="shared" si="15"/>
        <v>-59663.62</v>
      </c>
      <c r="K97" s="135"/>
      <c r="L97" s="138">
        <f t="shared" si="16"/>
        <v>7365472.6799999997</v>
      </c>
      <c r="N97" s="39">
        <f>'KY_Res by Plant Acct-P29 (Reg)'!R372</f>
        <v>-3128608.35</v>
      </c>
      <c r="P97" s="39">
        <f t="shared" si="17"/>
        <v>4236864.33</v>
      </c>
    </row>
    <row r="98" spans="1:16" x14ac:dyDescent="0.2">
      <c r="A98" s="3" t="s">
        <v>368</v>
      </c>
      <c r="B98" s="135">
        <f>'KY_Cost Plant Acct-Elec-P14(Reg'!B97</f>
        <v>9342.4699999999993</v>
      </c>
      <c r="C98" s="135"/>
      <c r="D98" s="135">
        <f>'KY_Cost Plant Acct-Elec-P14(Reg'!D97</f>
        <v>0</v>
      </c>
      <c r="E98" s="135"/>
      <c r="F98" s="135">
        <f>'KY_Cost Plant Acct-Elec-P14(Reg'!F97</f>
        <v>0</v>
      </c>
      <c r="G98" s="135"/>
      <c r="H98" s="135">
        <f>'KY_Cost Plant Acct-Elec-P14(Reg'!H97</f>
        <v>11980.58</v>
      </c>
      <c r="I98" s="135"/>
      <c r="J98" s="135">
        <f t="shared" si="15"/>
        <v>11980.58</v>
      </c>
      <c r="K98" s="135"/>
      <c r="L98" s="138">
        <f t="shared" si="16"/>
        <v>21323.05</v>
      </c>
      <c r="N98" s="39">
        <f>'KY_Res by Plant Acct-P29 (Reg)'!R373</f>
        <v>-878.85999999999967</v>
      </c>
      <c r="P98" s="39">
        <f t="shared" si="17"/>
        <v>20444.189999999999</v>
      </c>
    </row>
    <row r="99" spans="1:16" x14ac:dyDescent="0.2">
      <c r="A99" s="3" t="s">
        <v>369</v>
      </c>
      <c r="B99" s="149">
        <f>'KY_Cost Plant Acct-Elec-P14(Reg'!B98</f>
        <v>208742.63</v>
      </c>
      <c r="C99" s="135"/>
      <c r="D99" s="149">
        <f>'KY_Cost Plant Acct-Elec-P14(Reg'!D98</f>
        <v>0</v>
      </c>
      <c r="E99" s="135"/>
      <c r="F99" s="149">
        <f>'KY_Cost Plant Acct-Elec-P14(Reg'!F98</f>
        <v>0</v>
      </c>
      <c r="G99" s="135"/>
      <c r="H99" s="149">
        <f>'KY_Cost Plant Acct-Elec-P14(Reg'!H98</f>
        <v>-21765.98</v>
      </c>
      <c r="I99" s="135"/>
      <c r="J99" s="149">
        <f t="shared" si="15"/>
        <v>-21765.98</v>
      </c>
      <c r="K99" s="135"/>
      <c r="L99" s="149">
        <f t="shared" si="16"/>
        <v>186976.65</v>
      </c>
      <c r="N99" s="136">
        <f>'KY_Res by Plant Acct-P29 (Reg)'!R374</f>
        <v>-29282.43</v>
      </c>
      <c r="P99" s="136">
        <f t="shared" si="17"/>
        <v>157694.22</v>
      </c>
    </row>
    <row r="100" spans="1:16" x14ac:dyDescent="0.2">
      <c r="B100" s="135">
        <f>SUM(B87:B99)</f>
        <v>331082588.86999995</v>
      </c>
      <c r="C100" s="135"/>
      <c r="D100" s="135">
        <f>SUM(D87:D99)</f>
        <v>34053906.299999997</v>
      </c>
      <c r="E100" s="135"/>
      <c r="F100" s="135">
        <f>SUM(F87:F99)</f>
        <v>-2374675.15</v>
      </c>
      <c r="G100" s="135"/>
      <c r="H100" s="135">
        <f>SUM(H87:H99)</f>
        <v>-255096.25000000006</v>
      </c>
      <c r="I100" s="135"/>
      <c r="J100" s="135">
        <f>SUM(J87:J99)</f>
        <v>31424134.899999995</v>
      </c>
      <c r="K100" s="135"/>
      <c r="L100" s="135">
        <f>SUM(L87:L99)</f>
        <v>362506723.76999992</v>
      </c>
      <c r="N100" s="135">
        <f>SUM(N87:N99)</f>
        <v>-135300687.09</v>
      </c>
      <c r="P100" s="39">
        <f>SUM(P87:P99)</f>
        <v>227206036.67999995</v>
      </c>
    </row>
    <row r="101" spans="1:16" x14ac:dyDescent="0.2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1:16" x14ac:dyDescent="0.2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6" x14ac:dyDescent="0.2">
      <c r="A103" s="10" t="s">
        <v>2652</v>
      </c>
      <c r="B103" s="164">
        <f>B100+B84+B68+B56+B51+B40+B29</f>
        <v>4787279323.9499989</v>
      </c>
      <c r="C103" s="135"/>
      <c r="D103" s="164">
        <f>D100+D84+D68+D56+D51+D40+D29</f>
        <v>505793292.22000009</v>
      </c>
      <c r="E103" s="135"/>
      <c r="F103" s="164">
        <f>F100+F84+F68+F56+F51+F40+F29</f>
        <v>-87866053.650000006</v>
      </c>
      <c r="G103" s="135"/>
      <c r="H103" s="164">
        <f>H100+H84+H68+H56+H51+H40+H29</f>
        <v>-7192920.7300000042</v>
      </c>
      <c r="I103" s="135"/>
      <c r="J103" s="164">
        <f>J100+J84+J68+J56+J51+J40+J29</f>
        <v>410734317.84000009</v>
      </c>
      <c r="K103" s="135"/>
      <c r="L103" s="164">
        <f>L100+L84+L68+L56+L51+L40+L29</f>
        <v>5198013641.789999</v>
      </c>
      <c r="N103" s="164">
        <f>N100+N84+N68+N56+N51+N40+N29</f>
        <v>-1651574840.3100002</v>
      </c>
      <c r="P103" s="164">
        <f>P100+P84+P68+P56+P51+P40+P29</f>
        <v>3546438801.4799995</v>
      </c>
    </row>
    <row r="104" spans="1:16" x14ac:dyDescent="0.2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</row>
    <row r="105" spans="1:16" x14ac:dyDescent="0.2">
      <c r="B105" s="135"/>
      <c r="C105" s="138"/>
      <c r="D105" s="135"/>
      <c r="E105" s="138"/>
      <c r="F105" s="135"/>
      <c r="G105" s="138"/>
      <c r="H105" s="135"/>
      <c r="I105" s="138"/>
      <c r="J105" s="135"/>
      <c r="K105" s="135"/>
      <c r="L105" s="135"/>
    </row>
    <row r="106" spans="1:16" x14ac:dyDescent="0.2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</row>
    <row r="107" spans="1:16" x14ac:dyDescent="0.2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</row>
    <row r="108" spans="1:16" x14ac:dyDescent="0.2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</row>
    <row r="109" spans="1:16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6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6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1:16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1" manualBreakCount="1">
    <brk id="5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32"/>
  </sheetPr>
  <dimension ref="A1:N198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50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5" style="3" bestFit="1" customWidth="1"/>
    <col min="14" max="14" width="13" style="3" customWidth="1"/>
    <col min="15" max="16384" width="9.140625" style="3"/>
  </cols>
  <sheetData>
    <row r="1" spans="1:12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132" customFormat="1" ht="15.75" x14ac:dyDescent="0.25">
      <c r="A2" s="210" t="s">
        <v>2653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2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2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2" x14ac:dyDescent="0.2">
      <c r="B8" s="18"/>
      <c r="D8" s="18"/>
      <c r="F8" s="18"/>
      <c r="H8" s="18"/>
      <c r="J8" s="18"/>
      <c r="L8" s="18"/>
    </row>
    <row r="9" spans="1:12" x14ac:dyDescent="0.2">
      <c r="A9" s="10" t="s">
        <v>2572</v>
      </c>
    </row>
    <row r="10" spans="1:12" x14ac:dyDescent="0.2">
      <c r="A10" s="10" t="s">
        <v>276</v>
      </c>
    </row>
    <row r="11" spans="1:12" x14ac:dyDescent="0.2">
      <c r="A11" s="22" t="s">
        <v>2654</v>
      </c>
      <c r="B11" s="15">
        <v>0</v>
      </c>
      <c r="D11" s="15">
        <v>0</v>
      </c>
      <c r="F11" s="15">
        <v>0</v>
      </c>
      <c r="H11" s="15">
        <v>0</v>
      </c>
      <c r="J11" s="15">
        <f>H11+F11+D11</f>
        <v>0</v>
      </c>
      <c r="L11" s="15">
        <f t="shared" ref="L11:L28" si="0">B11+J11</f>
        <v>0</v>
      </c>
    </row>
    <row r="12" spans="1:12" x14ac:dyDescent="0.2">
      <c r="A12" s="3" t="s">
        <v>2655</v>
      </c>
      <c r="B12" s="15">
        <v>4100654.4700000007</v>
      </c>
      <c r="C12" s="15"/>
      <c r="D12" s="15">
        <v>871644.37</v>
      </c>
      <c r="E12" s="15"/>
      <c r="F12" s="15">
        <v>0</v>
      </c>
      <c r="G12" s="15"/>
      <c r="H12" s="15">
        <v>-871644.37</v>
      </c>
      <c r="I12" s="15"/>
      <c r="J12" s="15">
        <f>H12+F12+D12</f>
        <v>0</v>
      </c>
      <c r="K12" s="15"/>
      <c r="L12" s="15">
        <f t="shared" si="0"/>
        <v>4100654.4700000007</v>
      </c>
    </row>
    <row r="13" spans="1:12" x14ac:dyDescent="0.2">
      <c r="A13" s="3" t="s">
        <v>2656</v>
      </c>
      <c r="B13" s="15">
        <v>6790261.879999999</v>
      </c>
      <c r="C13" s="15"/>
      <c r="D13" s="15">
        <v>68412.710000000006</v>
      </c>
      <c r="E13" s="15"/>
      <c r="F13" s="15">
        <v>-25028.79</v>
      </c>
      <c r="G13" s="15"/>
      <c r="H13" s="15">
        <v>0</v>
      </c>
      <c r="I13" s="15"/>
      <c r="J13" s="15">
        <f t="shared" ref="J13:J98" si="1">H13+F13+D13</f>
        <v>43383.920000000006</v>
      </c>
      <c r="K13" s="15"/>
      <c r="L13" s="15">
        <f t="shared" si="0"/>
        <v>6833645.7999999989</v>
      </c>
    </row>
    <row r="14" spans="1:12" x14ac:dyDescent="0.2">
      <c r="A14" s="133" t="s">
        <v>2657</v>
      </c>
      <c r="B14" s="15">
        <v>128446957.8</v>
      </c>
      <c r="C14" s="15"/>
      <c r="D14" s="15">
        <v>1848965.9</v>
      </c>
      <c r="E14" s="15"/>
      <c r="F14" s="15">
        <v>-595619.43000000005</v>
      </c>
      <c r="G14" s="15"/>
      <c r="H14" s="15">
        <v>-336741.48</v>
      </c>
      <c r="I14" s="15"/>
      <c r="J14" s="15">
        <f t="shared" si="1"/>
        <v>916604.98999999987</v>
      </c>
      <c r="K14" s="15"/>
      <c r="L14" s="15">
        <f t="shared" si="0"/>
        <v>129363562.78999999</v>
      </c>
    </row>
    <row r="15" spans="1:12" x14ac:dyDescent="0.2">
      <c r="A15" s="3" t="s">
        <v>2658</v>
      </c>
      <c r="B15" s="15">
        <v>170022922.22000003</v>
      </c>
      <c r="C15" s="15"/>
      <c r="D15" s="15">
        <v>9226101.5800000001</v>
      </c>
      <c r="E15" s="15"/>
      <c r="F15" s="15">
        <v>-1437598.99</v>
      </c>
      <c r="G15" s="15"/>
      <c r="H15" s="15">
        <v>0</v>
      </c>
      <c r="I15" s="15"/>
      <c r="J15" s="15">
        <f t="shared" si="1"/>
        <v>7788502.5899999999</v>
      </c>
      <c r="K15" s="15"/>
      <c r="L15" s="15">
        <f t="shared" si="0"/>
        <v>177811424.81000003</v>
      </c>
    </row>
    <row r="16" spans="1:12" x14ac:dyDescent="0.2">
      <c r="A16" s="3" t="s">
        <v>2659</v>
      </c>
      <c r="B16" s="15">
        <v>284807363.75</v>
      </c>
      <c r="C16" s="15"/>
      <c r="D16" s="15">
        <v>14439614.109999999</v>
      </c>
      <c r="E16" s="15"/>
      <c r="F16" s="15">
        <v>-2273790.48</v>
      </c>
      <c r="G16" s="15"/>
      <c r="H16" s="15">
        <v>0</v>
      </c>
      <c r="I16" s="15"/>
      <c r="J16" s="15">
        <f t="shared" si="1"/>
        <v>12165823.629999999</v>
      </c>
      <c r="K16" s="15"/>
      <c r="L16" s="15">
        <f t="shared" si="0"/>
        <v>296973187.38</v>
      </c>
    </row>
    <row r="17" spans="1:12" x14ac:dyDescent="0.2">
      <c r="A17" s="3" t="s">
        <v>2660</v>
      </c>
      <c r="B17" s="15">
        <v>76312494.629999995</v>
      </c>
      <c r="C17" s="15"/>
      <c r="D17" s="15">
        <v>2461987.5499999998</v>
      </c>
      <c r="E17" s="15"/>
      <c r="F17" s="15">
        <v>-188472.62</v>
      </c>
      <c r="G17" s="15"/>
      <c r="H17" s="15">
        <v>578380.64</v>
      </c>
      <c r="I17" s="15"/>
      <c r="J17" s="15">
        <f t="shared" si="1"/>
        <v>2851895.57</v>
      </c>
      <c r="K17" s="15"/>
      <c r="L17" s="15">
        <f t="shared" si="0"/>
        <v>79164390.199999988</v>
      </c>
    </row>
    <row r="18" spans="1:12" x14ac:dyDescent="0.2">
      <c r="A18" s="3" t="s">
        <v>2661</v>
      </c>
      <c r="B18" s="15">
        <v>189322350.32999998</v>
      </c>
      <c r="C18" s="15"/>
      <c r="D18" s="15">
        <v>15745812.300000001</v>
      </c>
      <c r="E18" s="15"/>
      <c r="F18" s="15">
        <v>-1261866.46</v>
      </c>
      <c r="G18" s="15"/>
      <c r="H18" s="15">
        <v>0</v>
      </c>
      <c r="I18" s="15"/>
      <c r="J18" s="15">
        <f t="shared" si="1"/>
        <v>14483945.84</v>
      </c>
      <c r="K18" s="15"/>
      <c r="L18" s="15">
        <f t="shared" si="0"/>
        <v>203806296.16999999</v>
      </c>
    </row>
    <row r="19" spans="1:12" x14ac:dyDescent="0.2">
      <c r="A19" s="3" t="s">
        <v>2662</v>
      </c>
      <c r="B19" s="15">
        <v>157644268.84999996</v>
      </c>
      <c r="C19" s="15"/>
      <c r="D19" s="15">
        <v>3805473.66</v>
      </c>
      <c r="E19" s="15"/>
      <c r="F19" s="15">
        <v>-334282.64</v>
      </c>
      <c r="G19" s="15"/>
      <c r="H19" s="15">
        <v>0</v>
      </c>
      <c r="I19" s="15"/>
      <c r="J19" s="15">
        <f t="shared" si="1"/>
        <v>3471191.02</v>
      </c>
      <c r="K19" s="15"/>
      <c r="L19" s="15">
        <f t="shared" si="0"/>
        <v>161115459.86999997</v>
      </c>
    </row>
    <row r="20" spans="1:12" x14ac:dyDescent="0.2">
      <c r="A20" s="3" t="s">
        <v>2663</v>
      </c>
      <c r="B20" s="15">
        <v>7209664.5</v>
      </c>
      <c r="C20" s="15"/>
      <c r="D20" s="15">
        <v>1918196.43</v>
      </c>
      <c r="E20" s="15"/>
      <c r="F20" s="15">
        <v>-26404.25</v>
      </c>
      <c r="G20" s="15"/>
      <c r="H20" s="15">
        <v>0</v>
      </c>
      <c r="I20" s="15"/>
      <c r="J20" s="15">
        <f t="shared" si="1"/>
        <v>1891792.18</v>
      </c>
      <c r="K20" s="15"/>
      <c r="L20" s="15">
        <f t="shared" si="0"/>
        <v>9101456.6799999997</v>
      </c>
    </row>
    <row r="21" spans="1:12" x14ac:dyDescent="0.2">
      <c r="A21" s="3" t="s">
        <v>2664</v>
      </c>
      <c r="B21" s="15">
        <v>22546422.620000005</v>
      </c>
      <c r="C21" s="15"/>
      <c r="D21" s="15">
        <v>1013408.21</v>
      </c>
      <c r="E21" s="15"/>
      <c r="F21" s="15">
        <v>-112759.03</v>
      </c>
      <c r="G21" s="15"/>
      <c r="H21" s="15">
        <v>0</v>
      </c>
      <c r="I21" s="15"/>
      <c r="J21" s="15">
        <f t="shared" si="1"/>
        <v>900649.17999999993</v>
      </c>
      <c r="K21" s="15"/>
      <c r="L21" s="15">
        <f t="shared" si="0"/>
        <v>23447071.800000004</v>
      </c>
    </row>
    <row r="22" spans="1:12" x14ac:dyDescent="0.2">
      <c r="A22" s="3" t="s">
        <v>2665</v>
      </c>
      <c r="B22" s="15">
        <v>41770460.539999999</v>
      </c>
      <c r="C22" s="15"/>
      <c r="D22" s="15">
        <v>1194059.67</v>
      </c>
      <c r="E22" s="15"/>
      <c r="F22" s="15">
        <v>-523208.86</v>
      </c>
      <c r="G22" s="15"/>
      <c r="H22" s="15">
        <v>0</v>
      </c>
      <c r="I22" s="15"/>
      <c r="J22" s="15">
        <f t="shared" si="1"/>
        <v>670850.80999999994</v>
      </c>
      <c r="K22" s="15"/>
      <c r="L22" s="15">
        <f t="shared" si="0"/>
        <v>42441311.350000001</v>
      </c>
    </row>
    <row r="23" spans="1:12" x14ac:dyDescent="0.2">
      <c r="A23" s="3" t="s">
        <v>2666</v>
      </c>
      <c r="B23" s="15">
        <v>0</v>
      </c>
      <c r="C23" s="15"/>
      <c r="D23" s="15">
        <v>1795362.03</v>
      </c>
      <c r="E23" s="15"/>
      <c r="F23" s="15">
        <v>0</v>
      </c>
      <c r="G23" s="15"/>
      <c r="H23" s="15">
        <v>0</v>
      </c>
      <c r="I23" s="15"/>
      <c r="J23" s="15">
        <f t="shared" si="1"/>
        <v>1795362.03</v>
      </c>
      <c r="K23" s="15"/>
      <c r="L23" s="15">
        <f>B23+J23</f>
        <v>1795362.03</v>
      </c>
    </row>
    <row r="24" spans="1:12" x14ac:dyDescent="0.2">
      <c r="A24" s="3" t="s">
        <v>2667</v>
      </c>
      <c r="B24" s="15">
        <v>39244023.590000004</v>
      </c>
      <c r="C24" s="15"/>
      <c r="D24" s="15">
        <v>3853102.8</v>
      </c>
      <c r="E24" s="15"/>
      <c r="F24" s="15">
        <v>-1823106.25</v>
      </c>
      <c r="G24" s="15"/>
      <c r="H24" s="15">
        <v>0</v>
      </c>
      <c r="I24" s="15"/>
      <c r="J24" s="15">
        <f t="shared" si="1"/>
        <v>2029996.5499999998</v>
      </c>
      <c r="K24" s="15"/>
      <c r="L24" s="15">
        <f t="shared" si="0"/>
        <v>41274020.140000001</v>
      </c>
    </row>
    <row r="25" spans="1:12" x14ac:dyDescent="0.2">
      <c r="A25" s="3" t="s">
        <v>2668</v>
      </c>
      <c r="B25" s="15">
        <v>55875851.420000009</v>
      </c>
      <c r="C25" s="15"/>
      <c r="D25" s="15">
        <v>5302976.4800000004</v>
      </c>
      <c r="E25" s="15"/>
      <c r="F25" s="15">
        <v>-1600511.42</v>
      </c>
      <c r="G25" s="15"/>
      <c r="H25" s="15">
        <v>0</v>
      </c>
      <c r="I25" s="15"/>
      <c r="J25" s="15">
        <f t="shared" si="1"/>
        <v>3702465.0600000005</v>
      </c>
      <c r="K25" s="15"/>
      <c r="L25" s="15">
        <f t="shared" si="0"/>
        <v>59578316.480000012</v>
      </c>
    </row>
    <row r="26" spans="1:12" x14ac:dyDescent="0.2">
      <c r="A26" s="3" t="s">
        <v>2669</v>
      </c>
      <c r="B26" s="15">
        <v>0</v>
      </c>
      <c r="C26" s="15"/>
      <c r="D26" s="15">
        <v>0</v>
      </c>
      <c r="E26" s="15"/>
      <c r="F26" s="15">
        <v>0</v>
      </c>
      <c r="G26" s="15"/>
      <c r="H26" s="15">
        <v>0</v>
      </c>
      <c r="I26" s="15"/>
      <c r="J26" s="15">
        <f t="shared" si="1"/>
        <v>0</v>
      </c>
      <c r="K26" s="15"/>
      <c r="L26" s="15">
        <f t="shared" si="0"/>
        <v>0</v>
      </c>
    </row>
    <row r="27" spans="1:12" x14ac:dyDescent="0.2">
      <c r="A27" s="3" t="s">
        <v>2670</v>
      </c>
      <c r="B27" s="15">
        <v>414554.36</v>
      </c>
      <c r="C27" s="17"/>
      <c r="D27" s="15">
        <v>0</v>
      </c>
      <c r="E27" s="15"/>
      <c r="F27" s="15">
        <v>0</v>
      </c>
      <c r="G27" s="15"/>
      <c r="H27" s="15">
        <v>-3266.26</v>
      </c>
      <c r="I27" s="17"/>
      <c r="J27" s="15">
        <f>H27+F27+D27</f>
        <v>-3266.26</v>
      </c>
      <c r="K27" s="17"/>
      <c r="L27" s="15">
        <f t="shared" si="0"/>
        <v>411288.1</v>
      </c>
    </row>
    <row r="28" spans="1:12" x14ac:dyDescent="0.2">
      <c r="A28" s="133" t="s">
        <v>2671</v>
      </c>
      <c r="B28" s="16">
        <v>107736.76999999999</v>
      </c>
      <c r="C28" s="15"/>
      <c r="D28" s="15">
        <v>0</v>
      </c>
      <c r="E28" s="15"/>
      <c r="F28" s="15">
        <v>0</v>
      </c>
      <c r="G28" s="15"/>
      <c r="H28" s="15">
        <v>-77731.460000000006</v>
      </c>
      <c r="I28" s="15"/>
      <c r="J28" s="16">
        <f>H28+F28+D28</f>
        <v>-77731.460000000006</v>
      </c>
      <c r="K28" s="15"/>
      <c r="L28" s="16">
        <f t="shared" si="0"/>
        <v>30005.309999999983</v>
      </c>
    </row>
    <row r="29" spans="1:12" x14ac:dyDescent="0.2">
      <c r="B29" s="17">
        <f>SUM(B11:B28)</f>
        <v>1184615987.7299998</v>
      </c>
      <c r="C29" s="17"/>
      <c r="D29" s="20">
        <f>SUM(D11:D28)</f>
        <v>63545117.800000012</v>
      </c>
      <c r="E29" s="17"/>
      <c r="F29" s="20">
        <f>SUM(F11:F28)</f>
        <v>-10202649.220000001</v>
      </c>
      <c r="G29" s="17"/>
      <c r="H29" s="20">
        <f>SUM(H11:H28)</f>
        <v>-711002.93</v>
      </c>
      <c r="I29" s="17"/>
      <c r="J29" s="17">
        <f>SUM(J11:J28)</f>
        <v>52631465.650000006</v>
      </c>
      <c r="K29" s="17"/>
      <c r="L29" s="17">
        <f>SUM(L11:L28)</f>
        <v>1237247453.3799999</v>
      </c>
    </row>
    <row r="30" spans="1:12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">
      <c r="A31" s="10" t="s">
        <v>299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">
      <c r="A32" s="3" t="s">
        <v>2672</v>
      </c>
      <c r="B32" s="17">
        <v>740166.03</v>
      </c>
      <c r="C32" s="17"/>
      <c r="D32" s="15">
        <v>175762.76</v>
      </c>
      <c r="E32" s="15"/>
      <c r="F32" s="15">
        <v>-27381.54</v>
      </c>
      <c r="G32" s="15"/>
      <c r="H32" s="15">
        <v>0</v>
      </c>
      <c r="I32" s="17"/>
      <c r="J32" s="17">
        <f>H32+F32+D32</f>
        <v>148381.22</v>
      </c>
      <c r="K32" s="17"/>
      <c r="L32" s="17">
        <f>B32+J32</f>
        <v>888547.25</v>
      </c>
    </row>
    <row r="33" spans="1:12" x14ac:dyDescent="0.2">
      <c r="A33" s="3" t="s">
        <v>2673</v>
      </c>
      <c r="B33" s="17">
        <v>3030111.1400000006</v>
      </c>
      <c r="C33" s="17"/>
      <c r="D33" s="15">
        <v>1648766.84</v>
      </c>
      <c r="E33" s="15"/>
      <c r="F33" s="15">
        <v>-48978.5</v>
      </c>
      <c r="G33" s="15"/>
      <c r="H33" s="15">
        <v>0</v>
      </c>
      <c r="I33" s="17"/>
      <c r="J33" s="17">
        <f t="shared" si="1"/>
        <v>1599788.34</v>
      </c>
      <c r="K33" s="17"/>
      <c r="L33" s="17">
        <f t="shared" ref="L33:L98" si="2">B33+J33</f>
        <v>4629899.4800000004</v>
      </c>
    </row>
    <row r="34" spans="1:12" x14ac:dyDescent="0.2">
      <c r="A34" s="3" t="s">
        <v>2674</v>
      </c>
      <c r="B34" s="17">
        <v>499404.83</v>
      </c>
      <c r="C34" s="17"/>
      <c r="D34" s="15">
        <v>0</v>
      </c>
      <c r="E34" s="15"/>
      <c r="F34" s="15">
        <v>0</v>
      </c>
      <c r="G34" s="15"/>
      <c r="H34" s="15">
        <v>0</v>
      </c>
      <c r="I34" s="17"/>
      <c r="J34" s="17">
        <f t="shared" si="1"/>
        <v>0</v>
      </c>
      <c r="K34" s="17"/>
      <c r="L34" s="17">
        <f t="shared" si="2"/>
        <v>499404.83</v>
      </c>
    </row>
    <row r="35" spans="1:12" x14ac:dyDescent="0.2">
      <c r="A35" s="3" t="s">
        <v>2675</v>
      </c>
      <c r="B35" s="17">
        <v>5554265.330000001</v>
      </c>
      <c r="C35" s="17"/>
      <c r="D35" s="15">
        <v>448930.63</v>
      </c>
      <c r="E35" s="15"/>
      <c r="F35" s="15">
        <v>-92166.14</v>
      </c>
      <c r="G35" s="15"/>
      <c r="H35" s="15">
        <v>0</v>
      </c>
      <c r="I35" s="17"/>
      <c r="J35" s="17">
        <f t="shared" si="1"/>
        <v>356764.49</v>
      </c>
      <c r="K35" s="17"/>
      <c r="L35" s="17">
        <f t="shared" si="2"/>
        <v>5911029.8200000012</v>
      </c>
    </row>
    <row r="36" spans="1:12" x14ac:dyDescent="0.2">
      <c r="A36" s="3" t="s">
        <v>2676</v>
      </c>
      <c r="B36" s="17">
        <v>0</v>
      </c>
      <c r="C36" s="17"/>
      <c r="D36" s="15">
        <v>0</v>
      </c>
      <c r="E36" s="15"/>
      <c r="F36" s="15">
        <v>0</v>
      </c>
      <c r="G36" s="15"/>
      <c r="H36" s="15">
        <v>0</v>
      </c>
      <c r="I36" s="17"/>
      <c r="J36" s="17">
        <f t="shared" si="1"/>
        <v>0</v>
      </c>
      <c r="K36" s="17"/>
      <c r="L36" s="17">
        <f t="shared" si="2"/>
        <v>0</v>
      </c>
    </row>
    <row r="37" spans="1:12" x14ac:dyDescent="0.2">
      <c r="A37" s="133" t="s">
        <v>2677</v>
      </c>
      <c r="B37" s="17">
        <v>1877867.3099999998</v>
      </c>
      <c r="C37" s="17"/>
      <c r="D37" s="15">
        <v>235691.34</v>
      </c>
      <c r="E37" s="15"/>
      <c r="F37" s="15">
        <v>0</v>
      </c>
      <c r="G37" s="15"/>
      <c r="H37" s="15">
        <v>0</v>
      </c>
      <c r="I37" s="17"/>
      <c r="J37" s="17">
        <f t="shared" si="1"/>
        <v>235691.34</v>
      </c>
      <c r="K37" s="17"/>
      <c r="L37" s="17">
        <f t="shared" si="2"/>
        <v>2113558.65</v>
      </c>
    </row>
    <row r="38" spans="1:12" x14ac:dyDescent="0.2">
      <c r="A38" s="3" t="s">
        <v>2678</v>
      </c>
      <c r="B38" s="17">
        <v>196248.24</v>
      </c>
      <c r="C38" s="17"/>
      <c r="D38" s="15">
        <v>0</v>
      </c>
      <c r="E38" s="15"/>
      <c r="F38" s="15">
        <v>0</v>
      </c>
      <c r="G38" s="15"/>
      <c r="H38" s="15">
        <v>0</v>
      </c>
      <c r="I38" s="17"/>
      <c r="J38" s="17">
        <f t="shared" si="1"/>
        <v>0</v>
      </c>
      <c r="K38" s="17"/>
      <c r="L38" s="17">
        <f t="shared" si="2"/>
        <v>196248.24</v>
      </c>
    </row>
    <row r="39" spans="1:12" x14ac:dyDescent="0.2">
      <c r="A39" s="22" t="s">
        <v>2679</v>
      </c>
      <c r="B39" s="17">
        <v>4696663.26</v>
      </c>
      <c r="C39" s="17"/>
      <c r="D39" s="15">
        <v>1503755.32</v>
      </c>
      <c r="E39" s="15"/>
      <c r="F39" s="15">
        <v>-407012.05</v>
      </c>
      <c r="G39" s="15"/>
      <c r="H39" s="15">
        <v>0</v>
      </c>
      <c r="I39" s="17"/>
      <c r="J39" s="17">
        <f t="shared" si="1"/>
        <v>1096743.27</v>
      </c>
      <c r="K39" s="17"/>
      <c r="L39" s="17">
        <f t="shared" si="2"/>
        <v>5793406.5299999993</v>
      </c>
    </row>
    <row r="40" spans="1:12" x14ac:dyDescent="0.2">
      <c r="B40" s="20">
        <f>SUM(B32:B39)</f>
        <v>16594726.140000002</v>
      </c>
      <c r="C40" s="17"/>
      <c r="D40" s="20">
        <f>SUM(D32:D39)</f>
        <v>4012906.8899999997</v>
      </c>
      <c r="E40" s="17"/>
      <c r="F40" s="20">
        <f>SUM(F32:F39)</f>
        <v>-575538.23</v>
      </c>
      <c r="G40" s="17"/>
      <c r="H40" s="20">
        <f>SUM(H32:H39)</f>
        <v>0</v>
      </c>
      <c r="I40" s="17"/>
      <c r="J40" s="20">
        <f>SUM(J32:J39)</f>
        <v>3437368.6599999997</v>
      </c>
      <c r="K40" s="17"/>
      <c r="L40" s="20">
        <f>SUM(L32:L39)</f>
        <v>20032094.800000004</v>
      </c>
    </row>
    <row r="41" spans="1:12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">
      <c r="A42" s="10" t="s">
        <v>311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x14ac:dyDescent="0.2">
      <c r="A43" s="3" t="s">
        <v>2680</v>
      </c>
      <c r="B43" s="17">
        <v>6.5</v>
      </c>
      <c r="C43" s="17"/>
      <c r="D43" s="15">
        <v>0</v>
      </c>
      <c r="E43" s="15"/>
      <c r="F43" s="15">
        <v>0</v>
      </c>
      <c r="G43" s="15"/>
      <c r="H43" s="15">
        <v>0</v>
      </c>
      <c r="I43" s="17"/>
      <c r="J43" s="17">
        <f t="shared" si="1"/>
        <v>0</v>
      </c>
      <c r="K43" s="17"/>
      <c r="L43" s="17">
        <f t="shared" si="2"/>
        <v>6.5</v>
      </c>
    </row>
    <row r="44" spans="1:12" x14ac:dyDescent="0.2">
      <c r="A44" s="3" t="s">
        <v>2681</v>
      </c>
      <c r="B44" s="17">
        <v>6080561.1600000001</v>
      </c>
      <c r="C44" s="17"/>
      <c r="D44" s="15">
        <v>144205.76000000001</v>
      </c>
      <c r="E44" s="15"/>
      <c r="F44" s="15">
        <v>-3671.55</v>
      </c>
      <c r="G44" s="15"/>
      <c r="H44" s="15">
        <v>0</v>
      </c>
      <c r="I44" s="17"/>
      <c r="J44" s="17">
        <f t="shared" si="1"/>
        <v>140534.21000000002</v>
      </c>
      <c r="K44" s="17"/>
      <c r="L44" s="17">
        <f t="shared" si="2"/>
        <v>6221095.3700000001</v>
      </c>
    </row>
    <row r="45" spans="1:12" x14ac:dyDescent="0.2">
      <c r="A45" s="3" t="s">
        <v>2682</v>
      </c>
      <c r="B45" s="17">
        <v>13187542.780000001</v>
      </c>
      <c r="C45" s="17"/>
      <c r="D45" s="15">
        <v>104429.18</v>
      </c>
      <c r="E45" s="15"/>
      <c r="F45" s="15">
        <v>-73001.94</v>
      </c>
      <c r="G45" s="15"/>
      <c r="H45" s="15">
        <v>0</v>
      </c>
      <c r="I45" s="17"/>
      <c r="J45" s="17">
        <f t="shared" si="1"/>
        <v>31427.239999999991</v>
      </c>
      <c r="K45" s="17"/>
      <c r="L45" s="17">
        <f t="shared" si="2"/>
        <v>13218970.020000001</v>
      </c>
    </row>
    <row r="46" spans="1:12" x14ac:dyDescent="0.2">
      <c r="A46" s="3" t="s">
        <v>2683</v>
      </c>
      <c r="B46" s="17">
        <v>35965551.840000004</v>
      </c>
      <c r="C46" s="17"/>
      <c r="D46" s="15">
        <v>262562</v>
      </c>
      <c r="E46" s="15"/>
      <c r="F46" s="15">
        <v>-57217.4</v>
      </c>
      <c r="G46" s="15"/>
      <c r="H46" s="15">
        <v>0</v>
      </c>
      <c r="I46" s="17"/>
      <c r="J46" s="17">
        <f t="shared" si="1"/>
        <v>205344.6</v>
      </c>
      <c r="K46" s="17"/>
      <c r="L46" s="17">
        <f t="shared" si="2"/>
        <v>36170896.440000005</v>
      </c>
    </row>
    <row r="47" spans="1:12" x14ac:dyDescent="0.2">
      <c r="A47" s="3" t="s">
        <v>2684</v>
      </c>
      <c r="B47" s="17">
        <v>6138513.4100000001</v>
      </c>
      <c r="C47" s="17"/>
      <c r="D47" s="15">
        <v>9385.81</v>
      </c>
      <c r="E47" s="15"/>
      <c r="F47" s="15">
        <v>0</v>
      </c>
      <c r="G47" s="15"/>
      <c r="H47" s="15">
        <v>0</v>
      </c>
      <c r="I47" s="17"/>
      <c r="J47" s="17">
        <f t="shared" si="1"/>
        <v>9385.81</v>
      </c>
      <c r="K47" s="17"/>
      <c r="L47" s="17">
        <f t="shared" si="2"/>
        <v>6147899.2199999997</v>
      </c>
    </row>
    <row r="48" spans="1:12" x14ac:dyDescent="0.2">
      <c r="A48" s="3" t="s">
        <v>2685</v>
      </c>
      <c r="B48" s="17">
        <v>340063.52</v>
      </c>
      <c r="C48" s="17"/>
      <c r="D48" s="15">
        <v>0</v>
      </c>
      <c r="E48" s="15"/>
      <c r="F48" s="15">
        <v>-1539</v>
      </c>
      <c r="G48" s="15"/>
      <c r="H48" s="15">
        <v>0</v>
      </c>
      <c r="I48" s="17"/>
      <c r="J48" s="17">
        <f t="shared" si="1"/>
        <v>-1539</v>
      </c>
      <c r="K48" s="17"/>
      <c r="L48" s="17">
        <f t="shared" si="2"/>
        <v>338524.52</v>
      </c>
    </row>
    <row r="49" spans="1:12" x14ac:dyDescent="0.2">
      <c r="A49" s="3" t="s">
        <v>2686</v>
      </c>
      <c r="B49" s="17">
        <v>29930.61</v>
      </c>
      <c r="C49" s="17"/>
      <c r="D49" s="15">
        <v>0</v>
      </c>
      <c r="E49" s="15"/>
      <c r="F49" s="15">
        <v>0</v>
      </c>
      <c r="G49" s="15"/>
      <c r="H49" s="15">
        <v>0</v>
      </c>
      <c r="I49" s="17"/>
      <c r="J49" s="17">
        <f t="shared" si="1"/>
        <v>0</v>
      </c>
      <c r="K49" s="17"/>
      <c r="L49" s="17">
        <f t="shared" si="2"/>
        <v>29930.61</v>
      </c>
    </row>
    <row r="50" spans="1:12" x14ac:dyDescent="0.2">
      <c r="A50" s="3" t="s">
        <v>2687</v>
      </c>
      <c r="B50" s="16">
        <v>257804.55</v>
      </c>
      <c r="C50" s="17"/>
      <c r="D50" s="15">
        <v>0</v>
      </c>
      <c r="E50" s="15"/>
      <c r="F50" s="15">
        <v>0</v>
      </c>
      <c r="G50" s="15"/>
      <c r="H50" s="15">
        <v>208841.18</v>
      </c>
      <c r="I50" s="17"/>
      <c r="J50" s="16">
        <f t="shared" si="1"/>
        <v>208841.18</v>
      </c>
      <c r="K50" s="17"/>
      <c r="L50" s="16">
        <f t="shared" si="2"/>
        <v>466645.73</v>
      </c>
    </row>
    <row r="51" spans="1:12" x14ac:dyDescent="0.2">
      <c r="B51" s="17">
        <f>SUM(B43:B50)</f>
        <v>61999974.369999997</v>
      </c>
      <c r="C51" s="17"/>
      <c r="D51" s="20">
        <f>SUM(D43:D50)</f>
        <v>520582.75</v>
      </c>
      <c r="E51" s="17"/>
      <c r="F51" s="20">
        <f>SUM(F43:F50)</f>
        <v>-135429.89000000001</v>
      </c>
      <c r="G51" s="17"/>
      <c r="H51" s="20">
        <f>SUM(H43:H50)</f>
        <v>208841.18</v>
      </c>
      <c r="I51" s="17"/>
      <c r="J51" s="17">
        <f>SUM(J43:J50)</f>
        <v>593994.04</v>
      </c>
      <c r="K51" s="17"/>
      <c r="L51" s="17">
        <f>SUM(L43:L50)</f>
        <v>62593968.410000004</v>
      </c>
    </row>
    <row r="52" spans="1:12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x14ac:dyDescent="0.2">
      <c r="A53" s="10" t="s">
        <v>321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">
      <c r="A54" s="3" t="s">
        <v>2688</v>
      </c>
      <c r="B54" s="17">
        <v>2240.29</v>
      </c>
      <c r="C54" s="17"/>
      <c r="D54" s="15">
        <v>0</v>
      </c>
      <c r="E54" s="15"/>
      <c r="F54" s="15">
        <v>0</v>
      </c>
      <c r="G54" s="15"/>
      <c r="H54" s="15">
        <v>0</v>
      </c>
      <c r="I54" s="17"/>
      <c r="J54" s="17">
        <f t="shared" si="1"/>
        <v>0</v>
      </c>
      <c r="K54" s="17"/>
      <c r="L54" s="17">
        <f t="shared" si="2"/>
        <v>2240.29</v>
      </c>
    </row>
    <row r="55" spans="1:12" x14ac:dyDescent="0.2">
      <c r="A55" s="3" t="s">
        <v>2689</v>
      </c>
      <c r="B55" s="16">
        <v>0</v>
      </c>
      <c r="C55" s="17"/>
      <c r="D55" s="15">
        <v>0</v>
      </c>
      <c r="E55" s="15"/>
      <c r="F55" s="15">
        <v>0</v>
      </c>
      <c r="G55" s="15"/>
      <c r="H55" s="15">
        <v>0</v>
      </c>
      <c r="I55" s="17"/>
      <c r="J55" s="16">
        <f t="shared" si="1"/>
        <v>0</v>
      </c>
      <c r="K55" s="17"/>
      <c r="L55" s="16">
        <f t="shared" si="2"/>
        <v>0</v>
      </c>
    </row>
    <row r="56" spans="1:12" x14ac:dyDescent="0.2">
      <c r="B56" s="17">
        <f>SUM(B54:B55)</f>
        <v>2240.29</v>
      </c>
      <c r="C56" s="17"/>
      <c r="D56" s="20">
        <f>SUM(D54:D55)</f>
        <v>0</v>
      </c>
      <c r="E56" s="17"/>
      <c r="F56" s="20">
        <f>SUM(F54:F55)</f>
        <v>0</v>
      </c>
      <c r="G56" s="17"/>
      <c r="H56" s="20">
        <f>SUM(H54:H55)</f>
        <v>0</v>
      </c>
      <c r="I56" s="17"/>
      <c r="J56" s="17">
        <f>SUM(J54:J55)</f>
        <v>0</v>
      </c>
      <c r="K56" s="17"/>
      <c r="L56" s="17">
        <f>SUM(L54:L55)</f>
        <v>2240.29</v>
      </c>
    </row>
    <row r="57" spans="1:12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2">
      <c r="A58" s="10" t="s">
        <v>325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3" t="s">
        <v>2690</v>
      </c>
      <c r="B59" s="15">
        <v>20260.009999999987</v>
      </c>
      <c r="C59" s="15"/>
      <c r="D59" s="15">
        <v>103618.65</v>
      </c>
      <c r="E59" s="15"/>
      <c r="F59" s="15">
        <v>0</v>
      </c>
      <c r="G59" s="15"/>
      <c r="H59" s="15">
        <v>0</v>
      </c>
      <c r="I59" s="15"/>
      <c r="J59" s="15">
        <f t="shared" si="1"/>
        <v>103618.65</v>
      </c>
      <c r="K59" s="15"/>
      <c r="L59" s="15">
        <f t="shared" si="2"/>
        <v>123878.65999999997</v>
      </c>
    </row>
    <row r="60" spans="1:12" x14ac:dyDescent="0.2">
      <c r="A60" s="3" t="s">
        <v>2691</v>
      </c>
      <c r="B60" s="15">
        <v>18645070.309999999</v>
      </c>
      <c r="C60" s="15"/>
      <c r="D60" s="15">
        <v>13875318.99</v>
      </c>
      <c r="E60" s="15"/>
      <c r="F60" s="15">
        <v>-133323.26999999999</v>
      </c>
      <c r="G60" s="15"/>
      <c r="H60" s="15">
        <v>0</v>
      </c>
      <c r="I60" s="15"/>
      <c r="J60" s="15">
        <f t="shared" si="1"/>
        <v>13741995.720000001</v>
      </c>
      <c r="K60" s="15"/>
      <c r="L60" s="15">
        <f t="shared" si="2"/>
        <v>32387066.030000001</v>
      </c>
    </row>
    <row r="61" spans="1:12" x14ac:dyDescent="0.2">
      <c r="A61" s="3" t="s">
        <v>2692</v>
      </c>
      <c r="B61" s="15">
        <v>8286919.4600000018</v>
      </c>
      <c r="C61" s="15"/>
      <c r="D61" s="15">
        <v>8361884.25</v>
      </c>
      <c r="E61" s="15"/>
      <c r="F61" s="15">
        <v>0</v>
      </c>
      <c r="G61" s="15"/>
      <c r="H61" s="15">
        <v>0</v>
      </c>
      <c r="I61" s="15"/>
      <c r="J61" s="15">
        <f t="shared" si="1"/>
        <v>8361884.25</v>
      </c>
      <c r="K61" s="15"/>
      <c r="L61" s="15">
        <f t="shared" si="2"/>
        <v>16648803.710000001</v>
      </c>
    </row>
    <row r="62" spans="1:12" x14ac:dyDescent="0.2">
      <c r="A62" s="3" t="s">
        <v>2693</v>
      </c>
      <c r="B62" s="15">
        <v>163065119.24999997</v>
      </c>
      <c r="C62" s="15"/>
      <c r="D62" s="15">
        <v>71216776.469999999</v>
      </c>
      <c r="E62" s="15"/>
      <c r="F62" s="15">
        <v>-27072.28</v>
      </c>
      <c r="G62" s="15"/>
      <c r="H62" s="15">
        <v>0</v>
      </c>
      <c r="I62" s="15"/>
      <c r="J62" s="15">
        <f t="shared" si="1"/>
        <v>71189704.189999998</v>
      </c>
      <c r="K62" s="15"/>
      <c r="L62" s="15">
        <f t="shared" si="2"/>
        <v>234254823.43999997</v>
      </c>
    </row>
    <row r="63" spans="1:12" x14ac:dyDescent="0.2">
      <c r="A63" s="3" t="s">
        <v>2694</v>
      </c>
      <c r="B63" s="15">
        <v>33697764.199999996</v>
      </c>
      <c r="C63" s="15"/>
      <c r="D63" s="15">
        <v>16202890.130000001</v>
      </c>
      <c r="E63" s="15"/>
      <c r="F63" s="15">
        <v>-40808.99</v>
      </c>
      <c r="G63" s="15"/>
      <c r="H63" s="15">
        <v>0</v>
      </c>
      <c r="I63" s="15"/>
      <c r="J63" s="15">
        <f t="shared" si="1"/>
        <v>16162081.140000001</v>
      </c>
      <c r="K63" s="15"/>
      <c r="L63" s="15">
        <f t="shared" si="2"/>
        <v>49859845.339999996</v>
      </c>
    </row>
    <row r="64" spans="1:12" x14ac:dyDescent="0.2">
      <c r="A64" s="3" t="s">
        <v>2695</v>
      </c>
      <c r="B64" s="15">
        <v>21706212.809999999</v>
      </c>
      <c r="C64" s="15"/>
      <c r="D64" s="15">
        <v>5580777.29</v>
      </c>
      <c r="E64" s="15"/>
      <c r="F64" s="15">
        <v>-89026.15</v>
      </c>
      <c r="G64" s="15"/>
      <c r="H64" s="15">
        <v>0</v>
      </c>
      <c r="I64" s="15"/>
      <c r="J64" s="15">
        <f t="shared" si="1"/>
        <v>5491751.1399999997</v>
      </c>
      <c r="K64" s="15"/>
      <c r="L64" s="15">
        <f t="shared" si="2"/>
        <v>27197963.949999999</v>
      </c>
    </row>
    <row r="65" spans="1:12" x14ac:dyDescent="0.2">
      <c r="A65" s="3" t="s">
        <v>2696</v>
      </c>
      <c r="B65" s="15">
        <v>3798739.55</v>
      </c>
      <c r="C65" s="15"/>
      <c r="D65" s="15">
        <v>881088.1</v>
      </c>
      <c r="E65" s="15"/>
      <c r="F65" s="15">
        <v>0</v>
      </c>
      <c r="G65" s="15"/>
      <c r="H65" s="15">
        <v>0</v>
      </c>
      <c r="I65" s="15"/>
      <c r="J65" s="15">
        <f t="shared" si="1"/>
        <v>881088.1</v>
      </c>
      <c r="K65" s="15"/>
      <c r="L65" s="15">
        <f t="shared" si="2"/>
        <v>4679827.6499999994</v>
      </c>
    </row>
    <row r="66" spans="1:12" x14ac:dyDescent="0.2">
      <c r="A66" s="3" t="s">
        <v>2697</v>
      </c>
      <c r="B66" s="15">
        <v>21719.7</v>
      </c>
      <c r="C66" s="15"/>
      <c r="D66" s="15">
        <v>0</v>
      </c>
      <c r="E66" s="15"/>
      <c r="F66" s="15">
        <v>0</v>
      </c>
      <c r="G66" s="15"/>
      <c r="H66" s="15">
        <v>-6164.22</v>
      </c>
      <c r="I66" s="15"/>
      <c r="J66" s="15">
        <f t="shared" si="1"/>
        <v>-6164.22</v>
      </c>
      <c r="K66" s="15"/>
      <c r="L66" s="15">
        <f t="shared" si="2"/>
        <v>15555.48</v>
      </c>
    </row>
    <row r="67" spans="1:12" x14ac:dyDescent="0.2">
      <c r="A67" s="3" t="s">
        <v>2698</v>
      </c>
      <c r="B67" s="16">
        <v>62543.96</v>
      </c>
      <c r="C67" s="15"/>
      <c r="D67" s="15">
        <v>0</v>
      </c>
      <c r="E67" s="15"/>
      <c r="F67" s="15">
        <v>0</v>
      </c>
      <c r="G67" s="15"/>
      <c r="H67" s="15">
        <v>0</v>
      </c>
      <c r="I67" s="15"/>
      <c r="J67" s="16">
        <f t="shared" si="1"/>
        <v>0</v>
      </c>
      <c r="K67" s="15"/>
      <c r="L67" s="16">
        <f t="shared" si="2"/>
        <v>62543.96</v>
      </c>
    </row>
    <row r="68" spans="1:12" x14ac:dyDescent="0.2">
      <c r="B68" s="17">
        <f>SUM(B59:B67)</f>
        <v>249304349.24999997</v>
      </c>
      <c r="C68" s="17"/>
      <c r="D68" s="20">
        <f>SUM(D59:D67)</f>
        <v>116222353.88</v>
      </c>
      <c r="E68" s="17"/>
      <c r="F68" s="20">
        <f>SUM(F59:F67)</f>
        <v>-290230.68999999994</v>
      </c>
      <c r="G68" s="17"/>
      <c r="H68" s="20">
        <f>SUM(H59:H67)</f>
        <v>-6164.22</v>
      </c>
      <c r="I68" s="17"/>
      <c r="J68" s="17">
        <f>SUM(J59:J67)</f>
        <v>115925958.97</v>
      </c>
      <c r="K68" s="17"/>
      <c r="L68" s="17">
        <f>SUM(L59:L67)</f>
        <v>365230308.21999991</v>
      </c>
    </row>
    <row r="69" spans="1:12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x14ac:dyDescent="0.2">
      <c r="A70" s="10" t="s">
        <v>337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x14ac:dyDescent="0.2">
      <c r="A71" s="3" t="s">
        <v>2699</v>
      </c>
      <c r="B71" s="17">
        <v>6427075.1499999994</v>
      </c>
      <c r="C71" s="17"/>
      <c r="D71" s="15">
        <v>0</v>
      </c>
      <c r="E71" s="15"/>
      <c r="F71" s="15">
        <v>0</v>
      </c>
      <c r="G71" s="15"/>
      <c r="H71" s="15">
        <v>839535.3</v>
      </c>
      <c r="I71" s="17"/>
      <c r="J71" s="17">
        <f t="shared" si="1"/>
        <v>839535.3</v>
      </c>
      <c r="K71" s="17"/>
      <c r="L71" s="17">
        <f t="shared" si="2"/>
        <v>7266610.4499999993</v>
      </c>
    </row>
    <row r="72" spans="1:12" x14ac:dyDescent="0.2">
      <c r="A72" s="22" t="s">
        <v>2700</v>
      </c>
      <c r="B72" s="17">
        <v>0</v>
      </c>
      <c r="C72" s="17"/>
      <c r="D72" s="15">
        <v>0</v>
      </c>
      <c r="E72" s="15"/>
      <c r="F72" s="15">
        <v>0</v>
      </c>
      <c r="G72" s="15"/>
      <c r="H72" s="15">
        <v>0</v>
      </c>
      <c r="I72" s="17"/>
      <c r="J72" s="17">
        <f t="shared" si="1"/>
        <v>0</v>
      </c>
      <c r="K72" s="17"/>
      <c r="L72" s="17">
        <f t="shared" si="2"/>
        <v>0</v>
      </c>
    </row>
    <row r="73" spans="1:12" x14ac:dyDescent="0.2">
      <c r="A73" s="22" t="s">
        <v>2701</v>
      </c>
      <c r="B73" s="17">
        <v>360851.26</v>
      </c>
      <c r="C73" s="17"/>
      <c r="D73" s="15">
        <v>0</v>
      </c>
      <c r="E73" s="15"/>
      <c r="F73" s="15">
        <v>0</v>
      </c>
      <c r="G73" s="15"/>
      <c r="H73" s="15">
        <v>0</v>
      </c>
      <c r="I73" s="17"/>
      <c r="J73" s="17">
        <f t="shared" si="1"/>
        <v>0</v>
      </c>
      <c r="K73" s="17"/>
      <c r="L73" s="17">
        <f t="shared" si="2"/>
        <v>360851.26</v>
      </c>
    </row>
    <row r="74" spans="1:12" x14ac:dyDescent="0.2">
      <c r="A74" s="3" t="s">
        <v>2702</v>
      </c>
      <c r="B74" s="17">
        <v>275774463.87</v>
      </c>
      <c r="C74" s="17"/>
      <c r="D74" s="15">
        <v>1180349.02</v>
      </c>
      <c r="E74" s="15"/>
      <c r="F74" s="15">
        <v>-533974.97</v>
      </c>
      <c r="G74" s="15"/>
      <c r="H74" s="15">
        <v>-3933806.74</v>
      </c>
      <c r="I74" s="17"/>
      <c r="J74" s="17">
        <f t="shared" si="1"/>
        <v>-3287432.69</v>
      </c>
      <c r="K74" s="17"/>
      <c r="L74" s="17">
        <f t="shared" si="2"/>
        <v>272487031.18000001</v>
      </c>
    </row>
    <row r="75" spans="1:12" x14ac:dyDescent="0.2">
      <c r="A75" s="133" t="s">
        <v>2703</v>
      </c>
      <c r="B75" s="17">
        <v>0</v>
      </c>
      <c r="C75" s="17"/>
      <c r="D75" s="15">
        <v>0</v>
      </c>
      <c r="E75" s="15"/>
      <c r="F75" s="15">
        <v>0</v>
      </c>
      <c r="G75" s="15"/>
      <c r="H75" s="15">
        <v>0</v>
      </c>
      <c r="I75" s="17"/>
      <c r="J75" s="17">
        <f t="shared" si="1"/>
        <v>0</v>
      </c>
      <c r="K75" s="17"/>
      <c r="L75" s="17">
        <f t="shared" si="2"/>
        <v>0</v>
      </c>
    </row>
    <row r="76" spans="1:12" x14ac:dyDescent="0.2">
      <c r="A76" s="3" t="s">
        <v>2704</v>
      </c>
      <c r="B76" s="17">
        <v>1116972794.96</v>
      </c>
      <c r="C76" s="17"/>
      <c r="D76" s="15">
        <v>30858619.379999999</v>
      </c>
      <c r="E76" s="15"/>
      <c r="F76" s="15">
        <v>-71290646.280000001</v>
      </c>
      <c r="G76" s="15"/>
      <c r="H76" s="15">
        <v>6855563.4800000004</v>
      </c>
      <c r="I76" s="17"/>
      <c r="J76" s="17">
        <f t="shared" si="1"/>
        <v>-33576463.420000002</v>
      </c>
      <c r="K76" s="17"/>
      <c r="L76" s="17">
        <f t="shared" si="2"/>
        <v>1083396331.54</v>
      </c>
    </row>
    <row r="77" spans="1:12" x14ac:dyDescent="0.2">
      <c r="A77" s="3" t="s">
        <v>2705</v>
      </c>
      <c r="B77" s="17">
        <v>0</v>
      </c>
      <c r="C77" s="17"/>
      <c r="D77" s="15">
        <v>0</v>
      </c>
      <c r="E77" s="15"/>
      <c r="F77" s="15">
        <v>0</v>
      </c>
      <c r="G77" s="15"/>
      <c r="H77" s="15">
        <v>0</v>
      </c>
      <c r="I77" s="17"/>
      <c r="J77" s="17">
        <f t="shared" si="1"/>
        <v>0</v>
      </c>
      <c r="K77" s="17"/>
      <c r="L77" s="17">
        <f t="shared" si="2"/>
        <v>0</v>
      </c>
    </row>
    <row r="78" spans="1:12" x14ac:dyDescent="0.2">
      <c r="A78" s="3" t="s">
        <v>2706</v>
      </c>
      <c r="B78" s="17">
        <v>205376764.87</v>
      </c>
      <c r="C78" s="17"/>
      <c r="D78" s="15">
        <v>18722201.600000001</v>
      </c>
      <c r="E78" s="15"/>
      <c r="F78" s="15">
        <v>43222.04</v>
      </c>
      <c r="G78" s="15"/>
      <c r="H78" s="15">
        <v>0</v>
      </c>
      <c r="I78" s="17"/>
      <c r="J78" s="17">
        <f t="shared" si="1"/>
        <v>18765423.640000001</v>
      </c>
      <c r="K78" s="17"/>
      <c r="L78" s="17">
        <f t="shared" si="2"/>
        <v>224142188.50999999</v>
      </c>
    </row>
    <row r="79" spans="1:12" x14ac:dyDescent="0.2">
      <c r="A79" s="3" t="s">
        <v>2707</v>
      </c>
      <c r="B79" s="17">
        <v>131176175.03999996</v>
      </c>
      <c r="C79" s="17"/>
      <c r="D79" s="15">
        <v>979242.71</v>
      </c>
      <c r="E79" s="15"/>
      <c r="F79" s="15">
        <v>-1616603.42</v>
      </c>
      <c r="G79" s="15"/>
      <c r="H79" s="15">
        <v>0</v>
      </c>
      <c r="I79" s="17"/>
      <c r="J79" s="17">
        <f t="shared" si="1"/>
        <v>-637360.71</v>
      </c>
      <c r="K79" s="17"/>
      <c r="L79" s="17">
        <f t="shared" si="2"/>
        <v>130538814.32999997</v>
      </c>
    </row>
    <row r="80" spans="1:12" x14ac:dyDescent="0.2">
      <c r="A80" s="133" t="s">
        <v>2708</v>
      </c>
      <c r="B80" s="17">
        <v>0</v>
      </c>
      <c r="C80" s="17"/>
      <c r="D80" s="15">
        <v>0</v>
      </c>
      <c r="E80" s="15"/>
      <c r="F80" s="15">
        <v>0</v>
      </c>
      <c r="G80" s="15"/>
      <c r="H80" s="15">
        <v>0</v>
      </c>
      <c r="I80" s="17"/>
      <c r="J80" s="17">
        <f t="shared" si="1"/>
        <v>0</v>
      </c>
      <c r="K80" s="17"/>
      <c r="L80" s="17">
        <f t="shared" si="2"/>
        <v>0</v>
      </c>
    </row>
    <row r="81" spans="1:12" x14ac:dyDescent="0.2">
      <c r="A81" s="3" t="s">
        <v>2709</v>
      </c>
      <c r="B81" s="17">
        <v>17433231.840000007</v>
      </c>
      <c r="C81" s="17"/>
      <c r="D81" s="15">
        <v>606782.69999999995</v>
      </c>
      <c r="E81" s="15"/>
      <c r="F81" s="15">
        <v>-123601.58</v>
      </c>
      <c r="G81" s="15"/>
      <c r="H81" s="15">
        <v>-149103.37</v>
      </c>
      <c r="I81" s="17"/>
      <c r="J81" s="17">
        <f t="shared" si="1"/>
        <v>334077.74999999994</v>
      </c>
      <c r="K81" s="17"/>
      <c r="L81" s="17">
        <f t="shared" si="2"/>
        <v>17767309.590000007</v>
      </c>
    </row>
    <row r="82" spans="1:12" x14ac:dyDescent="0.2">
      <c r="A82" s="3" t="s">
        <v>2710</v>
      </c>
      <c r="B82" s="17">
        <v>137737820.99000001</v>
      </c>
      <c r="C82" s="17"/>
      <c r="D82" s="15">
        <v>0</v>
      </c>
      <c r="E82" s="15"/>
      <c r="F82" s="15">
        <v>-765926.26</v>
      </c>
      <c r="G82" s="15"/>
      <c r="H82" s="15">
        <v>-91950467.530000001</v>
      </c>
      <c r="I82" s="17"/>
      <c r="J82" s="17">
        <f t="shared" si="1"/>
        <v>-92716393.790000007</v>
      </c>
      <c r="K82" s="17"/>
      <c r="L82" s="17">
        <f t="shared" si="2"/>
        <v>45021427.200000003</v>
      </c>
    </row>
    <row r="83" spans="1:12" x14ac:dyDescent="0.2">
      <c r="A83" s="3" t="s">
        <v>2711</v>
      </c>
      <c r="B83" s="16">
        <v>0</v>
      </c>
      <c r="C83" s="17"/>
      <c r="D83" s="15">
        <v>0</v>
      </c>
      <c r="E83" s="15"/>
      <c r="F83" s="15">
        <v>0</v>
      </c>
      <c r="G83" s="15"/>
      <c r="H83" s="15">
        <v>81908780.349999994</v>
      </c>
      <c r="I83" s="17"/>
      <c r="J83" s="16">
        <f t="shared" si="1"/>
        <v>81908780.349999994</v>
      </c>
      <c r="K83" s="17"/>
      <c r="L83" s="16">
        <f t="shared" si="2"/>
        <v>81908780.349999994</v>
      </c>
    </row>
    <row r="84" spans="1:12" x14ac:dyDescent="0.2">
      <c r="B84" s="17">
        <f>SUM(B71:B83)</f>
        <v>1891259177.98</v>
      </c>
      <c r="C84" s="17"/>
      <c r="D84" s="20">
        <f>SUM(D71:D83)</f>
        <v>52347195.410000004</v>
      </c>
      <c r="E84" s="17"/>
      <c r="F84" s="20">
        <f>SUM(F71:F83)</f>
        <v>-74287530.469999999</v>
      </c>
      <c r="G84" s="17"/>
      <c r="H84" s="20">
        <f>SUM(H71:H83)</f>
        <v>-6429498.5100000054</v>
      </c>
      <c r="I84" s="17"/>
      <c r="J84" s="17">
        <f>SUM(J71:J83)</f>
        <v>-28369833.570000023</v>
      </c>
      <c r="K84" s="17"/>
      <c r="L84" s="17">
        <f>SUM(L71:L83)</f>
        <v>1862889344.4099996</v>
      </c>
    </row>
    <row r="85" spans="1:12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x14ac:dyDescent="0.2">
      <c r="A86" s="10" t="s">
        <v>24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">
      <c r="A87" s="3" t="s">
        <v>2712</v>
      </c>
      <c r="B87" s="17">
        <v>7933707.5499999998</v>
      </c>
      <c r="C87" s="17"/>
      <c r="D87" s="15">
        <v>0</v>
      </c>
      <c r="E87" s="15"/>
      <c r="F87" s="15">
        <v>0</v>
      </c>
      <c r="G87" s="15"/>
      <c r="H87" s="15">
        <v>0</v>
      </c>
      <c r="I87" s="17"/>
      <c r="J87" s="17">
        <f t="shared" si="1"/>
        <v>0</v>
      </c>
      <c r="K87" s="17"/>
      <c r="L87" s="17">
        <f t="shared" si="2"/>
        <v>7933707.5499999998</v>
      </c>
    </row>
    <row r="88" spans="1:12" x14ac:dyDescent="0.2">
      <c r="A88" s="3" t="s">
        <v>2713</v>
      </c>
      <c r="B88" s="17">
        <v>2151600.7999999998</v>
      </c>
      <c r="C88" s="17"/>
      <c r="D88" s="15">
        <v>0</v>
      </c>
      <c r="E88" s="15"/>
      <c r="F88" s="15">
        <v>0</v>
      </c>
      <c r="G88" s="15"/>
      <c r="H88" s="15">
        <v>-3671.69</v>
      </c>
      <c r="I88" s="17"/>
      <c r="J88" s="17">
        <f t="shared" si="1"/>
        <v>-3671.69</v>
      </c>
      <c r="K88" s="17"/>
      <c r="L88" s="17">
        <f t="shared" si="2"/>
        <v>2147929.11</v>
      </c>
    </row>
    <row r="89" spans="1:12" x14ac:dyDescent="0.2">
      <c r="A89" s="3" t="s">
        <v>2714</v>
      </c>
      <c r="B89" s="17">
        <v>7586758.5699999994</v>
      </c>
      <c r="C89" s="17"/>
      <c r="D89" s="15">
        <v>448015.89</v>
      </c>
      <c r="E89" s="15"/>
      <c r="F89" s="15">
        <v>-70068.42</v>
      </c>
      <c r="G89" s="15"/>
      <c r="H89" s="15">
        <v>0</v>
      </c>
      <c r="I89" s="17"/>
      <c r="J89" s="17">
        <f t="shared" si="1"/>
        <v>377947.47000000003</v>
      </c>
      <c r="K89" s="17"/>
      <c r="L89" s="17">
        <f t="shared" si="2"/>
        <v>7964706.0399999991</v>
      </c>
    </row>
    <row r="90" spans="1:12" x14ac:dyDescent="0.2">
      <c r="A90" s="3" t="s">
        <v>2715</v>
      </c>
      <c r="B90" s="17">
        <v>136599104.31999999</v>
      </c>
      <c r="C90" s="17"/>
      <c r="D90" s="15">
        <v>29103270.579999998</v>
      </c>
      <c r="E90" s="15"/>
      <c r="F90" s="15">
        <v>-1369581.57</v>
      </c>
      <c r="G90" s="15"/>
      <c r="H90" s="15">
        <v>408839.02</v>
      </c>
      <c r="I90" s="17"/>
      <c r="J90" s="17">
        <f t="shared" si="1"/>
        <v>28142528.029999997</v>
      </c>
      <c r="K90" s="17"/>
      <c r="L90" s="17">
        <f t="shared" si="2"/>
        <v>164741632.34999999</v>
      </c>
    </row>
    <row r="91" spans="1:12" x14ac:dyDescent="0.2">
      <c r="A91" s="3" t="s">
        <v>2716</v>
      </c>
      <c r="B91" s="17">
        <v>0</v>
      </c>
      <c r="C91" s="17"/>
      <c r="D91" s="15">
        <v>0</v>
      </c>
      <c r="E91" s="15"/>
      <c r="F91" s="15">
        <v>0</v>
      </c>
      <c r="G91" s="15"/>
      <c r="H91" s="15">
        <v>0</v>
      </c>
      <c r="I91" s="17"/>
      <c r="J91" s="17">
        <f t="shared" si="1"/>
        <v>0</v>
      </c>
      <c r="K91" s="17"/>
      <c r="L91" s="17">
        <f t="shared" si="2"/>
        <v>0</v>
      </c>
    </row>
    <row r="92" spans="1:12" x14ac:dyDescent="0.2">
      <c r="A92" s="3" t="s">
        <v>2717</v>
      </c>
      <c r="B92" s="17">
        <v>29528345.129999995</v>
      </c>
      <c r="C92" s="17"/>
      <c r="D92" s="15">
        <v>611309.35</v>
      </c>
      <c r="E92" s="15"/>
      <c r="F92" s="15">
        <v>-189827.35</v>
      </c>
      <c r="G92" s="15"/>
      <c r="H92" s="15">
        <v>0</v>
      </c>
      <c r="I92" s="17"/>
      <c r="J92" s="17">
        <f t="shared" si="1"/>
        <v>421482</v>
      </c>
      <c r="K92" s="17"/>
      <c r="L92" s="17">
        <f t="shared" si="2"/>
        <v>29949827.129999995</v>
      </c>
    </row>
    <row r="93" spans="1:12" x14ac:dyDescent="0.2">
      <c r="A93" s="3" t="s">
        <v>2718</v>
      </c>
      <c r="B93" s="17">
        <v>66440042.559999995</v>
      </c>
      <c r="C93" s="17"/>
      <c r="D93" s="15">
        <v>7123793.7000000002</v>
      </c>
      <c r="E93" s="15"/>
      <c r="F93" s="15">
        <v>-389631.44</v>
      </c>
      <c r="G93" s="15"/>
      <c r="H93" s="15">
        <v>0</v>
      </c>
      <c r="I93" s="17"/>
      <c r="J93" s="17">
        <f t="shared" si="1"/>
        <v>6734162.2599999998</v>
      </c>
      <c r="K93" s="17"/>
      <c r="L93" s="17">
        <f t="shared" si="2"/>
        <v>73174204.819999993</v>
      </c>
    </row>
    <row r="94" spans="1:12" x14ac:dyDescent="0.2">
      <c r="A94" s="3" t="s">
        <v>2719</v>
      </c>
      <c r="B94" s="17">
        <v>47492575.869999997</v>
      </c>
      <c r="C94" s="17"/>
      <c r="D94" s="15">
        <v>4717141.78</v>
      </c>
      <c r="E94" s="15"/>
      <c r="F94" s="15">
        <v>-355566.37</v>
      </c>
      <c r="G94" s="15"/>
      <c r="H94" s="15">
        <v>0</v>
      </c>
      <c r="I94" s="17"/>
      <c r="J94" s="17">
        <f t="shared" si="1"/>
        <v>4361575.41</v>
      </c>
      <c r="K94" s="17"/>
      <c r="L94" s="17">
        <f t="shared" si="2"/>
        <v>51854151.280000001</v>
      </c>
    </row>
    <row r="95" spans="1:12" x14ac:dyDescent="0.2">
      <c r="A95" s="3" t="s">
        <v>2720</v>
      </c>
      <c r="B95" s="17">
        <v>2278627.52</v>
      </c>
      <c r="C95" s="17"/>
      <c r="D95" s="15">
        <v>0</v>
      </c>
      <c r="E95" s="15"/>
      <c r="F95" s="15">
        <v>0</v>
      </c>
      <c r="G95" s="15"/>
      <c r="H95" s="15">
        <v>-590814.56000000006</v>
      </c>
      <c r="I95" s="17"/>
      <c r="J95" s="17">
        <f t="shared" si="1"/>
        <v>-590814.56000000006</v>
      </c>
      <c r="K95" s="17"/>
      <c r="L95" s="17">
        <f t="shared" si="2"/>
        <v>1687812.96</v>
      </c>
    </row>
    <row r="96" spans="1:12" x14ac:dyDescent="0.2">
      <c r="A96" s="3" t="s">
        <v>2721</v>
      </c>
      <c r="B96" s="17">
        <v>7425136.2999999998</v>
      </c>
      <c r="C96" s="17"/>
      <c r="D96" s="15">
        <v>0</v>
      </c>
      <c r="E96" s="15"/>
      <c r="F96" s="15">
        <v>0</v>
      </c>
      <c r="G96" s="15"/>
      <c r="H96" s="15">
        <v>-59663.62</v>
      </c>
      <c r="I96" s="17"/>
      <c r="J96" s="17">
        <f t="shared" si="1"/>
        <v>-59663.62</v>
      </c>
      <c r="K96" s="17"/>
      <c r="L96" s="17">
        <f t="shared" si="2"/>
        <v>7365472.6799999997</v>
      </c>
    </row>
    <row r="97" spans="1:14" x14ac:dyDescent="0.2">
      <c r="A97" s="3" t="s">
        <v>2722</v>
      </c>
      <c r="B97" s="17">
        <v>9342.4699999999993</v>
      </c>
      <c r="C97" s="17"/>
      <c r="D97" s="15">
        <v>0</v>
      </c>
      <c r="E97" s="15"/>
      <c r="F97" s="15">
        <v>0</v>
      </c>
      <c r="G97" s="15"/>
      <c r="H97" s="15">
        <v>11980.58</v>
      </c>
      <c r="I97" s="17"/>
      <c r="J97" s="17">
        <f t="shared" si="1"/>
        <v>11980.58</v>
      </c>
      <c r="K97" s="17"/>
      <c r="L97" s="17">
        <f t="shared" si="2"/>
        <v>21323.05</v>
      </c>
    </row>
    <row r="98" spans="1:14" x14ac:dyDescent="0.2">
      <c r="A98" s="3" t="s">
        <v>2723</v>
      </c>
      <c r="B98" s="16">
        <v>208742.63</v>
      </c>
      <c r="C98" s="17"/>
      <c r="D98" s="15">
        <v>0</v>
      </c>
      <c r="E98" s="15"/>
      <c r="F98" s="15">
        <v>0</v>
      </c>
      <c r="G98" s="15"/>
      <c r="H98" s="15">
        <v>-21765.98</v>
      </c>
      <c r="I98" s="17"/>
      <c r="J98" s="16">
        <f t="shared" si="1"/>
        <v>-21765.98</v>
      </c>
      <c r="K98" s="17"/>
      <c r="L98" s="16">
        <f t="shared" si="2"/>
        <v>186976.65</v>
      </c>
    </row>
    <row r="99" spans="1:14" x14ac:dyDescent="0.2">
      <c r="B99" s="17">
        <f>SUM(B87:B98)</f>
        <v>307653983.71999997</v>
      </c>
      <c r="C99" s="17"/>
      <c r="D99" s="20">
        <f>SUM(D87:D98)</f>
        <v>42003531.300000004</v>
      </c>
      <c r="E99" s="17"/>
      <c r="F99" s="20">
        <f>SUM(F87:F98)</f>
        <v>-2374675.15</v>
      </c>
      <c r="G99" s="17"/>
      <c r="H99" s="20">
        <f>SUM(H87:H98)</f>
        <v>-255096.25000000006</v>
      </c>
      <c r="I99" s="17"/>
      <c r="J99" s="17">
        <f>SUM(J87:J98)</f>
        <v>39373759.900000006</v>
      </c>
      <c r="K99" s="17"/>
      <c r="L99" s="17">
        <f>SUM(L87:L98)</f>
        <v>347027743.61999995</v>
      </c>
    </row>
    <row r="100" spans="1:14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4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4" x14ac:dyDescent="0.2">
      <c r="A102" s="10" t="s">
        <v>2724</v>
      </c>
      <c r="B102" s="21">
        <f>B99+B84+B68+B56+B51+B40+B29</f>
        <v>3711430439.4799995</v>
      </c>
      <c r="C102" s="17"/>
      <c r="D102" s="21">
        <f>D99+D84+D68+D56+D51+D40+D29</f>
        <v>278651688.02999997</v>
      </c>
      <c r="E102" s="17"/>
      <c r="F102" s="21">
        <f>F99+F84+F68+F56+F51+F40+F29</f>
        <v>-87866053.650000006</v>
      </c>
      <c r="G102" s="17"/>
      <c r="H102" s="21">
        <f>H99+H84+H68+H56+H51+H40+H29</f>
        <v>-7192920.7300000051</v>
      </c>
      <c r="I102" s="17"/>
      <c r="J102" s="21">
        <f>J99+J84+J68+J56+J51+J40+J29</f>
        <v>183592713.64999998</v>
      </c>
      <c r="K102" s="17"/>
      <c r="L102" s="21">
        <f>L99+L84+L68+L56+L51+L40+L29</f>
        <v>3895023153.1299992</v>
      </c>
    </row>
    <row r="103" spans="1:14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4" x14ac:dyDescent="0.2">
      <c r="A104" s="10" t="s">
        <v>2639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4" x14ac:dyDescent="0.2">
      <c r="A105" s="10" t="s">
        <v>276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4" x14ac:dyDescent="0.2">
      <c r="A106" s="3" t="s">
        <v>2725</v>
      </c>
      <c r="B106" s="15">
        <v>706361.56</v>
      </c>
      <c r="C106" s="15"/>
      <c r="D106" s="15">
        <v>-706361.56</v>
      </c>
      <c r="E106" s="15"/>
      <c r="F106" s="15">
        <v>0</v>
      </c>
      <c r="G106" s="15"/>
      <c r="H106" s="15">
        <v>0</v>
      </c>
      <c r="I106" s="15"/>
      <c r="J106" s="15">
        <f>D106+F106+H106</f>
        <v>-706361.56</v>
      </c>
      <c r="K106" s="15"/>
      <c r="L106" s="15">
        <f>J106+B106</f>
        <v>0</v>
      </c>
    </row>
    <row r="107" spans="1:14" x14ac:dyDescent="0.2">
      <c r="A107" s="3" t="s">
        <v>2726</v>
      </c>
      <c r="B107" s="15">
        <v>2397571.8800000008</v>
      </c>
      <c r="C107" s="15"/>
      <c r="D107" s="15">
        <v>17614.05</v>
      </c>
      <c r="E107" s="15"/>
      <c r="F107" s="15">
        <v>0</v>
      </c>
      <c r="G107" s="15"/>
      <c r="H107" s="15">
        <v>0</v>
      </c>
      <c r="I107" s="15"/>
      <c r="J107" s="15">
        <f t="shared" ref="J107:J117" si="3">D107+F107+H107</f>
        <v>17614.05</v>
      </c>
      <c r="K107" s="15"/>
      <c r="L107" s="15">
        <f t="shared" ref="L107:L117" si="4">J107+B107</f>
        <v>2415185.9300000006</v>
      </c>
    </row>
    <row r="108" spans="1:14" x14ac:dyDescent="0.2">
      <c r="A108" s="3" t="s">
        <v>2727</v>
      </c>
      <c r="B108" s="15">
        <v>10716824.810000002</v>
      </c>
      <c r="C108" s="15"/>
      <c r="D108" s="15">
        <v>6274746.96</v>
      </c>
      <c r="E108" s="15"/>
      <c r="F108" s="15">
        <v>0</v>
      </c>
      <c r="G108" s="15"/>
      <c r="H108" s="15">
        <v>0</v>
      </c>
      <c r="I108" s="15"/>
      <c r="J108" s="15">
        <f t="shared" si="3"/>
        <v>6274746.96</v>
      </c>
      <c r="K108" s="15"/>
      <c r="L108" s="15">
        <f t="shared" si="4"/>
        <v>16991571.770000003</v>
      </c>
      <c r="N108" s="39"/>
    </row>
    <row r="109" spans="1:14" x14ac:dyDescent="0.2">
      <c r="A109" s="3" t="s">
        <v>2728</v>
      </c>
      <c r="B109" s="15">
        <v>9824287.0300000012</v>
      </c>
      <c r="C109" s="15"/>
      <c r="D109" s="15">
        <v>5481440.9000000004</v>
      </c>
      <c r="E109" s="15"/>
      <c r="F109" s="15">
        <v>0</v>
      </c>
      <c r="G109" s="15"/>
      <c r="H109" s="15">
        <v>0</v>
      </c>
      <c r="I109" s="15"/>
      <c r="J109" s="15">
        <f t="shared" si="3"/>
        <v>5481440.9000000004</v>
      </c>
      <c r="K109" s="15"/>
      <c r="L109" s="15">
        <f t="shared" si="4"/>
        <v>15305727.930000002</v>
      </c>
      <c r="N109" s="39"/>
    </row>
    <row r="110" spans="1:14" x14ac:dyDescent="0.2">
      <c r="A110" s="3" t="s">
        <v>2729</v>
      </c>
      <c r="B110" s="15">
        <v>6970518.3299999991</v>
      </c>
      <c r="C110" s="15"/>
      <c r="D110" s="15">
        <v>-6259432.3399999999</v>
      </c>
      <c r="E110" s="15"/>
      <c r="F110" s="15">
        <v>0</v>
      </c>
      <c r="G110" s="15"/>
      <c r="H110" s="15">
        <v>0</v>
      </c>
      <c r="I110" s="15"/>
      <c r="J110" s="15">
        <f t="shared" si="3"/>
        <v>-6259432.3399999999</v>
      </c>
      <c r="K110" s="15"/>
      <c r="L110" s="15">
        <f t="shared" si="4"/>
        <v>711085.98999999929</v>
      </c>
    </row>
    <row r="111" spans="1:14" x14ac:dyDescent="0.2">
      <c r="A111" s="3" t="s">
        <v>2730</v>
      </c>
      <c r="B111" s="15">
        <v>12350261.679999996</v>
      </c>
      <c r="C111" s="15"/>
      <c r="D111" s="15">
        <v>10754794.380000001</v>
      </c>
      <c r="E111" s="15"/>
      <c r="F111" s="15">
        <v>0</v>
      </c>
      <c r="G111" s="15"/>
      <c r="H111" s="15">
        <v>0</v>
      </c>
      <c r="I111" s="15"/>
      <c r="J111" s="15">
        <f t="shared" si="3"/>
        <v>10754794.380000001</v>
      </c>
      <c r="K111" s="15"/>
      <c r="L111" s="15">
        <f t="shared" si="4"/>
        <v>23105056.059999995</v>
      </c>
    </row>
    <row r="112" spans="1:14" x14ac:dyDescent="0.2">
      <c r="A112" s="3" t="s">
        <v>2731</v>
      </c>
      <c r="B112" s="15">
        <v>969774.8600000001</v>
      </c>
      <c r="C112" s="15"/>
      <c r="D112" s="15">
        <v>440543.97</v>
      </c>
      <c r="E112" s="15"/>
      <c r="F112" s="15">
        <v>0</v>
      </c>
      <c r="G112" s="15"/>
      <c r="H112" s="15">
        <v>0</v>
      </c>
      <c r="I112" s="15"/>
      <c r="J112" s="15">
        <f t="shared" si="3"/>
        <v>440543.97</v>
      </c>
      <c r="K112" s="15"/>
      <c r="L112" s="15">
        <f t="shared" si="4"/>
        <v>1410318.83</v>
      </c>
    </row>
    <row r="113" spans="1:13" x14ac:dyDescent="0.2">
      <c r="A113" s="3" t="s">
        <v>2732</v>
      </c>
      <c r="B113" s="15">
        <v>512239.02000000025</v>
      </c>
      <c r="C113" s="15"/>
      <c r="D113" s="15">
        <v>-520146.54</v>
      </c>
      <c r="E113" s="15"/>
      <c r="F113" s="15">
        <v>0</v>
      </c>
      <c r="G113" s="15"/>
      <c r="H113" s="15">
        <v>0</v>
      </c>
      <c r="I113" s="15"/>
      <c r="J113" s="15">
        <f t="shared" si="3"/>
        <v>-520146.54</v>
      </c>
      <c r="K113" s="15"/>
      <c r="L113" s="15">
        <f t="shared" si="4"/>
        <v>-7907.5199999997276</v>
      </c>
    </row>
    <row r="114" spans="1:13" x14ac:dyDescent="0.2">
      <c r="A114" s="3" t="s">
        <v>2733</v>
      </c>
      <c r="B114" s="15">
        <v>0</v>
      </c>
      <c r="C114" s="15"/>
      <c r="D114" s="15">
        <v>0</v>
      </c>
      <c r="E114" s="15"/>
      <c r="F114" s="15">
        <v>0</v>
      </c>
      <c r="G114" s="15"/>
      <c r="H114" s="15">
        <v>0</v>
      </c>
      <c r="I114" s="15"/>
      <c r="J114" s="15">
        <f>D114+F114+H114</f>
        <v>0</v>
      </c>
      <c r="K114" s="15"/>
      <c r="L114" s="15">
        <f>J114+B114</f>
        <v>0</v>
      </c>
    </row>
    <row r="115" spans="1:13" x14ac:dyDescent="0.2">
      <c r="A115" s="3" t="s">
        <v>2734</v>
      </c>
      <c r="B115" s="15">
        <v>1195968.08</v>
      </c>
      <c r="C115" s="15"/>
      <c r="D115" s="15">
        <v>-1192898.29</v>
      </c>
      <c r="E115" s="15"/>
      <c r="F115" s="15">
        <v>0</v>
      </c>
      <c r="G115" s="15"/>
      <c r="H115" s="15">
        <v>0</v>
      </c>
      <c r="I115" s="15"/>
      <c r="J115" s="15">
        <f>D115+F115+H115</f>
        <v>-1192898.29</v>
      </c>
      <c r="K115" s="15"/>
      <c r="L115" s="15">
        <f>J115+B115</f>
        <v>3069.7900000000373</v>
      </c>
    </row>
    <row r="116" spans="1:13" x14ac:dyDescent="0.2">
      <c r="A116" s="3" t="s">
        <v>2735</v>
      </c>
      <c r="B116" s="15">
        <v>2026055.5700000005</v>
      </c>
      <c r="C116" s="15"/>
      <c r="D116" s="15">
        <v>826651.62</v>
      </c>
      <c r="E116" s="15"/>
      <c r="F116" s="15">
        <v>0</v>
      </c>
      <c r="G116" s="15"/>
      <c r="H116" s="15">
        <v>0</v>
      </c>
      <c r="I116" s="15"/>
      <c r="J116" s="15">
        <f t="shared" si="3"/>
        <v>826651.62</v>
      </c>
      <c r="K116" s="15"/>
      <c r="L116" s="15">
        <f t="shared" si="4"/>
        <v>2852707.1900000004</v>
      </c>
    </row>
    <row r="117" spans="1:13" x14ac:dyDescent="0.2">
      <c r="A117" s="3" t="s">
        <v>2736</v>
      </c>
      <c r="B117" s="16">
        <v>570160.27000000025</v>
      </c>
      <c r="C117" s="17"/>
      <c r="D117" s="15">
        <v>-72612.81</v>
      </c>
      <c r="E117" s="15"/>
      <c r="F117" s="15">
        <v>0</v>
      </c>
      <c r="G117" s="15"/>
      <c r="H117" s="15">
        <v>0</v>
      </c>
      <c r="I117" s="17"/>
      <c r="J117" s="16">
        <f t="shared" si="3"/>
        <v>-72612.81</v>
      </c>
      <c r="K117" s="17"/>
      <c r="L117" s="16">
        <f t="shared" si="4"/>
        <v>497547.46000000025</v>
      </c>
      <c r="M117" s="31"/>
    </row>
    <row r="118" spans="1:13" x14ac:dyDescent="0.2">
      <c r="B118" s="17">
        <f>SUM(B106:B117)</f>
        <v>48240023.090000004</v>
      </c>
      <c r="C118" s="17"/>
      <c r="D118" s="20">
        <f>SUM(D106:D117)</f>
        <v>15044340.340000004</v>
      </c>
      <c r="E118" s="17"/>
      <c r="F118" s="20">
        <f>SUM(F106:F117)</f>
        <v>0</v>
      </c>
      <c r="G118" s="17"/>
      <c r="H118" s="20">
        <f>SUM(H106:H117)</f>
        <v>0</v>
      </c>
      <c r="I118" s="17"/>
      <c r="J118" s="17">
        <f>SUM(J106:J117)</f>
        <v>15044340.340000004</v>
      </c>
      <c r="K118" s="17"/>
      <c r="L118" s="17">
        <f>SUM(L106:L117)</f>
        <v>63284363.429999992</v>
      </c>
      <c r="M118" s="31"/>
    </row>
    <row r="119" spans="1:13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31"/>
    </row>
    <row r="120" spans="1:13" x14ac:dyDescent="0.2">
      <c r="A120" s="10" t="s">
        <v>2641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31"/>
    </row>
    <row r="121" spans="1:13" x14ac:dyDescent="0.2">
      <c r="A121" s="3" t="s">
        <v>2737</v>
      </c>
      <c r="B121" s="17">
        <v>0</v>
      </c>
      <c r="C121" s="17"/>
      <c r="D121" s="15">
        <v>17824.98</v>
      </c>
      <c r="E121" s="15"/>
      <c r="F121" s="15">
        <v>0</v>
      </c>
      <c r="G121" s="15"/>
      <c r="H121" s="15">
        <v>0</v>
      </c>
      <c r="I121" s="17"/>
      <c r="J121" s="17">
        <f>D121+F121+H121</f>
        <v>17824.98</v>
      </c>
      <c r="K121" s="17"/>
      <c r="L121" s="17">
        <f>J121+B121</f>
        <v>17824.98</v>
      </c>
      <c r="M121" s="31"/>
    </row>
    <row r="122" spans="1:13" x14ac:dyDescent="0.2">
      <c r="A122" s="133" t="s">
        <v>2738</v>
      </c>
      <c r="B122" s="17">
        <v>797846.45</v>
      </c>
      <c r="C122" s="17"/>
      <c r="D122" s="15">
        <v>-317954.53000000003</v>
      </c>
      <c r="E122" s="15"/>
      <c r="F122" s="15">
        <v>0</v>
      </c>
      <c r="G122" s="15"/>
      <c r="H122" s="15">
        <v>0</v>
      </c>
      <c r="I122" s="17"/>
      <c r="J122" s="17">
        <f>D122+F122+H122</f>
        <v>-317954.53000000003</v>
      </c>
      <c r="K122" s="17"/>
      <c r="L122" s="17">
        <f>J122+B122</f>
        <v>479891.91999999993</v>
      </c>
      <c r="M122" s="31"/>
    </row>
    <row r="123" spans="1:13" x14ac:dyDescent="0.2">
      <c r="A123" s="124" t="s">
        <v>2739</v>
      </c>
      <c r="B123" s="17">
        <v>0</v>
      </c>
      <c r="C123" s="17"/>
      <c r="D123" s="15">
        <v>0</v>
      </c>
      <c r="E123" s="15"/>
      <c r="F123" s="15">
        <v>0</v>
      </c>
      <c r="G123" s="15"/>
      <c r="H123" s="15">
        <v>0</v>
      </c>
      <c r="I123" s="17"/>
      <c r="J123" s="17">
        <f>D123+F123+H123</f>
        <v>0</v>
      </c>
      <c r="K123" s="17"/>
      <c r="L123" s="17">
        <f>J123+B123</f>
        <v>0</v>
      </c>
      <c r="M123" s="31"/>
    </row>
    <row r="124" spans="1:13" x14ac:dyDescent="0.2">
      <c r="A124" s="3" t="s">
        <v>2740</v>
      </c>
      <c r="B124" s="17">
        <v>8260.6999999999971</v>
      </c>
      <c r="C124" s="17"/>
      <c r="D124" s="15">
        <v>-8260.7000000000007</v>
      </c>
      <c r="E124" s="15"/>
      <c r="F124" s="15">
        <v>0</v>
      </c>
      <c r="G124" s="15"/>
      <c r="H124" s="15">
        <v>0</v>
      </c>
      <c r="I124" s="17"/>
      <c r="J124" s="17">
        <f>D124+F124+H124</f>
        <v>-8260.7000000000007</v>
      </c>
      <c r="K124" s="17"/>
      <c r="L124" s="17">
        <f>J124+B124</f>
        <v>0</v>
      </c>
      <c r="M124" s="31"/>
    </row>
    <row r="125" spans="1:13" x14ac:dyDescent="0.2">
      <c r="A125" s="22" t="s">
        <v>2741</v>
      </c>
      <c r="B125" s="17">
        <v>250922.46</v>
      </c>
      <c r="C125" s="17"/>
      <c r="D125" s="15">
        <v>-73407.19</v>
      </c>
      <c r="E125" s="15"/>
      <c r="F125" s="15">
        <v>0</v>
      </c>
      <c r="G125" s="15"/>
      <c r="H125" s="15">
        <v>0</v>
      </c>
      <c r="I125" s="17"/>
      <c r="J125" s="17">
        <f>D125+F125+H125</f>
        <v>-73407.19</v>
      </c>
      <c r="K125" s="17"/>
      <c r="L125" s="17">
        <f>J125+B125</f>
        <v>177515.27</v>
      </c>
      <c r="M125" s="31"/>
    </row>
    <row r="126" spans="1:13" x14ac:dyDescent="0.2">
      <c r="B126" s="20">
        <f>SUM(B121:B125)</f>
        <v>1057029.6099999999</v>
      </c>
      <c r="C126" s="17"/>
      <c r="D126" s="20">
        <f>SUM(D121:D125)</f>
        <v>-381797.44000000006</v>
      </c>
      <c r="E126" s="17"/>
      <c r="F126" s="20">
        <f>SUM(F121:F125)</f>
        <v>0</v>
      </c>
      <c r="G126" s="17"/>
      <c r="H126" s="20">
        <f>SUM(H121:H125)</f>
        <v>0</v>
      </c>
      <c r="I126" s="17"/>
      <c r="J126" s="20">
        <f>SUM(J121:J125)</f>
        <v>-381797.44000000006</v>
      </c>
      <c r="K126" s="17"/>
      <c r="L126" s="20">
        <f>SUM(L121:L125)</f>
        <v>675232.16999999993</v>
      </c>
      <c r="M126" s="31"/>
    </row>
    <row r="127" spans="1:13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31"/>
    </row>
    <row r="128" spans="1:13" x14ac:dyDescent="0.2">
      <c r="A128" s="10" t="s">
        <v>311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31"/>
    </row>
    <row r="129" spans="1:13" x14ac:dyDescent="0.2">
      <c r="A129" s="3" t="s">
        <v>2742</v>
      </c>
      <c r="B129" s="17">
        <v>1791446.9699999995</v>
      </c>
      <c r="C129" s="17"/>
      <c r="D129" s="15">
        <v>2867851.77</v>
      </c>
      <c r="E129" s="15"/>
      <c r="F129" s="15">
        <v>0</v>
      </c>
      <c r="G129" s="15"/>
      <c r="H129" s="15">
        <v>0</v>
      </c>
      <c r="I129" s="17"/>
      <c r="J129" s="17">
        <f>D129+F129+H129</f>
        <v>2867851.77</v>
      </c>
      <c r="K129" s="17"/>
      <c r="L129" s="17">
        <f>J129+B129</f>
        <v>4659298.7399999993</v>
      </c>
      <c r="M129" s="31"/>
    </row>
    <row r="130" spans="1:13" x14ac:dyDescent="0.2">
      <c r="A130" s="3" t="s">
        <v>2743</v>
      </c>
      <c r="B130" s="17">
        <v>3850640.22</v>
      </c>
      <c r="C130" s="17"/>
      <c r="D130" s="15">
        <v>4464470.58</v>
      </c>
      <c r="E130" s="15"/>
      <c r="F130" s="15">
        <v>0</v>
      </c>
      <c r="G130" s="15"/>
      <c r="H130" s="15">
        <v>0</v>
      </c>
      <c r="I130" s="17"/>
      <c r="J130" s="17">
        <f>D130+F130+H130</f>
        <v>4464470.58</v>
      </c>
      <c r="K130" s="17"/>
      <c r="L130" s="17">
        <f>J130+B130</f>
        <v>8315110.8000000007</v>
      </c>
      <c r="M130" s="31"/>
    </row>
    <row r="131" spans="1:13" x14ac:dyDescent="0.2">
      <c r="A131" s="3" t="s">
        <v>2744</v>
      </c>
      <c r="B131" s="17">
        <v>26151849.5</v>
      </c>
      <c r="C131" s="17"/>
      <c r="D131" s="15">
        <v>18354088.07</v>
      </c>
      <c r="E131" s="15"/>
      <c r="F131" s="15">
        <v>0</v>
      </c>
      <c r="G131" s="15"/>
      <c r="H131" s="15">
        <v>0</v>
      </c>
      <c r="I131" s="17"/>
      <c r="J131" s="17">
        <f>D131+F131+H131</f>
        <v>18354088.07</v>
      </c>
      <c r="K131" s="17"/>
      <c r="L131" s="17">
        <f>J131+B131</f>
        <v>44505937.57</v>
      </c>
      <c r="M131" s="31"/>
    </row>
    <row r="132" spans="1:13" x14ac:dyDescent="0.2">
      <c r="A132" s="133" t="s">
        <v>2745</v>
      </c>
      <c r="B132" s="17">
        <v>2081955.3699999999</v>
      </c>
      <c r="C132" s="17"/>
      <c r="D132" s="15">
        <v>3010918.89</v>
      </c>
      <c r="E132" s="15"/>
      <c r="F132" s="15">
        <v>0</v>
      </c>
      <c r="G132" s="15"/>
      <c r="H132" s="15">
        <v>0</v>
      </c>
      <c r="I132" s="17"/>
      <c r="J132" s="17">
        <f>D132+F132+H132</f>
        <v>3010918.89</v>
      </c>
      <c r="K132" s="17"/>
      <c r="L132" s="17">
        <f>J132+B132</f>
        <v>5092874.26</v>
      </c>
      <c r="M132" s="31"/>
    </row>
    <row r="133" spans="1:13" x14ac:dyDescent="0.2">
      <c r="A133" s="3" t="s">
        <v>2746</v>
      </c>
      <c r="B133" s="16">
        <v>849758.33000000007</v>
      </c>
      <c r="C133" s="17"/>
      <c r="D133" s="15">
        <v>1475966.31</v>
      </c>
      <c r="E133" s="15"/>
      <c r="F133" s="15">
        <v>0</v>
      </c>
      <c r="G133" s="15"/>
      <c r="H133" s="15">
        <v>0</v>
      </c>
      <c r="I133" s="17"/>
      <c r="J133" s="16">
        <f>D133+F133+H133</f>
        <v>1475966.31</v>
      </c>
      <c r="K133" s="17"/>
      <c r="L133" s="16">
        <f>J133+B133</f>
        <v>2325724.64</v>
      </c>
      <c r="M133" s="31"/>
    </row>
    <row r="134" spans="1:13" x14ac:dyDescent="0.2">
      <c r="B134" s="17">
        <f>SUM(B129:B133)</f>
        <v>34725650.389999993</v>
      </c>
      <c r="C134" s="17"/>
      <c r="D134" s="20">
        <f>SUM(D129:D133)</f>
        <v>30173295.620000001</v>
      </c>
      <c r="E134" s="17"/>
      <c r="F134" s="20">
        <f>SUM(F129:F133)</f>
        <v>0</v>
      </c>
      <c r="G134" s="17"/>
      <c r="H134" s="20">
        <f>SUM(H129:H133)</f>
        <v>0</v>
      </c>
      <c r="I134" s="17"/>
      <c r="J134" s="17">
        <f>SUM(J129:J133)</f>
        <v>30173295.620000001</v>
      </c>
      <c r="K134" s="17"/>
      <c r="L134" s="17">
        <f>SUM(L129:L133)</f>
        <v>64898946.009999998</v>
      </c>
      <c r="M134" s="31"/>
    </row>
    <row r="135" spans="1:13" x14ac:dyDescent="0.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31"/>
    </row>
    <row r="136" spans="1:13" x14ac:dyDescent="0.2">
      <c r="A136" s="10" t="s">
        <v>325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31"/>
    </row>
    <row r="137" spans="1:13" x14ac:dyDescent="0.2">
      <c r="A137" s="3" t="s">
        <v>2747</v>
      </c>
      <c r="B137" s="17">
        <v>13347907.609999999</v>
      </c>
      <c r="C137" s="17"/>
      <c r="D137" s="15">
        <v>-3809766.93</v>
      </c>
      <c r="E137" s="17"/>
      <c r="F137" s="15">
        <v>0</v>
      </c>
      <c r="G137" s="17"/>
      <c r="H137" s="15">
        <v>-8829349.2599999998</v>
      </c>
      <c r="I137" s="17"/>
      <c r="J137" s="17">
        <f t="shared" ref="J137:J142" si="5">D137+F137+H137</f>
        <v>-12639116.189999999</v>
      </c>
      <c r="K137" s="17"/>
      <c r="L137" s="17">
        <f t="shared" ref="L137:L142" si="6">J137+B137</f>
        <v>708791.41999999993</v>
      </c>
      <c r="M137" s="31"/>
    </row>
    <row r="138" spans="1:13" x14ac:dyDescent="0.2">
      <c r="A138" s="3" t="s">
        <v>2748</v>
      </c>
      <c r="B138" s="17">
        <v>37826865.920000002</v>
      </c>
      <c r="C138" s="17"/>
      <c r="D138" s="15">
        <v>-30208491.100000001</v>
      </c>
      <c r="E138" s="15"/>
      <c r="F138" s="15">
        <v>0</v>
      </c>
      <c r="G138" s="15"/>
      <c r="H138" s="15">
        <v>0</v>
      </c>
      <c r="I138" s="17"/>
      <c r="J138" s="17">
        <f t="shared" si="5"/>
        <v>-30208491.100000001</v>
      </c>
      <c r="K138" s="17"/>
      <c r="L138" s="17">
        <f t="shared" si="6"/>
        <v>7618374.8200000003</v>
      </c>
      <c r="M138" s="31"/>
    </row>
    <row r="139" spans="1:13" x14ac:dyDescent="0.2">
      <c r="A139" s="3" t="s">
        <v>2749</v>
      </c>
      <c r="B139" s="17">
        <v>25218543.57</v>
      </c>
      <c r="C139" s="17"/>
      <c r="D139" s="15">
        <v>-23763316.239999998</v>
      </c>
      <c r="E139" s="15"/>
      <c r="F139" s="15">
        <v>0</v>
      </c>
      <c r="G139" s="15"/>
      <c r="H139" s="15">
        <v>0</v>
      </c>
      <c r="I139" s="17"/>
      <c r="J139" s="17">
        <f t="shared" si="5"/>
        <v>-23763316.239999998</v>
      </c>
      <c r="K139" s="17"/>
      <c r="L139" s="17">
        <f t="shared" si="6"/>
        <v>1455227.3300000019</v>
      </c>
      <c r="M139" s="31"/>
    </row>
    <row r="140" spans="1:13" x14ac:dyDescent="0.2">
      <c r="A140" s="3" t="s">
        <v>2750</v>
      </c>
      <c r="B140" s="17">
        <v>31742426.620000001</v>
      </c>
      <c r="C140" s="17"/>
      <c r="D140" s="15">
        <v>-30752484.140000001</v>
      </c>
      <c r="E140" s="15"/>
      <c r="F140" s="15">
        <v>0</v>
      </c>
      <c r="G140" s="15"/>
      <c r="H140" s="15">
        <v>8227211.2300000004</v>
      </c>
      <c r="I140" s="17"/>
      <c r="J140" s="17">
        <f t="shared" si="5"/>
        <v>-22525272.91</v>
      </c>
      <c r="K140" s="17"/>
      <c r="L140" s="17">
        <f t="shared" si="6"/>
        <v>9217153.7100000009</v>
      </c>
      <c r="M140" s="31"/>
    </row>
    <row r="141" spans="1:13" x14ac:dyDescent="0.2">
      <c r="A141" s="133" t="s">
        <v>2751</v>
      </c>
      <c r="B141" s="17">
        <v>7840210.3300000001</v>
      </c>
      <c r="C141" s="17"/>
      <c r="D141" s="15">
        <v>-7809508.2400000002</v>
      </c>
      <c r="E141" s="15"/>
      <c r="F141" s="15">
        <v>0</v>
      </c>
      <c r="G141" s="15"/>
      <c r="H141" s="15">
        <v>414341.01</v>
      </c>
      <c r="I141" s="17"/>
      <c r="J141" s="17">
        <f t="shared" si="5"/>
        <v>-7395167.2300000004</v>
      </c>
      <c r="K141" s="17"/>
      <c r="L141" s="17">
        <f t="shared" si="6"/>
        <v>445043.09999999963</v>
      </c>
      <c r="M141" s="31"/>
    </row>
    <row r="142" spans="1:13" x14ac:dyDescent="0.2">
      <c r="A142" s="133" t="s">
        <v>2752</v>
      </c>
      <c r="B142" s="16">
        <v>3551.54</v>
      </c>
      <c r="C142" s="17"/>
      <c r="D142" s="15">
        <v>53592.67</v>
      </c>
      <c r="E142" s="15"/>
      <c r="F142" s="15">
        <v>0</v>
      </c>
      <c r="G142" s="15"/>
      <c r="H142" s="15">
        <v>187797.02</v>
      </c>
      <c r="I142" s="17"/>
      <c r="J142" s="16">
        <f t="shared" si="5"/>
        <v>241389.69</v>
      </c>
      <c r="K142" s="17"/>
      <c r="L142" s="16">
        <f t="shared" si="6"/>
        <v>244941.23</v>
      </c>
      <c r="M142" s="31"/>
    </row>
    <row r="143" spans="1:13" x14ac:dyDescent="0.2">
      <c r="B143" s="17">
        <f>SUM(B137:B142)</f>
        <v>115979505.59</v>
      </c>
      <c r="C143" s="17"/>
      <c r="D143" s="20">
        <f>SUM(D137:D142)</f>
        <v>-96289973.979999989</v>
      </c>
      <c r="E143" s="17"/>
      <c r="F143" s="20">
        <f>SUM(F137:F142)</f>
        <v>0</v>
      </c>
      <c r="G143" s="17"/>
      <c r="H143" s="20">
        <f>SUM(H137:H142)</f>
        <v>6.6938810050487518E-10</v>
      </c>
      <c r="I143" s="17"/>
      <c r="J143" s="17">
        <f>SUM(J137:J142)</f>
        <v>-96289973.980000004</v>
      </c>
      <c r="K143" s="17"/>
      <c r="L143" s="17">
        <f>SUM(L137:L142)</f>
        <v>19689531.610000003</v>
      </c>
      <c r="M143" s="38"/>
    </row>
    <row r="144" spans="1:13" x14ac:dyDescent="0.2">
      <c r="A144" s="10" t="s">
        <v>337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31"/>
    </row>
    <row r="145" spans="1:13" x14ac:dyDescent="0.2">
      <c r="A145" s="3" t="s">
        <v>2753</v>
      </c>
      <c r="B145" s="17">
        <v>16020275.440000001</v>
      </c>
      <c r="C145" s="17"/>
      <c r="D145" s="15">
        <v>10667080.92</v>
      </c>
      <c r="E145" s="15"/>
      <c r="F145" s="15">
        <v>0</v>
      </c>
      <c r="G145" s="15"/>
      <c r="H145" s="15">
        <v>0</v>
      </c>
      <c r="I145" s="17"/>
      <c r="J145" s="17">
        <f t="shared" ref="J145:J150" si="7">D145+F145+H145</f>
        <v>10667080.92</v>
      </c>
      <c r="K145" s="17"/>
      <c r="L145" s="17">
        <f t="shared" ref="L145:L150" si="8">J145+B145</f>
        <v>26687356.359999999</v>
      </c>
      <c r="M145" s="31"/>
    </row>
    <row r="146" spans="1:13" x14ac:dyDescent="0.2">
      <c r="A146" s="133" t="s">
        <v>2754</v>
      </c>
      <c r="B146" s="17">
        <v>0</v>
      </c>
      <c r="C146" s="17"/>
      <c r="D146" s="15">
        <v>0</v>
      </c>
      <c r="E146" s="15"/>
      <c r="F146" s="15">
        <v>0</v>
      </c>
      <c r="G146" s="15"/>
      <c r="H146" s="15">
        <v>0</v>
      </c>
      <c r="I146" s="17"/>
      <c r="J146" s="17">
        <f t="shared" si="7"/>
        <v>0</v>
      </c>
      <c r="K146" s="17"/>
      <c r="L146" s="17">
        <f t="shared" si="8"/>
        <v>0</v>
      </c>
      <c r="M146" s="31"/>
    </row>
    <row r="147" spans="1:13" x14ac:dyDescent="0.2">
      <c r="A147" s="3" t="s">
        <v>2755</v>
      </c>
      <c r="B147" s="17">
        <v>806602619.39999998</v>
      </c>
      <c r="C147" s="17"/>
      <c r="D147" s="15">
        <v>268960393.36000001</v>
      </c>
      <c r="E147" s="15"/>
      <c r="F147" s="15">
        <v>0</v>
      </c>
      <c r="G147" s="15"/>
      <c r="H147" s="15">
        <v>0</v>
      </c>
      <c r="I147" s="17"/>
      <c r="J147" s="17">
        <f t="shared" si="7"/>
        <v>268960393.36000001</v>
      </c>
      <c r="K147" s="17"/>
      <c r="L147" s="17">
        <f t="shared" si="8"/>
        <v>1075563012.76</v>
      </c>
      <c r="M147" s="31"/>
    </row>
    <row r="148" spans="1:13" x14ac:dyDescent="0.2">
      <c r="A148" s="3" t="s">
        <v>2756</v>
      </c>
      <c r="B148" s="17">
        <v>18497377.350000001</v>
      </c>
      <c r="C148" s="17"/>
      <c r="D148" s="15">
        <v>-17456254.809999999</v>
      </c>
      <c r="E148" s="15"/>
      <c r="F148" s="15">
        <v>0</v>
      </c>
      <c r="G148" s="15"/>
      <c r="H148" s="15">
        <v>0</v>
      </c>
      <c r="I148" s="17"/>
      <c r="J148" s="17">
        <f t="shared" si="7"/>
        <v>-17456254.809999999</v>
      </c>
      <c r="K148" s="17"/>
      <c r="L148" s="17">
        <f t="shared" si="8"/>
        <v>1041122.5400000028</v>
      </c>
      <c r="M148" s="31"/>
    </row>
    <row r="149" spans="1:13" x14ac:dyDescent="0.2">
      <c r="A149" s="3" t="s">
        <v>2757</v>
      </c>
      <c r="B149" s="17">
        <v>10472810.529999999</v>
      </c>
      <c r="C149" s="17"/>
      <c r="D149" s="15">
        <v>24262093.260000002</v>
      </c>
      <c r="E149" s="15"/>
      <c r="F149" s="15">
        <v>0</v>
      </c>
      <c r="G149" s="15"/>
      <c r="H149" s="15">
        <v>0</v>
      </c>
      <c r="I149" s="17"/>
      <c r="J149" s="17">
        <f t="shared" si="7"/>
        <v>24262093.260000002</v>
      </c>
      <c r="K149" s="17"/>
      <c r="L149" s="17">
        <f t="shared" si="8"/>
        <v>34734903.789999999</v>
      </c>
      <c r="M149" s="31"/>
    </row>
    <row r="150" spans="1:13" x14ac:dyDescent="0.2">
      <c r="A150" s="3" t="s">
        <v>2758</v>
      </c>
      <c r="B150" s="16">
        <v>824987.92000000039</v>
      </c>
      <c r="C150" s="17"/>
      <c r="D150" s="15">
        <v>112051.92</v>
      </c>
      <c r="E150" s="15"/>
      <c r="F150" s="15">
        <v>0</v>
      </c>
      <c r="G150" s="15"/>
      <c r="H150" s="15">
        <v>0</v>
      </c>
      <c r="I150" s="17"/>
      <c r="J150" s="16">
        <f t="shared" si="7"/>
        <v>112051.92</v>
      </c>
      <c r="K150" s="17"/>
      <c r="L150" s="16">
        <f t="shared" si="8"/>
        <v>937039.84000000043</v>
      </c>
      <c r="M150" s="31"/>
    </row>
    <row r="151" spans="1:13" x14ac:dyDescent="0.2">
      <c r="B151" s="17">
        <f>SUM(B145:B150)</f>
        <v>852418070.63999999</v>
      </c>
      <c r="C151" s="17"/>
      <c r="D151" s="20">
        <f>SUM(D145:D150)</f>
        <v>286545364.65000004</v>
      </c>
      <c r="E151" s="17"/>
      <c r="F151" s="20">
        <f>SUM(F145:F150)</f>
        <v>0</v>
      </c>
      <c r="G151" s="17"/>
      <c r="H151" s="20">
        <f>SUM(H145:H150)</f>
        <v>0</v>
      </c>
      <c r="I151" s="17"/>
      <c r="J151" s="17">
        <f>SUM(J145:J150)</f>
        <v>286545364.65000004</v>
      </c>
      <c r="K151" s="17"/>
      <c r="L151" s="17">
        <f>SUM(L145:L150)</f>
        <v>1138963435.2899997</v>
      </c>
      <c r="M151" s="31"/>
    </row>
    <row r="152" spans="1:13" x14ac:dyDescent="0.2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31"/>
    </row>
    <row r="153" spans="1:13" x14ac:dyDescent="0.2">
      <c r="A153" s="10" t="s">
        <v>2647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31"/>
    </row>
    <row r="154" spans="1:13" x14ac:dyDescent="0.2">
      <c r="A154" s="3" t="s">
        <v>2759</v>
      </c>
      <c r="B154" s="17">
        <v>0</v>
      </c>
      <c r="C154" s="17"/>
      <c r="D154" s="15">
        <v>0</v>
      </c>
      <c r="E154" s="15"/>
      <c r="F154" s="15">
        <v>0</v>
      </c>
      <c r="G154" s="15"/>
      <c r="H154" s="15">
        <v>0</v>
      </c>
      <c r="I154" s="17"/>
      <c r="J154" s="17">
        <f t="shared" ref="J154:J160" si="9">D154+F154+H154</f>
        <v>0</v>
      </c>
      <c r="K154" s="17"/>
      <c r="L154" s="17">
        <f t="shared" ref="L154:L160" si="10">J154+B154</f>
        <v>0</v>
      </c>
      <c r="M154" s="31"/>
    </row>
    <row r="155" spans="1:13" x14ac:dyDescent="0.2">
      <c r="A155" s="3" t="s">
        <v>2760</v>
      </c>
      <c r="B155" s="17">
        <v>234663.18</v>
      </c>
      <c r="C155" s="17"/>
      <c r="D155" s="15">
        <v>-9072.4699999999993</v>
      </c>
      <c r="E155" s="15"/>
      <c r="F155" s="15">
        <v>0</v>
      </c>
      <c r="G155" s="15"/>
      <c r="H155" s="15">
        <v>0</v>
      </c>
      <c r="I155" s="17"/>
      <c r="J155" s="17">
        <f t="shared" si="9"/>
        <v>-9072.4699999999993</v>
      </c>
      <c r="K155" s="17"/>
      <c r="L155" s="17">
        <f t="shared" si="10"/>
        <v>225590.71</v>
      </c>
      <c r="M155" s="31"/>
    </row>
    <row r="156" spans="1:13" x14ac:dyDescent="0.2">
      <c r="A156" s="3" t="s">
        <v>2761</v>
      </c>
      <c r="B156" s="17">
        <v>17912083.059999999</v>
      </c>
      <c r="C156" s="17"/>
      <c r="D156" s="15">
        <v>-8014871.3700000001</v>
      </c>
      <c r="E156" s="15"/>
      <c r="F156" s="15">
        <v>0</v>
      </c>
      <c r="G156" s="15"/>
      <c r="H156" s="15">
        <v>0</v>
      </c>
      <c r="I156" s="17"/>
      <c r="J156" s="17">
        <f t="shared" si="9"/>
        <v>-8014871.3700000001</v>
      </c>
      <c r="K156" s="17"/>
      <c r="L156" s="17">
        <f t="shared" si="10"/>
        <v>9897211.6899999976</v>
      </c>
      <c r="M156" s="31"/>
    </row>
    <row r="157" spans="1:13" x14ac:dyDescent="0.2">
      <c r="A157" s="22" t="s">
        <v>2651</v>
      </c>
      <c r="B157" s="17">
        <v>0</v>
      </c>
      <c r="C157" s="17"/>
      <c r="D157" s="15">
        <v>0</v>
      </c>
      <c r="E157" s="15"/>
      <c r="F157" s="15">
        <v>0</v>
      </c>
      <c r="G157" s="15"/>
      <c r="H157" s="15">
        <v>0</v>
      </c>
      <c r="I157" s="17"/>
      <c r="J157" s="17">
        <f t="shared" si="9"/>
        <v>0</v>
      </c>
      <c r="K157" s="17"/>
      <c r="L157" s="17">
        <f t="shared" si="10"/>
        <v>0</v>
      </c>
      <c r="M157" s="31"/>
    </row>
    <row r="158" spans="1:13" x14ac:dyDescent="0.2">
      <c r="A158" s="3" t="s">
        <v>2762</v>
      </c>
      <c r="B158" s="17">
        <v>603661.85000000102</v>
      </c>
      <c r="C158" s="17"/>
      <c r="D158" s="15">
        <v>-601743.52</v>
      </c>
      <c r="E158" s="15"/>
      <c r="F158" s="15">
        <v>0</v>
      </c>
      <c r="G158" s="15"/>
      <c r="H158" s="15">
        <v>0</v>
      </c>
      <c r="I158" s="17"/>
      <c r="J158" s="17">
        <f t="shared" si="9"/>
        <v>-601743.52</v>
      </c>
      <c r="K158" s="17"/>
      <c r="L158" s="17">
        <f t="shared" si="10"/>
        <v>1918.3300000010058</v>
      </c>
      <c r="M158" s="31"/>
    </row>
    <row r="159" spans="1:13" x14ac:dyDescent="0.2">
      <c r="A159" s="3" t="s">
        <v>2763</v>
      </c>
      <c r="B159" s="17">
        <v>2339098.9699999979</v>
      </c>
      <c r="C159" s="17"/>
      <c r="D159" s="15">
        <v>1865446.9</v>
      </c>
      <c r="E159" s="15"/>
      <c r="F159" s="15">
        <v>0</v>
      </c>
      <c r="G159" s="15"/>
      <c r="H159" s="15">
        <v>0</v>
      </c>
      <c r="I159" s="17"/>
      <c r="J159" s="17">
        <f t="shared" si="9"/>
        <v>1865446.9</v>
      </c>
      <c r="K159" s="17"/>
      <c r="L159" s="17">
        <f t="shared" si="10"/>
        <v>4204545.8699999973</v>
      </c>
      <c r="M159" s="31"/>
    </row>
    <row r="160" spans="1:13" x14ac:dyDescent="0.2">
      <c r="A160" s="3" t="s">
        <v>2764</v>
      </c>
      <c r="B160" s="16">
        <v>2339098.09</v>
      </c>
      <c r="C160" s="17"/>
      <c r="D160" s="15">
        <v>-1189384.54</v>
      </c>
      <c r="E160" s="15"/>
      <c r="F160" s="15">
        <v>0</v>
      </c>
      <c r="G160" s="15"/>
      <c r="H160" s="15">
        <v>0</v>
      </c>
      <c r="I160" s="17"/>
      <c r="J160" s="16">
        <f t="shared" si="9"/>
        <v>-1189384.54</v>
      </c>
      <c r="K160" s="17"/>
      <c r="L160" s="16">
        <f t="shared" si="10"/>
        <v>1149713.5499999998</v>
      </c>
      <c r="M160" s="31"/>
    </row>
    <row r="161" spans="1:13" x14ac:dyDescent="0.2">
      <c r="B161" s="17">
        <f>SUM(B154:B160)</f>
        <v>23428605.149999999</v>
      </c>
      <c r="C161" s="17"/>
      <c r="D161" s="20">
        <f>SUM(D154:D160)</f>
        <v>-7949624.9999999991</v>
      </c>
      <c r="E161" s="17"/>
      <c r="F161" s="20">
        <f>SUM(F154:F160)</f>
        <v>0</v>
      </c>
      <c r="G161" s="17"/>
      <c r="H161" s="20">
        <f>SUM(H154:H160)</f>
        <v>0</v>
      </c>
      <c r="I161" s="17"/>
      <c r="J161" s="17">
        <f>SUM(J154:J160)</f>
        <v>-7949624.9999999991</v>
      </c>
      <c r="K161" s="17"/>
      <c r="L161" s="17">
        <f>SUM(L154:L160)</f>
        <v>15478980.149999999</v>
      </c>
      <c r="M161" s="31"/>
    </row>
    <row r="162" spans="1:13" x14ac:dyDescent="0.2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31"/>
    </row>
    <row r="163" spans="1:13" x14ac:dyDescent="0.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3" x14ac:dyDescent="0.2">
      <c r="A164" s="10" t="s">
        <v>2648</v>
      </c>
      <c r="B164" s="21">
        <f>B161+B151+B126+B118+B143+B134</f>
        <v>1075848884.47</v>
      </c>
      <c r="C164" s="17"/>
      <c r="D164" s="21">
        <f>D161+D151+D126+D118+D143+D134</f>
        <v>227141604.19000009</v>
      </c>
      <c r="E164" s="17"/>
      <c r="F164" s="21">
        <f>F161+F151+F126+F118+F143+F134</f>
        <v>0</v>
      </c>
      <c r="G164" s="17"/>
      <c r="H164" s="21">
        <f>H161+H151+H126+H118+H143+H134</f>
        <v>6.6938810050487518E-10</v>
      </c>
      <c r="I164" s="17"/>
      <c r="J164" s="21">
        <f>J161+J151+J126+J118+J143+J134</f>
        <v>227141604.19000006</v>
      </c>
      <c r="K164" s="17"/>
      <c r="L164" s="21">
        <f>L161+L151+L126+L118+L143+L134</f>
        <v>1302990488.6599998</v>
      </c>
    </row>
    <row r="165" spans="1:13" x14ac:dyDescent="0.2">
      <c r="B165" s="17"/>
      <c r="C165" s="15"/>
      <c r="D165" s="17"/>
      <c r="E165" s="15"/>
      <c r="F165" s="17"/>
      <c r="G165" s="15"/>
      <c r="H165" s="17"/>
      <c r="I165" s="15"/>
      <c r="J165" s="17"/>
      <c r="K165" s="15"/>
      <c r="L165" s="17"/>
    </row>
    <row r="166" spans="1:13" x14ac:dyDescent="0.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3" ht="13.5" thickBot="1" x14ac:dyDescent="0.25">
      <c r="A167" s="10" t="s">
        <v>2765</v>
      </c>
      <c r="B167" s="41">
        <f>B164+B102</f>
        <v>4787279323.9499998</v>
      </c>
      <c r="C167" s="15"/>
      <c r="D167" s="41">
        <f>D164+D102</f>
        <v>505793292.22000003</v>
      </c>
      <c r="E167" s="15"/>
      <c r="F167" s="41">
        <f>F164+F102</f>
        <v>-87866053.650000006</v>
      </c>
      <c r="G167" s="15"/>
      <c r="H167" s="41">
        <f>H164+H102</f>
        <v>-7192920.7300000042</v>
      </c>
      <c r="I167" s="15"/>
      <c r="J167" s="41">
        <f>J164+J102</f>
        <v>410734317.84000003</v>
      </c>
      <c r="K167" s="15"/>
      <c r="L167" s="41">
        <f>L164+L102</f>
        <v>5198013641.789999</v>
      </c>
    </row>
    <row r="168" spans="1:13" ht="13.5" thickTop="1" x14ac:dyDescent="0.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3" x14ac:dyDescent="0.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3" x14ac:dyDescent="0.2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3" x14ac:dyDescent="0.2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3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3" x14ac:dyDescent="0.2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3" x14ac:dyDescent="0.2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3" x14ac:dyDescent="0.2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3" x14ac:dyDescent="0.2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2:12" x14ac:dyDescent="0.2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2:12" x14ac:dyDescent="0.2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2:12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2:12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2:12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2:12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2:12" x14ac:dyDescent="0.2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2:12" x14ac:dyDescent="0.2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2:12" x14ac:dyDescent="0.2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2:12" x14ac:dyDescent="0.2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2:12" x14ac:dyDescent="0.2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2:12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2:12" x14ac:dyDescent="0.2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2:12" x14ac:dyDescent="0.2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2:12" x14ac:dyDescent="0.2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2:12" x14ac:dyDescent="0.2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2:12" x14ac:dyDescent="0.2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2:12" x14ac:dyDescent="0.2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2:12" x14ac:dyDescent="0.2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2:12" x14ac:dyDescent="0.2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2:12" x14ac:dyDescent="0.2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2:12" x14ac:dyDescent="0.2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3" manualBreakCount="3">
    <brk id="51" max="11" man="1"/>
    <brk id="85" max="16383" man="1"/>
    <brk id="12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32"/>
  <sheetViews>
    <sheetView zoomScaleNormal="100" workbookViewId="0">
      <selection sqref="A1:N1"/>
    </sheetView>
  </sheetViews>
  <sheetFormatPr defaultRowHeight="12.75" x14ac:dyDescent="0.2"/>
  <cols>
    <col min="1" max="1" width="43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5703125" style="3" customWidth="1"/>
    <col min="14" max="14" width="16.140625" style="3" customWidth="1"/>
    <col min="15" max="15" width="1.2851562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2766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M6" s="8"/>
      <c r="P6" s="10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M7" s="18"/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  <c r="M8" s="18"/>
    </row>
    <row r="9" spans="1:16" x14ac:dyDescent="0.2">
      <c r="A9" s="10" t="s">
        <v>2561</v>
      </c>
    </row>
    <row r="10" spans="1:16" x14ac:dyDescent="0.2">
      <c r="A10" s="10" t="s">
        <v>18</v>
      </c>
    </row>
    <row r="11" spans="1:16" x14ac:dyDescent="0.2">
      <c r="A11" s="3" t="s">
        <v>281</v>
      </c>
      <c r="B11" s="136">
        <f>'IN_Cost Plant Acct-Elec-P16(Reg'!B26</f>
        <v>0</v>
      </c>
      <c r="D11" s="136">
        <f>'IN_Cost Plant Acct-Elec-P16(Reg'!D26</f>
        <v>0</v>
      </c>
      <c r="F11" s="136">
        <f>'IN_Cost Plant Acct-Elec-P16(Reg'!F26</f>
        <v>0</v>
      </c>
      <c r="H11" s="136">
        <f>'IN_Cost Plant Acct-Elec-P16(Reg'!H26</f>
        <v>0</v>
      </c>
      <c r="J11" s="149">
        <f>H11+F11+D11</f>
        <v>0</v>
      </c>
      <c r="L11" s="149">
        <f>J11+B11</f>
        <v>0</v>
      </c>
      <c r="N11" s="136">
        <f>'IN_Res by Plant Acct-P30 (Reg)'!R10</f>
        <v>0</v>
      </c>
      <c r="P11" s="136">
        <f>L11+N11</f>
        <v>0</v>
      </c>
    </row>
    <row r="12" spans="1:16" x14ac:dyDescent="0.2">
      <c r="A12" s="10"/>
      <c r="B12" s="39">
        <f>SUM(B11)</f>
        <v>0</v>
      </c>
      <c r="D12" s="39">
        <f>SUM(D11)</f>
        <v>0</v>
      </c>
      <c r="F12" s="39">
        <f>SUM(F11)</f>
        <v>0</v>
      </c>
      <c r="H12" s="39">
        <f>SUM(H11)</f>
        <v>0</v>
      </c>
      <c r="J12" s="39">
        <f>SUM(J11)</f>
        <v>0</v>
      </c>
      <c r="L12" s="39">
        <f>SUM(L11)</f>
        <v>0</v>
      </c>
      <c r="N12" s="39">
        <f>SUM(N11)</f>
        <v>0</v>
      </c>
      <c r="P12" s="39">
        <f>SUM(P11)</f>
        <v>0</v>
      </c>
    </row>
    <row r="13" spans="1:16" x14ac:dyDescent="0.2">
      <c r="A13" s="10"/>
    </row>
    <row r="14" spans="1:16" x14ac:dyDescent="0.2">
      <c r="A14" s="10" t="s">
        <v>24</v>
      </c>
    </row>
    <row r="15" spans="1:16" x14ac:dyDescent="0.2">
      <c r="A15" s="3" t="s">
        <v>356</v>
      </c>
      <c r="B15" s="138">
        <f>'IN_Cost Plant Acct-Elec-P16(Reg'!B11</f>
        <v>653945.04</v>
      </c>
      <c r="C15" s="138"/>
      <c r="D15" s="138">
        <f>'IN_Cost Plant Acct-Elec-P16(Reg'!D11</f>
        <v>0</v>
      </c>
      <c r="E15" s="138"/>
      <c r="F15" s="138">
        <f>'IN_Cost Plant Acct-Elec-P16(Reg'!F11</f>
        <v>0</v>
      </c>
      <c r="G15" s="138"/>
      <c r="H15" s="138">
        <f>'IN_Cost Plant Acct-Elec-P16(Reg'!H11</f>
        <v>0</v>
      </c>
      <c r="I15" s="138"/>
      <c r="J15" s="138">
        <f t="shared" ref="J15:J21" si="0">H15+F15+D15</f>
        <v>0</v>
      </c>
      <c r="K15" s="138"/>
      <c r="L15" s="138">
        <f t="shared" ref="L15:L21" si="1">J15+B15</f>
        <v>653945.04</v>
      </c>
      <c r="M15" s="138"/>
      <c r="N15" s="138">
        <f>'IN_Res by Plant Acct-P30 (Reg)'!R15</f>
        <v>-338806.74999999994</v>
      </c>
      <c r="P15" s="39">
        <f>L15+N15</f>
        <v>315138.2900000001</v>
      </c>
    </row>
    <row r="16" spans="1:16" x14ac:dyDescent="0.2">
      <c r="A16" s="3" t="s">
        <v>357</v>
      </c>
      <c r="B16" s="138">
        <f>'IN_Cost Plant Acct-Elec-P16(Reg'!B12</f>
        <v>408580.31999999995</v>
      </c>
      <c r="C16" s="138"/>
      <c r="D16" s="138">
        <f>'IN_Cost Plant Acct-Elec-P16(Reg'!D12</f>
        <v>0</v>
      </c>
      <c r="E16" s="138"/>
      <c r="F16" s="138">
        <f>'IN_Cost Plant Acct-Elec-P16(Reg'!F12</f>
        <v>0</v>
      </c>
      <c r="G16" s="138"/>
      <c r="H16" s="138">
        <f>'IN_Cost Plant Acct-Elec-P16(Reg'!H12</f>
        <v>0</v>
      </c>
      <c r="I16" s="138"/>
      <c r="J16" s="138">
        <f t="shared" si="0"/>
        <v>0</v>
      </c>
      <c r="K16" s="138"/>
      <c r="L16" s="138">
        <f t="shared" si="1"/>
        <v>408580.31999999995</v>
      </c>
      <c r="M16" s="138"/>
      <c r="N16" s="138">
        <f>'IN_Res by Plant Acct-P30 (Reg)'!R16</f>
        <v>0</v>
      </c>
      <c r="P16" s="39">
        <f t="shared" ref="P16:P21" si="2">L16+N16</f>
        <v>408580.31999999995</v>
      </c>
    </row>
    <row r="17" spans="1:16" x14ac:dyDescent="0.2">
      <c r="A17" s="3" t="s">
        <v>359</v>
      </c>
      <c r="B17" s="138">
        <f>'IN_Cost Plant Acct-Elec-P16(Reg'!B13+'IN_Cost Plant Acct-Elec-P16(Reg'!B30</f>
        <v>4527421.29</v>
      </c>
      <c r="C17" s="138"/>
      <c r="D17" s="138">
        <f>'IN_Cost Plant Acct-Elec-P16(Reg'!D13+'IN_Cost Plant Acct-Elec-P16(Reg'!D30</f>
        <v>4380165.84</v>
      </c>
      <c r="E17" s="138"/>
      <c r="F17" s="138">
        <f>'IN_Cost Plant Acct-Elec-P16(Reg'!F13+'IN_Cost Plant Acct-Elec-P16(Reg'!F30</f>
        <v>-543.51</v>
      </c>
      <c r="G17" s="138"/>
      <c r="H17" s="138">
        <f>'IN_Cost Plant Acct-Elec-P16(Reg'!H13+'IN_Cost Plant Acct-Elec-P16(Reg'!H30</f>
        <v>0</v>
      </c>
      <c r="I17" s="138"/>
      <c r="J17" s="138">
        <f t="shared" si="0"/>
        <v>4379622.33</v>
      </c>
      <c r="K17" s="138"/>
      <c r="L17" s="138">
        <f t="shared" si="1"/>
        <v>8907043.620000001</v>
      </c>
      <c r="M17" s="138"/>
      <c r="N17" s="138">
        <f>'IN_Res by Plant Acct-P30 (Reg)'!R17</f>
        <v>-416982.33000000007</v>
      </c>
      <c r="P17" s="39">
        <f t="shared" si="2"/>
        <v>8490061.290000001</v>
      </c>
    </row>
    <row r="18" spans="1:16" x14ac:dyDescent="0.2">
      <c r="A18" s="3" t="s">
        <v>360</v>
      </c>
      <c r="B18" s="138">
        <f>'IN_Cost Plant Acct-Elec-P16(Reg'!B14+'IN_Cost Plant Acct-Elec-P16(Reg'!B31</f>
        <v>22709719.119999997</v>
      </c>
      <c r="C18" s="138"/>
      <c r="D18" s="138">
        <f>'IN_Cost Plant Acct-Elec-P16(Reg'!D14+'IN_Cost Plant Acct-Elec-P16(Reg'!D31</f>
        <v>-4217932.79</v>
      </c>
      <c r="E18" s="138"/>
      <c r="F18" s="138">
        <f>'IN_Cost Plant Acct-Elec-P16(Reg'!F14+'IN_Cost Plant Acct-Elec-P16(Reg'!F31</f>
        <v>-18063.5</v>
      </c>
      <c r="G18" s="138"/>
      <c r="H18" s="138">
        <f>'IN_Cost Plant Acct-Elec-P16(Reg'!H14+'IN_Cost Plant Acct-Elec-P16(Reg'!H31</f>
        <v>0</v>
      </c>
      <c r="I18" s="138"/>
      <c r="J18" s="138">
        <f t="shared" si="0"/>
        <v>-4235996.29</v>
      </c>
      <c r="K18" s="138"/>
      <c r="L18" s="138">
        <f t="shared" si="1"/>
        <v>18473722.829999998</v>
      </c>
      <c r="M18" s="138"/>
      <c r="N18" s="138">
        <f>'IN_Res by Plant Acct-P30 (Reg)'!R18</f>
        <v>-7559311.7200000007</v>
      </c>
      <c r="P18" s="39">
        <f t="shared" si="2"/>
        <v>10914411.109999998</v>
      </c>
    </row>
    <row r="19" spans="1:16" x14ac:dyDescent="0.2">
      <c r="A19" s="3" t="s">
        <v>363</v>
      </c>
      <c r="B19" s="138">
        <f>'IN_Cost Plant Acct-Elec-P16(Reg'!B15+'IN_Cost Plant Acct-Elec-P16(Reg'!B32</f>
        <v>13805502.43</v>
      </c>
      <c r="C19" s="138"/>
      <c r="D19" s="138">
        <f>'IN_Cost Plant Acct-Elec-P16(Reg'!D15+'IN_Cost Plant Acct-Elec-P16(Reg'!D32</f>
        <v>0</v>
      </c>
      <c r="E19" s="138"/>
      <c r="F19" s="138">
        <f>'IN_Cost Plant Acct-Elec-P16(Reg'!F15+'IN_Cost Plant Acct-Elec-P16(Reg'!F32</f>
        <v>0</v>
      </c>
      <c r="G19" s="138"/>
      <c r="H19" s="138">
        <f>'IN_Cost Plant Acct-Elec-P16(Reg'!H15+'IN_Cost Plant Acct-Elec-P16(Reg'!H32</f>
        <v>0</v>
      </c>
      <c r="I19" s="138"/>
      <c r="J19" s="138">
        <f t="shared" si="0"/>
        <v>0</v>
      </c>
      <c r="K19" s="138"/>
      <c r="L19" s="138">
        <f t="shared" si="1"/>
        <v>13805502.43</v>
      </c>
      <c r="M19" s="138"/>
      <c r="N19" s="138">
        <f>'IN_Res by Plant Acct-P30 (Reg)'!R19</f>
        <v>-5236689.7200000007</v>
      </c>
      <c r="P19" s="39">
        <f t="shared" si="2"/>
        <v>8568812.709999999</v>
      </c>
    </row>
    <row r="20" spans="1:16" x14ac:dyDescent="0.2">
      <c r="A20" s="3" t="s">
        <v>364</v>
      </c>
      <c r="B20" s="138">
        <f>'IN_Cost Plant Acct-Elec-P16(Reg'!B16+'IN_Cost Plant Acct-Elec-P16(Reg'!B33</f>
        <v>3843156.85</v>
      </c>
      <c r="C20" s="138"/>
      <c r="D20" s="138">
        <f>'IN_Cost Plant Acct-Elec-P16(Reg'!D16+'IN_Cost Plant Acct-Elec-P16(Reg'!D33</f>
        <v>10034514.199999999</v>
      </c>
      <c r="E20" s="138"/>
      <c r="F20" s="138">
        <f>'IN_Cost Plant Acct-Elec-P16(Reg'!F16+'IN_Cost Plant Acct-Elec-P16(Reg'!F33</f>
        <v>0</v>
      </c>
      <c r="G20" s="138"/>
      <c r="H20" s="138">
        <f>'IN_Cost Plant Acct-Elec-P16(Reg'!H16+'IN_Cost Plant Acct-Elec-P16(Reg'!H33</f>
        <v>0</v>
      </c>
      <c r="I20" s="138"/>
      <c r="J20" s="138">
        <f t="shared" si="0"/>
        <v>10034514.199999999</v>
      </c>
      <c r="K20" s="138"/>
      <c r="L20" s="138">
        <f t="shared" si="1"/>
        <v>13877671.049999999</v>
      </c>
      <c r="M20" s="138"/>
      <c r="N20" s="138">
        <f>'IN_Res by Plant Acct-P30 (Reg)'!R20</f>
        <v>-1677340.9300000002</v>
      </c>
      <c r="P20" s="39">
        <f t="shared" si="2"/>
        <v>12200330.119999999</v>
      </c>
    </row>
    <row r="21" spans="1:16" x14ac:dyDescent="0.2">
      <c r="A21" s="3" t="s">
        <v>365</v>
      </c>
      <c r="B21" s="149">
        <f>'IN_Cost Plant Acct-Elec-P16(Reg'!B17+'IN_Cost Plant Acct-Elec-P16(Reg'!B34</f>
        <v>5238405.1099999994</v>
      </c>
      <c r="C21" s="135"/>
      <c r="D21" s="149">
        <f>'IN_Cost Plant Acct-Elec-P16(Reg'!D17+'IN_Cost Plant Acct-Elec-P16(Reg'!D34</f>
        <v>1107847.82</v>
      </c>
      <c r="E21" s="135"/>
      <c r="F21" s="149">
        <f>'IN_Cost Plant Acct-Elec-P16(Reg'!F17+'IN_Cost Plant Acct-Elec-P16(Reg'!F34</f>
        <v>-23578.69</v>
      </c>
      <c r="G21" s="135"/>
      <c r="H21" s="149">
        <f>'IN_Cost Plant Acct-Elec-P16(Reg'!H17+'IN_Cost Plant Acct-Elec-P16(Reg'!H34</f>
        <v>0</v>
      </c>
      <c r="I21" s="135"/>
      <c r="J21" s="149">
        <f t="shared" si="0"/>
        <v>1084269.1300000001</v>
      </c>
      <c r="K21" s="135"/>
      <c r="L21" s="149">
        <f t="shared" si="1"/>
        <v>6322674.2399999993</v>
      </c>
      <c r="M21" s="135"/>
      <c r="N21" s="149">
        <f>'IN_Res by Plant Acct-P30 (Reg)'!R21</f>
        <v>-3497382.27</v>
      </c>
      <c r="P21" s="136">
        <f t="shared" si="2"/>
        <v>2825291.9699999993</v>
      </c>
    </row>
    <row r="22" spans="1:16" x14ac:dyDescent="0.2">
      <c r="B22" s="135">
        <f>SUM(B15:B21)</f>
        <v>51186730.159999996</v>
      </c>
      <c r="C22" s="135"/>
      <c r="D22" s="135">
        <f>SUM(D15:D21)</f>
        <v>11304595.07</v>
      </c>
      <c r="E22" s="135"/>
      <c r="F22" s="135">
        <f>SUM(F15:F21)</f>
        <v>-42185.7</v>
      </c>
      <c r="G22" s="135"/>
      <c r="H22" s="135">
        <f>SUM(H15:H21)</f>
        <v>0</v>
      </c>
      <c r="I22" s="135"/>
      <c r="J22" s="135">
        <f>SUM(J15:J21)</f>
        <v>11262409.369999999</v>
      </c>
      <c r="K22" s="135"/>
      <c r="L22" s="135">
        <f>SUM(L15:L21)</f>
        <v>62449139.529999994</v>
      </c>
      <c r="M22" s="135"/>
      <c r="N22" s="135">
        <f>SUM(N15:N21)</f>
        <v>-18726513.720000003</v>
      </c>
      <c r="P22" s="135">
        <f>SUM(P15:P21)</f>
        <v>43722625.809999995</v>
      </c>
    </row>
    <row r="23" spans="1:16" x14ac:dyDescent="0.2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spans="1:16" x14ac:dyDescent="0.2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spans="1:16" ht="13.5" thickBot="1" x14ac:dyDescent="0.25">
      <c r="A25" s="10" t="s">
        <v>2767</v>
      </c>
      <c r="B25" s="143">
        <f>B22+B12</f>
        <v>51186730.159999996</v>
      </c>
      <c r="C25" s="146"/>
      <c r="D25" s="143">
        <f>D22+D12</f>
        <v>11304595.07</v>
      </c>
      <c r="E25" s="146"/>
      <c r="F25" s="143">
        <f>F22+F12</f>
        <v>-42185.7</v>
      </c>
      <c r="G25" s="146"/>
      <c r="H25" s="143">
        <f>H22+H12</f>
        <v>0</v>
      </c>
      <c r="I25" s="146"/>
      <c r="J25" s="143">
        <f>J22+J12</f>
        <v>11262409.369999999</v>
      </c>
      <c r="K25" s="146"/>
      <c r="L25" s="143">
        <f>L22+L12</f>
        <v>62449139.529999994</v>
      </c>
      <c r="M25" s="135"/>
      <c r="N25" s="143">
        <f>N22+N12</f>
        <v>-18726513.720000003</v>
      </c>
      <c r="P25" s="143">
        <f>P22+P12</f>
        <v>43722625.809999995</v>
      </c>
    </row>
    <row r="26" spans="1:16" ht="13.5" thickTop="1" x14ac:dyDescent="0.2">
      <c r="A26" s="10"/>
      <c r="B26" s="135"/>
      <c r="C26" s="146"/>
      <c r="D26" s="135"/>
      <c r="E26" s="146"/>
      <c r="F26" s="135"/>
      <c r="G26" s="146"/>
      <c r="H26" s="135"/>
      <c r="I26" s="146"/>
      <c r="J26" s="135"/>
      <c r="K26" s="146"/>
      <c r="L26" s="135"/>
      <c r="M26" s="135"/>
      <c r="N26" s="146"/>
    </row>
    <row r="27" spans="1:16" x14ac:dyDescent="0.2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  <row r="28" spans="1:16" x14ac:dyDescent="0.2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6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1:16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16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1:16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29"/>
  <sheetViews>
    <sheetView zoomScale="80" zoomScaleNormal="80" workbookViewId="0">
      <pane xSplit="2" ySplit="7" topLeftCell="C56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8.140625" style="3" customWidth="1"/>
    <col min="2" max="2" width="38.140625" style="3" customWidth="1"/>
    <col min="3" max="3" width="18.7109375" style="3" bestFit="1" customWidth="1"/>
    <col min="4" max="4" width="1.7109375" style="3" customWidth="1"/>
    <col min="5" max="5" width="17.7109375" style="3" customWidth="1"/>
    <col min="6" max="6" width="1.7109375" style="3" customWidth="1"/>
    <col min="7" max="7" width="17.7109375" style="3" customWidth="1"/>
    <col min="8" max="8" width="1.7109375" style="3" customWidth="1"/>
    <col min="9" max="9" width="17.7109375" style="3" customWidth="1"/>
    <col min="10" max="10" width="1.7109375" style="3" customWidth="1"/>
    <col min="11" max="11" width="18.7109375" style="3" bestFit="1" customWidth="1"/>
    <col min="12" max="12" width="1.7109375" style="3" customWidth="1"/>
    <col min="13" max="13" width="17.7109375" style="3" customWidth="1"/>
    <col min="14" max="14" width="1.7109375" style="3" customWidth="1"/>
    <col min="15" max="15" width="17.7109375" style="3" customWidth="1"/>
    <col min="16" max="16" width="1.7109375" style="3" customWidth="1"/>
    <col min="17" max="17" width="17.7109375" style="3" customWidth="1"/>
    <col min="18" max="18" width="1.7109375" style="3" customWidth="1"/>
    <col min="19" max="19" width="17.7109375" style="3" customWidth="1"/>
    <col min="20" max="20" width="1.7109375" style="3" customWidth="1"/>
    <col min="21" max="21" width="19.85546875" style="3" bestFit="1" customWidth="1"/>
    <col min="22" max="22" width="2.7109375" style="3" customWidth="1"/>
    <col min="23" max="23" width="12.85546875" style="2" bestFit="1" customWidth="1"/>
    <col min="24" max="24" width="23" style="3" bestFit="1" customWidth="1"/>
    <col min="25" max="25" width="14.5703125" style="3" bestFit="1" customWidth="1"/>
    <col min="26" max="26" width="15.5703125" style="3" bestFit="1" customWidth="1"/>
    <col min="27" max="16384" width="9.140625" style="3"/>
  </cols>
  <sheetData>
    <row r="1" spans="1:23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30"/>
    </row>
    <row r="2" spans="1:23" x14ac:dyDescent="0.2">
      <c r="A2" s="200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0"/>
    </row>
    <row r="3" spans="1:2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5"/>
    </row>
    <row r="4" spans="1:2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x14ac:dyDescent="0.2">
      <c r="W5" s="2" t="s">
        <v>2</v>
      </c>
    </row>
    <row r="6" spans="1:23" x14ac:dyDescent="0.2">
      <c r="C6" s="8" t="s">
        <v>3</v>
      </c>
      <c r="E6" s="15"/>
      <c r="G6" s="15"/>
      <c r="I6" s="8" t="s">
        <v>4</v>
      </c>
      <c r="J6" s="8"/>
      <c r="K6" s="8" t="s">
        <v>66</v>
      </c>
      <c r="M6" s="8" t="s">
        <v>67</v>
      </c>
      <c r="O6" s="18" t="s">
        <v>68</v>
      </c>
      <c r="Q6" s="8"/>
      <c r="S6" s="8" t="s">
        <v>69</v>
      </c>
      <c r="U6" s="8" t="s">
        <v>5</v>
      </c>
      <c r="V6" s="8"/>
      <c r="W6" s="2" t="s">
        <v>6</v>
      </c>
    </row>
    <row r="7" spans="1:23" x14ac:dyDescent="0.2">
      <c r="C7" s="12" t="s">
        <v>7</v>
      </c>
      <c r="E7" s="12" t="s">
        <v>70</v>
      </c>
      <c r="G7" s="12" t="s">
        <v>9</v>
      </c>
      <c r="I7" s="12" t="s">
        <v>10</v>
      </c>
      <c r="J7" s="18"/>
      <c r="K7" s="12" t="s">
        <v>71</v>
      </c>
      <c r="M7" s="12" t="s">
        <v>72</v>
      </c>
      <c r="O7" s="12" t="s">
        <v>73</v>
      </c>
      <c r="Q7" s="12" t="s">
        <v>74</v>
      </c>
      <c r="S7" s="12" t="s">
        <v>75</v>
      </c>
      <c r="U7" s="12" t="s">
        <v>7</v>
      </c>
      <c r="V7" s="12"/>
      <c r="W7" s="13">
        <v>200</v>
      </c>
    </row>
    <row r="8" spans="1:23" x14ac:dyDescent="0.2">
      <c r="C8" s="18"/>
      <c r="E8" s="18"/>
      <c r="G8" s="18"/>
      <c r="I8" s="18"/>
      <c r="J8" s="18"/>
      <c r="K8" s="18"/>
      <c r="M8" s="18"/>
      <c r="O8" s="18"/>
      <c r="Q8" s="18"/>
      <c r="S8" s="18"/>
      <c r="U8" s="18"/>
      <c r="V8" s="18"/>
    </row>
    <row r="9" spans="1:23" x14ac:dyDescent="0.2">
      <c r="A9" s="10" t="s">
        <v>76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x14ac:dyDescent="0.2">
      <c r="B10" s="3" t="s">
        <v>14</v>
      </c>
      <c r="C10" s="15">
        <v>-90277222.729999989</v>
      </c>
      <c r="D10" s="15"/>
      <c r="E10" s="15">
        <v>-10060793.949999999</v>
      </c>
      <c r="F10" s="15"/>
      <c r="G10" s="15">
        <v>20362956.43</v>
      </c>
      <c r="H10" s="15"/>
      <c r="I10" s="15">
        <v>1342.38</v>
      </c>
      <c r="J10" s="15"/>
      <c r="K10" s="15">
        <v>0</v>
      </c>
      <c r="L10" s="15"/>
      <c r="M10" s="15">
        <v>0</v>
      </c>
      <c r="N10" s="15"/>
      <c r="O10" s="15">
        <v>0</v>
      </c>
      <c r="P10" s="15"/>
      <c r="Q10" s="15">
        <v>0</v>
      </c>
      <c r="R10" s="15"/>
      <c r="S10" s="15">
        <v>0</v>
      </c>
      <c r="T10" s="15"/>
      <c r="U10" s="15">
        <f t="shared" ref="U10:U31" si="0">S10+Q10+O10+M10+I10+G10+E10+C10</f>
        <v>-79973717.86999999</v>
      </c>
      <c r="V10" s="15"/>
    </row>
    <row r="11" spans="1:23" x14ac:dyDescent="0.2">
      <c r="B11" s="3" t="s">
        <v>77</v>
      </c>
      <c r="C11" s="15">
        <v>0</v>
      </c>
      <c r="D11" s="15"/>
      <c r="E11" s="15">
        <v>0</v>
      </c>
      <c r="F11" s="15"/>
      <c r="G11" s="15"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  <c r="P11" s="15"/>
      <c r="Q11" s="15">
        <v>0</v>
      </c>
      <c r="R11" s="15"/>
      <c r="S11" s="15">
        <v>0</v>
      </c>
      <c r="T11" s="15"/>
      <c r="U11" s="15">
        <f t="shared" si="0"/>
        <v>0</v>
      </c>
      <c r="V11" s="15"/>
    </row>
    <row r="12" spans="1:23" x14ac:dyDescent="0.2">
      <c r="B12" s="3" t="s">
        <v>18</v>
      </c>
      <c r="C12" s="15">
        <v>-342879796.25</v>
      </c>
      <c r="D12" s="15"/>
      <c r="E12" s="15">
        <v>-24235413.379999999</v>
      </c>
      <c r="F12" s="15"/>
      <c r="G12" s="15">
        <v>10202649.220000001</v>
      </c>
      <c r="H12" s="15"/>
      <c r="I12" s="15">
        <v>48347.59</v>
      </c>
      <c r="J12" s="15"/>
      <c r="K12" s="15">
        <v>0</v>
      </c>
      <c r="L12" s="15"/>
      <c r="M12" s="15">
        <v>0</v>
      </c>
      <c r="N12" s="15"/>
      <c r="O12" s="15">
        <v>0</v>
      </c>
      <c r="P12" s="15"/>
      <c r="Q12" s="15">
        <v>0</v>
      </c>
      <c r="R12" s="15"/>
      <c r="S12" s="15">
        <v>0</v>
      </c>
      <c r="T12" s="15"/>
      <c r="U12" s="15">
        <f t="shared" si="0"/>
        <v>-356864212.81999999</v>
      </c>
      <c r="V12" s="15"/>
    </row>
    <row r="13" spans="1:23" x14ac:dyDescent="0.2">
      <c r="B13" s="3" t="s">
        <v>78</v>
      </c>
      <c r="C13" s="15">
        <v>-42568.650000000067</v>
      </c>
      <c r="D13" s="15"/>
      <c r="E13" s="15">
        <v>-7460.06</v>
      </c>
      <c r="F13" s="15"/>
      <c r="G13" s="15">
        <v>0</v>
      </c>
      <c r="H13" s="15"/>
      <c r="I13" s="15">
        <v>0</v>
      </c>
      <c r="J13" s="15"/>
      <c r="K13" s="15">
        <v>0</v>
      </c>
      <c r="L13" s="15"/>
      <c r="M13" s="15">
        <v>0</v>
      </c>
      <c r="N13" s="15"/>
      <c r="O13" s="15">
        <v>0</v>
      </c>
      <c r="P13" s="15"/>
      <c r="Q13" s="15">
        <v>0</v>
      </c>
      <c r="R13" s="15"/>
      <c r="S13" s="15">
        <v>0</v>
      </c>
      <c r="T13" s="15"/>
      <c r="U13" s="15">
        <f t="shared" si="0"/>
        <v>-50028.710000000065</v>
      </c>
      <c r="V13" s="15"/>
    </row>
    <row r="14" spans="1:23" x14ac:dyDescent="0.2">
      <c r="B14" s="3" t="s">
        <v>19</v>
      </c>
      <c r="C14" s="15">
        <v>-7511140.4899999984</v>
      </c>
      <c r="D14" s="15"/>
      <c r="E14" s="15">
        <v>-1735391.42</v>
      </c>
      <c r="F14" s="15"/>
      <c r="G14" s="15">
        <v>575538.23</v>
      </c>
      <c r="H14" s="15"/>
      <c r="I14" s="15">
        <v>-370194.9</v>
      </c>
      <c r="J14" s="15"/>
      <c r="K14" s="15">
        <v>0</v>
      </c>
      <c r="L14" s="15"/>
      <c r="M14" s="15">
        <v>0</v>
      </c>
      <c r="N14" s="15"/>
      <c r="O14" s="15">
        <v>0</v>
      </c>
      <c r="P14" s="15"/>
      <c r="Q14" s="15">
        <v>0</v>
      </c>
      <c r="R14" s="15"/>
      <c r="S14" s="15">
        <v>0</v>
      </c>
      <c r="T14" s="15"/>
      <c r="U14" s="15">
        <f t="shared" si="0"/>
        <v>-9041188.5799999982</v>
      </c>
      <c r="V14" s="15"/>
    </row>
    <row r="15" spans="1:23" x14ac:dyDescent="0.2">
      <c r="B15" s="3" t="s">
        <v>20</v>
      </c>
      <c r="C15" s="15">
        <v>-15869434.650000002</v>
      </c>
      <c r="D15" s="15"/>
      <c r="E15" s="15">
        <v>-2840451.53</v>
      </c>
      <c r="F15" s="15"/>
      <c r="G15" s="15">
        <v>135429.89000000001</v>
      </c>
      <c r="H15" s="15"/>
      <c r="I15" s="15">
        <v>0</v>
      </c>
      <c r="J15" s="15"/>
      <c r="K15" s="15">
        <v>0</v>
      </c>
      <c r="L15" s="15"/>
      <c r="M15" s="15">
        <v>0</v>
      </c>
      <c r="N15" s="15"/>
      <c r="O15" s="15">
        <v>0</v>
      </c>
      <c r="P15" s="15"/>
      <c r="Q15" s="15">
        <v>0</v>
      </c>
      <c r="R15" s="15"/>
      <c r="S15" s="15">
        <v>0</v>
      </c>
      <c r="T15" s="15"/>
      <c r="U15" s="15">
        <f t="shared" si="0"/>
        <v>-18574456.290000003</v>
      </c>
      <c r="V15" s="15"/>
    </row>
    <row r="16" spans="1:23" x14ac:dyDescent="0.2">
      <c r="B16" s="3" t="s">
        <v>79</v>
      </c>
      <c r="C16" s="15">
        <v>-5910.2300000000105</v>
      </c>
      <c r="D16" s="15"/>
      <c r="E16" s="15">
        <v>-4728.41</v>
      </c>
      <c r="F16" s="15"/>
      <c r="G16" s="15">
        <v>0</v>
      </c>
      <c r="H16" s="15"/>
      <c r="I16" s="15">
        <v>0</v>
      </c>
      <c r="J16" s="15"/>
      <c r="K16" s="15">
        <v>0</v>
      </c>
      <c r="L16" s="15"/>
      <c r="M16" s="15">
        <v>0</v>
      </c>
      <c r="N16" s="15"/>
      <c r="O16" s="15">
        <v>0</v>
      </c>
      <c r="P16" s="15"/>
      <c r="Q16" s="15">
        <v>0</v>
      </c>
      <c r="R16" s="15"/>
      <c r="S16" s="15">
        <v>0</v>
      </c>
      <c r="T16" s="15"/>
      <c r="U16" s="15">
        <f t="shared" si="0"/>
        <v>-10638.64000000001</v>
      </c>
      <c r="V16" s="15"/>
    </row>
    <row r="17" spans="2:23" x14ac:dyDescent="0.2">
      <c r="B17" s="3" t="s">
        <v>22</v>
      </c>
      <c r="C17" s="15">
        <v>-103883604.21000001</v>
      </c>
      <c r="D17" s="15"/>
      <c r="E17" s="15">
        <v>-13539571.99</v>
      </c>
      <c r="F17" s="15"/>
      <c r="G17" s="15">
        <v>290230.69</v>
      </c>
      <c r="H17" s="15"/>
      <c r="I17" s="15">
        <v>0</v>
      </c>
      <c r="J17" s="15"/>
      <c r="K17" s="15">
        <v>0</v>
      </c>
      <c r="L17" s="15"/>
      <c r="M17" s="15">
        <v>0</v>
      </c>
      <c r="N17" s="15"/>
      <c r="O17" s="15">
        <v>0</v>
      </c>
      <c r="P17" s="15"/>
      <c r="Q17" s="15">
        <v>0</v>
      </c>
      <c r="R17" s="15"/>
      <c r="S17" s="15">
        <v>0</v>
      </c>
      <c r="T17" s="15"/>
      <c r="U17" s="15">
        <f t="shared" si="0"/>
        <v>-117132945.51000001</v>
      </c>
      <c r="V17" s="15"/>
    </row>
    <row r="18" spans="2:23" x14ac:dyDescent="0.2">
      <c r="B18" s="3" t="s">
        <v>80</v>
      </c>
      <c r="C18" s="15">
        <v>-5839.0800000001236</v>
      </c>
      <c r="D18" s="15"/>
      <c r="E18" s="15">
        <v>-3137.93</v>
      </c>
      <c r="F18" s="15"/>
      <c r="G18" s="15">
        <v>0</v>
      </c>
      <c r="H18" s="15"/>
      <c r="I18" s="15">
        <v>0</v>
      </c>
      <c r="J18" s="15"/>
      <c r="K18" s="15">
        <v>0</v>
      </c>
      <c r="L18" s="15"/>
      <c r="M18" s="15">
        <v>0</v>
      </c>
      <c r="N18" s="15"/>
      <c r="O18" s="15">
        <v>0</v>
      </c>
      <c r="P18" s="15"/>
      <c r="Q18" s="15">
        <v>0</v>
      </c>
      <c r="R18" s="15"/>
      <c r="S18" s="15">
        <v>0</v>
      </c>
      <c r="T18" s="15"/>
      <c r="U18" s="15">
        <f>S18+Q18+O18+M18+I18+G18+E18+C18</f>
        <v>-8977.0100000001239</v>
      </c>
      <c r="V18" s="15"/>
    </row>
    <row r="19" spans="2:23" x14ac:dyDescent="0.2">
      <c r="B19" s="3" t="s">
        <v>23</v>
      </c>
      <c r="C19" s="15">
        <f>-751940758.83</f>
        <v>-751940758.83000004</v>
      </c>
      <c r="D19" s="15"/>
      <c r="E19" s="15">
        <v>-56328130.93</v>
      </c>
      <c r="F19" s="15"/>
      <c r="G19" s="15">
        <v>73521604.209999993</v>
      </c>
      <c r="H19" s="15"/>
      <c r="I19" s="15">
        <v>76448.429999999993</v>
      </c>
      <c r="J19" s="15"/>
      <c r="K19" s="15">
        <v>0</v>
      </c>
      <c r="L19" s="15"/>
      <c r="M19" s="15">
        <v>0</v>
      </c>
      <c r="N19" s="15"/>
      <c r="O19" s="15">
        <v>0</v>
      </c>
      <c r="P19" s="15"/>
      <c r="Q19" s="15">
        <v>0</v>
      </c>
      <c r="R19" s="15"/>
      <c r="S19" s="15">
        <v>0</v>
      </c>
      <c r="T19" s="15"/>
      <c r="U19" s="15">
        <f>S19+Q19+O19+M19+I19+G19+E19+C19</f>
        <v>-734670837.12</v>
      </c>
      <c r="V19" s="15"/>
    </row>
    <row r="20" spans="2:23" x14ac:dyDescent="0.2">
      <c r="B20" s="3" t="s">
        <v>81</v>
      </c>
      <c r="C20" s="15">
        <v>-21563814.689999998</v>
      </c>
      <c r="D20" s="15"/>
      <c r="E20" s="15">
        <v>-19024259.27</v>
      </c>
      <c r="F20" s="15"/>
      <c r="G20" s="15">
        <v>765926.26</v>
      </c>
      <c r="H20" s="15"/>
      <c r="I20" s="15">
        <v>0</v>
      </c>
      <c r="J20" s="15"/>
      <c r="K20" s="15">
        <v>0</v>
      </c>
      <c r="L20" s="15"/>
      <c r="M20" s="15">
        <v>0</v>
      </c>
      <c r="N20" s="15"/>
      <c r="O20" s="15">
        <v>0</v>
      </c>
      <c r="P20" s="15"/>
      <c r="Q20" s="15">
        <v>0</v>
      </c>
      <c r="R20" s="15"/>
      <c r="S20" s="15">
        <v>0</v>
      </c>
      <c r="T20" s="15"/>
      <c r="U20" s="15">
        <f>S20+Q20+O20+M20+I20+G20+E20+C20</f>
        <v>-39822147.699999996</v>
      </c>
      <c r="V20" s="15"/>
    </row>
    <row r="21" spans="2:23" x14ac:dyDescent="0.2">
      <c r="B21" s="3" t="s">
        <v>24</v>
      </c>
      <c r="C21" s="15">
        <v>-131166295.53999999</v>
      </c>
      <c r="D21" s="15"/>
      <c r="E21" s="15">
        <v>-6107462.46</v>
      </c>
      <c r="F21" s="15"/>
      <c r="G21" s="15">
        <v>2416860.85</v>
      </c>
      <c r="H21" s="15"/>
      <c r="I21" s="15">
        <v>-48347.59</v>
      </c>
      <c r="J21" s="15"/>
      <c r="K21" s="15">
        <v>0</v>
      </c>
      <c r="L21" s="15"/>
      <c r="M21" s="15">
        <v>0</v>
      </c>
      <c r="N21" s="15"/>
      <c r="O21" s="15">
        <v>0</v>
      </c>
      <c r="P21" s="15"/>
      <c r="Q21" s="15">
        <v>0</v>
      </c>
      <c r="R21" s="15"/>
      <c r="S21" s="15">
        <v>0</v>
      </c>
      <c r="T21" s="15"/>
      <c r="U21" s="15">
        <f t="shared" si="0"/>
        <v>-134905244.73999998</v>
      </c>
      <c r="V21" s="15"/>
    </row>
    <row r="22" spans="2:23" x14ac:dyDescent="0.2">
      <c r="B22" s="3" t="s">
        <v>82</v>
      </c>
      <c r="C22" s="15">
        <v>-24596.489999999998</v>
      </c>
      <c r="D22" s="15"/>
      <c r="E22" s="15">
        <v>-5564.8</v>
      </c>
      <c r="F22" s="15"/>
      <c r="G22" s="15">
        <v>0</v>
      </c>
      <c r="H22" s="15"/>
      <c r="I22" s="15">
        <v>0</v>
      </c>
      <c r="J22" s="15"/>
      <c r="K22" s="15">
        <v>0</v>
      </c>
      <c r="L22" s="15"/>
      <c r="M22" s="15">
        <v>0</v>
      </c>
      <c r="N22" s="15"/>
      <c r="O22" s="15">
        <v>0</v>
      </c>
      <c r="P22" s="15"/>
      <c r="Q22" s="15">
        <v>0</v>
      </c>
      <c r="R22" s="15"/>
      <c r="S22" s="15">
        <v>0</v>
      </c>
      <c r="T22" s="15"/>
      <c r="U22" s="15">
        <f t="shared" si="0"/>
        <v>-30161.289999999997</v>
      </c>
      <c r="V22" s="15"/>
    </row>
    <row r="23" spans="2:23" x14ac:dyDescent="0.2">
      <c r="B23" s="3" t="s">
        <v>27</v>
      </c>
      <c r="C23" s="15">
        <v>-162540313.63000005</v>
      </c>
      <c r="D23" s="15"/>
      <c r="E23" s="15">
        <v>-17404032.07</v>
      </c>
      <c r="F23" s="15"/>
      <c r="G23" s="15">
        <v>8491708.0600000005</v>
      </c>
      <c r="H23" s="15"/>
      <c r="I23" s="15">
        <v>-962.14</v>
      </c>
      <c r="J23" s="15"/>
      <c r="K23" s="15">
        <v>0</v>
      </c>
      <c r="L23" s="15"/>
      <c r="M23" s="15">
        <v>0</v>
      </c>
      <c r="N23" s="15"/>
      <c r="O23" s="15">
        <v>0</v>
      </c>
      <c r="P23" s="15"/>
      <c r="Q23" s="15">
        <v>0</v>
      </c>
      <c r="R23" s="15"/>
      <c r="S23" s="15">
        <v>0</v>
      </c>
      <c r="T23" s="15"/>
      <c r="U23" s="15">
        <f t="shared" si="0"/>
        <v>-171453599.78000006</v>
      </c>
      <c r="V23" s="15"/>
    </row>
    <row r="24" spans="2:23" x14ac:dyDescent="0.2">
      <c r="B24" s="3" t="s">
        <v>83</v>
      </c>
      <c r="C24" s="15">
        <v>-1243743.4399999992</v>
      </c>
      <c r="D24" s="15"/>
      <c r="E24" s="15">
        <v>-622075.52</v>
      </c>
      <c r="F24" s="15"/>
      <c r="G24" s="15">
        <v>487435.15</v>
      </c>
      <c r="H24" s="15"/>
      <c r="I24" s="15">
        <v>0</v>
      </c>
      <c r="J24" s="15"/>
      <c r="K24" s="15">
        <v>0</v>
      </c>
      <c r="L24" s="15"/>
      <c r="M24" s="15">
        <v>0</v>
      </c>
      <c r="N24" s="15"/>
      <c r="O24" s="15">
        <v>0</v>
      </c>
      <c r="P24" s="15"/>
      <c r="Q24" s="15">
        <v>0</v>
      </c>
      <c r="R24" s="15"/>
      <c r="S24" s="15">
        <v>0</v>
      </c>
      <c r="T24" s="15"/>
      <c r="U24" s="15">
        <f t="shared" si="0"/>
        <v>-1378383.8099999991</v>
      </c>
      <c r="V24" s="15"/>
    </row>
    <row r="25" spans="2:23" x14ac:dyDescent="0.2">
      <c r="B25" s="3" t="s">
        <v>28</v>
      </c>
      <c r="C25" s="15">
        <v>-5798498.0999999996</v>
      </c>
      <c r="D25" s="15"/>
      <c r="E25" s="15">
        <v>-630687.13</v>
      </c>
      <c r="F25" s="15"/>
      <c r="G25" s="15">
        <v>421851.46</v>
      </c>
      <c r="H25" s="15"/>
      <c r="I25" s="15">
        <v>-2996.9100000000035</v>
      </c>
      <c r="J25" s="15"/>
      <c r="K25" s="15">
        <v>0</v>
      </c>
      <c r="L25" s="15"/>
      <c r="M25" s="15">
        <v>0</v>
      </c>
      <c r="N25" s="15"/>
      <c r="O25" s="15">
        <v>0</v>
      </c>
      <c r="P25" s="15"/>
      <c r="Q25" s="15">
        <v>0</v>
      </c>
      <c r="R25" s="15"/>
      <c r="S25" s="15">
        <v>0</v>
      </c>
      <c r="T25" s="15"/>
      <c r="U25" s="15">
        <f t="shared" si="0"/>
        <v>-6010330.6799999997</v>
      </c>
      <c r="V25" s="15"/>
    </row>
    <row r="26" spans="2:23" x14ac:dyDescent="0.2">
      <c r="B26" s="3" t="s">
        <v>30</v>
      </c>
      <c r="C26" s="15">
        <v>-36041847.840000004</v>
      </c>
      <c r="D26" s="15"/>
      <c r="E26" s="15">
        <v>-2637818.63</v>
      </c>
      <c r="F26" s="15"/>
      <c r="G26" s="15">
        <v>451160.9</v>
      </c>
      <c r="H26" s="15"/>
      <c r="I26" s="15">
        <v>2616.67</v>
      </c>
      <c r="J26" s="15"/>
      <c r="K26" s="15">
        <v>0</v>
      </c>
      <c r="L26" s="15"/>
      <c r="M26" s="15">
        <v>0</v>
      </c>
      <c r="N26" s="15"/>
      <c r="O26" s="15">
        <v>0</v>
      </c>
      <c r="P26" s="15"/>
      <c r="Q26" s="15">
        <v>0</v>
      </c>
      <c r="R26" s="15"/>
      <c r="S26" s="15">
        <v>0</v>
      </c>
      <c r="T26" s="15"/>
      <c r="U26" s="15">
        <f t="shared" si="0"/>
        <v>-38225888.900000006</v>
      </c>
      <c r="V26" s="15"/>
    </row>
    <row r="27" spans="2:23" x14ac:dyDescent="0.2">
      <c r="B27" s="3" t="s">
        <v>84</v>
      </c>
      <c r="C27" s="15">
        <v>-827718.63</v>
      </c>
      <c r="D27" s="15"/>
      <c r="E27" s="15">
        <v>-203291.15</v>
      </c>
      <c r="F27" s="15"/>
      <c r="G27" s="15">
        <v>57317.95</v>
      </c>
      <c r="H27" s="15"/>
      <c r="I27" s="15">
        <v>0</v>
      </c>
      <c r="J27" s="15"/>
      <c r="K27" s="15">
        <v>0</v>
      </c>
      <c r="L27" s="15"/>
      <c r="M27" s="15">
        <v>0</v>
      </c>
      <c r="N27" s="15"/>
      <c r="O27" s="15">
        <v>0</v>
      </c>
      <c r="P27" s="15"/>
      <c r="Q27" s="15">
        <v>0</v>
      </c>
      <c r="R27" s="15"/>
      <c r="S27" s="15">
        <v>0</v>
      </c>
      <c r="T27" s="15"/>
      <c r="U27" s="15">
        <f t="shared" si="0"/>
        <v>-973691.83000000007</v>
      </c>
      <c r="V27" s="15"/>
    </row>
    <row r="28" spans="2:23" x14ac:dyDescent="0.2">
      <c r="B28" s="3" t="s">
        <v>51</v>
      </c>
      <c r="C28" s="15">
        <v>0</v>
      </c>
      <c r="D28" s="15"/>
      <c r="E28" s="15">
        <v>0</v>
      </c>
      <c r="F28" s="15"/>
      <c r="G28" s="15">
        <v>0</v>
      </c>
      <c r="H28" s="15"/>
      <c r="I28" s="15">
        <v>0</v>
      </c>
      <c r="J28" s="15"/>
      <c r="K28" s="15">
        <v>0</v>
      </c>
      <c r="L28" s="15"/>
      <c r="M28" s="15">
        <v>0</v>
      </c>
      <c r="N28" s="15"/>
      <c r="O28" s="15">
        <v>0</v>
      </c>
      <c r="P28" s="15"/>
      <c r="Q28" s="15">
        <v>0</v>
      </c>
      <c r="R28" s="15"/>
      <c r="S28" s="15">
        <v>0</v>
      </c>
      <c r="T28" s="15"/>
      <c r="U28" s="15">
        <f t="shared" si="0"/>
        <v>0</v>
      </c>
      <c r="V28" s="15"/>
    </row>
    <row r="29" spans="2:23" x14ac:dyDescent="0.2">
      <c r="B29" s="3" t="s">
        <v>31</v>
      </c>
      <c r="C29" s="17">
        <v>-9504819.1000000034</v>
      </c>
      <c r="D29" s="17"/>
      <c r="E29" s="15">
        <v>-371734.96</v>
      </c>
      <c r="F29" s="17"/>
      <c r="G29" s="15">
        <v>88991</v>
      </c>
      <c r="H29" s="17"/>
      <c r="I29" s="15">
        <v>0</v>
      </c>
      <c r="J29" s="17"/>
      <c r="K29" s="17">
        <v>0</v>
      </c>
      <c r="L29" s="17"/>
      <c r="M29" s="17">
        <v>0</v>
      </c>
      <c r="N29" s="17"/>
      <c r="O29" s="15">
        <v>0</v>
      </c>
      <c r="P29" s="17"/>
      <c r="Q29" s="15">
        <v>0</v>
      </c>
      <c r="R29" s="17"/>
      <c r="S29" s="15">
        <v>0</v>
      </c>
      <c r="T29" s="17"/>
      <c r="U29" s="17">
        <f t="shared" si="0"/>
        <v>-9787563.0600000042</v>
      </c>
      <c r="V29" s="17"/>
    </row>
    <row r="30" spans="2:23" x14ac:dyDescent="0.2">
      <c r="B30" s="3" t="s">
        <v>85</v>
      </c>
      <c r="C30" s="17">
        <v>-304501.31</v>
      </c>
      <c r="D30" s="17"/>
      <c r="E30" s="15">
        <v>-40027.08</v>
      </c>
      <c r="F30" s="17"/>
      <c r="G30" s="15">
        <v>2851.93</v>
      </c>
      <c r="H30" s="17"/>
      <c r="I30" s="15">
        <v>0</v>
      </c>
      <c r="J30" s="17"/>
      <c r="K30" s="17">
        <v>0</v>
      </c>
      <c r="L30" s="17"/>
      <c r="M30" s="17">
        <v>0</v>
      </c>
      <c r="N30" s="17"/>
      <c r="O30" s="15">
        <v>0</v>
      </c>
      <c r="P30" s="17"/>
      <c r="Q30" s="15">
        <v>0</v>
      </c>
      <c r="R30" s="17"/>
      <c r="S30" s="15">
        <v>0</v>
      </c>
      <c r="T30" s="17"/>
      <c r="U30" s="17">
        <f t="shared" si="0"/>
        <v>-341676.46</v>
      </c>
      <c r="V30" s="17"/>
    </row>
    <row r="31" spans="2:23" x14ac:dyDescent="0.2">
      <c r="B31" s="22" t="s">
        <v>86</v>
      </c>
      <c r="C31" s="17">
        <v>0</v>
      </c>
      <c r="D31" s="17"/>
      <c r="E31" s="15">
        <v>0</v>
      </c>
      <c r="F31" s="17"/>
      <c r="G31" s="17">
        <v>0</v>
      </c>
      <c r="H31" s="17"/>
      <c r="I31" s="17">
        <v>0</v>
      </c>
      <c r="J31" s="17"/>
      <c r="K31" s="17">
        <v>0</v>
      </c>
      <c r="L31" s="17"/>
      <c r="M31" s="17">
        <v>0</v>
      </c>
      <c r="N31" s="17"/>
      <c r="O31" s="17">
        <v>0</v>
      </c>
      <c r="P31" s="17"/>
      <c r="Q31" s="17">
        <v>0</v>
      </c>
      <c r="R31" s="17"/>
      <c r="S31" s="17">
        <v>0</v>
      </c>
      <c r="T31" s="17"/>
      <c r="U31" s="17">
        <f t="shared" si="0"/>
        <v>0</v>
      </c>
      <c r="V31" s="17"/>
      <c r="W31" s="2" t="s">
        <v>87</v>
      </c>
    </row>
    <row r="32" spans="2:23" x14ac:dyDescent="0.2">
      <c r="B32" s="22" t="s">
        <v>88</v>
      </c>
      <c r="C32" s="16">
        <v>-63361.850000000006</v>
      </c>
      <c r="D32" s="17"/>
      <c r="E32" s="15">
        <v>0</v>
      </c>
      <c r="F32" s="17"/>
      <c r="G32" s="15">
        <v>0</v>
      </c>
      <c r="H32" s="17"/>
      <c r="I32" s="15">
        <v>1.49</v>
      </c>
      <c r="J32" s="17"/>
      <c r="K32" s="15">
        <v>0</v>
      </c>
      <c r="L32" s="17"/>
      <c r="M32" s="17">
        <v>0</v>
      </c>
      <c r="N32" s="17"/>
      <c r="O32" s="15">
        <v>0</v>
      </c>
      <c r="P32" s="17"/>
      <c r="Q32" s="15">
        <v>0</v>
      </c>
      <c r="R32" s="17"/>
      <c r="S32" s="15">
        <v>0</v>
      </c>
      <c r="T32" s="17"/>
      <c r="U32" s="16">
        <f>S32+Q32+O32+M32+I32+G32+E32+C32</f>
        <v>-63360.360000000008</v>
      </c>
      <c r="V32" s="17"/>
      <c r="W32" s="2" t="s">
        <v>87</v>
      </c>
    </row>
    <row r="33" spans="1:23" x14ac:dyDescent="0.2">
      <c r="B33" s="19"/>
      <c r="C33" s="17">
        <f>SUM(C10:C32)</f>
        <v>-1681495785.74</v>
      </c>
      <c r="D33" s="17"/>
      <c r="E33" s="20">
        <f>SUM(E10:E32)</f>
        <v>-155802032.67000002</v>
      </c>
      <c r="F33" s="17"/>
      <c r="G33" s="20">
        <f>SUM(G10:G32)</f>
        <v>118272512.23</v>
      </c>
      <c r="H33" s="17"/>
      <c r="I33" s="20">
        <f>SUM(I10:I32)</f>
        <v>-293744.98000000016</v>
      </c>
      <c r="J33" s="17"/>
      <c r="K33" s="20">
        <f>SUM(K10:K32)</f>
        <v>0</v>
      </c>
      <c r="L33" s="17"/>
      <c r="M33" s="20">
        <f>SUM(M10:M32)</f>
        <v>0</v>
      </c>
      <c r="N33" s="17"/>
      <c r="O33" s="20">
        <f>SUM(O10:O32)</f>
        <v>0</v>
      </c>
      <c r="P33" s="17"/>
      <c r="Q33" s="20">
        <f>SUM(Q10:Q32)</f>
        <v>0</v>
      </c>
      <c r="R33" s="17"/>
      <c r="S33" s="20">
        <f>SUM(S10:S32)</f>
        <v>0</v>
      </c>
      <c r="T33" s="17"/>
      <c r="U33" s="17">
        <f>SUM(U10:U32)</f>
        <v>-1719319051.1599998</v>
      </c>
      <c r="V33" s="17"/>
    </row>
    <row r="34" spans="1:23" x14ac:dyDescent="0.2">
      <c r="C34" s="31"/>
      <c r="D34" s="31"/>
      <c r="E34" s="31"/>
      <c r="F34" s="31"/>
      <c r="G34" s="31"/>
      <c r="H34" s="31"/>
      <c r="I34" s="32"/>
      <c r="J34" s="32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</row>
    <row r="35" spans="1:23" ht="15" x14ac:dyDescent="0.35">
      <c r="A35" s="10" t="s">
        <v>89</v>
      </c>
      <c r="C35" s="34"/>
      <c r="D35" s="35"/>
      <c r="E35" s="34"/>
      <c r="F35" s="35"/>
      <c r="G35" s="34"/>
      <c r="H35" s="35"/>
      <c r="I35" s="34"/>
      <c r="J35" s="34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4"/>
    </row>
    <row r="36" spans="1:23" x14ac:dyDescent="0.2">
      <c r="B36" s="3" t="s">
        <v>14</v>
      </c>
      <c r="C36" s="17">
        <v>-1331586.2</v>
      </c>
      <c r="D36" s="17"/>
      <c r="E36" s="17">
        <v>-226303.64</v>
      </c>
      <c r="F36" s="17"/>
      <c r="G36" s="15">
        <v>0</v>
      </c>
      <c r="H36" s="17"/>
      <c r="I36" s="17">
        <v>-907.88</v>
      </c>
      <c r="J36" s="17"/>
      <c r="K36" s="17">
        <v>0</v>
      </c>
      <c r="L36" s="17"/>
      <c r="M36" s="17">
        <v>0</v>
      </c>
      <c r="N36" s="17"/>
      <c r="O36" s="17">
        <v>150892.29999999999</v>
      </c>
      <c r="P36" s="17"/>
      <c r="Q36" s="15">
        <v>0</v>
      </c>
      <c r="R36" s="17"/>
      <c r="S36" s="15">
        <v>0</v>
      </c>
      <c r="T36" s="17"/>
      <c r="U36" s="17">
        <f t="shared" ref="U36:U48" si="1">S36+Q36+O36+M36+I36+G36+E36+C36</f>
        <v>-1407905.42</v>
      </c>
      <c r="V36" s="17"/>
    </row>
    <row r="37" spans="1:23" x14ac:dyDescent="0.2">
      <c r="B37" s="3" t="s">
        <v>18</v>
      </c>
      <c r="C37" s="17">
        <v>-159145186.31000003</v>
      </c>
      <c r="D37" s="17"/>
      <c r="E37" s="17">
        <v>-9875795.7599999998</v>
      </c>
      <c r="F37" s="17"/>
      <c r="G37" s="15">
        <v>0</v>
      </c>
      <c r="H37" s="17"/>
      <c r="I37" s="17">
        <v>24051.51</v>
      </c>
      <c r="J37" s="17"/>
      <c r="K37" s="17">
        <v>0</v>
      </c>
      <c r="L37" s="17"/>
      <c r="M37" s="17">
        <v>0</v>
      </c>
      <c r="N37" s="17"/>
      <c r="O37" s="17">
        <v>7580571.1699999999</v>
      </c>
      <c r="P37" s="17"/>
      <c r="Q37" s="15">
        <v>0</v>
      </c>
      <c r="R37" s="17"/>
      <c r="S37" s="15">
        <v>-713431.35</v>
      </c>
      <c r="T37" s="17"/>
      <c r="U37" s="17">
        <f t="shared" si="1"/>
        <v>-162129790.74000004</v>
      </c>
      <c r="V37" s="17"/>
    </row>
    <row r="38" spans="1:23" x14ac:dyDescent="0.2">
      <c r="B38" s="3" t="s">
        <v>19</v>
      </c>
      <c r="C38" s="17">
        <v>3866.64</v>
      </c>
      <c r="D38" s="17"/>
      <c r="E38" s="17">
        <v>0</v>
      </c>
      <c r="F38" s="17"/>
      <c r="G38" s="15">
        <v>0</v>
      </c>
      <c r="H38" s="17"/>
      <c r="I38" s="17">
        <v>0</v>
      </c>
      <c r="J38" s="17"/>
      <c r="K38" s="17">
        <v>0</v>
      </c>
      <c r="L38" s="17"/>
      <c r="M38" s="17">
        <v>0</v>
      </c>
      <c r="N38" s="17"/>
      <c r="O38" s="17">
        <v>0</v>
      </c>
      <c r="P38" s="17"/>
      <c r="Q38" s="15">
        <v>0</v>
      </c>
      <c r="R38" s="17"/>
      <c r="S38" s="15">
        <v>0</v>
      </c>
      <c r="T38" s="17"/>
      <c r="U38" s="17">
        <f t="shared" si="1"/>
        <v>3866.64</v>
      </c>
      <c r="V38" s="17"/>
    </row>
    <row r="39" spans="1:23" x14ac:dyDescent="0.2">
      <c r="B39" s="3" t="s">
        <v>20</v>
      </c>
      <c r="C39" s="17">
        <v>1676117.03</v>
      </c>
      <c r="D39" s="17"/>
      <c r="E39" s="17">
        <v>-102710.98</v>
      </c>
      <c r="F39" s="17"/>
      <c r="G39" s="15">
        <v>0</v>
      </c>
      <c r="H39" s="17"/>
      <c r="I39" s="17">
        <v>0</v>
      </c>
      <c r="J39" s="17"/>
      <c r="K39" s="17">
        <v>0</v>
      </c>
      <c r="L39" s="17"/>
      <c r="M39" s="17">
        <v>0</v>
      </c>
      <c r="N39" s="17"/>
      <c r="O39" s="17">
        <v>15985.87</v>
      </c>
      <c r="P39" s="17"/>
      <c r="Q39" s="15">
        <v>0</v>
      </c>
      <c r="R39" s="17"/>
      <c r="S39" s="15">
        <v>0</v>
      </c>
      <c r="T39" s="17"/>
      <c r="U39" s="17">
        <f t="shared" si="1"/>
        <v>1589391.92</v>
      </c>
      <c r="V39" s="17"/>
    </row>
    <row r="40" spans="1:23" x14ac:dyDescent="0.2">
      <c r="B40" s="3" t="s">
        <v>22</v>
      </c>
      <c r="C40" s="17">
        <v>-3603371.0100000007</v>
      </c>
      <c r="D40" s="17"/>
      <c r="E40" s="17">
        <v>-595898.91</v>
      </c>
      <c r="F40" s="17"/>
      <c r="G40" s="15">
        <v>0</v>
      </c>
      <c r="H40" s="17"/>
      <c r="I40" s="17">
        <v>0</v>
      </c>
      <c r="J40" s="17"/>
      <c r="K40" s="17">
        <v>0</v>
      </c>
      <c r="L40" s="17"/>
      <c r="M40" s="17">
        <v>0</v>
      </c>
      <c r="N40" s="17"/>
      <c r="O40" s="17">
        <v>39115.85</v>
      </c>
      <c r="P40" s="17"/>
      <c r="Q40" s="15">
        <v>0</v>
      </c>
      <c r="R40" s="17"/>
      <c r="S40" s="15">
        <v>0</v>
      </c>
      <c r="T40" s="17"/>
      <c r="U40" s="17">
        <f t="shared" si="1"/>
        <v>-4160154.0700000008</v>
      </c>
      <c r="V40" s="17"/>
    </row>
    <row r="41" spans="1:23" x14ac:dyDescent="0.2">
      <c r="B41" s="3" t="s">
        <v>23</v>
      </c>
      <c r="C41" s="17">
        <v>-122806127.67</v>
      </c>
      <c r="D41" s="17"/>
      <c r="E41" s="17">
        <v>-5877860.96</v>
      </c>
      <c r="F41" s="17"/>
      <c r="G41" s="15">
        <v>0</v>
      </c>
      <c r="H41" s="17"/>
      <c r="I41" s="17">
        <v>0</v>
      </c>
      <c r="J41" s="17"/>
      <c r="K41" s="17">
        <v>0</v>
      </c>
      <c r="L41" s="17"/>
      <c r="M41" s="17">
        <v>0</v>
      </c>
      <c r="N41" s="17"/>
      <c r="O41" s="17">
        <v>3641835.22</v>
      </c>
      <c r="P41" s="17"/>
      <c r="Q41" s="15">
        <v>0</v>
      </c>
      <c r="R41" s="17"/>
      <c r="S41" s="15">
        <v>-264723.98</v>
      </c>
      <c r="T41" s="17"/>
      <c r="U41" s="17">
        <f t="shared" si="1"/>
        <v>-125306877.39</v>
      </c>
      <c r="V41" s="17"/>
    </row>
    <row r="42" spans="1:23" x14ac:dyDescent="0.2">
      <c r="B42" s="3" t="s">
        <v>24</v>
      </c>
      <c r="C42" s="17">
        <v>-25494116.360000003</v>
      </c>
      <c r="D42" s="17"/>
      <c r="E42" s="17">
        <v>-2014427.03</v>
      </c>
      <c r="F42" s="17"/>
      <c r="G42" s="15">
        <v>0</v>
      </c>
      <c r="H42" s="17"/>
      <c r="I42" s="17">
        <v>2848.49</v>
      </c>
      <c r="J42" s="17"/>
      <c r="K42" s="17">
        <v>0</v>
      </c>
      <c r="L42" s="17"/>
      <c r="M42" s="17">
        <v>0</v>
      </c>
      <c r="N42" s="17"/>
      <c r="O42" s="17">
        <v>1730797.34</v>
      </c>
      <c r="P42" s="17"/>
      <c r="Q42" s="15">
        <v>0</v>
      </c>
      <c r="R42" s="17"/>
      <c r="S42" s="15">
        <v>-2798.5399999999991</v>
      </c>
      <c r="T42" s="17"/>
      <c r="U42" s="17">
        <f t="shared" si="1"/>
        <v>-25777696.100000001</v>
      </c>
      <c r="V42" s="17"/>
    </row>
    <row r="43" spans="1:23" x14ac:dyDescent="0.2">
      <c r="B43" s="3" t="s">
        <v>27</v>
      </c>
      <c r="C43" s="17">
        <v>-77876680.659999996</v>
      </c>
      <c r="D43" s="17"/>
      <c r="E43" s="17">
        <v>-6926488.0199999996</v>
      </c>
      <c r="F43" s="17"/>
      <c r="G43" s="15">
        <v>0</v>
      </c>
      <c r="H43" s="17"/>
      <c r="I43" s="17">
        <v>-63.76</v>
      </c>
      <c r="J43" s="17"/>
      <c r="K43" s="17">
        <v>0</v>
      </c>
      <c r="L43" s="17"/>
      <c r="M43" s="17">
        <v>0</v>
      </c>
      <c r="N43" s="17"/>
      <c r="O43" s="17">
        <v>2342563.54</v>
      </c>
      <c r="P43" s="17"/>
      <c r="Q43" s="15">
        <v>0</v>
      </c>
      <c r="R43" s="17"/>
      <c r="S43" s="15">
        <v>4945.8599999999997</v>
      </c>
      <c r="T43" s="17"/>
      <c r="U43" s="17">
        <f t="shared" si="1"/>
        <v>-82455723.039999992</v>
      </c>
      <c r="V43" s="17"/>
    </row>
    <row r="44" spans="1:23" x14ac:dyDescent="0.2">
      <c r="B44" s="3" t="s">
        <v>28</v>
      </c>
      <c r="C44" s="17">
        <v>111.56</v>
      </c>
      <c r="D44" s="17"/>
      <c r="E44" s="17">
        <v>0</v>
      </c>
      <c r="F44" s="17"/>
      <c r="G44" s="15">
        <v>0</v>
      </c>
      <c r="H44" s="17"/>
      <c r="I44" s="17">
        <v>1545.44</v>
      </c>
      <c r="J44" s="17"/>
      <c r="K44" s="17">
        <v>0</v>
      </c>
      <c r="L44" s="17"/>
      <c r="M44" s="17">
        <v>0</v>
      </c>
      <c r="N44" s="17"/>
      <c r="O44" s="17">
        <v>-1568.4</v>
      </c>
      <c r="P44" s="17"/>
      <c r="Q44" s="15">
        <v>0</v>
      </c>
      <c r="R44" s="17"/>
      <c r="S44" s="15">
        <v>0</v>
      </c>
      <c r="T44" s="17"/>
      <c r="U44" s="17">
        <f t="shared" si="1"/>
        <v>88.599999999999966</v>
      </c>
      <c r="V44" s="17"/>
    </row>
    <row r="45" spans="1:23" x14ac:dyDescent="0.2">
      <c r="B45" s="3" t="s">
        <v>30</v>
      </c>
      <c r="C45" s="17">
        <v>-1257455.6800000006</v>
      </c>
      <c r="D45" s="17"/>
      <c r="E45" s="17">
        <v>-286738.92</v>
      </c>
      <c r="F45" s="17"/>
      <c r="G45" s="15">
        <v>0</v>
      </c>
      <c r="H45" s="17"/>
      <c r="I45" s="17">
        <v>-1.72</v>
      </c>
      <c r="J45" s="17"/>
      <c r="K45" s="17">
        <v>0</v>
      </c>
      <c r="L45" s="17"/>
      <c r="M45" s="17">
        <v>0</v>
      </c>
      <c r="N45" s="17"/>
      <c r="O45" s="17">
        <v>593252.31999999995</v>
      </c>
      <c r="P45" s="17"/>
      <c r="Q45" s="15">
        <v>0</v>
      </c>
      <c r="R45" s="17"/>
      <c r="S45" s="15">
        <v>0</v>
      </c>
      <c r="T45" s="17"/>
      <c r="U45" s="17">
        <f t="shared" si="1"/>
        <v>-950944.0000000007</v>
      </c>
      <c r="V45" s="17"/>
    </row>
    <row r="46" spans="1:23" x14ac:dyDescent="0.2">
      <c r="B46" s="3" t="s">
        <v>51</v>
      </c>
      <c r="C46" s="17">
        <v>0</v>
      </c>
      <c r="D46" s="17"/>
      <c r="E46" s="17">
        <v>0</v>
      </c>
      <c r="F46" s="17"/>
      <c r="G46" s="15">
        <v>0</v>
      </c>
      <c r="H46" s="17"/>
      <c r="I46" s="17">
        <v>0</v>
      </c>
      <c r="J46" s="17"/>
      <c r="K46" s="17">
        <v>0</v>
      </c>
      <c r="L46" s="17"/>
      <c r="M46" s="17">
        <v>0</v>
      </c>
      <c r="N46" s="17"/>
      <c r="O46" s="17">
        <v>0</v>
      </c>
      <c r="P46" s="17"/>
      <c r="Q46" s="15">
        <v>0</v>
      </c>
      <c r="R46" s="17"/>
      <c r="S46" s="15">
        <v>0</v>
      </c>
      <c r="T46" s="17"/>
      <c r="U46" s="17">
        <f t="shared" si="1"/>
        <v>0</v>
      </c>
      <c r="V46" s="17"/>
    </row>
    <row r="47" spans="1:23" x14ac:dyDescent="0.2">
      <c r="B47" s="3" t="s">
        <v>31</v>
      </c>
      <c r="C47" s="17">
        <v>-2009727.9699999997</v>
      </c>
      <c r="D47" s="17"/>
      <c r="E47" s="17">
        <v>-41264.67</v>
      </c>
      <c r="F47" s="17"/>
      <c r="G47" s="15">
        <v>0</v>
      </c>
      <c r="H47" s="17"/>
      <c r="I47" s="17">
        <v>0</v>
      </c>
      <c r="J47" s="17"/>
      <c r="K47" s="17">
        <v>0</v>
      </c>
      <c r="L47" s="17"/>
      <c r="M47" s="17">
        <v>0</v>
      </c>
      <c r="N47" s="17"/>
      <c r="O47" s="17">
        <v>61231.55</v>
      </c>
      <c r="P47" s="17"/>
      <c r="Q47" s="15">
        <v>0</v>
      </c>
      <c r="R47" s="17"/>
      <c r="S47" s="15">
        <v>0</v>
      </c>
      <c r="T47" s="17"/>
      <c r="U47" s="17">
        <f t="shared" si="1"/>
        <v>-1989761.0899999999</v>
      </c>
      <c r="V47" s="17"/>
    </row>
    <row r="48" spans="1:23" x14ac:dyDescent="0.2">
      <c r="B48" s="3" t="s">
        <v>54</v>
      </c>
      <c r="C48" s="16">
        <v>1.2734258092450546E-13</v>
      </c>
      <c r="D48" s="17"/>
      <c r="E48" s="16">
        <v>0</v>
      </c>
      <c r="F48" s="17"/>
      <c r="G48" s="16">
        <v>0</v>
      </c>
      <c r="H48" s="17"/>
      <c r="I48" s="16">
        <v>0</v>
      </c>
      <c r="J48" s="17"/>
      <c r="K48" s="16">
        <v>0</v>
      </c>
      <c r="L48" s="17"/>
      <c r="M48" s="16">
        <v>0</v>
      </c>
      <c r="N48" s="17"/>
      <c r="O48" s="16">
        <v>0</v>
      </c>
      <c r="P48" s="17"/>
      <c r="Q48" s="16">
        <v>0</v>
      </c>
      <c r="R48" s="17"/>
      <c r="S48" s="16">
        <v>0</v>
      </c>
      <c r="T48" s="17"/>
      <c r="U48" s="16">
        <f t="shared" si="1"/>
        <v>1.2734258092450546E-13</v>
      </c>
      <c r="V48" s="17"/>
    </row>
    <row r="49" spans="1:22" x14ac:dyDescent="0.2">
      <c r="B49" s="19"/>
      <c r="C49" s="17">
        <f>SUM(C36:C48)</f>
        <v>-391844156.63000011</v>
      </c>
      <c r="D49" s="17"/>
      <c r="E49" s="17">
        <f>SUM(E36:E48)</f>
        <v>-25947488.890000004</v>
      </c>
      <c r="F49" s="17"/>
      <c r="G49" s="17">
        <f>SUM(G36:G48)</f>
        <v>0</v>
      </c>
      <c r="H49" s="17"/>
      <c r="I49" s="17">
        <f>SUM(I36:I48)</f>
        <v>27472.079999999994</v>
      </c>
      <c r="J49" s="17"/>
      <c r="K49" s="17">
        <f>SUM(K36:K48)</f>
        <v>0</v>
      </c>
      <c r="L49" s="17"/>
      <c r="M49" s="17">
        <f>SUM(M36:M48)</f>
        <v>0</v>
      </c>
      <c r="N49" s="17"/>
      <c r="O49" s="17">
        <f>SUM(O36:O48)</f>
        <v>16154676.76</v>
      </c>
      <c r="P49" s="17"/>
      <c r="Q49" s="17">
        <f>SUM(Q36:Q48)</f>
        <v>0</v>
      </c>
      <c r="R49" s="17"/>
      <c r="S49" s="17">
        <f>SUM(S36:S48)</f>
        <v>-976008.01</v>
      </c>
      <c r="T49" s="17"/>
      <c r="U49" s="17">
        <f>SUM(U36:U48)</f>
        <v>-402585504.69</v>
      </c>
      <c r="V49" s="17"/>
    </row>
    <row r="50" spans="1:22" x14ac:dyDescent="0.2">
      <c r="C50" s="31"/>
      <c r="D50" s="31"/>
      <c r="E50" s="31"/>
      <c r="F50" s="31"/>
      <c r="G50" s="31"/>
      <c r="H50" s="31"/>
      <c r="I50" s="32"/>
      <c r="J50" s="32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5" x14ac:dyDescent="0.35">
      <c r="A51" s="10" t="s">
        <v>90</v>
      </c>
      <c r="C51" s="34"/>
      <c r="D51" s="35"/>
      <c r="E51" s="34"/>
      <c r="F51" s="35"/>
      <c r="G51" s="34"/>
      <c r="H51" s="35"/>
      <c r="I51" s="34"/>
      <c r="J51" s="34"/>
      <c r="K51" s="34"/>
      <c r="L51" s="35"/>
      <c r="M51" s="34"/>
      <c r="N51" s="35"/>
      <c r="O51" s="34"/>
      <c r="P51" s="35"/>
      <c r="Q51" s="34"/>
      <c r="R51" s="35"/>
      <c r="S51" s="34"/>
      <c r="T51" s="35"/>
      <c r="U51" s="34"/>
      <c r="V51" s="34"/>
    </row>
    <row r="52" spans="1:22" x14ac:dyDescent="0.2">
      <c r="B52" s="3" t="s">
        <v>14</v>
      </c>
      <c r="C52" s="17">
        <v>276891.90999999997</v>
      </c>
      <c r="D52" s="17"/>
      <c r="E52" s="17">
        <v>253.1</v>
      </c>
      <c r="F52" s="17"/>
      <c r="G52" s="17">
        <v>0</v>
      </c>
      <c r="H52" s="17"/>
      <c r="I52" s="17">
        <v>0</v>
      </c>
      <c r="J52" s="17"/>
      <c r="K52" s="17">
        <v>0</v>
      </c>
      <c r="L52" s="17"/>
      <c r="M52" s="17">
        <v>0</v>
      </c>
      <c r="N52" s="17"/>
      <c r="O52" s="17">
        <v>0</v>
      </c>
      <c r="P52" s="17"/>
      <c r="Q52" s="17">
        <v>-1397.96</v>
      </c>
      <c r="R52" s="17"/>
      <c r="S52" s="17">
        <v>0</v>
      </c>
      <c r="T52" s="17"/>
      <c r="U52" s="17">
        <f t="shared" ref="U52:U64" si="2">S52+Q52+O52+M52+I52+G52+E52+C52</f>
        <v>275747.05</v>
      </c>
      <c r="V52" s="17"/>
    </row>
    <row r="53" spans="1:22" x14ac:dyDescent="0.2">
      <c r="B53" s="3" t="s">
        <v>18</v>
      </c>
      <c r="C53" s="17">
        <v>20117939</v>
      </c>
      <c r="D53" s="17"/>
      <c r="E53" s="17">
        <v>683306.81</v>
      </c>
      <c r="F53" s="17"/>
      <c r="G53" s="17">
        <v>0</v>
      </c>
      <c r="H53" s="17"/>
      <c r="I53" s="17">
        <v>0</v>
      </c>
      <c r="J53" s="17"/>
      <c r="K53" s="17">
        <v>0</v>
      </c>
      <c r="L53" s="17"/>
      <c r="M53" s="17">
        <v>0</v>
      </c>
      <c r="N53" s="17"/>
      <c r="O53" s="17">
        <v>0</v>
      </c>
      <c r="P53" s="17"/>
      <c r="Q53" s="17">
        <v>-174072.58</v>
      </c>
      <c r="R53" s="17"/>
      <c r="S53" s="17">
        <v>0</v>
      </c>
      <c r="T53" s="17"/>
      <c r="U53" s="17">
        <f t="shared" si="2"/>
        <v>20627173.23</v>
      </c>
      <c r="V53" s="17"/>
    </row>
    <row r="54" spans="1:22" x14ac:dyDescent="0.2">
      <c r="B54" s="3" t="s">
        <v>19</v>
      </c>
      <c r="C54" s="17">
        <v>150030.12</v>
      </c>
      <c r="D54" s="17"/>
      <c r="E54" s="17">
        <v>1660.33</v>
      </c>
      <c r="F54" s="17"/>
      <c r="G54" s="17">
        <v>0</v>
      </c>
      <c r="H54" s="17"/>
      <c r="I54" s="17">
        <v>0</v>
      </c>
      <c r="J54" s="17"/>
      <c r="K54" s="17">
        <v>0</v>
      </c>
      <c r="L54" s="17"/>
      <c r="M54" s="17">
        <v>0</v>
      </c>
      <c r="N54" s="17"/>
      <c r="O54" s="17">
        <v>0</v>
      </c>
      <c r="P54" s="17"/>
      <c r="Q54" s="17">
        <v>0</v>
      </c>
      <c r="R54" s="17"/>
      <c r="S54" s="17">
        <v>0</v>
      </c>
      <c r="T54" s="17"/>
      <c r="U54" s="17">
        <f t="shared" si="2"/>
        <v>151690.44999999998</v>
      </c>
      <c r="V54" s="17"/>
    </row>
    <row r="55" spans="1:22" x14ac:dyDescent="0.2">
      <c r="B55" s="3" t="s">
        <v>20</v>
      </c>
      <c r="C55" s="17">
        <v>420519.30999999994</v>
      </c>
      <c r="D55" s="17"/>
      <c r="E55" s="17">
        <v>21488.11</v>
      </c>
      <c r="F55" s="17"/>
      <c r="G55" s="17">
        <v>0</v>
      </c>
      <c r="H55" s="17"/>
      <c r="I55" s="17">
        <v>0</v>
      </c>
      <c r="J55" s="17"/>
      <c r="K55" s="17">
        <v>0</v>
      </c>
      <c r="L55" s="17"/>
      <c r="M55" s="17">
        <v>0</v>
      </c>
      <c r="N55" s="17"/>
      <c r="O55" s="17">
        <v>0</v>
      </c>
      <c r="P55" s="17"/>
      <c r="Q55" s="17">
        <v>-110.96</v>
      </c>
      <c r="R55" s="17"/>
      <c r="S55" s="17">
        <v>0</v>
      </c>
      <c r="T55" s="17"/>
      <c r="U55" s="17">
        <f t="shared" si="2"/>
        <v>441896.45999999996</v>
      </c>
      <c r="V55" s="17"/>
    </row>
    <row r="56" spans="1:22" x14ac:dyDescent="0.2">
      <c r="B56" s="3" t="s">
        <v>22</v>
      </c>
      <c r="C56" s="17">
        <v>229366.72</v>
      </c>
      <c r="D56" s="17"/>
      <c r="E56" s="17">
        <v>111138.87</v>
      </c>
      <c r="F56" s="17"/>
      <c r="G56" s="17">
        <v>0</v>
      </c>
      <c r="H56" s="17"/>
      <c r="I56" s="17">
        <v>0</v>
      </c>
      <c r="J56" s="17"/>
      <c r="K56" s="17">
        <v>0</v>
      </c>
      <c r="L56" s="17"/>
      <c r="M56" s="17">
        <v>0</v>
      </c>
      <c r="N56" s="17"/>
      <c r="O56" s="17">
        <v>0</v>
      </c>
      <c r="P56" s="17"/>
      <c r="Q56" s="17">
        <v>-1433.84</v>
      </c>
      <c r="R56" s="17"/>
      <c r="S56" s="17">
        <v>0</v>
      </c>
      <c r="T56" s="17"/>
      <c r="U56" s="17">
        <f t="shared" si="2"/>
        <v>339071.75</v>
      </c>
      <c r="V56" s="17"/>
    </row>
    <row r="57" spans="1:22" x14ac:dyDescent="0.2">
      <c r="B57" s="3" t="s">
        <v>23</v>
      </c>
      <c r="C57" s="17">
        <v>27764727.52</v>
      </c>
      <c r="D57" s="17"/>
      <c r="E57" s="17">
        <v>1043312.34</v>
      </c>
      <c r="F57" s="17"/>
      <c r="G57" s="17">
        <v>0</v>
      </c>
      <c r="H57" s="17"/>
      <c r="I57" s="17">
        <v>0</v>
      </c>
      <c r="J57" s="17"/>
      <c r="K57" s="17">
        <v>0</v>
      </c>
      <c r="L57" s="17"/>
      <c r="M57" s="17">
        <v>0</v>
      </c>
      <c r="N57" s="17"/>
      <c r="O57" s="17">
        <v>0</v>
      </c>
      <c r="P57" s="17"/>
      <c r="Q57" s="17">
        <v>-463028.95</v>
      </c>
      <c r="R57" s="17"/>
      <c r="S57" s="17">
        <v>0</v>
      </c>
      <c r="T57" s="17"/>
      <c r="U57" s="17">
        <f t="shared" si="2"/>
        <v>28345010.91</v>
      </c>
      <c r="V57" s="17"/>
    </row>
    <row r="58" spans="1:22" x14ac:dyDescent="0.2">
      <c r="B58" s="3" t="s">
        <v>24</v>
      </c>
      <c r="C58" s="17">
        <v>6628958.7399999993</v>
      </c>
      <c r="D58" s="17"/>
      <c r="E58" s="17">
        <v>236882.53</v>
      </c>
      <c r="F58" s="17"/>
      <c r="G58" s="17">
        <v>0</v>
      </c>
      <c r="H58" s="17"/>
      <c r="I58" s="17">
        <v>0</v>
      </c>
      <c r="J58" s="17"/>
      <c r="K58" s="17">
        <v>0</v>
      </c>
      <c r="L58" s="17"/>
      <c r="M58" s="17">
        <v>0</v>
      </c>
      <c r="N58" s="17"/>
      <c r="O58" s="17">
        <v>0</v>
      </c>
      <c r="P58" s="17"/>
      <c r="Q58" s="17">
        <v>-179939.95</v>
      </c>
      <c r="R58" s="17"/>
      <c r="S58" s="17">
        <v>0</v>
      </c>
      <c r="T58" s="17"/>
      <c r="U58" s="17">
        <f t="shared" si="2"/>
        <v>6685901.3199999994</v>
      </c>
      <c r="V58" s="17"/>
    </row>
    <row r="59" spans="1:22" x14ac:dyDescent="0.2">
      <c r="B59" s="3" t="s">
        <v>27</v>
      </c>
      <c r="C59" s="17">
        <v>4331533.53</v>
      </c>
      <c r="D59" s="17"/>
      <c r="E59" s="17">
        <v>135517.89000000001</v>
      </c>
      <c r="F59" s="17"/>
      <c r="G59" s="17">
        <v>0</v>
      </c>
      <c r="H59" s="17"/>
      <c r="I59" s="17">
        <v>0</v>
      </c>
      <c r="J59" s="17"/>
      <c r="K59" s="17">
        <v>0</v>
      </c>
      <c r="L59" s="17"/>
      <c r="M59" s="17">
        <v>0</v>
      </c>
      <c r="N59" s="17"/>
      <c r="O59" s="17">
        <v>0</v>
      </c>
      <c r="P59" s="17"/>
      <c r="Q59" s="17">
        <v>-2550.4699999999998</v>
      </c>
      <c r="R59" s="17"/>
      <c r="S59" s="17">
        <v>0</v>
      </c>
      <c r="T59" s="17"/>
      <c r="U59" s="17">
        <f t="shared" si="2"/>
        <v>4464500.95</v>
      </c>
      <c r="V59" s="17"/>
    </row>
    <row r="60" spans="1:22" x14ac:dyDescent="0.2">
      <c r="B60" s="3" t="s">
        <v>28</v>
      </c>
      <c r="C60" s="17">
        <v>236217.59000000003</v>
      </c>
      <c r="D60" s="17"/>
      <c r="E60" s="17">
        <v>2167.5300000000002</v>
      </c>
      <c r="F60" s="17"/>
      <c r="G60" s="17">
        <v>0</v>
      </c>
      <c r="H60" s="17"/>
      <c r="I60" s="17">
        <v>43607.11</v>
      </c>
      <c r="J60" s="17"/>
      <c r="K60" s="17">
        <v>0</v>
      </c>
      <c r="L60" s="17"/>
      <c r="M60" s="17">
        <v>0</v>
      </c>
      <c r="N60" s="17"/>
      <c r="O60" s="17">
        <v>0</v>
      </c>
      <c r="P60" s="17"/>
      <c r="Q60" s="17">
        <v>-44255</v>
      </c>
      <c r="R60" s="17"/>
      <c r="S60" s="17">
        <v>0</v>
      </c>
      <c r="T60" s="17"/>
      <c r="U60" s="17">
        <f t="shared" si="2"/>
        <v>237737.23000000004</v>
      </c>
      <c r="V60" s="17"/>
    </row>
    <row r="61" spans="1:22" x14ac:dyDescent="0.2">
      <c r="B61" s="3" t="s">
        <v>30</v>
      </c>
      <c r="C61" s="17">
        <v>409204.43999999994</v>
      </c>
      <c r="D61" s="17"/>
      <c r="E61" s="17">
        <v>44582.28</v>
      </c>
      <c r="F61" s="17"/>
      <c r="G61" s="17">
        <v>0</v>
      </c>
      <c r="H61" s="17"/>
      <c r="I61" s="17">
        <v>0</v>
      </c>
      <c r="J61" s="17"/>
      <c r="K61" s="17">
        <v>0</v>
      </c>
      <c r="L61" s="17"/>
      <c r="M61" s="17">
        <v>0</v>
      </c>
      <c r="N61" s="17"/>
      <c r="O61" s="17">
        <v>0</v>
      </c>
      <c r="P61" s="17"/>
      <c r="Q61" s="17">
        <v>-433.45</v>
      </c>
      <c r="R61" s="17"/>
      <c r="S61" s="17">
        <v>0</v>
      </c>
      <c r="T61" s="17"/>
      <c r="U61" s="17">
        <f t="shared" si="2"/>
        <v>453353.26999999996</v>
      </c>
      <c r="V61" s="17"/>
    </row>
    <row r="62" spans="1:22" x14ac:dyDescent="0.2">
      <c r="B62" s="3" t="s">
        <v>51</v>
      </c>
      <c r="C62" s="17">
        <v>0</v>
      </c>
      <c r="D62" s="17"/>
      <c r="E62" s="17">
        <v>0</v>
      </c>
      <c r="F62" s="17"/>
      <c r="G62" s="17">
        <v>0</v>
      </c>
      <c r="H62" s="17"/>
      <c r="I62" s="17">
        <v>0</v>
      </c>
      <c r="J62" s="17"/>
      <c r="K62" s="17">
        <v>0</v>
      </c>
      <c r="L62" s="17"/>
      <c r="M62" s="17">
        <v>0</v>
      </c>
      <c r="N62" s="17"/>
      <c r="O62" s="17">
        <v>0</v>
      </c>
      <c r="P62" s="17"/>
      <c r="Q62" s="17">
        <v>0</v>
      </c>
      <c r="R62" s="17"/>
      <c r="S62" s="17">
        <v>0</v>
      </c>
      <c r="T62" s="17"/>
      <c r="U62" s="17">
        <f t="shared" si="2"/>
        <v>0</v>
      </c>
      <c r="V62" s="17"/>
    </row>
    <row r="63" spans="1:22" x14ac:dyDescent="0.2">
      <c r="B63" s="3" t="s">
        <v>31</v>
      </c>
      <c r="C63" s="17">
        <v>240896.06</v>
      </c>
      <c r="D63" s="17"/>
      <c r="E63" s="17">
        <v>5158.07</v>
      </c>
      <c r="F63" s="17"/>
      <c r="G63" s="17">
        <v>0</v>
      </c>
      <c r="H63" s="17"/>
      <c r="I63" s="17">
        <v>0</v>
      </c>
      <c r="J63" s="17"/>
      <c r="K63" s="17">
        <v>0</v>
      </c>
      <c r="L63" s="17"/>
      <c r="M63" s="17">
        <v>0</v>
      </c>
      <c r="N63" s="17"/>
      <c r="O63" s="17">
        <v>0</v>
      </c>
      <c r="P63" s="17"/>
      <c r="Q63" s="17">
        <v>0</v>
      </c>
      <c r="R63" s="17"/>
      <c r="S63" s="17">
        <v>0</v>
      </c>
      <c r="T63" s="17"/>
      <c r="U63" s="17">
        <f t="shared" si="2"/>
        <v>246054.13</v>
      </c>
      <c r="V63" s="17"/>
    </row>
    <row r="64" spans="1:22" x14ac:dyDescent="0.2">
      <c r="B64" s="3" t="s">
        <v>54</v>
      </c>
      <c r="C64" s="16">
        <v>0</v>
      </c>
      <c r="D64" s="17"/>
      <c r="E64" s="16">
        <v>0</v>
      </c>
      <c r="F64" s="17"/>
      <c r="G64" s="16">
        <v>0</v>
      </c>
      <c r="H64" s="17"/>
      <c r="I64" s="16">
        <v>0</v>
      </c>
      <c r="J64" s="17"/>
      <c r="K64" s="16">
        <v>0</v>
      </c>
      <c r="L64" s="17"/>
      <c r="M64" s="16">
        <v>0</v>
      </c>
      <c r="N64" s="17"/>
      <c r="O64" s="16">
        <v>0</v>
      </c>
      <c r="P64" s="17"/>
      <c r="Q64" s="16">
        <v>0</v>
      </c>
      <c r="R64" s="17"/>
      <c r="S64" s="16">
        <v>0</v>
      </c>
      <c r="T64" s="17"/>
      <c r="U64" s="16">
        <f t="shared" si="2"/>
        <v>0</v>
      </c>
      <c r="V64" s="17"/>
    </row>
    <row r="65" spans="1:28" x14ac:dyDescent="0.2">
      <c r="B65" s="19"/>
      <c r="C65" s="17">
        <f>SUM(C52:C64)</f>
        <v>60806284.940000005</v>
      </c>
      <c r="D65" s="17"/>
      <c r="E65" s="17">
        <f>SUM(E52:E64)</f>
        <v>2285467.8599999994</v>
      </c>
      <c r="F65" s="17"/>
      <c r="G65" s="17">
        <f>SUM(G52:G64)</f>
        <v>0</v>
      </c>
      <c r="H65" s="17"/>
      <c r="I65" s="17">
        <f>SUM(I52:I64)</f>
        <v>43607.11</v>
      </c>
      <c r="J65" s="17"/>
      <c r="K65" s="17">
        <f>SUM(K52:K64)</f>
        <v>0</v>
      </c>
      <c r="L65" s="17"/>
      <c r="M65" s="17">
        <f>SUM(M52:M64)</f>
        <v>0</v>
      </c>
      <c r="N65" s="17"/>
      <c r="O65" s="17">
        <f>SUM(O52:O64)</f>
        <v>0</v>
      </c>
      <c r="P65" s="17"/>
      <c r="Q65" s="17">
        <f>SUM(Q52:Q64)</f>
        <v>-867223.15999999992</v>
      </c>
      <c r="R65" s="17"/>
      <c r="S65" s="17">
        <f>SUM(S52:S64)</f>
        <v>0</v>
      </c>
      <c r="T65" s="17"/>
      <c r="U65" s="17">
        <f>SUM(U52:U64)</f>
        <v>62268136.750000007</v>
      </c>
      <c r="V65" s="17"/>
    </row>
    <row r="66" spans="1:28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8" x14ac:dyDescent="0.2">
      <c r="A67" s="10" t="s">
        <v>91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8" x14ac:dyDescent="0.2">
      <c r="B68" s="3" t="s">
        <v>13</v>
      </c>
      <c r="C68" s="15">
        <f>C52+C36+C10+C11+C64+C48+C32+C31</f>
        <v>-91395278.86999999</v>
      </c>
      <c r="D68" s="15"/>
      <c r="E68" s="15">
        <f>E52+E36+E10+E11+E64+E48+E32+E31</f>
        <v>-10286844.489999998</v>
      </c>
      <c r="F68" s="15"/>
      <c r="G68" s="15">
        <f>G52+G36+G10+G11+G64+G48+G32+G31</f>
        <v>20362956.43</v>
      </c>
      <c r="H68" s="15"/>
      <c r="I68" s="15">
        <f>I52+I36+I10+I11+I64+I48+I32+I31</f>
        <v>435.99000000000012</v>
      </c>
      <c r="J68" s="15"/>
      <c r="K68" s="15">
        <f>K52+K36+K10+K11+K64+K48+K32+K31</f>
        <v>0</v>
      </c>
      <c r="L68" s="15"/>
      <c r="M68" s="15">
        <f>M52+M36+M10+M11+M64+M48+M32+M31</f>
        <v>0</v>
      </c>
      <c r="N68" s="15"/>
      <c r="O68" s="15">
        <f>O52+O36+O10+O11+O64+O48+O32+O31</f>
        <v>150892.29999999999</v>
      </c>
      <c r="P68" s="15"/>
      <c r="Q68" s="15">
        <f>Q52+Q36+Q10+Q11+Q64+Q48+Q32+Q31</f>
        <v>-1397.96</v>
      </c>
      <c r="R68" s="15"/>
      <c r="S68" s="15">
        <f>S52+S36+S10+S11+S64+S48+S32+S31</f>
        <v>0</v>
      </c>
      <c r="T68" s="15"/>
      <c r="U68" s="15">
        <f>U52+U36+U10+U11+U64+U48+U32+U31</f>
        <v>-81169236.599999994</v>
      </c>
      <c r="V68" s="15"/>
      <c r="W68" s="2">
        <v>16</v>
      </c>
    </row>
    <row r="69" spans="1:28" x14ac:dyDescent="0.2">
      <c r="B69" s="3" t="s">
        <v>17</v>
      </c>
      <c r="C69" s="17">
        <f>C53+C54+C55+C56+C57+C58+C37+C38+C39+C40+C41+C42+C12+C13+C14+C15+C16+C17+C18+C19+C20+C21+C22</f>
        <v>-1628951035.3800001</v>
      </c>
      <c r="D69" s="17"/>
      <c r="E69" s="17">
        <f>E53+E54+E55+E56+E57+E58+E37+E38+E39+E40+E41+E42+E12+E13+E14+E15+E16+E17+E18+E19+E20+E21+E22</f>
        <v>-140200476.83000001</v>
      </c>
      <c r="F69" s="17"/>
      <c r="G69" s="17">
        <f>G53+G54+G55+G56+G57+G58+G37+G38+G39+G40+G41+G42+G12+G13+G14+G15+G16+G17+G18+G19+G20+G21+G22</f>
        <v>87908239.349999994</v>
      </c>
      <c r="H69" s="17"/>
      <c r="I69" s="17">
        <f>I53+I54+I55+I56+I57+I58+I37+I38+I39+I40+I41+I42+I12+I13+I14+I15+I16+I17+I18+I19+I20+I21+I22</f>
        <v>-266846.47000000009</v>
      </c>
      <c r="J69" s="17"/>
      <c r="K69" s="17">
        <f>K53+K54+K55+K56+K57+K58+K37+K38+K39+K40+K41+K42+K12+K13+K14+K15+K16+K17+K18+K19+K20+K21+K22</f>
        <v>0</v>
      </c>
      <c r="L69" s="17"/>
      <c r="M69" s="17">
        <f>M53+M54+M55+M56+M57+M58+M37+M38+M39+M40+M41+M42+M12+M13+M14+M15+M16+M17+M18+M19+M20+M21+M22</f>
        <v>0</v>
      </c>
      <c r="N69" s="17"/>
      <c r="O69" s="17">
        <f>O53+O54+O55+O56+O57+O58+O37+O38+O39+O40+O41+O42+O12+O13+O14+O15+O16+O17+O18+O19+O20+O21+O22</f>
        <v>13008305.449999999</v>
      </c>
      <c r="P69" s="17"/>
      <c r="Q69" s="17">
        <f>Q53+Q54+Q55+Q56+Q57+Q58+Q37+Q38+Q39+Q40+Q41+Q42+Q12+Q13+Q14+Q15+Q16+Q17+Q18+Q19+Q20+Q21+Q22</f>
        <v>-818586.28</v>
      </c>
      <c r="R69" s="17"/>
      <c r="S69" s="17">
        <f>S53+S54+S55+S56+S57+S58+S37+S38+S39+S40+S41+S42+S12+S13+S14+S15+S16+S17+S18+S19+S20+S21+S22</f>
        <v>-980953.87</v>
      </c>
      <c r="T69" s="17"/>
      <c r="U69" s="17">
        <f>U53+U54+U55+U56+U57+U58+U37+U38+U39+U40+U41+U42+U12+U13+U14+U15+U16+U17+U18+U19+U20+U21+U22</f>
        <v>-1670301354.0300002</v>
      </c>
      <c r="V69" s="17"/>
      <c r="W69" s="2">
        <v>11</v>
      </c>
    </row>
    <row r="70" spans="1:28" x14ac:dyDescent="0.2">
      <c r="B70" s="3" t="s">
        <v>26</v>
      </c>
      <c r="C70" s="16">
        <f>C59+C60+C61+C62+C63+C43+C44+C45+C46+C47+C23+C24+C25+C26+C27+C28+C29+C30</f>
        <v>-292187343.18000007</v>
      </c>
      <c r="D70" s="17"/>
      <c r="E70" s="16">
        <f>E59+E60+E61+E62+E63+E43+E44+E45+E46+E47+E23+E24+E25+E26+E27+E28+E29+E30</f>
        <v>-28976732.379999995</v>
      </c>
      <c r="F70" s="17"/>
      <c r="G70" s="16">
        <f>G59+G60+G61+G62+G63+G43+G44+G45+G46+G47+G23+G24+G25+G26+G27+G28+G29+G30</f>
        <v>10001316.450000001</v>
      </c>
      <c r="H70" s="17"/>
      <c r="I70" s="16">
        <f>I59+I60+I61+I62+I63+I43+I44+I45+I46+I47+I23+I24+I25+I26+I27+I28+I29+I30</f>
        <v>43744.689999999995</v>
      </c>
      <c r="J70" s="17"/>
      <c r="K70" s="16">
        <f>K59+K60+K61+K62+K63+K43+K44+K45+K46+K47+K23+K24+K25+K26+K27+K28+K29+K30</f>
        <v>0</v>
      </c>
      <c r="L70" s="17"/>
      <c r="M70" s="16">
        <f>M59+M60+M61+M62+M63+M43+M44+M45+M46+M47+M23+M24+M25+M26+M27+M28+M29+M30</f>
        <v>0</v>
      </c>
      <c r="N70" s="17"/>
      <c r="O70" s="16">
        <f>O59+O60+O61+O62+O63+O43+O44+O45+O46+O47+O23+O24+O25+O26+O27+O28+O29+O30</f>
        <v>2995479.01</v>
      </c>
      <c r="P70" s="17"/>
      <c r="Q70" s="16">
        <f>Q59+Q60+Q61+Q62+Q63+Q43+Q44+Q45+Q46+Q47+Q23+Q24+Q25+Q26+Q27+Q28+Q29+Q30</f>
        <v>-47238.92</v>
      </c>
      <c r="R70" s="17"/>
      <c r="S70" s="16">
        <f>S59+S60+S61+S62+S63+S43+S44+S45+S46+S47+S23+S24+S25+S26+S27+S28+S29+S30</f>
        <v>4945.8599999999997</v>
      </c>
      <c r="T70" s="17"/>
      <c r="U70" s="16">
        <f>U59+U60+U61+U62+U63+U43+U44+U45+U46+U47+U23+U24+U25+U26+U27+U28+U29+U30</f>
        <v>-308165828.47000009</v>
      </c>
      <c r="V70" s="17"/>
      <c r="W70" s="2">
        <v>14</v>
      </c>
      <c r="X70" s="17" t="s">
        <v>92</v>
      </c>
      <c r="Y70" s="31"/>
      <c r="Z70" s="31"/>
      <c r="AA70" s="31"/>
      <c r="AB70" s="31"/>
    </row>
    <row r="71" spans="1:28" x14ac:dyDescent="0.2">
      <c r="B71" s="19"/>
      <c r="C71" s="17">
        <f>SUM(C68:C70)</f>
        <v>-2012533657.4300001</v>
      </c>
      <c r="D71" s="17"/>
      <c r="E71" s="17">
        <f>SUM(E68:E70)</f>
        <v>-179464053.70000002</v>
      </c>
      <c r="F71" s="17"/>
      <c r="G71" s="17">
        <f>SUM(G68:G70)</f>
        <v>118272512.23</v>
      </c>
      <c r="H71" s="17"/>
      <c r="I71" s="17">
        <f>SUM(I68:I70)</f>
        <v>-222665.7900000001</v>
      </c>
      <c r="J71" s="17"/>
      <c r="K71" s="17">
        <f>SUM(K68:K70)</f>
        <v>0</v>
      </c>
      <c r="L71" s="17"/>
      <c r="M71" s="17">
        <f>SUM(M68:M70)</f>
        <v>0</v>
      </c>
      <c r="N71" s="17"/>
      <c r="O71" s="17">
        <f>SUM(O68:O70)</f>
        <v>16154676.76</v>
      </c>
      <c r="P71" s="17"/>
      <c r="Q71" s="17">
        <f>SUM(Q68:Q70)</f>
        <v>-867223.16</v>
      </c>
      <c r="R71" s="17"/>
      <c r="S71" s="17">
        <f>SUM(S68:S70)</f>
        <v>-976008.01</v>
      </c>
      <c r="T71" s="17"/>
      <c r="U71" s="17">
        <f>SUM(U68:U70)</f>
        <v>-2059636419.1000001</v>
      </c>
      <c r="V71" s="17"/>
      <c r="X71" s="17">
        <f>+M77+O71+Q71+S71+K77</f>
        <v>0</v>
      </c>
      <c r="Y71" s="31"/>
      <c r="Z71" s="31"/>
      <c r="AA71" s="31"/>
      <c r="AB71" s="31"/>
    </row>
    <row r="72" spans="1:28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X72" s="31"/>
      <c r="Y72" s="31"/>
      <c r="Z72" s="31"/>
      <c r="AA72" s="31"/>
      <c r="AB72" s="31"/>
    </row>
    <row r="73" spans="1:28" x14ac:dyDescent="0.2">
      <c r="A73" s="10" t="s">
        <v>93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X73" s="31"/>
      <c r="Y73" s="31"/>
      <c r="Z73" s="31"/>
      <c r="AA73" s="31"/>
      <c r="AB73" s="31"/>
    </row>
    <row r="74" spans="1:28" x14ac:dyDescent="0.2">
      <c r="B74" s="3" t="s">
        <v>13</v>
      </c>
      <c r="C74" s="15">
        <v>150607.13999999996</v>
      </c>
      <c r="D74" s="15"/>
      <c r="E74" s="15">
        <v>0</v>
      </c>
      <c r="F74" s="15"/>
      <c r="G74" s="15">
        <v>0</v>
      </c>
      <c r="H74" s="15"/>
      <c r="I74" s="15">
        <v>0</v>
      </c>
      <c r="J74" s="15"/>
      <c r="K74" s="15">
        <v>0</v>
      </c>
      <c r="L74" s="15"/>
      <c r="M74" s="15">
        <f>-34064.25-37435.93-10630.39-5075-3975-32139.02-5080.45+1397.96-776.97-21715.29</f>
        <v>-149494.34</v>
      </c>
      <c r="N74" s="15"/>
      <c r="O74" s="15">
        <f>8584.91+2080.03-744.79+7756.87+7090.87+39164.47+4999.83+8720.39+13073.87+10353.97+8689.99+31296.84</f>
        <v>141067.25</v>
      </c>
      <c r="P74" s="15"/>
      <c r="Q74" s="15">
        <f>-10450-2200</f>
        <v>-12650</v>
      </c>
      <c r="R74" s="15"/>
      <c r="S74" s="15">
        <v>189610.73</v>
      </c>
      <c r="T74" s="15"/>
      <c r="U74" s="15">
        <f>S74+Q74+O74+M74+I74+G74+E74+C74+K74</f>
        <v>319140.77999999991</v>
      </c>
      <c r="V74" s="15"/>
      <c r="W74" s="2">
        <v>16</v>
      </c>
      <c r="X74" s="31"/>
      <c r="Y74" s="36"/>
      <c r="Z74" s="36"/>
      <c r="AA74" s="31"/>
      <c r="AB74" s="31"/>
    </row>
    <row r="75" spans="1:28" x14ac:dyDescent="0.2">
      <c r="B75" s="3" t="s">
        <v>17</v>
      </c>
      <c r="C75" s="15">
        <v>39614101.059999995</v>
      </c>
      <c r="D75" s="15"/>
      <c r="E75" s="15">
        <v>0</v>
      </c>
      <c r="F75" s="15"/>
      <c r="G75" s="15">
        <v>0</v>
      </c>
      <c r="H75" s="15"/>
      <c r="I75" s="15">
        <f>9160.81</f>
        <v>9160.81</v>
      </c>
      <c r="J75" s="15"/>
      <c r="K75" s="15">
        <f>-319284.6-544045.48</f>
        <v>-863330.08</v>
      </c>
      <c r="L75" s="15"/>
      <c r="M75" s="15">
        <f>-57565.6+26900-1278473.5+15163.31-840021.46+90581.11-881097.19+194625.37-1657912.24+18797.05+319284.6-1306760.26+46275.76-1394879.77+6087.49-763694.32+10854.98-353537.41+1302.4-1649534.52+402848.82+544045.48-482323.54-1398901.78+42500</f>
        <v>-10345435.219999997</v>
      </c>
      <c r="N75" s="15"/>
      <c r="O75" s="15">
        <f>2072276.76+146345.16+5422.58+5755.76+98727.34+774030.97+1551770.71+597257.66+34113.75+866843.9+6721.52+2307920.93+1126637.36+1753567.82+0.04+2268.52+1153612.99+2493.23+1455.05+1466583.73+757883.86+587336.81+562+11385.37+2152.74-1140371.84+3101.28+1183483.36-26478.82+2187121.15-163125.52+4514.29+2188.35+2544970.16+321281.34+449.08+1594745.55+1380599.18+7802.48+796204.64+15000+3504512.27+900.03+5862.57</f>
        <v>27555886.109999999</v>
      </c>
      <c r="P75" s="15"/>
      <c r="Q75" s="15">
        <f>-42627.28-29758.57-158556.64-333821.71-356795.5-441827.01-73079.8-45336.06-16084.42-31920.88-251482.25</f>
        <v>-1781290.1199999999</v>
      </c>
      <c r="R75" s="15"/>
      <c r="S75" s="37">
        <f>4211.44-3730.37-30660.87-18847.38-33373.91-27394.66-37220.87-89927.78-34345.87-38795.71-23746.46-68340.18</f>
        <v>-402172.62000000005</v>
      </c>
      <c r="T75" s="15"/>
      <c r="U75" s="15">
        <f>S75+Q75+O75+M75+I75+G75+E75+C75+K75</f>
        <v>53786919.939999998</v>
      </c>
      <c r="V75" s="15"/>
      <c r="W75" s="2">
        <v>11</v>
      </c>
      <c r="X75" s="38"/>
      <c r="Y75" s="36"/>
      <c r="Z75" s="36"/>
      <c r="AA75" s="31"/>
      <c r="AB75" s="31"/>
    </row>
    <row r="76" spans="1:28" x14ac:dyDescent="0.2">
      <c r="B76" s="3" t="s">
        <v>26</v>
      </c>
      <c r="C76" s="15">
        <v>3981749.2600000007</v>
      </c>
      <c r="D76" s="15"/>
      <c r="E76" s="15">
        <v>0</v>
      </c>
      <c r="F76" s="15"/>
      <c r="G76" s="15">
        <v>0</v>
      </c>
      <c r="H76" s="15"/>
      <c r="I76" s="15">
        <v>0</v>
      </c>
      <c r="J76" s="15"/>
      <c r="K76" s="15">
        <f>-143708.68-9267.26-17115.58-1884055.94</f>
        <v>-2054147.46</v>
      </c>
      <c r="L76" s="15"/>
      <c r="M76" s="15">
        <f>143708.68-148677.77+9267.26-497541.14-66132.02-71233.56-26066.06+442.7+17115.58-1882487.54+45479.17+1884055.94-308286.78+1317.05</f>
        <v>-899038.49000000022</v>
      </c>
      <c r="N76" s="15"/>
      <c r="O76" s="15">
        <f>-771.84+58942.94+76633.79+31213.83+12857.22+42801.31+11795.35+55536.33+50582.29+75815.22+73571.84+5665.09+130955.49+165817.31+21589.74+124453.68+106768.7+57038.73+282570.69+24366.24+59464.6+350985.07+21085.35+108866.39+233355.65+26478.82+22174.21+22223.12+1359.02+92027.39+95919.8+2817.16+10007.13+66544.55+37447.49+53223.01+20757.92+60358.55+47479.44+443.47+1110.22+176209.34</f>
        <v>2918541.65</v>
      </c>
      <c r="P76" s="15"/>
      <c r="Q76" s="15">
        <f>11495-120-447.88-12720-1445.3+28988-16000-17370.26</f>
        <v>-7620.4399999999987</v>
      </c>
      <c r="R76" s="15"/>
      <c r="S76" s="15">
        <v>0</v>
      </c>
      <c r="T76" s="15"/>
      <c r="U76" s="15">
        <f>S76+Q76+O76+M76+I76+G76+E76+C76+K76</f>
        <v>3939484.5200000005</v>
      </c>
      <c r="V76" s="15"/>
      <c r="W76" s="2">
        <v>14</v>
      </c>
      <c r="X76" s="31"/>
      <c r="Y76" s="36"/>
      <c r="Z76" s="36"/>
      <c r="AA76" s="31"/>
      <c r="AB76" s="31"/>
    </row>
    <row r="77" spans="1:28" x14ac:dyDescent="0.2">
      <c r="B77" s="19"/>
      <c r="C77" s="21">
        <f>SUM(C74:C76)</f>
        <v>43746457.459999993</v>
      </c>
      <c r="D77" s="15"/>
      <c r="E77" s="21">
        <f>SUM(E74:E76)</f>
        <v>0</v>
      </c>
      <c r="F77" s="15"/>
      <c r="G77" s="21">
        <f>SUM(G74:G76)</f>
        <v>0</v>
      </c>
      <c r="H77" s="15"/>
      <c r="I77" s="21">
        <f>SUM(I74:I76)</f>
        <v>9160.81</v>
      </c>
      <c r="J77" s="17"/>
      <c r="K77" s="21">
        <f>SUM(K74:K76)</f>
        <v>-2917477.54</v>
      </c>
      <c r="L77" s="15"/>
      <c r="M77" s="21">
        <f>SUM(M74:M76)</f>
        <v>-11393968.049999997</v>
      </c>
      <c r="N77" s="15"/>
      <c r="O77" s="21">
        <f>SUM(O74:O76)</f>
        <v>30615495.009999998</v>
      </c>
      <c r="P77" s="15"/>
      <c r="Q77" s="21">
        <f>SUM(Q74:Q76)</f>
        <v>-1801560.5599999998</v>
      </c>
      <c r="R77" s="15"/>
      <c r="S77" s="21">
        <f>SUM(S74:S76)</f>
        <v>-212561.89000000004</v>
      </c>
      <c r="T77" s="15"/>
      <c r="U77" s="21">
        <f>SUM(U74:U76)</f>
        <v>58045545.240000002</v>
      </c>
      <c r="V77" s="17"/>
      <c r="X77" s="17">
        <v>0</v>
      </c>
      <c r="Y77" s="36"/>
      <c r="Z77" s="38"/>
      <c r="AA77" s="31"/>
      <c r="AB77" s="31"/>
    </row>
    <row r="78" spans="1:28" x14ac:dyDescent="0.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X78" s="38"/>
      <c r="Y78" s="31"/>
      <c r="Z78" s="31"/>
      <c r="AA78" s="31"/>
      <c r="AB78" s="31"/>
    </row>
    <row r="79" spans="1:28" x14ac:dyDescent="0.2">
      <c r="B79" s="19" t="s">
        <v>94</v>
      </c>
      <c r="C79" s="16">
        <f>C71+C77</f>
        <v>-1968787199.97</v>
      </c>
      <c r="D79" s="15"/>
      <c r="E79" s="16">
        <f>E71+E77</f>
        <v>-179464053.70000002</v>
      </c>
      <c r="F79" s="15"/>
      <c r="G79" s="16">
        <f>G71+G77</f>
        <v>118272512.23</v>
      </c>
      <c r="H79" s="15"/>
      <c r="I79" s="16">
        <f>I71+I77</f>
        <v>-213504.9800000001</v>
      </c>
      <c r="J79" s="17"/>
      <c r="K79" s="16">
        <f>K71+K77</f>
        <v>-2917477.54</v>
      </c>
      <c r="L79" s="15"/>
      <c r="M79" s="16">
        <f>M71+M77</f>
        <v>-11393968.049999997</v>
      </c>
      <c r="N79" s="15"/>
      <c r="O79" s="16">
        <f>O71+O77</f>
        <v>46770171.769999996</v>
      </c>
      <c r="P79" s="15"/>
      <c r="Q79" s="16">
        <f>Q71+Q77</f>
        <v>-2668783.7199999997</v>
      </c>
      <c r="R79" s="15"/>
      <c r="S79" s="16">
        <f>S71+S77</f>
        <v>-1188569.9000000001</v>
      </c>
      <c r="T79" s="15"/>
      <c r="U79" s="16">
        <f>U71+U77</f>
        <v>-2001590873.8600001</v>
      </c>
      <c r="V79" s="17"/>
      <c r="X79" s="39"/>
    </row>
    <row r="80" spans="1:28" x14ac:dyDescent="0.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6" x14ac:dyDescent="0.2">
      <c r="A81" s="10" t="s">
        <v>95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6" x14ac:dyDescent="0.2">
      <c r="B82" s="3" t="s">
        <v>13</v>
      </c>
      <c r="C82" s="15">
        <v>-47213499.239999995</v>
      </c>
      <c r="D82" s="15"/>
      <c r="E82" s="17">
        <v>-11392872.48</v>
      </c>
      <c r="F82" s="15"/>
      <c r="G82" s="17">
        <v>7105652.6600000001</v>
      </c>
      <c r="H82" s="15"/>
      <c r="I82" s="17">
        <v>0</v>
      </c>
      <c r="J82" s="15"/>
      <c r="K82" s="15">
        <v>0</v>
      </c>
      <c r="L82" s="15"/>
      <c r="M82" s="15">
        <v>0</v>
      </c>
      <c r="N82" s="15"/>
      <c r="O82" s="17">
        <v>0</v>
      </c>
      <c r="P82" s="15"/>
      <c r="Q82" s="17">
        <v>0</v>
      </c>
      <c r="R82" s="15"/>
      <c r="S82" s="17">
        <v>0</v>
      </c>
      <c r="T82" s="15"/>
      <c r="U82" s="15">
        <f>S82+Q82+O82+M82+I82+G82+E82+C82</f>
        <v>-51500719.059999995</v>
      </c>
      <c r="V82" s="15"/>
      <c r="W82" s="40" t="s">
        <v>96</v>
      </c>
    </row>
    <row r="83" spans="1:26" x14ac:dyDescent="0.2">
      <c r="B83" s="3" t="s">
        <v>17</v>
      </c>
      <c r="C83" s="15">
        <v>0</v>
      </c>
      <c r="D83" s="15"/>
      <c r="E83" s="17">
        <v>0</v>
      </c>
      <c r="F83" s="15"/>
      <c r="G83" s="17">
        <v>0</v>
      </c>
      <c r="H83" s="15"/>
      <c r="I83" s="17">
        <v>0</v>
      </c>
      <c r="J83" s="15"/>
      <c r="K83" s="15">
        <v>0</v>
      </c>
      <c r="L83" s="15"/>
      <c r="M83" s="15">
        <v>0</v>
      </c>
      <c r="N83" s="15"/>
      <c r="O83" s="17">
        <v>0</v>
      </c>
      <c r="P83" s="15"/>
      <c r="Q83" s="17">
        <v>0</v>
      </c>
      <c r="R83" s="15"/>
      <c r="S83" s="17">
        <v>0</v>
      </c>
      <c r="T83" s="15"/>
      <c r="U83" s="15">
        <f>S83+Q83+O83+M83+I83+G83+E83+C83</f>
        <v>0</v>
      </c>
      <c r="V83" s="15"/>
      <c r="W83" s="40" t="s">
        <v>97</v>
      </c>
      <c r="Z83" s="39"/>
    </row>
    <row r="84" spans="1:26" x14ac:dyDescent="0.2">
      <c r="B84" s="3" t="s">
        <v>26</v>
      </c>
      <c r="C84" s="16">
        <v>-123.12000000000003</v>
      </c>
      <c r="D84" s="15"/>
      <c r="E84" s="16">
        <v>-41.04</v>
      </c>
      <c r="F84" s="15"/>
      <c r="G84" s="16">
        <v>0</v>
      </c>
      <c r="H84" s="15"/>
      <c r="I84" s="16">
        <v>0</v>
      </c>
      <c r="J84" s="17"/>
      <c r="K84" s="16">
        <v>0</v>
      </c>
      <c r="L84" s="15"/>
      <c r="M84" s="16">
        <v>0</v>
      </c>
      <c r="N84" s="15"/>
      <c r="O84" s="16">
        <v>0</v>
      </c>
      <c r="P84" s="15"/>
      <c r="Q84" s="16">
        <v>0</v>
      </c>
      <c r="R84" s="15"/>
      <c r="S84" s="16">
        <v>0</v>
      </c>
      <c r="T84" s="15"/>
      <c r="U84" s="16">
        <f>S84+Q84+O84+M84+I84+G84+E84+C84</f>
        <v>-164.16000000000003</v>
      </c>
      <c r="V84" s="17"/>
      <c r="W84" s="40" t="s">
        <v>98</v>
      </c>
    </row>
    <row r="85" spans="1:26" x14ac:dyDescent="0.2">
      <c r="B85" s="19" t="s">
        <v>99</v>
      </c>
      <c r="C85" s="17">
        <f>SUM(C82:C84)</f>
        <v>-47213622.359999992</v>
      </c>
      <c r="D85" s="17"/>
      <c r="E85" s="17">
        <f>SUM(E82:E84)</f>
        <v>-11392913.52</v>
      </c>
      <c r="F85" s="17"/>
      <c r="G85" s="17">
        <f>SUM(G82:G84)</f>
        <v>7105652.6600000001</v>
      </c>
      <c r="H85" s="17"/>
      <c r="I85" s="17">
        <f>SUM(I82:I84)</f>
        <v>0</v>
      </c>
      <c r="J85" s="17"/>
      <c r="K85" s="17">
        <f>SUM(K82:K84)</f>
        <v>0</v>
      </c>
      <c r="L85" s="17"/>
      <c r="M85" s="17">
        <f>SUM(M82:M84)</f>
        <v>0</v>
      </c>
      <c r="N85" s="17"/>
      <c r="O85" s="17">
        <f>SUM(O82:O84)</f>
        <v>0</v>
      </c>
      <c r="P85" s="17"/>
      <c r="Q85" s="17">
        <f>SUM(Q82:Q84)</f>
        <v>0</v>
      </c>
      <c r="R85" s="17"/>
      <c r="S85" s="17">
        <f>SUM(S82:S84)</f>
        <v>0</v>
      </c>
      <c r="T85" s="17"/>
      <c r="U85" s="17">
        <f>SUM(U82:U84)</f>
        <v>-51500883.219999991</v>
      </c>
      <c r="V85" s="17"/>
    </row>
    <row r="86" spans="1:26" x14ac:dyDescent="0.2">
      <c r="B86" s="19"/>
      <c r="C86" s="17"/>
      <c r="D86" s="15"/>
      <c r="E86" s="17"/>
      <c r="F86" s="15"/>
      <c r="G86" s="17"/>
      <c r="H86" s="15"/>
      <c r="I86" s="17"/>
      <c r="J86" s="17"/>
      <c r="K86" s="17"/>
      <c r="L86" s="15"/>
      <c r="M86" s="17"/>
      <c r="N86" s="15"/>
      <c r="O86" s="17"/>
      <c r="P86" s="15"/>
      <c r="Q86" s="17"/>
      <c r="R86" s="15"/>
      <c r="S86" s="17"/>
      <c r="T86" s="15"/>
      <c r="U86" s="17"/>
      <c r="V86" s="17"/>
    </row>
    <row r="87" spans="1:26" x14ac:dyDescent="0.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6" ht="13.5" thickBot="1" x14ac:dyDescent="0.25">
      <c r="B88" s="19" t="s">
        <v>100</v>
      </c>
      <c r="C88" s="41">
        <f>C79+C85</f>
        <v>-2016000822.3299999</v>
      </c>
      <c r="D88" s="15"/>
      <c r="E88" s="41">
        <f>E79+E85</f>
        <v>-190856967.22000003</v>
      </c>
      <c r="F88" s="15"/>
      <c r="G88" s="41">
        <f>G79+G85</f>
        <v>125378164.89</v>
      </c>
      <c r="H88" s="15"/>
      <c r="I88" s="41">
        <f>I79+I85</f>
        <v>-213504.9800000001</v>
      </c>
      <c r="J88" s="17"/>
      <c r="K88" s="41">
        <f>K79+K85</f>
        <v>-2917477.54</v>
      </c>
      <c r="L88" s="15"/>
      <c r="M88" s="41">
        <f>M79+M85</f>
        <v>-11393968.049999997</v>
      </c>
      <c r="N88" s="15"/>
      <c r="O88" s="41">
        <f>O79+O85</f>
        <v>46770171.769999996</v>
      </c>
      <c r="P88" s="15"/>
      <c r="Q88" s="41">
        <f>Q79+Q85</f>
        <v>-2668783.7199999997</v>
      </c>
      <c r="R88" s="15"/>
      <c r="S88" s="41">
        <f>S79+S85</f>
        <v>-1188569.9000000001</v>
      </c>
      <c r="T88" s="15"/>
      <c r="U88" s="41">
        <f>U79+U85</f>
        <v>-2053091757.0800002</v>
      </c>
      <c r="V88" s="17"/>
    </row>
    <row r="89" spans="1:26" ht="13.5" thickTop="1" x14ac:dyDescent="0.2">
      <c r="B89" s="19"/>
      <c r="C89" s="17"/>
      <c r="D89" s="15"/>
      <c r="E89" s="17"/>
      <c r="F89" s="15"/>
      <c r="G89" s="17"/>
      <c r="H89" s="15"/>
      <c r="I89" s="17"/>
      <c r="J89" s="17"/>
      <c r="K89" s="17"/>
      <c r="L89" s="15"/>
      <c r="M89" s="17"/>
      <c r="N89" s="15"/>
      <c r="O89" s="17"/>
      <c r="P89" s="15"/>
      <c r="Q89" s="17"/>
      <c r="R89" s="15"/>
      <c r="S89" s="17"/>
      <c r="T89" s="15"/>
      <c r="U89" s="17"/>
      <c r="V89" s="17"/>
    </row>
    <row r="90" spans="1:26" ht="13.5" thickBot="1" x14ac:dyDescent="0.25">
      <c r="B90" s="19" t="s">
        <v>101</v>
      </c>
      <c r="C90" s="17"/>
      <c r="D90" s="15"/>
      <c r="E90" s="17"/>
      <c r="F90" s="15"/>
      <c r="G90" s="17"/>
      <c r="H90" s="15"/>
      <c r="I90" s="17"/>
      <c r="J90" s="17"/>
      <c r="K90" s="17"/>
      <c r="L90" s="15"/>
      <c r="M90" s="17"/>
      <c r="N90" s="15"/>
      <c r="O90" s="17"/>
      <c r="P90" s="15"/>
      <c r="Q90" s="17"/>
      <c r="R90" s="15"/>
      <c r="S90" s="17"/>
      <c r="T90" s="15"/>
      <c r="U90" s="24">
        <f>U88-U32-U31</f>
        <v>-2053028396.7200003</v>
      </c>
      <c r="V90" s="17"/>
    </row>
    <row r="91" spans="1:26" ht="13.5" thickTop="1" x14ac:dyDescent="0.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6" x14ac:dyDescent="0.2">
      <c r="A92" s="10" t="s">
        <v>102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6" ht="13.5" thickBot="1" x14ac:dyDescent="0.25">
      <c r="A93" s="10" t="s">
        <v>103</v>
      </c>
      <c r="C93" s="41">
        <f>'Summary - Cost - PG 1 (Reg)'!D133+C88-C32</f>
        <v>4507488976.0800018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41">
        <f>'Summary - Cost - PG 1 (Reg)'!N133+'Summary - Reserve - PG 2 (Reg)'!U88-U32-U31</f>
        <v>4716068886.5700006</v>
      </c>
      <c r="V93" s="17"/>
    </row>
    <row r="94" spans="1:26" ht="13.5" thickTop="1" x14ac:dyDescent="0.2">
      <c r="C94" s="15"/>
      <c r="D94" s="15"/>
      <c r="E94" s="15"/>
      <c r="F94" s="15"/>
      <c r="G94" s="15"/>
      <c r="H94" s="15"/>
      <c r="I94" s="15"/>
      <c r="J94" s="15"/>
      <c r="K94" s="15"/>
      <c r="L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6" x14ac:dyDescent="0.2">
      <c r="F95" s="15"/>
      <c r="G95" s="15"/>
      <c r="H95" s="15"/>
      <c r="I95" s="15"/>
      <c r="J95" s="15"/>
      <c r="N95" s="42"/>
      <c r="O95" s="42"/>
      <c r="P95" s="42"/>
      <c r="Q95" s="42"/>
      <c r="R95" s="42"/>
      <c r="S95" s="42"/>
      <c r="T95" s="42"/>
      <c r="U95" s="42"/>
      <c r="V95" s="43"/>
    </row>
    <row r="96" spans="1:26" x14ac:dyDescent="0.2">
      <c r="C96" s="44" t="s">
        <v>104</v>
      </c>
      <c r="D96" s="45"/>
      <c r="E96" s="45"/>
      <c r="F96" s="15"/>
      <c r="G96" s="15"/>
      <c r="H96" s="15"/>
      <c r="I96" s="15"/>
      <c r="J96" s="15"/>
      <c r="N96" s="42"/>
      <c r="O96" s="42"/>
      <c r="P96" s="42"/>
      <c r="Q96" s="42"/>
      <c r="R96" s="42"/>
      <c r="S96" s="198" t="s">
        <v>105</v>
      </c>
      <c r="T96" s="45"/>
      <c r="U96" s="45">
        <f>+U68+U74-U32-U31</f>
        <v>-80786735.459999993</v>
      </c>
      <c r="V96" s="46"/>
      <c r="W96" s="47" t="s">
        <v>106</v>
      </c>
    </row>
    <row r="97" spans="3:23" x14ac:dyDescent="0.2">
      <c r="C97" s="45">
        <f>+U97+U83</f>
        <v>-1616514434.0900002</v>
      </c>
      <c r="D97" s="45"/>
      <c r="E97" s="48" t="s">
        <v>107</v>
      </c>
      <c r="F97" s="15"/>
      <c r="G97" s="15"/>
      <c r="H97" s="15"/>
      <c r="I97" s="15"/>
      <c r="J97" s="15"/>
      <c r="N97" s="42"/>
      <c r="O97" s="42"/>
      <c r="P97" s="42"/>
      <c r="Q97" s="42"/>
      <c r="R97" s="42"/>
      <c r="S97" s="198" t="s">
        <v>108</v>
      </c>
      <c r="T97" s="45"/>
      <c r="U97" s="45">
        <f>+U69+U75</f>
        <v>-1616514434.0900002</v>
      </c>
      <c r="V97" s="46"/>
      <c r="W97" s="49" t="s">
        <v>107</v>
      </c>
    </row>
    <row r="98" spans="3:23" x14ac:dyDescent="0.2">
      <c r="C98" s="45">
        <f>+U84+U98</f>
        <v>-304226508.11000013</v>
      </c>
      <c r="D98" s="45"/>
      <c r="E98" s="45" t="s">
        <v>109</v>
      </c>
      <c r="F98" s="15"/>
      <c r="G98" s="15"/>
      <c r="H98" s="15"/>
      <c r="I98" s="15"/>
      <c r="J98" s="15"/>
      <c r="N98" s="42"/>
      <c r="O98" s="42"/>
      <c r="P98" s="42"/>
      <c r="Q98" s="42"/>
      <c r="R98" s="42"/>
      <c r="S98" s="198" t="s">
        <v>110</v>
      </c>
      <c r="T98" s="45"/>
      <c r="U98" s="45">
        <f>+U70+U76</f>
        <v>-304226343.95000011</v>
      </c>
      <c r="V98" s="46"/>
      <c r="W98" s="47" t="s">
        <v>111</v>
      </c>
    </row>
    <row r="99" spans="3:23" x14ac:dyDescent="0.2">
      <c r="C99" s="50">
        <f>+U82+U96</f>
        <v>-132287454.51999998</v>
      </c>
      <c r="D99" s="45"/>
      <c r="E99" s="45" t="s">
        <v>112</v>
      </c>
      <c r="F99" s="15"/>
      <c r="G99" s="15"/>
      <c r="H99" s="15"/>
      <c r="I99" s="15"/>
      <c r="J99" s="15"/>
      <c r="N99" s="42"/>
      <c r="O99" s="42"/>
      <c r="P99" s="42"/>
      <c r="Q99" s="42"/>
      <c r="R99" s="42"/>
      <c r="S99" s="45"/>
      <c r="T99" s="45"/>
      <c r="U99" s="45"/>
      <c r="V99" s="46"/>
      <c r="W99" s="47"/>
    </row>
    <row r="100" spans="3:23" x14ac:dyDescent="0.2">
      <c r="C100" s="45">
        <f>SUM(C97:C99)</f>
        <v>-2053028396.7200003</v>
      </c>
      <c r="D100" s="45"/>
      <c r="E100" s="48" t="s">
        <v>113</v>
      </c>
      <c r="F100" s="15"/>
      <c r="G100" s="15"/>
      <c r="H100" s="15"/>
      <c r="I100" s="15"/>
      <c r="J100" s="15"/>
      <c r="K100" s="51"/>
      <c r="L100" s="51"/>
      <c r="M100" s="51"/>
      <c r="N100" s="51"/>
      <c r="O100" s="51"/>
      <c r="P100" s="51"/>
      <c r="Q100" s="51"/>
      <c r="R100" s="51"/>
      <c r="S100" s="198" t="s">
        <v>114</v>
      </c>
      <c r="T100" s="52"/>
      <c r="U100" s="52">
        <f>SUM(U96:U98)</f>
        <v>-2001527513.5000002</v>
      </c>
      <c r="V100" s="46"/>
      <c r="W100" s="53" t="s">
        <v>115</v>
      </c>
    </row>
    <row r="101" spans="3:23" x14ac:dyDescent="0.2">
      <c r="C101" s="50">
        <f>+C105</f>
        <v>-2.9103830456733704E-11</v>
      </c>
      <c r="D101" s="54"/>
      <c r="E101" s="55" t="s">
        <v>116</v>
      </c>
      <c r="F101" s="54"/>
      <c r="G101" s="54"/>
      <c r="H101" s="54"/>
      <c r="I101" s="54"/>
      <c r="J101" s="54"/>
      <c r="K101" s="51"/>
      <c r="L101" s="51"/>
      <c r="M101" s="51"/>
      <c r="N101" s="51"/>
      <c r="O101" s="51"/>
      <c r="P101" s="51"/>
      <c r="Q101" s="51"/>
      <c r="R101" s="51"/>
      <c r="S101" s="198" t="s">
        <v>117</v>
      </c>
      <c r="T101" s="52"/>
      <c r="U101" s="52">
        <f>+U84</f>
        <v>-164.16000000000003</v>
      </c>
      <c r="V101" s="46"/>
      <c r="W101" s="47" t="s">
        <v>118</v>
      </c>
    </row>
    <row r="102" spans="3:23" x14ac:dyDescent="0.2">
      <c r="C102" s="45">
        <f>+C100-C101</f>
        <v>-2053028396.7200003</v>
      </c>
      <c r="D102" s="54"/>
      <c r="E102" s="45" t="s">
        <v>119</v>
      </c>
      <c r="F102" s="54"/>
      <c r="G102" s="54"/>
      <c r="H102" s="54"/>
      <c r="I102" s="54"/>
      <c r="J102" s="54"/>
      <c r="K102" s="51"/>
      <c r="L102" s="51"/>
      <c r="M102" s="51"/>
      <c r="N102" s="51"/>
      <c r="O102" s="51"/>
      <c r="P102" s="51"/>
      <c r="Q102" s="51"/>
      <c r="R102" s="51"/>
      <c r="S102" s="198" t="s">
        <v>120</v>
      </c>
      <c r="T102" s="52"/>
      <c r="U102" s="52">
        <f>+U82+U83</f>
        <v>-51500719.059999995</v>
      </c>
      <c r="V102" s="46"/>
      <c r="W102" s="47" t="s">
        <v>121</v>
      </c>
    </row>
    <row r="103" spans="3:23" ht="13.5" thickBot="1" x14ac:dyDescent="0.25">
      <c r="C103" s="54"/>
      <c r="D103" s="54"/>
      <c r="E103" s="56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3:23" x14ac:dyDescent="0.2">
      <c r="C104" s="57">
        <f>+U97</f>
        <v>-1616514434.0900002</v>
      </c>
      <c r="D104" s="58"/>
      <c r="E104" s="59" t="s">
        <v>107</v>
      </c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60" t="s">
        <v>122</v>
      </c>
      <c r="R104" s="61"/>
      <c r="S104" s="61"/>
      <c r="T104" s="61"/>
      <c r="U104" s="61"/>
      <c r="V104" s="62"/>
    </row>
    <row r="105" spans="3:23" x14ac:dyDescent="0.2">
      <c r="C105" s="50">
        <f>+'KY_Res by Plant Acct-P29 (Reg)'!R217</f>
        <v>-2.9103830456733704E-11</v>
      </c>
      <c r="D105" s="58"/>
      <c r="E105" s="59" t="s">
        <v>123</v>
      </c>
      <c r="F105" s="54"/>
      <c r="G105" s="55" t="s">
        <v>116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63"/>
      <c r="R105" s="64"/>
      <c r="S105" s="65" t="s">
        <v>124</v>
      </c>
      <c r="T105" s="64"/>
      <c r="U105" s="64">
        <f>+U68-U32-U48-U64-U31</f>
        <v>-81105876.239999995</v>
      </c>
      <c r="V105" s="66"/>
    </row>
    <row r="106" spans="3:23" x14ac:dyDescent="0.2">
      <c r="C106" s="58"/>
      <c r="D106" s="58"/>
      <c r="E106" s="58" t="s">
        <v>125</v>
      </c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67"/>
      <c r="R106" s="64"/>
      <c r="S106" s="65" t="s">
        <v>67</v>
      </c>
      <c r="T106" s="64"/>
      <c r="U106" s="64">
        <f>+U74</f>
        <v>319140.77999999991</v>
      </c>
      <c r="V106" s="66"/>
    </row>
    <row r="107" spans="3:23" x14ac:dyDescent="0.2">
      <c r="C107" s="57">
        <f>+C104-C105</f>
        <v>-1616514434.0900002</v>
      </c>
      <c r="D107" s="58"/>
      <c r="E107" s="58" t="s">
        <v>126</v>
      </c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67"/>
      <c r="R107" s="64"/>
      <c r="S107" s="65" t="s">
        <v>127</v>
      </c>
      <c r="T107" s="64"/>
      <c r="U107" s="64">
        <f>+U82</f>
        <v>-51500719.059999995</v>
      </c>
      <c r="V107" s="66"/>
    </row>
    <row r="108" spans="3:23" ht="13.5" thickBot="1" x14ac:dyDescent="0.25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67"/>
      <c r="R108" s="64"/>
      <c r="S108" s="64"/>
      <c r="T108" s="64"/>
      <c r="U108" s="68">
        <f>SUM(U105:U107)</f>
        <v>-132287454.51999998</v>
      </c>
      <c r="V108" s="66"/>
      <c r="W108" s="23"/>
    </row>
    <row r="109" spans="3:23" ht="13.5" thickTop="1" x14ac:dyDescent="0.2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67"/>
      <c r="R109" s="64"/>
      <c r="S109" s="64"/>
      <c r="T109" s="64"/>
      <c r="U109" s="64"/>
      <c r="V109" s="66"/>
      <c r="W109" s="23"/>
    </row>
    <row r="110" spans="3:23" x14ac:dyDescent="0.2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69" t="s">
        <v>17</v>
      </c>
      <c r="R110" s="64"/>
      <c r="S110" s="70">
        <f>+'Recon Depr Exp to IS P4 (Reg)'!M61</f>
        <v>0.7</v>
      </c>
      <c r="T110" s="64"/>
      <c r="U110" s="64">
        <f>+U108*0.7</f>
        <v>-92601218.163999975</v>
      </c>
      <c r="V110" s="66"/>
      <c r="W110" s="23"/>
    </row>
    <row r="111" spans="3:23" x14ac:dyDescent="0.2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69" t="s">
        <v>26</v>
      </c>
      <c r="R111" s="64"/>
      <c r="S111" s="70">
        <f>+'Recon Depr Exp to IS P4 (Reg)'!M75</f>
        <v>0.3</v>
      </c>
      <c r="T111" s="64"/>
      <c r="U111" s="64">
        <f>+U108*0.3</f>
        <v>-39686236.355999991</v>
      </c>
      <c r="V111" s="66"/>
    </row>
    <row r="112" spans="3:23" ht="13.5" thickBot="1" x14ac:dyDescent="0.25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67"/>
      <c r="R112" s="64"/>
      <c r="S112" s="64"/>
      <c r="T112" s="64"/>
      <c r="U112" s="68">
        <f>SUM(U110:U111)</f>
        <v>-132287454.51999997</v>
      </c>
      <c r="V112" s="66"/>
    </row>
    <row r="113" spans="3:22" ht="14.25" thickTop="1" thickBot="1" x14ac:dyDescent="0.25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71"/>
      <c r="R113" s="72"/>
      <c r="S113" s="72"/>
      <c r="T113" s="72"/>
      <c r="U113" s="72">
        <f>+U112-C99</f>
        <v>0</v>
      </c>
      <c r="V113" s="73"/>
    </row>
    <row r="114" spans="3:22" x14ac:dyDescent="0.2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3:22" x14ac:dyDescent="0.2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3:22" x14ac:dyDescent="0.2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3:22" x14ac:dyDescent="0.2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3:22" x14ac:dyDescent="0.2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3:22" x14ac:dyDescent="0.2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3:22" x14ac:dyDescent="0.2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3:22" x14ac:dyDescent="0.2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3:22" x14ac:dyDescent="0.2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3:22" x14ac:dyDescent="0.2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3:22" x14ac:dyDescent="0.2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3:22" x14ac:dyDescent="0.2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3:22" x14ac:dyDescent="0.2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3:22" x14ac:dyDescent="0.2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3:22" x14ac:dyDescent="0.2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3:22" x14ac:dyDescent="0.2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3:22" x14ac:dyDescent="0.2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3:22" x14ac:dyDescent="0.2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3:22" x14ac:dyDescent="0.2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3:22" x14ac:dyDescent="0.2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3:22" x14ac:dyDescent="0.2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3:22" x14ac:dyDescent="0.2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3:22" x14ac:dyDescent="0.2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3:22" x14ac:dyDescent="0.2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3:22" x14ac:dyDescent="0.2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3:22" x14ac:dyDescent="0.2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3:22" x14ac:dyDescent="0.2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3:22" x14ac:dyDescent="0.2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3:22" x14ac:dyDescent="0.2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3:22" x14ac:dyDescent="0.2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3:22" x14ac:dyDescent="0.2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3:22" x14ac:dyDescent="0.2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3:22" x14ac:dyDescent="0.2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3:22" x14ac:dyDescent="0.2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3:22" x14ac:dyDescent="0.2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3:22" x14ac:dyDescent="0.2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3:22" x14ac:dyDescent="0.2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3:22" x14ac:dyDescent="0.2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3:22" x14ac:dyDescent="0.2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3:22" x14ac:dyDescent="0.2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3:22" x14ac:dyDescent="0.2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3:22" x14ac:dyDescent="0.2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3:22" x14ac:dyDescent="0.2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3:22" x14ac:dyDescent="0.2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3:22" x14ac:dyDescent="0.2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3:22" x14ac:dyDescent="0.2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3:22" x14ac:dyDescent="0.2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3:22" x14ac:dyDescent="0.2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3:22" x14ac:dyDescent="0.2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3:22" x14ac:dyDescent="0.2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3:22" x14ac:dyDescent="0.2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3:22" x14ac:dyDescent="0.2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3:22" x14ac:dyDescent="0.2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3:22" x14ac:dyDescent="0.2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3:22" x14ac:dyDescent="0.2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3:22" x14ac:dyDescent="0.2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3:22" x14ac:dyDescent="0.2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3:22" x14ac:dyDescent="0.2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3:22" x14ac:dyDescent="0.2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</row>
    <row r="173" spans="3:22" x14ac:dyDescent="0.2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</row>
    <row r="174" spans="3:22" x14ac:dyDescent="0.2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</row>
    <row r="175" spans="3:22" x14ac:dyDescent="0.2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</row>
    <row r="176" spans="3:22" x14ac:dyDescent="0.2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</row>
    <row r="177" spans="3:22" x14ac:dyDescent="0.2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</row>
    <row r="178" spans="3:22" x14ac:dyDescent="0.2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</row>
    <row r="179" spans="3:22" x14ac:dyDescent="0.2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</row>
    <row r="180" spans="3:22" x14ac:dyDescent="0.2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</row>
    <row r="181" spans="3:22" x14ac:dyDescent="0.2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</row>
    <row r="182" spans="3:22" x14ac:dyDescent="0.2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</row>
    <row r="183" spans="3:22" x14ac:dyDescent="0.2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</row>
    <row r="184" spans="3:22" x14ac:dyDescent="0.2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3:22" x14ac:dyDescent="0.2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</row>
    <row r="186" spans="3:22" x14ac:dyDescent="0.2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</row>
    <row r="187" spans="3:22" x14ac:dyDescent="0.2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3:22" x14ac:dyDescent="0.2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3:22" x14ac:dyDescent="0.2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3:22" x14ac:dyDescent="0.2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3:22" x14ac:dyDescent="0.2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3:22" x14ac:dyDescent="0.2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3:22" x14ac:dyDescent="0.2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3:22" x14ac:dyDescent="0.2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3:22" x14ac:dyDescent="0.2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3:22" x14ac:dyDescent="0.2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3:22" x14ac:dyDescent="0.2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3:22" x14ac:dyDescent="0.2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3:22" x14ac:dyDescent="0.2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3:22" x14ac:dyDescent="0.2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3:22" x14ac:dyDescent="0.2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3:22" x14ac:dyDescent="0.2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3:22" x14ac:dyDescent="0.2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</row>
    <row r="204" spans="3:22" x14ac:dyDescent="0.2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</row>
    <row r="205" spans="3:22" x14ac:dyDescent="0.2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</row>
    <row r="206" spans="3:22" x14ac:dyDescent="0.2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</row>
    <row r="207" spans="3:22" x14ac:dyDescent="0.2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</row>
    <row r="208" spans="3:22" x14ac:dyDescent="0.2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</row>
    <row r="209" spans="3:22" x14ac:dyDescent="0.2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</row>
    <row r="210" spans="3:22" x14ac:dyDescent="0.2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</row>
    <row r="211" spans="3:22" x14ac:dyDescent="0.2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</row>
    <row r="212" spans="3:22" x14ac:dyDescent="0.2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</row>
    <row r="213" spans="3:22" x14ac:dyDescent="0.2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</row>
    <row r="214" spans="3:22" x14ac:dyDescent="0.2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</row>
    <row r="215" spans="3:22" x14ac:dyDescent="0.2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3:22" x14ac:dyDescent="0.2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3:22" x14ac:dyDescent="0.2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3:22" x14ac:dyDescent="0.2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</row>
    <row r="219" spans="3:22" x14ac:dyDescent="0.2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3:22" x14ac:dyDescent="0.2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3:22" x14ac:dyDescent="0.2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3:22" x14ac:dyDescent="0.2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</row>
    <row r="223" spans="3:22" x14ac:dyDescent="0.2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</row>
    <row r="224" spans="3:22" x14ac:dyDescent="0.2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</row>
    <row r="225" spans="3:22" x14ac:dyDescent="0.2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</row>
    <row r="226" spans="3:22" x14ac:dyDescent="0.2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3:22" x14ac:dyDescent="0.2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3:22" x14ac:dyDescent="0.2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3:22" x14ac:dyDescent="0.2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3:22" x14ac:dyDescent="0.2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3:22" x14ac:dyDescent="0.2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3:22" x14ac:dyDescent="0.2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3:22" x14ac:dyDescent="0.2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3:22" x14ac:dyDescent="0.2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3:22" x14ac:dyDescent="0.2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</row>
    <row r="236" spans="3:22" x14ac:dyDescent="0.2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</row>
    <row r="237" spans="3:22" x14ac:dyDescent="0.2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</row>
    <row r="238" spans="3:22" x14ac:dyDescent="0.2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</row>
    <row r="239" spans="3:22" x14ac:dyDescent="0.2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</row>
    <row r="240" spans="3:22" x14ac:dyDescent="0.2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</row>
    <row r="241" spans="3:22" x14ac:dyDescent="0.2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</row>
    <row r="242" spans="3:22" x14ac:dyDescent="0.2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</row>
    <row r="243" spans="3:22" x14ac:dyDescent="0.2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</row>
    <row r="244" spans="3:22" x14ac:dyDescent="0.2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</row>
    <row r="245" spans="3:22" x14ac:dyDescent="0.2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</row>
    <row r="246" spans="3:22" x14ac:dyDescent="0.2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</row>
    <row r="247" spans="3:22" x14ac:dyDescent="0.2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</row>
    <row r="248" spans="3:22" x14ac:dyDescent="0.2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</row>
    <row r="249" spans="3:22" x14ac:dyDescent="0.2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</row>
    <row r="250" spans="3:22" x14ac:dyDescent="0.2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</row>
    <row r="251" spans="3:22" x14ac:dyDescent="0.2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</row>
    <row r="252" spans="3:22" x14ac:dyDescent="0.2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</row>
    <row r="253" spans="3:22" x14ac:dyDescent="0.2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</row>
    <row r="254" spans="3:22" x14ac:dyDescent="0.2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</row>
    <row r="255" spans="3:22" x14ac:dyDescent="0.2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</row>
    <row r="256" spans="3:22" x14ac:dyDescent="0.2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</row>
    <row r="257" spans="3:22" x14ac:dyDescent="0.2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</row>
    <row r="258" spans="3:22" x14ac:dyDescent="0.2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</row>
    <row r="259" spans="3:22" x14ac:dyDescent="0.2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</row>
    <row r="260" spans="3:22" x14ac:dyDescent="0.2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</row>
    <row r="261" spans="3:22" x14ac:dyDescent="0.2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</row>
    <row r="262" spans="3:22" x14ac:dyDescent="0.2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</row>
    <row r="263" spans="3:22" x14ac:dyDescent="0.2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</row>
    <row r="264" spans="3:22" x14ac:dyDescent="0.2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</row>
    <row r="265" spans="3:22" x14ac:dyDescent="0.2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</row>
    <row r="266" spans="3:22" x14ac:dyDescent="0.2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</row>
    <row r="267" spans="3:22" x14ac:dyDescent="0.2"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</row>
    <row r="268" spans="3:22" x14ac:dyDescent="0.2"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</row>
    <row r="269" spans="3:22" x14ac:dyDescent="0.2"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</row>
    <row r="270" spans="3:22" x14ac:dyDescent="0.2"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</row>
    <row r="271" spans="3:22" x14ac:dyDescent="0.2"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</row>
    <row r="272" spans="3:22" x14ac:dyDescent="0.2"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</row>
    <row r="273" spans="3:22" x14ac:dyDescent="0.2"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</row>
    <row r="274" spans="3:22" x14ac:dyDescent="0.2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</row>
    <row r="275" spans="3:22" x14ac:dyDescent="0.2"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</row>
    <row r="276" spans="3:22" x14ac:dyDescent="0.2"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</row>
    <row r="277" spans="3:22" x14ac:dyDescent="0.2"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</row>
    <row r="278" spans="3:22" x14ac:dyDescent="0.2"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</row>
    <row r="279" spans="3:22" x14ac:dyDescent="0.2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</row>
    <row r="280" spans="3:22" x14ac:dyDescent="0.2"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</row>
    <row r="281" spans="3:22" x14ac:dyDescent="0.2"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</row>
    <row r="282" spans="3:22" x14ac:dyDescent="0.2"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</row>
    <row r="283" spans="3:22" x14ac:dyDescent="0.2"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</row>
    <row r="284" spans="3:22" x14ac:dyDescent="0.2"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</row>
    <row r="285" spans="3:22" x14ac:dyDescent="0.2"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</row>
    <row r="286" spans="3:22" x14ac:dyDescent="0.2"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</row>
    <row r="287" spans="3:22" x14ac:dyDescent="0.2"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</row>
    <row r="288" spans="3:22" x14ac:dyDescent="0.2"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</row>
    <row r="289" spans="3:22" x14ac:dyDescent="0.2"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</row>
    <row r="290" spans="3:22" x14ac:dyDescent="0.2"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</row>
    <row r="291" spans="3:22" x14ac:dyDescent="0.2"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</row>
    <row r="292" spans="3:22" x14ac:dyDescent="0.2"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</row>
    <row r="293" spans="3:22" x14ac:dyDescent="0.2"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</row>
    <row r="294" spans="3:22" x14ac:dyDescent="0.2"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</row>
    <row r="295" spans="3:22" x14ac:dyDescent="0.2"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</row>
    <row r="296" spans="3:22" x14ac:dyDescent="0.2"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</row>
    <row r="297" spans="3:22" x14ac:dyDescent="0.2"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</row>
    <row r="298" spans="3:22" x14ac:dyDescent="0.2"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</row>
    <row r="299" spans="3:22" x14ac:dyDescent="0.2"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</row>
    <row r="300" spans="3:22" x14ac:dyDescent="0.2"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</row>
    <row r="301" spans="3:22" x14ac:dyDescent="0.2"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</row>
    <row r="302" spans="3:22" x14ac:dyDescent="0.2"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</row>
    <row r="303" spans="3:22" x14ac:dyDescent="0.2"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</row>
    <row r="304" spans="3:22" x14ac:dyDescent="0.2"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</row>
    <row r="305" spans="3:22" x14ac:dyDescent="0.2"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</row>
    <row r="306" spans="3:22" x14ac:dyDescent="0.2"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</row>
    <row r="307" spans="3:22" x14ac:dyDescent="0.2"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</row>
    <row r="308" spans="3:22" x14ac:dyDescent="0.2"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</row>
    <row r="309" spans="3:22" x14ac:dyDescent="0.2"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</row>
    <row r="310" spans="3:22" x14ac:dyDescent="0.2"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</row>
    <row r="311" spans="3:22" x14ac:dyDescent="0.2"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</row>
    <row r="312" spans="3:22" x14ac:dyDescent="0.2"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</row>
    <row r="313" spans="3:22" x14ac:dyDescent="0.2"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</row>
    <row r="314" spans="3:22" x14ac:dyDescent="0.2"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</row>
    <row r="315" spans="3:22" x14ac:dyDescent="0.2"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</row>
    <row r="316" spans="3:22" x14ac:dyDescent="0.2"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</row>
    <row r="317" spans="3:22" x14ac:dyDescent="0.2"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</row>
    <row r="318" spans="3:22" x14ac:dyDescent="0.2"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</row>
    <row r="319" spans="3:22" x14ac:dyDescent="0.2"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</row>
    <row r="320" spans="3:22" x14ac:dyDescent="0.2"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</row>
    <row r="321" spans="3:22" x14ac:dyDescent="0.2"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</row>
    <row r="322" spans="3:22" x14ac:dyDescent="0.2"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</row>
    <row r="323" spans="3:22" x14ac:dyDescent="0.2"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</row>
    <row r="324" spans="3:22" x14ac:dyDescent="0.2"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</row>
    <row r="325" spans="3:22" x14ac:dyDescent="0.2"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</row>
    <row r="326" spans="3:22" x14ac:dyDescent="0.2"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</row>
    <row r="327" spans="3:22" x14ac:dyDescent="0.2"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</row>
    <row r="328" spans="3:22" x14ac:dyDescent="0.2"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</row>
    <row r="329" spans="3:22" x14ac:dyDescent="0.2"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</row>
  </sheetData>
  <mergeCells count="3">
    <mergeCell ref="A1:U1"/>
    <mergeCell ref="A2:U2"/>
    <mergeCell ref="A3:U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2" manualBreakCount="2">
    <brk id="50" max="16383" man="1"/>
    <brk id="12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33"/>
  </sheetPr>
  <dimension ref="A1:M45"/>
  <sheetViews>
    <sheetView zoomScaleNormal="100" workbookViewId="0">
      <selection sqref="A1:N1"/>
    </sheetView>
  </sheetViews>
  <sheetFormatPr defaultRowHeight="12.75" x14ac:dyDescent="0.2"/>
  <cols>
    <col min="1" max="1" width="43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2768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B8" s="18"/>
      <c r="D8" s="18"/>
      <c r="F8" s="18"/>
      <c r="H8" s="18"/>
      <c r="J8" s="18"/>
      <c r="L8" s="18"/>
    </row>
    <row r="9" spans="1:13" x14ac:dyDescent="0.2">
      <c r="A9" s="10" t="s">
        <v>2627</v>
      </c>
    </row>
    <row r="10" spans="1:13" x14ac:dyDescent="0.2">
      <c r="A10" s="10" t="s">
        <v>24</v>
      </c>
    </row>
    <row r="11" spans="1:13" x14ac:dyDescent="0.2">
      <c r="A11" s="3" t="s">
        <v>2712</v>
      </c>
      <c r="B11" s="15">
        <v>653945.04</v>
      </c>
      <c r="C11" s="15"/>
      <c r="D11" s="17">
        <v>0</v>
      </c>
      <c r="E11" s="15"/>
      <c r="F11" s="17">
        <v>0</v>
      </c>
      <c r="G11" s="15"/>
      <c r="H11" s="17">
        <v>0</v>
      </c>
      <c r="I11" s="15"/>
      <c r="J11" s="15">
        <f>H11+F11+D11</f>
        <v>0</v>
      </c>
      <c r="K11" s="15"/>
      <c r="L11" s="15">
        <f>J11+B11</f>
        <v>653945.04</v>
      </c>
      <c r="M11" s="15"/>
    </row>
    <row r="12" spans="1:13" x14ac:dyDescent="0.2">
      <c r="A12" s="3" t="s">
        <v>2713</v>
      </c>
      <c r="B12" s="15">
        <v>408580.31999999995</v>
      </c>
      <c r="C12" s="15"/>
      <c r="D12" s="17">
        <v>0</v>
      </c>
      <c r="E12" s="15"/>
      <c r="F12" s="17">
        <v>0</v>
      </c>
      <c r="G12" s="15"/>
      <c r="H12" s="17">
        <v>0</v>
      </c>
      <c r="I12" s="15"/>
      <c r="J12" s="15">
        <f t="shared" ref="J12:J17" si="0">H12+F12+D12</f>
        <v>0</v>
      </c>
      <c r="K12" s="15"/>
      <c r="L12" s="15">
        <f t="shared" ref="L12:L17" si="1">J12+B12</f>
        <v>408580.31999999995</v>
      </c>
      <c r="M12" s="15"/>
    </row>
    <row r="13" spans="1:13" x14ac:dyDescent="0.2">
      <c r="A13" s="3" t="s">
        <v>2714</v>
      </c>
      <c r="B13" s="15">
        <v>338701.07</v>
      </c>
      <c r="C13" s="15"/>
      <c r="D13" s="17">
        <v>8568616.6699999999</v>
      </c>
      <c r="E13" s="15"/>
      <c r="F13" s="17">
        <v>-543.51</v>
      </c>
      <c r="G13" s="15"/>
      <c r="H13" s="17">
        <v>0</v>
      </c>
      <c r="I13" s="15"/>
      <c r="J13" s="15">
        <f t="shared" si="0"/>
        <v>8568073.1600000001</v>
      </c>
      <c r="K13" s="15"/>
      <c r="L13" s="15">
        <f t="shared" si="1"/>
        <v>8906774.2300000004</v>
      </c>
      <c r="M13" s="15"/>
    </row>
    <row r="14" spans="1:13" x14ac:dyDescent="0.2">
      <c r="A14" s="3" t="s">
        <v>2715</v>
      </c>
      <c r="B14" s="15">
        <v>12963200.77</v>
      </c>
      <c r="C14" s="15"/>
      <c r="D14" s="17">
        <v>5528316.21</v>
      </c>
      <c r="E14" s="15"/>
      <c r="F14" s="17">
        <v>-18063.5</v>
      </c>
      <c r="G14" s="15"/>
      <c r="H14" s="17">
        <v>0</v>
      </c>
      <c r="I14" s="15"/>
      <c r="J14" s="15">
        <f t="shared" si="0"/>
        <v>5510252.71</v>
      </c>
      <c r="K14" s="15"/>
      <c r="L14" s="15">
        <f t="shared" si="1"/>
        <v>18473453.48</v>
      </c>
      <c r="M14" s="15"/>
    </row>
    <row r="15" spans="1:13" x14ac:dyDescent="0.2">
      <c r="A15" s="3" t="s">
        <v>2717</v>
      </c>
      <c r="B15" s="15">
        <v>13805502.43</v>
      </c>
      <c r="C15" s="15"/>
      <c r="D15" s="17">
        <v>0</v>
      </c>
      <c r="E15" s="15"/>
      <c r="F15" s="17">
        <v>0</v>
      </c>
      <c r="G15" s="15"/>
      <c r="H15" s="17">
        <v>0</v>
      </c>
      <c r="I15" s="15"/>
      <c r="J15" s="15">
        <f t="shared" si="0"/>
        <v>0</v>
      </c>
      <c r="K15" s="15"/>
      <c r="L15" s="15">
        <f t="shared" si="1"/>
        <v>13805502.43</v>
      </c>
      <c r="M15" s="15"/>
    </row>
    <row r="16" spans="1:13" x14ac:dyDescent="0.2">
      <c r="A16" s="3" t="s">
        <v>2718</v>
      </c>
      <c r="B16" s="15">
        <v>3842588.63</v>
      </c>
      <c r="C16" s="15"/>
      <c r="D16" s="17">
        <v>10035082.42</v>
      </c>
      <c r="E16" s="15"/>
      <c r="F16" s="17">
        <v>0</v>
      </c>
      <c r="G16" s="15"/>
      <c r="H16" s="17">
        <v>0</v>
      </c>
      <c r="I16" s="15"/>
      <c r="J16" s="15">
        <f t="shared" si="0"/>
        <v>10035082.42</v>
      </c>
      <c r="K16" s="15"/>
      <c r="L16" s="15">
        <f t="shared" si="1"/>
        <v>13877671.050000001</v>
      </c>
      <c r="M16" s="15"/>
    </row>
    <row r="17" spans="1:13" x14ac:dyDescent="0.2">
      <c r="A17" s="3" t="s">
        <v>2719</v>
      </c>
      <c r="B17" s="16">
        <v>5234632.3199999994</v>
      </c>
      <c r="C17" s="17"/>
      <c r="D17" s="17">
        <v>1111620.6100000001</v>
      </c>
      <c r="E17" s="15"/>
      <c r="F17" s="17">
        <v>-23578.69</v>
      </c>
      <c r="G17" s="15"/>
      <c r="H17" s="17">
        <v>0</v>
      </c>
      <c r="I17" s="17"/>
      <c r="J17" s="16">
        <f t="shared" si="0"/>
        <v>1088041.9200000002</v>
      </c>
      <c r="K17" s="17"/>
      <c r="L17" s="16">
        <f t="shared" si="1"/>
        <v>6322674.2399999993</v>
      </c>
      <c r="M17" s="17"/>
    </row>
    <row r="18" spans="1:13" x14ac:dyDescent="0.2">
      <c r="B18" s="17">
        <f>SUM(B11:B17)</f>
        <v>37247150.579999998</v>
      </c>
      <c r="C18" s="17"/>
      <c r="D18" s="20">
        <f>SUM(D11:D17)</f>
        <v>25243635.909999996</v>
      </c>
      <c r="E18" s="17"/>
      <c r="F18" s="20">
        <f>SUM(F11:F17)</f>
        <v>-42185.7</v>
      </c>
      <c r="G18" s="17"/>
      <c r="H18" s="20">
        <f>SUM(H11:H17)</f>
        <v>0</v>
      </c>
      <c r="I18" s="17"/>
      <c r="J18" s="17">
        <f>SUM(J11:J17)</f>
        <v>25201450.210000001</v>
      </c>
      <c r="K18" s="17"/>
      <c r="L18" s="17">
        <f>SUM(L11:L17)</f>
        <v>62448600.789999999</v>
      </c>
      <c r="M18" s="17"/>
    </row>
    <row r="19" spans="1:13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10" t="s">
        <v>2769</v>
      </c>
      <c r="B21" s="21">
        <f>B18</f>
        <v>37247150.579999998</v>
      </c>
      <c r="C21" s="134"/>
      <c r="D21" s="21">
        <f>D18</f>
        <v>25243635.909999996</v>
      </c>
      <c r="E21" s="134"/>
      <c r="F21" s="21">
        <f>F18</f>
        <v>-42185.7</v>
      </c>
      <c r="G21" s="134"/>
      <c r="H21" s="21">
        <f>H18</f>
        <v>0</v>
      </c>
      <c r="I21" s="134"/>
      <c r="J21" s="21">
        <f>J18</f>
        <v>25201450.210000001</v>
      </c>
      <c r="K21" s="134"/>
      <c r="L21" s="21">
        <f>L18</f>
        <v>62448600.789999999</v>
      </c>
      <c r="M21" s="134"/>
    </row>
    <row r="22" spans="1:13" x14ac:dyDescent="0.2">
      <c r="A22" s="10"/>
      <c r="B22" s="17"/>
      <c r="C22" s="134"/>
      <c r="D22" s="17"/>
      <c r="E22" s="134"/>
      <c r="F22" s="17"/>
      <c r="G22" s="134"/>
      <c r="H22" s="17"/>
      <c r="I22" s="134"/>
      <c r="J22" s="17"/>
      <c r="K22" s="134"/>
      <c r="L22" s="17"/>
      <c r="M22" s="134"/>
    </row>
    <row r="23" spans="1:13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">
      <c r="A24" s="10" t="s">
        <v>2604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">
      <c r="A25" s="10" t="s">
        <v>18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3" t="s">
        <v>2726</v>
      </c>
      <c r="B26" s="16">
        <v>0</v>
      </c>
      <c r="C26" s="17"/>
      <c r="D26" s="17">
        <v>0</v>
      </c>
      <c r="E26" s="15"/>
      <c r="F26" s="17">
        <v>0</v>
      </c>
      <c r="G26" s="15"/>
      <c r="H26" s="17">
        <v>0</v>
      </c>
      <c r="I26" s="17"/>
      <c r="J26" s="16">
        <f>H26+F26+D26</f>
        <v>0</v>
      </c>
      <c r="K26" s="17"/>
      <c r="L26" s="16">
        <f>J26+B26</f>
        <v>0</v>
      </c>
      <c r="M26" s="17"/>
    </row>
    <row r="27" spans="1:13" x14ac:dyDescent="0.2">
      <c r="B27" s="17">
        <f>SUM(B26:B26)</f>
        <v>0</v>
      </c>
      <c r="C27" s="17"/>
      <c r="D27" s="20">
        <f>SUM(D26:D26)</f>
        <v>0</v>
      </c>
      <c r="E27" s="17"/>
      <c r="F27" s="20">
        <f>SUM(F26:F26)</f>
        <v>0</v>
      </c>
      <c r="G27" s="17"/>
      <c r="H27" s="20">
        <f>SUM(H26:H26)</f>
        <v>0</v>
      </c>
      <c r="I27" s="17"/>
      <c r="J27" s="17">
        <f>SUM(J26:J26)</f>
        <v>0</v>
      </c>
      <c r="K27" s="17"/>
      <c r="L27" s="17">
        <f>SUM(L26:L26)</f>
        <v>0</v>
      </c>
      <c r="M27" s="17"/>
    </row>
    <row r="28" spans="1:13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10" t="s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">
      <c r="A30" s="3" t="s">
        <v>2760</v>
      </c>
      <c r="B30" s="17">
        <v>4188720.22</v>
      </c>
      <c r="C30" s="17"/>
      <c r="D30" s="17">
        <v>-4188450.83</v>
      </c>
      <c r="E30" s="15"/>
      <c r="F30" s="17">
        <v>0</v>
      </c>
      <c r="G30" s="15"/>
      <c r="H30" s="17">
        <v>0</v>
      </c>
      <c r="I30" s="17"/>
      <c r="J30" s="17">
        <f>H30+F30+D30</f>
        <v>-4188450.83</v>
      </c>
      <c r="K30" s="17"/>
      <c r="L30" s="17">
        <f>J30+B30</f>
        <v>269.39000000013039</v>
      </c>
      <c r="M30" s="17"/>
    </row>
    <row r="31" spans="1:13" x14ac:dyDescent="0.2">
      <c r="A31" s="3" t="s">
        <v>2761</v>
      </c>
      <c r="B31" s="17">
        <v>9746518.3499999996</v>
      </c>
      <c r="C31" s="17"/>
      <c r="D31" s="17">
        <v>-9746249</v>
      </c>
      <c r="E31" s="15"/>
      <c r="F31" s="17">
        <v>0</v>
      </c>
      <c r="G31" s="15"/>
      <c r="H31" s="17">
        <v>0</v>
      </c>
      <c r="I31" s="17"/>
      <c r="J31" s="17">
        <f>H31+F31+D31</f>
        <v>-9746249</v>
      </c>
      <c r="K31" s="17"/>
      <c r="L31" s="17">
        <f>J31+B31</f>
        <v>269.34999999962747</v>
      </c>
      <c r="M31" s="17"/>
    </row>
    <row r="32" spans="1:13" x14ac:dyDescent="0.2">
      <c r="A32" s="3" t="s">
        <v>2762</v>
      </c>
      <c r="B32" s="17">
        <v>0</v>
      </c>
      <c r="C32" s="17"/>
      <c r="D32" s="17">
        <v>0</v>
      </c>
      <c r="E32" s="15"/>
      <c r="F32" s="17">
        <v>0</v>
      </c>
      <c r="G32" s="15"/>
      <c r="H32" s="17">
        <v>0</v>
      </c>
      <c r="I32" s="17"/>
      <c r="J32" s="17">
        <f>H32+F32+D32</f>
        <v>0</v>
      </c>
      <c r="K32" s="17"/>
      <c r="L32" s="17">
        <f>J32+B32</f>
        <v>0</v>
      </c>
      <c r="M32" s="17"/>
    </row>
    <row r="33" spans="1:13" s="31" customFormat="1" x14ac:dyDescent="0.2">
      <c r="A33" s="31" t="s">
        <v>2763</v>
      </c>
      <c r="B33" s="17">
        <v>568.22</v>
      </c>
      <c r="C33" s="17"/>
      <c r="D33" s="17">
        <v>-568.22</v>
      </c>
      <c r="E33" s="15"/>
      <c r="F33" s="17">
        <v>0</v>
      </c>
      <c r="G33" s="15"/>
      <c r="H33" s="17">
        <v>0</v>
      </c>
      <c r="I33" s="17"/>
      <c r="J33" s="17">
        <f>H33+F33+D33</f>
        <v>-568.22</v>
      </c>
      <c r="K33" s="17"/>
      <c r="L33" s="17">
        <f>J33+B33</f>
        <v>0</v>
      </c>
      <c r="M33" s="17"/>
    </row>
    <row r="34" spans="1:13" s="31" customFormat="1" x14ac:dyDescent="0.2">
      <c r="A34" s="31" t="s">
        <v>2764</v>
      </c>
      <c r="B34" s="17">
        <v>3772.79</v>
      </c>
      <c r="C34" s="17"/>
      <c r="D34" s="17">
        <v>-3772.79</v>
      </c>
      <c r="E34" s="15"/>
      <c r="F34" s="17">
        <v>0</v>
      </c>
      <c r="G34" s="15"/>
      <c r="H34" s="17">
        <v>0</v>
      </c>
      <c r="I34" s="17"/>
      <c r="J34" s="17">
        <f>H34+F34+D34</f>
        <v>-3772.79</v>
      </c>
      <c r="K34" s="17"/>
      <c r="L34" s="17">
        <f>J34+B34</f>
        <v>0</v>
      </c>
      <c r="M34" s="17"/>
    </row>
    <row r="35" spans="1:13" x14ac:dyDescent="0.2">
      <c r="B35" s="20">
        <f>SUM(B30:B34)</f>
        <v>13939579.58</v>
      </c>
      <c r="C35" s="17"/>
      <c r="D35" s="20">
        <f>SUM(D30:D34)</f>
        <v>-13939040.84</v>
      </c>
      <c r="E35" s="17"/>
      <c r="F35" s="20">
        <f>SUM(F30:F34)</f>
        <v>0</v>
      </c>
      <c r="G35" s="17"/>
      <c r="H35" s="20">
        <f>SUM(H30:H34)</f>
        <v>0</v>
      </c>
      <c r="I35" s="17"/>
      <c r="J35" s="20">
        <f>SUM(J30:J34)</f>
        <v>-13939040.84</v>
      </c>
      <c r="K35" s="17"/>
      <c r="L35" s="20">
        <f>SUM(L30:L34)</f>
        <v>538.73999999975786</v>
      </c>
      <c r="M35" s="17"/>
    </row>
    <row r="36" spans="1:13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">
      <c r="A38" s="10" t="s">
        <v>2770</v>
      </c>
      <c r="B38" s="21">
        <f>B27+B35</f>
        <v>13939579.58</v>
      </c>
      <c r="C38" s="134"/>
      <c r="D38" s="21">
        <f>D27+D35</f>
        <v>-13939040.84</v>
      </c>
      <c r="E38" s="134"/>
      <c r="F38" s="21">
        <f>F27+F35</f>
        <v>0</v>
      </c>
      <c r="G38" s="134"/>
      <c r="H38" s="21">
        <f>H27+H35</f>
        <v>0</v>
      </c>
      <c r="I38" s="134"/>
      <c r="J38" s="21">
        <f>J27+J35</f>
        <v>-13939040.84</v>
      </c>
      <c r="K38" s="134"/>
      <c r="L38" s="21">
        <f>L27+L35</f>
        <v>538.73999999975786</v>
      </c>
      <c r="M38" s="134"/>
    </row>
    <row r="39" spans="1:13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3.5" thickBot="1" x14ac:dyDescent="0.25">
      <c r="A41" s="10" t="s">
        <v>2767</v>
      </c>
      <c r="B41" s="41">
        <f>B21+B38</f>
        <v>51186730.159999996</v>
      </c>
      <c r="C41" s="15"/>
      <c r="D41" s="41">
        <f>D21+D38</f>
        <v>11304595.069999997</v>
      </c>
      <c r="E41" s="15"/>
      <c r="F41" s="41">
        <f>F21+F38</f>
        <v>-42185.7</v>
      </c>
      <c r="G41" s="15"/>
      <c r="H41" s="41">
        <f>H21+H38</f>
        <v>0</v>
      </c>
      <c r="I41" s="15"/>
      <c r="J41" s="41">
        <f>J21+J38</f>
        <v>11262409.370000001</v>
      </c>
      <c r="K41" s="15"/>
      <c r="L41" s="41">
        <f>L21+L38</f>
        <v>62449139.530000001</v>
      </c>
      <c r="M41" s="15"/>
    </row>
    <row r="42" spans="1:13" ht="13.5" thickTop="1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3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3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3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112"/>
  <sheetViews>
    <sheetView zoomScale="90" zoomScaleNormal="90" workbookViewId="0">
      <selection sqref="A1:N1"/>
    </sheetView>
  </sheetViews>
  <sheetFormatPr defaultRowHeight="12.75" x14ac:dyDescent="0.2"/>
  <cols>
    <col min="1" max="1" width="45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85546875" style="3" customWidth="1"/>
    <col min="14" max="14" width="16.42578125" style="3" customWidth="1"/>
    <col min="15" max="15" width="1.710937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2771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" t="s">
        <v>2556</v>
      </c>
    </row>
    <row r="7" spans="1:16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  <c r="B9" s="18"/>
      <c r="D9" s="18"/>
      <c r="F9" s="18"/>
      <c r="H9" s="18"/>
      <c r="J9" s="18"/>
      <c r="L9" s="18"/>
    </row>
    <row r="10" spans="1:16" x14ac:dyDescent="0.2">
      <c r="A10" s="10" t="s">
        <v>27</v>
      </c>
    </row>
    <row r="11" spans="1:16" x14ac:dyDescent="0.2">
      <c r="A11" s="3" t="s">
        <v>373</v>
      </c>
      <c r="B11" s="138">
        <f>'KY_Cost Plant Acct-Gas-P20(REG)'!B11</f>
        <v>60478.68</v>
      </c>
      <c r="C11" s="138"/>
      <c r="D11" s="138">
        <f>'KY_Cost Plant Acct-Gas-P20(REG)'!D11</f>
        <v>0</v>
      </c>
      <c r="E11" s="138"/>
      <c r="F11" s="138">
        <f>'KY_Cost Plant Acct-Gas-P20(REG)'!F11</f>
        <v>0</v>
      </c>
      <c r="G11" s="138"/>
      <c r="H11" s="138">
        <f>'KY_Cost Plant Acct-Gas-P20(REG)'!H11</f>
        <v>0</v>
      </c>
      <c r="I11" s="138"/>
      <c r="J11" s="138">
        <f t="shared" ref="J11:J26" si="0">H11+F11+D11</f>
        <v>0</v>
      </c>
      <c r="K11" s="138"/>
      <c r="L11" s="138">
        <f t="shared" ref="L11:L26" si="1">J11+B11</f>
        <v>60478.68</v>
      </c>
      <c r="M11" s="145"/>
      <c r="N11" s="39">
        <f>'KY_Res by Plant Acct-P29 (Reg)'!R392</f>
        <v>1.6058265828178264E-12</v>
      </c>
      <c r="P11" s="39">
        <f t="shared" ref="P11:P26" si="2">L11+N11</f>
        <v>60478.68</v>
      </c>
    </row>
    <row r="12" spans="1:16" x14ac:dyDescent="0.2">
      <c r="A12" s="3" t="s">
        <v>374</v>
      </c>
      <c r="B12" s="138">
        <f>'KY_Cost Plant Acct-Gas-P20(REG)'!B12</f>
        <v>74018.23</v>
      </c>
      <c r="C12" s="138"/>
      <c r="D12" s="138">
        <f>'KY_Cost Plant Acct-Gas-P20(REG)'!D12</f>
        <v>0</v>
      </c>
      <c r="E12" s="138"/>
      <c r="F12" s="138">
        <f>'KY_Cost Plant Acct-Gas-P20(REG)'!F12</f>
        <v>0</v>
      </c>
      <c r="G12" s="138"/>
      <c r="H12" s="138">
        <f>'KY_Cost Plant Acct-Gas-P20(REG)'!H12</f>
        <v>0</v>
      </c>
      <c r="I12" s="138"/>
      <c r="J12" s="138">
        <f t="shared" si="0"/>
        <v>0</v>
      </c>
      <c r="K12" s="138"/>
      <c r="L12" s="138">
        <f t="shared" si="1"/>
        <v>74018.23</v>
      </c>
      <c r="M12" s="145"/>
      <c r="N12" s="39">
        <f>'KY_Res by Plant Acct-P29 (Reg)'!R393</f>
        <v>-77439.69</v>
      </c>
      <c r="P12" s="39">
        <f t="shared" si="2"/>
        <v>-3421.4600000000064</v>
      </c>
    </row>
    <row r="13" spans="1:16" x14ac:dyDescent="0.2">
      <c r="A13" s="3" t="s">
        <v>376</v>
      </c>
      <c r="B13" s="138">
        <f>'KY_Cost Plant Acct-Gas-P20(REG)'!B13+'KY_Cost Plant Acct-Gas-P20(REG)'!B77</f>
        <v>499620.92000000004</v>
      </c>
      <c r="C13" s="138"/>
      <c r="D13" s="138">
        <f>'KY_Cost Plant Acct-Gas-P20(REG)'!D13+'KY_Cost Plant Acct-Gas-P20(REG)'!D77</f>
        <v>0</v>
      </c>
      <c r="E13" s="138"/>
      <c r="F13" s="138">
        <f>'KY_Cost Plant Acct-Gas-P20(REG)'!F13</f>
        <v>-597.48</v>
      </c>
      <c r="G13" s="138"/>
      <c r="H13" s="138">
        <f>'KY_Cost Plant Acct-Gas-P20(REG)'!H13</f>
        <v>0</v>
      </c>
      <c r="I13" s="138"/>
      <c r="J13" s="138">
        <f t="shared" si="0"/>
        <v>-597.48</v>
      </c>
      <c r="K13" s="138"/>
      <c r="L13" s="138">
        <f t="shared" si="1"/>
        <v>499023.44000000006</v>
      </c>
      <c r="M13" s="145"/>
      <c r="N13" s="39">
        <f>'KY_Res by Plant Acct-P29 (Reg)'!R394</f>
        <v>-90124.99000000002</v>
      </c>
      <c r="P13" s="39">
        <f t="shared" si="2"/>
        <v>408898.45000000007</v>
      </c>
    </row>
    <row r="14" spans="1:16" x14ac:dyDescent="0.2">
      <c r="A14" s="3" t="s">
        <v>377</v>
      </c>
      <c r="B14" s="138">
        <f>'KY_Cost Plant Acct-Gas-P20(REG)'!B14+'KY_Cost Plant Acct-Gas-P20(REG)'!B78</f>
        <v>645371.57000000007</v>
      </c>
      <c r="C14" s="138"/>
      <c r="D14" s="138">
        <f>'KY_Cost Plant Acct-Gas-P20(REG)'!D14+'KY_Cost Plant Acct-Gas-P20(REG)'!D78</f>
        <v>22511.459999999992</v>
      </c>
      <c r="E14" s="138"/>
      <c r="F14" s="138">
        <f>'KY_Cost Plant Acct-Gas-P20(REG)'!F14</f>
        <v>-3808.67</v>
      </c>
      <c r="G14" s="138"/>
      <c r="H14" s="138">
        <f>'KY_Cost Plant Acct-Gas-P20(REG)'!H14</f>
        <v>12074.4</v>
      </c>
      <c r="I14" s="138"/>
      <c r="J14" s="138">
        <f t="shared" si="0"/>
        <v>30777.189999999991</v>
      </c>
      <c r="K14" s="138"/>
      <c r="L14" s="138">
        <f t="shared" si="1"/>
        <v>676148.76</v>
      </c>
      <c r="M14" s="145"/>
      <c r="N14" s="39">
        <f>'KY_Res by Plant Acct-P29 (Reg)'!R395</f>
        <v>-267755.48000000004</v>
      </c>
      <c r="P14" s="39">
        <f t="shared" si="2"/>
        <v>408393.27999999997</v>
      </c>
    </row>
    <row r="15" spans="1:16" x14ac:dyDescent="0.2">
      <c r="A15" s="3" t="s">
        <v>379</v>
      </c>
      <c r="B15" s="138">
        <f>'KY_Cost Plant Acct-Gas-P20(REG)'!B15+'KY_Cost Plant Acct-Gas-P20(REG)'!B79</f>
        <v>338918581.52999997</v>
      </c>
      <c r="C15" s="138"/>
      <c r="D15" s="138">
        <f>'KY_Cost Plant Acct-Gas-P20(REG)'!D15+'KY_Cost Plant Acct-Gas-P20(REG)'!D79</f>
        <v>6667171.0800000001</v>
      </c>
      <c r="E15" s="138"/>
      <c r="F15" s="138">
        <f>'KY_Cost Plant Acct-Gas-P20(REG)'!F15</f>
        <v>-309953.23</v>
      </c>
      <c r="G15" s="138"/>
      <c r="H15" s="138">
        <f>'KY_Cost Plant Acct-Gas-P20(REG)'!H15+'KY_Cost Plant Acct-Gas-P20(REG)'!H79</f>
        <v>0</v>
      </c>
      <c r="I15" s="138"/>
      <c r="J15" s="138">
        <f t="shared" si="0"/>
        <v>6357217.8499999996</v>
      </c>
      <c r="K15" s="138"/>
      <c r="L15" s="138">
        <f t="shared" si="1"/>
        <v>345275799.38</v>
      </c>
      <c r="M15" s="145"/>
      <c r="N15" s="39">
        <f>'KY_Res by Plant Acct-P29 (Reg)'!R396</f>
        <v>-127206169.88999997</v>
      </c>
      <c r="P15" s="39">
        <f t="shared" si="2"/>
        <v>218069629.49000001</v>
      </c>
    </row>
    <row r="16" spans="1:16" x14ac:dyDescent="0.2">
      <c r="A16" s="22" t="s">
        <v>380</v>
      </c>
      <c r="B16" s="138">
        <f>'KY_Cost Plant Acct-Gas-P20(REG)'!B16+'KY_Cost Plant Acct-Gas-P20(REG)'!B80</f>
        <v>42066090.360000007</v>
      </c>
      <c r="C16" s="138"/>
      <c r="D16" s="138">
        <f>'KY_Cost Plant Acct-Gas-P20(REG)'!D16+'KY_Cost Plant Acct-Gas-P20(REG)'!D80</f>
        <v>11102238.01</v>
      </c>
      <c r="E16" s="138"/>
      <c r="F16" s="138">
        <f>'KY_Cost Plant Acct-Gas-P20(REG)'!F16</f>
        <v>0</v>
      </c>
      <c r="G16" s="138"/>
      <c r="H16" s="138">
        <f>'KY_Cost Plant Acct-Gas-P20(REG)'!H16+'KY_Cost Plant Acct-Gas-P20(REG)'!H80</f>
        <v>0</v>
      </c>
      <c r="I16" s="138"/>
      <c r="J16" s="138">
        <f>H16+F16+D16</f>
        <v>11102238.01</v>
      </c>
      <c r="K16" s="138"/>
      <c r="L16" s="138">
        <f>J16+B16</f>
        <v>53168328.370000005</v>
      </c>
      <c r="M16" s="145"/>
      <c r="N16" s="39">
        <f>'KY_Res by Plant Acct-P29 (Reg)'!R397</f>
        <v>-2673197.6399999997</v>
      </c>
      <c r="P16" s="39">
        <f t="shared" si="2"/>
        <v>50495130.730000004</v>
      </c>
    </row>
    <row r="17" spans="1:16" x14ac:dyDescent="0.2">
      <c r="A17" s="3" t="s">
        <v>381</v>
      </c>
      <c r="B17" s="138">
        <f>'KY_Cost Plant Acct-Gas-P20(REG)'!B17+'KY_Cost Plant Acct-Gas-P20(REG)'!B81</f>
        <v>17676381.659999996</v>
      </c>
      <c r="C17" s="138"/>
      <c r="D17" s="138">
        <f>'KY_Cost Plant Acct-Gas-P20(REG)'!D17+'KY_Cost Plant Acct-Gas-P20(REG)'!D81</f>
        <v>3390624.5700000003</v>
      </c>
      <c r="E17" s="138"/>
      <c r="F17" s="138">
        <f>'KY_Cost Plant Acct-Gas-P20(REG)'!F17</f>
        <v>-87472.57</v>
      </c>
      <c r="G17" s="138"/>
      <c r="H17" s="138">
        <f>'KY_Cost Plant Acct-Gas-P20(REG)'!H17</f>
        <v>0</v>
      </c>
      <c r="I17" s="138"/>
      <c r="J17" s="138">
        <f t="shared" si="0"/>
        <v>3303152.0000000005</v>
      </c>
      <c r="K17" s="138"/>
      <c r="L17" s="138">
        <f t="shared" si="1"/>
        <v>20979533.659999996</v>
      </c>
      <c r="M17" s="145"/>
      <c r="N17" s="39">
        <f>'KY_Res by Plant Acct-P29 (Reg)'!R398</f>
        <v>-2438258.5200000005</v>
      </c>
      <c r="P17" s="39">
        <f t="shared" si="2"/>
        <v>18541275.139999997</v>
      </c>
    </row>
    <row r="18" spans="1:16" x14ac:dyDescent="0.2">
      <c r="A18" s="3" t="s">
        <v>382</v>
      </c>
      <c r="B18" s="138">
        <f>'KY_Cost Plant Acct-Gas-P20(REG)'!B18+'KY_Cost Plant Acct-Gas-P20(REG)'!B82</f>
        <v>7185390.6700000009</v>
      </c>
      <c r="C18" s="138"/>
      <c r="D18" s="138">
        <f>'KY_Cost Plant Acct-Gas-P20(REG)'!D18+'KY_Cost Plant Acct-Gas-P20(REG)'!D82</f>
        <v>507948.22</v>
      </c>
      <c r="E18" s="138"/>
      <c r="F18" s="138">
        <f>'KY_Cost Plant Acct-Gas-P20(REG)'!F18</f>
        <v>-24883.53</v>
      </c>
      <c r="G18" s="138"/>
      <c r="H18" s="138">
        <f>'KY_Cost Plant Acct-Gas-P20(REG)'!H18</f>
        <v>0</v>
      </c>
      <c r="I18" s="138"/>
      <c r="J18" s="138">
        <f t="shared" si="0"/>
        <v>483064.68999999994</v>
      </c>
      <c r="K18" s="138"/>
      <c r="L18" s="138">
        <f t="shared" si="1"/>
        <v>7668455.3600000013</v>
      </c>
      <c r="M18" s="145"/>
      <c r="N18" s="39">
        <f>'KY_Res by Plant Acct-P29 (Reg)'!R399</f>
        <v>-1300766.5799999996</v>
      </c>
      <c r="P18" s="39">
        <f t="shared" si="2"/>
        <v>6367688.7800000012</v>
      </c>
    </row>
    <row r="19" spans="1:16" x14ac:dyDescent="0.2">
      <c r="A19" s="3" t="s">
        <v>383</v>
      </c>
      <c r="B19" s="138">
        <f>'KY_Cost Plant Acct-Gas-P20(REG)'!B19+'KY_Cost Plant Acct-Gas-P20(REG)'!B83</f>
        <v>202532397.97</v>
      </c>
      <c r="C19" s="138"/>
      <c r="D19" s="138">
        <f>'KY_Cost Plant Acct-Gas-P20(REG)'!D19+'KY_Cost Plant Acct-Gas-P20(REG)'!D83</f>
        <v>1923732.65</v>
      </c>
      <c r="E19" s="138"/>
      <c r="F19" s="138">
        <f>'KY_Cost Plant Acct-Gas-P20(REG)'!F19</f>
        <v>-7034482.9400000004</v>
      </c>
      <c r="G19" s="138"/>
      <c r="H19" s="138">
        <f>'KY_Cost Plant Acct-Gas-P20(REG)'!H19+'KY_Cost Plant Acct-Gas-P20(REG)'!H83</f>
        <v>0</v>
      </c>
      <c r="I19" s="138"/>
      <c r="J19" s="138">
        <f t="shared" si="0"/>
        <v>-5110750.290000001</v>
      </c>
      <c r="K19" s="138"/>
      <c r="L19" s="138">
        <f>J19+B19</f>
        <v>197421647.68000001</v>
      </c>
      <c r="M19" s="145"/>
      <c r="N19" s="39">
        <f>'KY_Res by Plant Acct-P29 (Reg)'!R400</f>
        <v>-86044113.090000018</v>
      </c>
      <c r="P19" s="39">
        <f t="shared" si="2"/>
        <v>111377534.58999999</v>
      </c>
    </row>
    <row r="20" spans="1:16" x14ac:dyDescent="0.2">
      <c r="A20" s="22" t="s">
        <v>384</v>
      </c>
      <c r="B20" s="138">
        <f>'KY_Cost Plant Acct-Gas-P20(REG)'!B20+'KY_Cost Plant Acct-Gas-P20(REG)'!B84</f>
        <v>124315816.81</v>
      </c>
      <c r="C20" s="138"/>
      <c r="D20" s="138">
        <f>'KY_Cost Plant Acct-Gas-P20(REG)'!D20+'KY_Cost Plant Acct-Gas-P20(REG)'!D84</f>
        <v>45608452.120000005</v>
      </c>
      <c r="E20" s="138"/>
      <c r="F20" s="138">
        <f>'KY_Cost Plant Acct-Gas-P20(REG)'!F20</f>
        <v>0</v>
      </c>
      <c r="G20" s="138"/>
      <c r="H20" s="138">
        <f>'KY_Cost Plant Acct-Gas-P20(REG)'!H20+'KY_Cost Plant Acct-Gas-P20(REG)'!H84</f>
        <v>0</v>
      </c>
      <c r="I20" s="138"/>
      <c r="J20" s="138">
        <f>H20+F20+D20</f>
        <v>45608452.120000005</v>
      </c>
      <c r="K20" s="138"/>
      <c r="L20" s="138">
        <f>J20+B20</f>
        <v>169924268.93000001</v>
      </c>
      <c r="M20" s="145"/>
      <c r="N20" s="39">
        <f>'KY_Res by Plant Acct-P29 (Reg)'!R401</f>
        <v>-11678843.310000001</v>
      </c>
      <c r="P20" s="39">
        <f t="shared" si="2"/>
        <v>158245425.62</v>
      </c>
    </row>
    <row r="21" spans="1:16" x14ac:dyDescent="0.2">
      <c r="A21" s="3" t="s">
        <v>385</v>
      </c>
      <c r="B21" s="138">
        <f>'KY_Cost Plant Acct-Gas-P20(REG)'!B21+'KY_Cost Plant Acct-Gas-P20(REG)'!B85</f>
        <v>47351018.689999998</v>
      </c>
      <c r="C21" s="138"/>
      <c r="D21" s="138">
        <f>'KY_Cost Plant Acct-Gas-P20(REG)'!D21+'KY_Cost Plant Acct-Gas-P20(REG)'!D85</f>
        <v>2661167.52</v>
      </c>
      <c r="E21" s="138"/>
      <c r="F21" s="138">
        <f>'KY_Cost Plant Acct-Gas-P20(REG)'!F21</f>
        <v>-846588.36</v>
      </c>
      <c r="G21" s="138"/>
      <c r="H21" s="138">
        <f>'KY_Cost Plant Acct-Gas-P20(REG)'!H21</f>
        <v>0</v>
      </c>
      <c r="I21" s="138"/>
      <c r="J21" s="138">
        <f t="shared" si="0"/>
        <v>1814579.1600000001</v>
      </c>
      <c r="K21" s="138"/>
      <c r="L21" s="138">
        <f t="shared" si="1"/>
        <v>49165597.849999994</v>
      </c>
      <c r="M21" s="145"/>
      <c r="N21" s="39">
        <f>'KY_Res by Plant Acct-P29 (Reg)'!R402</f>
        <v>-12964290.940000005</v>
      </c>
      <c r="P21" s="39">
        <f t="shared" si="2"/>
        <v>36201306.909999989</v>
      </c>
    </row>
    <row r="22" spans="1:16" x14ac:dyDescent="0.2">
      <c r="A22" s="3" t="s">
        <v>386</v>
      </c>
      <c r="B22" s="138">
        <f>'KY_Cost Plant Acct-Gas-P20(REG)'!B22+'KY_Cost Plant Acct-Gas-P20(REG)'!B86</f>
        <v>25550379.960000001</v>
      </c>
      <c r="C22" s="138"/>
      <c r="D22" s="138">
        <f>'KY_Cost Plant Acct-Gas-P20(REG)'!D22+'KY_Cost Plant Acct-Gas-P20(REG)'!D86</f>
        <v>621810.51</v>
      </c>
      <c r="E22" s="138"/>
      <c r="F22" s="138">
        <f>'KY_Cost Plant Acct-Gas-P20(REG)'!F22</f>
        <v>-183921.28</v>
      </c>
      <c r="G22" s="138"/>
      <c r="H22" s="138">
        <f>'KY_Cost Plant Acct-Gas-P20(REG)'!H22</f>
        <v>0</v>
      </c>
      <c r="I22" s="138"/>
      <c r="J22" s="138">
        <f t="shared" si="0"/>
        <v>437889.23</v>
      </c>
      <c r="K22" s="138"/>
      <c r="L22" s="138">
        <f t="shared" si="1"/>
        <v>25988269.190000001</v>
      </c>
      <c r="M22" s="145"/>
      <c r="N22" s="39">
        <f>'KY_Res by Plant Acct-P29 (Reg)'!R403</f>
        <v>-4459750.7</v>
      </c>
      <c r="P22" s="39">
        <f t="shared" si="2"/>
        <v>21528518.490000002</v>
      </c>
    </row>
    <row r="23" spans="1:16" x14ac:dyDescent="0.2">
      <c r="A23" s="3" t="s">
        <v>387</v>
      </c>
      <c r="B23" s="138">
        <f>'KY_Cost Plant Acct-Gas-P20(REG)'!B23+'KY_Cost Plant Acct-Gas-P20(REG)'!B87</f>
        <v>960686.95</v>
      </c>
      <c r="C23" s="138"/>
      <c r="D23" s="138">
        <f>'KY_Cost Plant Acct-Gas-P20(REG)'!D23+'KY_Cost Plant Acct-Gas-P20(REG)'!D87</f>
        <v>0</v>
      </c>
      <c r="E23" s="138"/>
      <c r="F23" s="138">
        <f>'KY_Cost Plant Acct-Gas-P20(REG)'!F23</f>
        <v>0</v>
      </c>
      <c r="G23" s="138"/>
      <c r="H23" s="138">
        <f>'KY_Cost Plant Acct-Gas-P20(REG)'!H23</f>
        <v>0</v>
      </c>
      <c r="I23" s="138"/>
      <c r="J23" s="138">
        <f t="shared" si="0"/>
        <v>0</v>
      </c>
      <c r="K23" s="138"/>
      <c r="L23" s="138">
        <f t="shared" si="1"/>
        <v>960686.95</v>
      </c>
      <c r="M23" s="145"/>
      <c r="N23" s="39">
        <f>'KY_Res by Plant Acct-P29 (Reg)'!R404</f>
        <v>-216659.34</v>
      </c>
      <c r="P23" s="39">
        <f t="shared" si="2"/>
        <v>744027.61</v>
      </c>
    </row>
    <row r="24" spans="1:16" x14ac:dyDescent="0.2">
      <c r="A24" s="3" t="s">
        <v>388</v>
      </c>
      <c r="B24" s="138">
        <f>'KY_Cost Plant Acct-Gas-P20(REG)'!B24+'KY_Cost Plant Acct-Gas-P20(REG)'!B88</f>
        <v>51112.34</v>
      </c>
      <c r="C24" s="135"/>
      <c r="D24" s="138">
        <f>'KY_Cost Plant Acct-Gas-P20(REG)'!D24+'KY_Cost Plant Acct-Gas-P20(REG)'!D88</f>
        <v>0</v>
      </c>
      <c r="E24" s="135"/>
      <c r="F24" s="138">
        <f>'KY_Cost Plant Acct-Gas-P20(REG)'!F24</f>
        <v>0</v>
      </c>
      <c r="G24" s="135"/>
      <c r="H24" s="138">
        <f>'KY_Cost Plant Acct-Gas-P20(REG)'!H24</f>
        <v>0</v>
      </c>
      <c r="I24" s="135"/>
      <c r="J24" s="135">
        <f t="shared" si="0"/>
        <v>0</v>
      </c>
      <c r="K24" s="135"/>
      <c r="L24" s="135">
        <f t="shared" si="1"/>
        <v>51112.34</v>
      </c>
      <c r="M24" s="146"/>
      <c r="N24" s="39">
        <f>'KY_Res by Plant Acct-P29 (Reg)'!R405</f>
        <v>-27451.699999999997</v>
      </c>
      <c r="O24" s="31"/>
      <c r="P24" s="39">
        <f t="shared" si="2"/>
        <v>23660.639999999999</v>
      </c>
    </row>
    <row r="25" spans="1:16" x14ac:dyDescent="0.2">
      <c r="A25" s="3" t="s">
        <v>389</v>
      </c>
      <c r="B25" s="138">
        <f>'KY_Cost Plant Acct-Gas-P20(REG)'!B25</f>
        <v>2667.35</v>
      </c>
      <c r="C25" s="135"/>
      <c r="D25" s="138">
        <f>'KY_Cost Plant Acct-Gas-P20(REG)'!D25</f>
        <v>0</v>
      </c>
      <c r="E25" s="135"/>
      <c r="F25" s="138">
        <f>'KY_Cost Plant Acct-Gas-P20(REG)'!F25</f>
        <v>0</v>
      </c>
      <c r="G25" s="135"/>
      <c r="H25" s="138">
        <f>'KY_Cost Plant Acct-Gas-P20(REG)'!H25</f>
        <v>34428.04</v>
      </c>
      <c r="I25" s="135"/>
      <c r="J25" s="135">
        <f t="shared" si="0"/>
        <v>34428.04</v>
      </c>
      <c r="K25" s="135"/>
      <c r="L25" s="135">
        <f t="shared" si="1"/>
        <v>37095.39</v>
      </c>
      <c r="M25" s="146"/>
      <c r="N25" s="39">
        <f>'KY_Res by Plant Acct-P29 (Reg)'!R406</f>
        <v>-601.71</v>
      </c>
      <c r="O25" s="31"/>
      <c r="P25" s="39">
        <f t="shared" si="2"/>
        <v>36493.68</v>
      </c>
    </row>
    <row r="26" spans="1:16" x14ac:dyDescent="0.2">
      <c r="A26" s="3" t="s">
        <v>390</v>
      </c>
      <c r="B26" s="149">
        <f>'KY_Cost Plant Acct-Gas-P20(REG)'!B26</f>
        <v>10479426.170000002</v>
      </c>
      <c r="C26" s="135"/>
      <c r="D26" s="149">
        <f>'KY_Cost Plant Acct-Gas-P20(REG)'!D26</f>
        <v>0</v>
      </c>
      <c r="E26" s="135"/>
      <c r="F26" s="149">
        <f>'KY_Cost Plant Acct-Gas-P20(REG)'!F26</f>
        <v>-487435.15</v>
      </c>
      <c r="G26" s="135"/>
      <c r="H26" s="149">
        <f>'KY_Cost Plant Acct-Gas-P20(REG)'!H26</f>
        <v>1532697.94</v>
      </c>
      <c r="I26" s="135"/>
      <c r="J26" s="149">
        <f t="shared" si="0"/>
        <v>1045262.7899999999</v>
      </c>
      <c r="K26" s="135"/>
      <c r="L26" s="149">
        <f t="shared" si="1"/>
        <v>11524688.960000001</v>
      </c>
      <c r="M26" s="146"/>
      <c r="N26" s="136">
        <f>'KY_Res by Plant Acct-P29 (Reg)'!R407</f>
        <v>-1377782.1000000015</v>
      </c>
      <c r="O26" s="31"/>
      <c r="P26" s="136">
        <f t="shared" si="2"/>
        <v>10146906.859999999</v>
      </c>
    </row>
    <row r="27" spans="1:16" x14ac:dyDescent="0.2">
      <c r="B27" s="135">
        <f>SUM(B11:B26)</f>
        <v>818369439.86000001</v>
      </c>
      <c r="C27" s="135"/>
      <c r="D27" s="135">
        <f>SUM(D11:D26)</f>
        <v>72505656.140000001</v>
      </c>
      <c r="E27" s="135"/>
      <c r="F27" s="135">
        <f>SUM(F11:F26)</f>
        <v>-8979143.2100000009</v>
      </c>
      <c r="G27" s="135"/>
      <c r="H27" s="135">
        <f>SUM(H11:H26)</f>
        <v>1579200.38</v>
      </c>
      <c r="I27" s="135"/>
      <c r="J27" s="135">
        <f>SUM(J11:J26)</f>
        <v>65105713.309999995</v>
      </c>
      <c r="K27" s="135"/>
      <c r="L27" s="135">
        <f>SUM(L11:L26)</f>
        <v>883475153.1700002</v>
      </c>
      <c r="M27" s="146"/>
      <c r="N27" s="38">
        <f>SUM(N11:N26)</f>
        <v>-250823205.67999998</v>
      </c>
      <c r="O27" s="31"/>
      <c r="P27" s="38">
        <f>SUM(P11:P26)</f>
        <v>632651947.48999989</v>
      </c>
    </row>
    <row r="28" spans="1:16" x14ac:dyDescent="0.2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45"/>
    </row>
    <row r="29" spans="1:16" x14ac:dyDescent="0.2">
      <c r="A29" s="10" t="s">
        <v>28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45"/>
    </row>
    <row r="30" spans="1:16" x14ac:dyDescent="0.2">
      <c r="A30" s="3" t="s">
        <v>2772</v>
      </c>
      <c r="B30" s="138">
        <f>'KY_Cost Plant Acct-Gas-P20(REG)'!B30+'KY_Cost Plant Acct-Gas-P20(REG)'!B91</f>
        <v>12617.94</v>
      </c>
      <c r="C30" s="138"/>
      <c r="D30" s="138">
        <f>'KY_Cost Plant Acct-Gas-P20(REG)'!D30+'KY_Cost Plant Acct-Gas-P20(REG)'!D91</f>
        <v>31064.85</v>
      </c>
      <c r="E30" s="138"/>
      <c r="F30" s="138">
        <f>'KY_Cost Plant Acct-Gas-P20(REG)'!F30</f>
        <v>0</v>
      </c>
      <c r="G30" s="138"/>
      <c r="H30" s="138">
        <f>'KY_Cost Plant Acct-Gas-P20(REG)'!H30</f>
        <v>0</v>
      </c>
      <c r="I30" s="138"/>
      <c r="J30" s="138">
        <f>H30+F30+D30</f>
        <v>31064.85</v>
      </c>
      <c r="K30" s="138"/>
      <c r="L30" s="138">
        <f>J30+B30</f>
        <v>43682.79</v>
      </c>
      <c r="M30" s="145"/>
      <c r="N30" s="39">
        <f>'KY_Res by Plant Acct-P29 (Reg)'!R411</f>
        <v>-12582.33</v>
      </c>
      <c r="P30" s="39">
        <f>L30+N30</f>
        <v>31100.46</v>
      </c>
    </row>
    <row r="31" spans="1:16" x14ac:dyDescent="0.2">
      <c r="A31" s="3" t="s">
        <v>2773</v>
      </c>
      <c r="B31" s="138">
        <f>'KY_Cost Plant Acct-Gas-P20(REG)'!B31+'KY_Cost Plant Acct-Gas-P20(REG)'!B92</f>
        <v>926192.23</v>
      </c>
      <c r="C31" s="138"/>
      <c r="D31" s="138">
        <f>'KY_Cost Plant Acct-Gas-P20(REG)'!D31+'KY_Cost Plant Acct-Gas-P20(REG)'!D92</f>
        <v>0</v>
      </c>
      <c r="E31" s="138"/>
      <c r="F31" s="138">
        <f>'KY_Cost Plant Acct-Gas-P20(REG)'!F31</f>
        <v>0</v>
      </c>
      <c r="G31" s="138"/>
      <c r="H31" s="138">
        <f>'KY_Cost Plant Acct-Gas-P20(REG)'!H31</f>
        <v>0</v>
      </c>
      <c r="I31" s="138"/>
      <c r="J31" s="138">
        <f t="shared" ref="J31:J37" si="3">H31+F31+D31</f>
        <v>0</v>
      </c>
      <c r="K31" s="138"/>
      <c r="L31" s="138">
        <f t="shared" ref="L31:L37" si="4">J31+B31</f>
        <v>926192.23</v>
      </c>
      <c r="M31" s="145"/>
      <c r="N31" s="39">
        <f>'KY_Res by Plant Acct-P29 (Reg)'!R412</f>
        <v>-701310.01000000036</v>
      </c>
      <c r="P31" s="39">
        <f t="shared" ref="P31:P37" si="5">L31+N31</f>
        <v>224882.21999999962</v>
      </c>
    </row>
    <row r="32" spans="1:16" x14ac:dyDescent="0.2">
      <c r="A32" s="3" t="s">
        <v>395</v>
      </c>
      <c r="B32" s="138">
        <f>'KY_Cost Plant Acct-Gas-P20(REG)'!B32+'KY_Cost Plant Acct-Gas-P20(REG)'!B93</f>
        <v>577962.1</v>
      </c>
      <c r="C32" s="138"/>
      <c r="D32" s="138">
        <f>'KY_Cost Plant Acct-Gas-P20(REG)'!D32+'KY_Cost Plant Acct-Gas-P20(REG)'!D93</f>
        <v>252627.81</v>
      </c>
      <c r="E32" s="138"/>
      <c r="F32" s="138">
        <f>'KY_Cost Plant Acct-Gas-P20(REG)'!F32</f>
        <v>-2173</v>
      </c>
      <c r="G32" s="138"/>
      <c r="H32" s="138">
        <f>'KY_Cost Plant Acct-Gas-P20(REG)'!H32</f>
        <v>0</v>
      </c>
      <c r="I32" s="138"/>
      <c r="J32" s="138">
        <f t="shared" si="3"/>
        <v>250454.81</v>
      </c>
      <c r="K32" s="138"/>
      <c r="L32" s="138">
        <f t="shared" si="4"/>
        <v>828416.90999999992</v>
      </c>
      <c r="M32" s="145"/>
      <c r="N32" s="39">
        <f>'KY_Res by Plant Acct-P29 (Reg)'!R413</f>
        <v>-129980.20000000004</v>
      </c>
      <c r="P32" s="39">
        <f t="shared" si="5"/>
        <v>698436.70999999985</v>
      </c>
    </row>
    <row r="33" spans="1:16" x14ac:dyDescent="0.2">
      <c r="A33" s="3" t="s">
        <v>397</v>
      </c>
      <c r="B33" s="138">
        <f>'KY_Cost Plant Acct-Gas-P20(REG)'!B33+'KY_Cost Plant Acct-Gas-P20(REG)'!B94</f>
        <v>6401924.2700000005</v>
      </c>
      <c r="C33" s="138"/>
      <c r="D33" s="138">
        <f>'KY_Cost Plant Acct-Gas-P20(REG)'!D33+'KY_Cost Plant Acct-Gas-P20(REG)'!D94</f>
        <v>608310.23</v>
      </c>
      <c r="E33" s="138"/>
      <c r="F33" s="138">
        <f>'KY_Cost Plant Acct-Gas-P20(REG)'!F33</f>
        <v>-245638.37</v>
      </c>
      <c r="G33" s="138"/>
      <c r="H33" s="138">
        <f>'KY_Cost Plant Acct-Gas-P20(REG)'!H33</f>
        <v>6742.3</v>
      </c>
      <c r="I33" s="138"/>
      <c r="J33" s="138">
        <f t="shared" si="3"/>
        <v>369414.16</v>
      </c>
      <c r="K33" s="138"/>
      <c r="L33" s="138">
        <f t="shared" si="4"/>
        <v>6771338.4300000006</v>
      </c>
      <c r="M33" s="145"/>
      <c r="N33" s="39">
        <f>'KY_Res by Plant Acct-P29 (Reg)'!R414</f>
        <v>-2607062.5699999994</v>
      </c>
      <c r="P33" s="39">
        <f t="shared" si="5"/>
        <v>4164275.8600000013</v>
      </c>
    </row>
    <row r="34" spans="1:16" x14ac:dyDescent="0.2">
      <c r="A34" s="3" t="s">
        <v>398</v>
      </c>
      <c r="B34" s="138">
        <f>'KY_Cost Plant Acct-Gas-P20(REG)'!B34+'KY_Cost Plant Acct-Gas-P20(REG)'!B95</f>
        <v>0</v>
      </c>
      <c r="C34" s="138"/>
      <c r="D34" s="138">
        <f>'KY_Cost Plant Acct-Gas-P20(REG)'!D34+'KY_Cost Plant Acct-Gas-P20(REG)'!D95</f>
        <v>0</v>
      </c>
      <c r="E34" s="138"/>
      <c r="F34" s="138">
        <f>'KY_Cost Plant Acct-Gas-P20(REG)'!F34</f>
        <v>0</v>
      </c>
      <c r="G34" s="138"/>
      <c r="H34" s="138">
        <f>'KY_Cost Plant Acct-Gas-P20(REG)'!H34</f>
        <v>0</v>
      </c>
      <c r="I34" s="138"/>
      <c r="J34" s="138">
        <f t="shared" si="3"/>
        <v>0</v>
      </c>
      <c r="K34" s="138"/>
      <c r="L34" s="138">
        <f t="shared" si="4"/>
        <v>0</v>
      </c>
      <c r="M34" s="145"/>
      <c r="N34" s="39">
        <f>'KY_Res by Plant Acct-P29 (Reg)'!R415</f>
        <v>0</v>
      </c>
      <c r="P34" s="39">
        <f t="shared" si="5"/>
        <v>0</v>
      </c>
    </row>
    <row r="35" spans="1:16" x14ac:dyDescent="0.2">
      <c r="A35" s="3" t="s">
        <v>2774</v>
      </c>
      <c r="B35" s="138">
        <f>'KY_Cost Plant Acct-Gas-P20(REG)'!B35+'KY_Cost Plant Acct-Gas-P20(REG)'!B96</f>
        <v>2931525.4800000004</v>
      </c>
      <c r="C35" s="135"/>
      <c r="D35" s="138">
        <f>'KY_Cost Plant Acct-Gas-P20(REG)'!D35+'KY_Cost Plant Acct-Gas-P20(REG)'!D96</f>
        <v>562859.4</v>
      </c>
      <c r="E35" s="135"/>
      <c r="F35" s="138">
        <f>'KY_Cost Plant Acct-Gas-P20(REG)'!F35</f>
        <v>-174040.09</v>
      </c>
      <c r="G35" s="135"/>
      <c r="H35" s="138">
        <f>'KY_Cost Plant Acct-Gas-P20(REG)'!H35</f>
        <v>-3085.3</v>
      </c>
      <c r="I35" s="135"/>
      <c r="J35" s="135">
        <f t="shared" si="3"/>
        <v>385734.01</v>
      </c>
      <c r="K35" s="135"/>
      <c r="L35" s="135">
        <f t="shared" si="4"/>
        <v>3317259.49</v>
      </c>
      <c r="M35" s="146"/>
      <c r="N35" s="39">
        <f>'KY_Res by Plant Acct-P29 (Reg)'!R416</f>
        <v>-2214352.5400000005</v>
      </c>
      <c r="P35" s="39">
        <f t="shared" si="5"/>
        <v>1102906.9499999997</v>
      </c>
    </row>
    <row r="36" spans="1:16" x14ac:dyDescent="0.2">
      <c r="A36" s="3" t="s">
        <v>400</v>
      </c>
      <c r="B36" s="135">
        <f>'KY_Cost Plant Acct-Gas-P20(REG)'!B36+'KY_Cost Plant Acct-Gas-P20(REG)'!B97</f>
        <v>214328.50999999998</v>
      </c>
      <c r="C36" s="135"/>
      <c r="D36" s="135">
        <f>'KY_Cost Plant Acct-Gas-P20(REG)'!D36+'KY_Cost Plant Acct-Gas-P20(REG)'!D97</f>
        <v>0</v>
      </c>
      <c r="E36" s="135"/>
      <c r="F36" s="135">
        <f>'KY_Cost Plant Acct-Gas-P20(REG)'!F36</f>
        <v>0</v>
      </c>
      <c r="G36" s="135"/>
      <c r="H36" s="135">
        <f>'KY_Cost Plant Acct-Gas-P20(REG)'!H36</f>
        <v>0</v>
      </c>
      <c r="I36" s="135"/>
      <c r="J36" s="135">
        <f t="shared" si="3"/>
        <v>0</v>
      </c>
      <c r="K36" s="135"/>
      <c r="L36" s="135">
        <f t="shared" si="4"/>
        <v>214328.50999999998</v>
      </c>
      <c r="M36" s="146"/>
      <c r="N36" s="38">
        <f>'KY_Res by Plant Acct-P29 (Reg)'!R417</f>
        <v>-107217.2</v>
      </c>
      <c r="O36" s="31"/>
      <c r="P36" s="38">
        <f t="shared" si="5"/>
        <v>107111.30999999998</v>
      </c>
    </row>
    <row r="37" spans="1:16" x14ac:dyDescent="0.2">
      <c r="A37" s="22" t="s">
        <v>402</v>
      </c>
      <c r="B37" s="135">
        <f>'KY_Cost Plant Acct-Gas-P20(REG)'!B37+'KY_Cost Plant Acct-Gas-P20(REG)'!B98</f>
        <v>0</v>
      </c>
      <c r="C37" s="135"/>
      <c r="D37" s="135">
        <f>'KY_Cost Plant Acct-Gas-P20(REG)'!D37+'KY_Cost Plant Acct-Gas-P20(REG)'!D98</f>
        <v>0</v>
      </c>
      <c r="E37" s="135"/>
      <c r="F37" s="135">
        <f>'KY_Cost Plant Acct-Gas-P20(REG)'!F37+'KY_Cost Plant Acct-Gas-P20(REG)'!F98</f>
        <v>0</v>
      </c>
      <c r="G37" s="135"/>
      <c r="H37" s="135">
        <f>'KY_Cost Plant Acct-Gas-P20(REG)'!H37+'KY_Cost Plant Acct-Gas-P20(REG)'!H98</f>
        <v>0</v>
      </c>
      <c r="I37" s="135"/>
      <c r="J37" s="135">
        <f t="shared" si="3"/>
        <v>0</v>
      </c>
      <c r="K37" s="135"/>
      <c r="L37" s="135">
        <f t="shared" si="4"/>
        <v>0</v>
      </c>
      <c r="M37" s="146"/>
      <c r="N37" s="38">
        <f>'KY_Res by Plant Acct-P29 (Reg)'!R418</f>
        <v>-9.0949470177292824E-13</v>
      </c>
      <c r="P37" s="38">
        <f t="shared" si="5"/>
        <v>-9.0949470177292824E-13</v>
      </c>
    </row>
    <row r="38" spans="1:16" x14ac:dyDescent="0.2">
      <c r="B38" s="148">
        <f>SUM(B30:B37)</f>
        <v>11064550.530000001</v>
      </c>
      <c r="C38" s="135"/>
      <c r="D38" s="148">
        <f>SUM(D30:D37)</f>
        <v>1454862.29</v>
      </c>
      <c r="E38" s="135"/>
      <c r="F38" s="148">
        <f>SUM(F30:F37)</f>
        <v>-421851.45999999996</v>
      </c>
      <c r="G38" s="135"/>
      <c r="H38" s="148">
        <f>SUM(H30:H37)</f>
        <v>3657</v>
      </c>
      <c r="I38" s="135"/>
      <c r="J38" s="148">
        <f>SUM(J30:J37)</f>
        <v>1036667.83</v>
      </c>
      <c r="K38" s="135"/>
      <c r="L38" s="148">
        <f>SUM(L30:L37)</f>
        <v>12101218.360000001</v>
      </c>
      <c r="M38" s="146"/>
      <c r="N38" s="148">
        <f>SUM(N30:N37)</f>
        <v>-5772504.8500000006</v>
      </c>
      <c r="P38" s="148">
        <f>SUM(P30:P37)</f>
        <v>6328713.5100000007</v>
      </c>
    </row>
    <row r="39" spans="1:16" x14ac:dyDescent="0.2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46"/>
    </row>
    <row r="40" spans="1:16" x14ac:dyDescent="0.2">
      <c r="A40" s="10" t="s">
        <v>29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46"/>
    </row>
    <row r="41" spans="1:16" x14ac:dyDescent="0.2">
      <c r="A41" s="3" t="s">
        <v>404</v>
      </c>
      <c r="B41" s="149">
        <f>'KY_Cost Plant Acct-Gas-P20(REG)'!B41</f>
        <v>387.49</v>
      </c>
      <c r="C41" s="135"/>
      <c r="D41" s="149">
        <f>'KY_Cost Plant Acct-Gas-P20(REG)'!D41</f>
        <v>0</v>
      </c>
      <c r="E41" s="135"/>
      <c r="F41" s="149">
        <f>'KY_Cost Plant Acct-Gas-P20(REG)'!F41</f>
        <v>0</v>
      </c>
      <c r="G41" s="135"/>
      <c r="H41" s="149">
        <f>'KY_Cost Plant Acct-Gas-P20(REG)'!H41</f>
        <v>0</v>
      </c>
      <c r="I41" s="135"/>
      <c r="J41" s="149">
        <f>H41+F41+D41</f>
        <v>0</v>
      </c>
      <c r="K41" s="135"/>
      <c r="L41" s="149">
        <f>J41+B41</f>
        <v>387.49</v>
      </c>
      <c r="M41" s="146"/>
      <c r="N41" s="136">
        <f>'KY_Res by Plant Acct-P29 (Reg)'!R454</f>
        <v>-164.16000000000003</v>
      </c>
      <c r="P41" s="136">
        <f>L41+N41</f>
        <v>223.32999999999998</v>
      </c>
    </row>
    <row r="42" spans="1:16" x14ac:dyDescent="0.2">
      <c r="B42" s="135">
        <f>SUM(B41)</f>
        <v>387.49</v>
      </c>
      <c r="C42" s="135"/>
      <c r="D42" s="135">
        <f>SUM(D41)</f>
        <v>0</v>
      </c>
      <c r="E42" s="135"/>
      <c r="F42" s="135">
        <f>SUM(F41)</f>
        <v>0</v>
      </c>
      <c r="G42" s="135"/>
      <c r="H42" s="135">
        <f>SUM(H41)</f>
        <v>0</v>
      </c>
      <c r="I42" s="135"/>
      <c r="J42" s="135">
        <f>SUM(J41)</f>
        <v>0</v>
      </c>
      <c r="K42" s="135"/>
      <c r="L42" s="135">
        <f>SUM(L41)</f>
        <v>387.49</v>
      </c>
      <c r="M42" s="146"/>
      <c r="N42" s="39">
        <f>SUM(N41)</f>
        <v>-164.16000000000003</v>
      </c>
      <c r="P42" s="39">
        <f>SUM(P41)</f>
        <v>223.32999999999998</v>
      </c>
    </row>
    <row r="43" spans="1:16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6" x14ac:dyDescent="0.2">
      <c r="A44" s="10" t="s">
        <v>30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46"/>
    </row>
    <row r="45" spans="1:16" x14ac:dyDescent="0.2">
      <c r="A45" s="3" t="s">
        <v>406</v>
      </c>
      <c r="B45" s="135">
        <f>+'Tot Gas PIS COST SPLIT-P18(Reg)'!B45</f>
        <v>32864.07</v>
      </c>
      <c r="C45" s="135"/>
      <c r="D45" s="135">
        <f>+'Tot Gas PIS COST SPLIT-P18(Reg)'!D45</f>
        <v>0</v>
      </c>
      <c r="E45" s="135"/>
      <c r="F45" s="135">
        <f>+'Tot Gas PIS COST SPLIT-P18(Reg)'!F45</f>
        <v>0</v>
      </c>
      <c r="G45" s="135"/>
      <c r="H45" s="135">
        <f>+'Tot Gas PIS COST SPLIT-P18(Reg)'!H45</f>
        <v>0</v>
      </c>
      <c r="I45" s="135"/>
      <c r="J45" s="135">
        <f t="shared" ref="J45:J62" si="6">H45+F45+D45</f>
        <v>0</v>
      </c>
      <c r="K45" s="135"/>
      <c r="L45" s="135">
        <f t="shared" ref="L45:L62" si="7">J45+B45</f>
        <v>32864.07</v>
      </c>
      <c r="M45" s="146"/>
      <c r="N45" s="39">
        <f>'KY_Res by Plant Acct-P29 (Reg)'!R423+'IN_Total PIS_Gas_NBV-P21(Reg)'!N11</f>
        <v>0</v>
      </c>
      <c r="P45" s="39">
        <f t="shared" ref="P45:P62" si="8">L45+N45</f>
        <v>32864.07</v>
      </c>
    </row>
    <row r="46" spans="1:16" x14ac:dyDescent="0.2">
      <c r="A46" s="3" t="s">
        <v>407</v>
      </c>
      <c r="B46" s="135">
        <f>+'Tot Gas PIS COST SPLIT-P18(Reg)'!B46</f>
        <v>104869.48999999999</v>
      </c>
      <c r="C46" s="135"/>
      <c r="D46" s="135">
        <f>+'Tot Gas PIS COST SPLIT-P18(Reg)'!D46</f>
        <v>0</v>
      </c>
      <c r="E46" s="135"/>
      <c r="F46" s="135">
        <f>+'Tot Gas PIS COST SPLIT-P18(Reg)'!F46</f>
        <v>0</v>
      </c>
      <c r="G46" s="135"/>
      <c r="H46" s="135">
        <f>+'Tot Gas PIS COST SPLIT-P18(Reg)'!H46</f>
        <v>-3657</v>
      </c>
      <c r="I46" s="135"/>
      <c r="J46" s="135">
        <f t="shared" si="6"/>
        <v>-3657</v>
      </c>
      <c r="K46" s="135"/>
      <c r="L46" s="135">
        <f t="shared" si="7"/>
        <v>101212.48999999999</v>
      </c>
      <c r="M46" s="146"/>
      <c r="N46" s="39">
        <f>'KY_Res by Plant Acct-P29 (Reg)'!R424</f>
        <v>-69747.849999999991</v>
      </c>
      <c r="P46" s="39">
        <f t="shared" si="8"/>
        <v>31464.639999999999</v>
      </c>
    </row>
    <row r="47" spans="1:16" x14ac:dyDescent="0.2">
      <c r="A47" s="3" t="s">
        <v>409</v>
      </c>
      <c r="B47" s="135">
        <f>+'Tot Gas PIS COST SPLIT-P18(Reg)'!B47+'Tot Gas PIS COST SPLIT-P18(Reg)'!B102</f>
        <v>9768133.6099999994</v>
      </c>
      <c r="C47" s="135"/>
      <c r="D47" s="135">
        <f>+'Tot Gas PIS COST SPLIT-P18(Reg)'!D47+'Tot Gas PIS COST SPLIT-P18(Reg)'!D102</f>
        <v>289070.95</v>
      </c>
      <c r="E47" s="135"/>
      <c r="F47" s="135">
        <f>+'Tot Gas PIS COST SPLIT-P18(Reg)'!F47+'Tot Gas PIS COST SPLIT-P18(Reg)'!F102</f>
        <v>-3024.64</v>
      </c>
      <c r="G47" s="135"/>
      <c r="H47" s="135">
        <f>+'Tot Gas PIS COST SPLIT-P18(Reg)'!H47+'Tot Gas PIS COST SPLIT-P18(Reg)'!H102</f>
        <v>0</v>
      </c>
      <c r="I47" s="135"/>
      <c r="J47" s="135">
        <f t="shared" si="6"/>
        <v>286046.31</v>
      </c>
      <c r="K47" s="135"/>
      <c r="L47" s="135">
        <f t="shared" si="7"/>
        <v>10054179.92</v>
      </c>
      <c r="M47" s="146"/>
      <c r="N47" s="39">
        <f>'KY_Res by Plant Acct-P29 (Reg)'!R425</f>
        <v>-1462911.3900000001</v>
      </c>
      <c r="P47" s="39">
        <f t="shared" si="8"/>
        <v>8591268.5299999993</v>
      </c>
    </row>
    <row r="48" spans="1:16" x14ac:dyDescent="0.2">
      <c r="A48" s="3" t="s">
        <v>410</v>
      </c>
      <c r="B48" s="135">
        <f>+'Tot Gas PIS COST SPLIT-P18(Reg)'!B48+'Tot Gas PIS COST SPLIT-P18(Reg)'!B103</f>
        <v>33151.61</v>
      </c>
      <c r="C48" s="135"/>
      <c r="D48" s="135">
        <f>+'Tot Gas PIS COST SPLIT-P18(Reg)'!D48+'Tot Gas PIS COST SPLIT-P18(Reg)'!D103</f>
        <v>0</v>
      </c>
      <c r="E48" s="135"/>
      <c r="F48" s="135">
        <f>+'Tot Gas PIS COST SPLIT-P18(Reg)'!F48+'Tot Gas PIS COST SPLIT-P18(Reg)'!F103</f>
        <v>-108.56</v>
      </c>
      <c r="G48" s="135"/>
      <c r="H48" s="135">
        <f>+'Tot Gas PIS COST SPLIT-P18(Reg)'!H48+'Tot Gas PIS COST SPLIT-P18(Reg)'!H103</f>
        <v>0</v>
      </c>
      <c r="I48" s="135"/>
      <c r="J48" s="135">
        <f>H48+F48+D48</f>
        <v>-108.56</v>
      </c>
      <c r="K48" s="135"/>
      <c r="L48" s="135">
        <f>J48+B48</f>
        <v>33043.050000000003</v>
      </c>
      <c r="M48" s="146"/>
      <c r="N48" s="39">
        <f>'KY_Res by Plant Acct-P29 (Reg)'!R426</f>
        <v>-16208.390000000001</v>
      </c>
      <c r="P48" s="39">
        <f t="shared" si="8"/>
        <v>16834.660000000003</v>
      </c>
    </row>
    <row r="49" spans="1:16" x14ac:dyDescent="0.2">
      <c r="A49" s="3" t="s">
        <v>411</v>
      </c>
      <c r="B49" s="135">
        <f>+'Tot Gas PIS COST SPLIT-P18(Reg)'!B49+'Tot Gas PIS COST SPLIT-P18(Reg)'!B104</f>
        <v>4810464.51</v>
      </c>
      <c r="C49" s="135"/>
      <c r="D49" s="135">
        <f>+'Tot Gas PIS COST SPLIT-P18(Reg)'!D49+'Tot Gas PIS COST SPLIT-P18(Reg)'!D104</f>
        <v>924671.08</v>
      </c>
      <c r="E49" s="135"/>
      <c r="F49" s="135">
        <f>+'Tot Gas PIS COST SPLIT-P18(Reg)'!F49+'Tot Gas PIS COST SPLIT-P18(Reg)'!F104</f>
        <v>-9637.7999999999993</v>
      </c>
      <c r="G49" s="135"/>
      <c r="H49" s="135">
        <f>+'Tot Gas PIS COST SPLIT-P18(Reg)'!H49+'Tot Gas PIS COST SPLIT-P18(Reg)'!H104</f>
        <v>0</v>
      </c>
      <c r="I49" s="135"/>
      <c r="J49" s="135">
        <f t="shared" si="6"/>
        <v>915033.27999999991</v>
      </c>
      <c r="K49" s="135"/>
      <c r="L49" s="135">
        <f>J49+B49</f>
        <v>5725497.79</v>
      </c>
      <c r="M49" s="146"/>
      <c r="N49" s="39">
        <f>'KY_Res by Plant Acct-P29 (Reg)'!R427+'IN_Total PIS_Gas_NBV-P21(Reg)'!N12</f>
        <v>-879929.90999999992</v>
      </c>
      <c r="P49" s="39">
        <f t="shared" si="8"/>
        <v>4845567.88</v>
      </c>
    </row>
    <row r="50" spans="1:16" x14ac:dyDescent="0.2">
      <c r="A50" s="3" t="s">
        <v>417</v>
      </c>
      <c r="B50" s="135">
        <f>+'Tot Gas PIS COST SPLIT-P18(Reg)'!B50</f>
        <v>548241.14</v>
      </c>
      <c r="C50" s="135"/>
      <c r="D50" s="135">
        <f>+'Tot Gas PIS COST SPLIT-P18(Reg)'!D50</f>
        <v>0</v>
      </c>
      <c r="E50" s="135"/>
      <c r="F50" s="135">
        <f>+'Tot Gas PIS COST SPLIT-P18(Reg)'!F50</f>
        <v>0</v>
      </c>
      <c r="G50" s="135"/>
      <c r="H50" s="135">
        <f>+'Tot Gas PIS COST SPLIT-P18(Reg)'!H50</f>
        <v>0</v>
      </c>
      <c r="I50" s="135"/>
      <c r="J50" s="135">
        <f t="shared" si="6"/>
        <v>0</v>
      </c>
      <c r="K50" s="135"/>
      <c r="L50" s="135">
        <f t="shared" si="7"/>
        <v>548241.14</v>
      </c>
      <c r="M50" s="146"/>
      <c r="N50" s="39">
        <f>'KY_Res by Plant Acct-P29 (Reg)'!R428</f>
        <v>-569589.96</v>
      </c>
      <c r="P50" s="39">
        <f t="shared" si="8"/>
        <v>-21348.819999999949</v>
      </c>
    </row>
    <row r="51" spans="1:16" x14ac:dyDescent="0.2">
      <c r="A51" s="3" t="s">
        <v>418</v>
      </c>
      <c r="B51" s="135">
        <f>+'Tot Gas PIS COST SPLIT-P18(Reg)'!B51</f>
        <v>400511.4</v>
      </c>
      <c r="C51" s="135"/>
      <c r="D51" s="135">
        <f>+'Tot Gas PIS COST SPLIT-P18(Reg)'!D51</f>
        <v>0</v>
      </c>
      <c r="E51" s="135"/>
      <c r="F51" s="135">
        <f>+'Tot Gas PIS COST SPLIT-P18(Reg)'!F51</f>
        <v>0</v>
      </c>
      <c r="G51" s="135"/>
      <c r="H51" s="135">
        <f>+'Tot Gas PIS COST SPLIT-P18(Reg)'!H51</f>
        <v>0</v>
      </c>
      <c r="I51" s="135"/>
      <c r="J51" s="135">
        <f t="shared" si="6"/>
        <v>0</v>
      </c>
      <c r="K51" s="135"/>
      <c r="L51" s="135">
        <f t="shared" si="7"/>
        <v>400511.4</v>
      </c>
      <c r="M51" s="146"/>
      <c r="N51" s="39">
        <f>'KY_Res by Plant Acct-P29 (Reg)'!R429</f>
        <v>-452027.29</v>
      </c>
      <c r="P51" s="39">
        <f t="shared" si="8"/>
        <v>-51515.889999999956</v>
      </c>
    </row>
    <row r="52" spans="1:16" x14ac:dyDescent="0.2">
      <c r="A52" s="3" t="s">
        <v>419</v>
      </c>
      <c r="B52" s="135">
        <f>+'Tot Gas PIS COST SPLIT-P18(Reg)'!B52</f>
        <v>9648855</v>
      </c>
      <c r="C52" s="135"/>
      <c r="D52" s="135">
        <f>+'Tot Gas PIS COST SPLIT-P18(Reg)'!D52</f>
        <v>0</v>
      </c>
      <c r="E52" s="135"/>
      <c r="F52" s="135">
        <f>+'Tot Gas PIS COST SPLIT-P18(Reg)'!F52</f>
        <v>0</v>
      </c>
      <c r="G52" s="135"/>
      <c r="H52" s="135">
        <f>+'Tot Gas PIS COST SPLIT-P18(Reg)'!H52</f>
        <v>0</v>
      </c>
      <c r="I52" s="135"/>
      <c r="J52" s="135">
        <f t="shared" si="6"/>
        <v>0</v>
      </c>
      <c r="K52" s="135"/>
      <c r="L52" s="135">
        <f t="shared" si="7"/>
        <v>9648855</v>
      </c>
      <c r="M52" s="146"/>
      <c r="N52" s="39">
        <f>'KY_Res by Plant Acct-P29 (Reg)'!R430</f>
        <v>-8181488.0600000005</v>
      </c>
      <c r="P52" s="39">
        <f t="shared" si="8"/>
        <v>1467366.9399999995</v>
      </c>
    </row>
    <row r="53" spans="1:16" x14ac:dyDescent="0.2">
      <c r="A53" s="3" t="s">
        <v>413</v>
      </c>
      <c r="B53" s="135">
        <f>+'Tot Gas PIS COST SPLIT-P18(Reg)'!B53+'Tot Gas PIS COST SPLIT-P18(Reg)'!B105</f>
        <v>5995334.5199999996</v>
      </c>
      <c r="C53" s="135"/>
      <c r="D53" s="135">
        <f>+'Tot Gas PIS COST SPLIT-P18(Reg)'!D53+'Tot Gas PIS COST SPLIT-P18(Reg)'!D105</f>
        <v>0</v>
      </c>
      <c r="E53" s="135"/>
      <c r="F53" s="135">
        <f>+'Tot Gas PIS COST SPLIT-P18(Reg)'!F53+'Tot Gas PIS COST SPLIT-P18(Reg)'!F105</f>
        <v>0</v>
      </c>
      <c r="G53" s="135"/>
      <c r="H53" s="135">
        <f>+'Tot Gas PIS COST SPLIT-P18(Reg)'!H53+'Tot Gas PIS COST SPLIT-P18(Reg)'!H105</f>
        <v>0</v>
      </c>
      <c r="I53" s="135"/>
      <c r="J53" s="135">
        <f t="shared" si="6"/>
        <v>0</v>
      </c>
      <c r="K53" s="135"/>
      <c r="L53" s="135">
        <f t="shared" si="7"/>
        <v>5995334.5199999996</v>
      </c>
      <c r="M53" s="146"/>
      <c r="N53" s="39">
        <f>'KY_Res by Plant Acct-P29 (Reg)'!R431+'IN_Total PIS_Gas_NBV-P21(Reg)'!N13</f>
        <v>-2132368.48</v>
      </c>
      <c r="P53" s="39">
        <f t="shared" si="8"/>
        <v>3862966.0399999996</v>
      </c>
    </row>
    <row r="54" spans="1:16" x14ac:dyDescent="0.2">
      <c r="A54" s="3" t="s">
        <v>414</v>
      </c>
      <c r="B54" s="135">
        <f>+'Tot Gas PIS COST SPLIT-P18(Reg)'!B54+'Tot Gas PIS COST SPLIT-P18(Reg)'!B106</f>
        <v>0</v>
      </c>
      <c r="C54" s="135"/>
      <c r="D54" s="135">
        <f>+'Tot Gas PIS COST SPLIT-P18(Reg)'!D54+'Tot Gas PIS COST SPLIT-P18(Reg)'!D106</f>
        <v>0</v>
      </c>
      <c r="E54" s="135"/>
      <c r="F54" s="135">
        <f>+'Tot Gas PIS COST SPLIT-P18(Reg)'!F54+'Tot Gas PIS COST SPLIT-P18(Reg)'!F106</f>
        <v>0</v>
      </c>
      <c r="G54" s="135"/>
      <c r="H54" s="135">
        <f>+'Tot Gas PIS COST SPLIT-P18(Reg)'!H54+'Tot Gas PIS COST SPLIT-P18(Reg)'!H106</f>
        <v>0</v>
      </c>
      <c r="I54" s="135"/>
      <c r="J54" s="135">
        <f t="shared" si="6"/>
        <v>0</v>
      </c>
      <c r="K54" s="135"/>
      <c r="L54" s="135">
        <f t="shared" si="7"/>
        <v>0</v>
      </c>
      <c r="M54" s="146"/>
      <c r="N54" s="39">
        <f>'KY_Res by Plant Acct-P29 (Reg)'!R432+'IN_Total PIS_Gas_NBV-P21(Reg)'!N14</f>
        <v>2.3283064365386963E-10</v>
      </c>
      <c r="P54" s="39">
        <f t="shared" si="8"/>
        <v>2.3283064365386963E-10</v>
      </c>
    </row>
    <row r="55" spans="1:16" x14ac:dyDescent="0.2">
      <c r="A55" s="3" t="s">
        <v>415</v>
      </c>
      <c r="B55" s="135">
        <f>+'Tot Gas PIS COST SPLIT-P18(Reg)'!B55+'Tot Gas PIS COST SPLIT-P18(Reg)'!B107</f>
        <v>13161625.379999999</v>
      </c>
      <c r="C55" s="135"/>
      <c r="D55" s="135">
        <f>+'Tot Gas PIS COST SPLIT-P18(Reg)'!D55+'Tot Gas PIS COST SPLIT-P18(Reg)'!D107</f>
        <v>587730.23</v>
      </c>
      <c r="E55" s="135"/>
      <c r="F55" s="135">
        <f>+'Tot Gas PIS COST SPLIT-P18(Reg)'!F55+'Tot Gas PIS COST SPLIT-P18(Reg)'!F107</f>
        <v>-26431.73</v>
      </c>
      <c r="G55" s="135"/>
      <c r="H55" s="135">
        <f>+'Tot Gas PIS COST SPLIT-P18(Reg)'!H55+'Tot Gas PIS COST SPLIT-P18(Reg)'!H107</f>
        <v>0</v>
      </c>
      <c r="I55" s="135"/>
      <c r="J55" s="135">
        <f t="shared" si="6"/>
        <v>561298.5</v>
      </c>
      <c r="K55" s="135"/>
      <c r="L55" s="135">
        <f>J55+B55</f>
        <v>13722923.879999999</v>
      </c>
      <c r="M55" s="146"/>
      <c r="N55" s="39">
        <f>'KY_Res by Plant Acct-P29 (Reg)'!R433+'IN_Res by Plant Acct-P30 (Reg)'!R32</f>
        <v>-2471895.4600000004</v>
      </c>
      <c r="P55" s="39">
        <f>L55+N55</f>
        <v>11251028.419999998</v>
      </c>
    </row>
    <row r="56" spans="1:16" x14ac:dyDescent="0.2">
      <c r="A56" s="3" t="s">
        <v>420</v>
      </c>
      <c r="B56" s="135">
        <f>+'Tot Gas PIS COST SPLIT-P18(Reg)'!B56+'Tot Gas PIS COST SPLIT-P18(Reg)'!B108</f>
        <v>21276077.41</v>
      </c>
      <c r="C56" s="135"/>
      <c r="D56" s="135">
        <f>+'Tot Gas PIS COST SPLIT-P18(Reg)'!D56+'Tot Gas PIS COST SPLIT-P18(Reg)'!D108</f>
        <v>2022705.56</v>
      </c>
      <c r="E56" s="135"/>
      <c r="F56" s="135">
        <f>+'Tot Gas PIS COST SPLIT-P18(Reg)'!F56+'Tot Gas PIS COST SPLIT-P18(Reg)'!F108</f>
        <v>-6179.0599999999995</v>
      </c>
      <c r="G56" s="135"/>
      <c r="H56" s="135">
        <f>+'Tot Gas PIS COST SPLIT-P18(Reg)'!H56+'Tot Gas PIS COST SPLIT-P18(Reg)'!H108</f>
        <v>0</v>
      </c>
      <c r="I56" s="135"/>
      <c r="J56" s="135">
        <f t="shared" si="6"/>
        <v>2016526.5</v>
      </c>
      <c r="K56" s="135"/>
      <c r="L56" s="135">
        <f t="shared" si="7"/>
        <v>23292603.91</v>
      </c>
      <c r="M56" s="146"/>
      <c r="N56" s="39">
        <f>'KY_Res by Plant Acct-P29 (Reg)'!R434+'IN_Total PIS_Gas_NBV-P21(Reg)'!N16</f>
        <v>-8711371.3999999966</v>
      </c>
      <c r="P56" s="39">
        <f t="shared" si="8"/>
        <v>14581232.510000004</v>
      </c>
    </row>
    <row r="57" spans="1:16" x14ac:dyDescent="0.2">
      <c r="A57" s="3" t="s">
        <v>421</v>
      </c>
      <c r="B57" s="135">
        <f>+'Tot Gas PIS COST SPLIT-P18(Reg)'!B57+'Tot Gas PIS COST SPLIT-P18(Reg)'!B109</f>
        <v>45945773.939999998</v>
      </c>
      <c r="C57" s="135"/>
      <c r="D57" s="135">
        <f>+'Tot Gas PIS COST SPLIT-P18(Reg)'!D57+'Tot Gas PIS COST SPLIT-P18(Reg)'!D109</f>
        <v>10617584.890000001</v>
      </c>
      <c r="E57" s="135"/>
      <c r="F57" s="135">
        <f>+'Tot Gas PIS COST SPLIT-P18(Reg)'!F57+'Tot Gas PIS COST SPLIT-P18(Reg)'!F109</f>
        <v>-364291.37</v>
      </c>
      <c r="G57" s="135"/>
      <c r="H57" s="135">
        <f>+'Tot Gas PIS COST SPLIT-P18(Reg)'!H57+'Tot Gas PIS COST SPLIT-P18(Reg)'!H109</f>
        <v>0</v>
      </c>
      <c r="I57" s="135"/>
      <c r="J57" s="135">
        <f t="shared" si="6"/>
        <v>10253293.520000001</v>
      </c>
      <c r="K57" s="135"/>
      <c r="L57" s="135">
        <f t="shared" si="7"/>
        <v>56199067.460000001</v>
      </c>
      <c r="M57" s="146"/>
      <c r="N57" s="39">
        <f>'KY_Res by Plant Acct-P29 (Reg)'!R435+'IN_Res by Plant Acct-P30 (Reg)'!R34</f>
        <v>-7327837.9300000006</v>
      </c>
      <c r="P57" s="39">
        <f t="shared" si="8"/>
        <v>48871229.530000001</v>
      </c>
    </row>
    <row r="58" spans="1:16" x14ac:dyDescent="0.2">
      <c r="A58" s="3" t="s">
        <v>422</v>
      </c>
      <c r="B58" s="135">
        <f>+'Tot Gas PIS COST SPLIT-P18(Reg)'!B58+'Tot Gas PIS COST SPLIT-P18(Reg)'!B110</f>
        <v>749435.65999999992</v>
      </c>
      <c r="C58" s="135"/>
      <c r="D58" s="135">
        <f>+'Tot Gas PIS COST SPLIT-P18(Reg)'!D58+'Tot Gas PIS COST SPLIT-P18(Reg)'!D110</f>
        <v>1238056.55</v>
      </c>
      <c r="E58" s="135"/>
      <c r="F58" s="135">
        <f>+'Tot Gas PIS COST SPLIT-P18(Reg)'!F58+'Tot Gas PIS COST SPLIT-P18(Reg)'!F110</f>
        <v>-2288.25</v>
      </c>
      <c r="G58" s="135"/>
      <c r="H58" s="135">
        <f>+'Tot Gas PIS COST SPLIT-P18(Reg)'!H58+'Tot Gas PIS COST SPLIT-P18(Reg)'!H110</f>
        <v>0</v>
      </c>
      <c r="I58" s="135"/>
      <c r="J58" s="135">
        <f t="shared" si="6"/>
        <v>1235768.3</v>
      </c>
      <c r="K58" s="135"/>
      <c r="L58" s="135">
        <f t="shared" si="7"/>
        <v>1985203.96</v>
      </c>
      <c r="M58" s="146"/>
      <c r="N58" s="39">
        <f>'KY_Res by Plant Acct-P29 (Reg)'!R436</f>
        <v>-261457.31000000006</v>
      </c>
      <c r="P58" s="39">
        <f t="shared" si="8"/>
        <v>1723746.65</v>
      </c>
    </row>
    <row r="59" spans="1:16" x14ac:dyDescent="0.2">
      <c r="A59" s="3" t="s">
        <v>423</v>
      </c>
      <c r="B59" s="135">
        <f>+'Tot Gas PIS COST SPLIT-P18(Reg)'!B59+'Tot Gas PIS COST SPLIT-P18(Reg)'!B111</f>
        <v>18836405.289999999</v>
      </c>
      <c r="C59" s="135"/>
      <c r="D59" s="135">
        <f>+'Tot Gas PIS COST SPLIT-P18(Reg)'!D59+'Tot Gas PIS COST SPLIT-P18(Reg)'!D111</f>
        <v>4042342.36</v>
      </c>
      <c r="E59" s="135"/>
      <c r="F59" s="135">
        <f>+'Tot Gas PIS COST SPLIT-P18(Reg)'!F59+'Tot Gas PIS COST SPLIT-P18(Reg)'!F111</f>
        <v>-34323.68</v>
      </c>
      <c r="G59" s="135"/>
      <c r="H59" s="135">
        <f>+'Tot Gas PIS COST SPLIT-P18(Reg)'!H59+'Tot Gas PIS COST SPLIT-P18(Reg)'!H111</f>
        <v>0</v>
      </c>
      <c r="I59" s="135"/>
      <c r="J59" s="135">
        <f t="shared" si="6"/>
        <v>4008018.6799999997</v>
      </c>
      <c r="K59" s="135"/>
      <c r="L59" s="135">
        <f t="shared" si="7"/>
        <v>22844423.969999999</v>
      </c>
      <c r="M59" s="146"/>
      <c r="N59" s="39">
        <f>'KY_Res by Plant Acct-P29 (Reg)'!R437</f>
        <v>-5682900.6700000018</v>
      </c>
      <c r="P59" s="39">
        <f t="shared" si="8"/>
        <v>17161523.299999997</v>
      </c>
    </row>
    <row r="60" spans="1:16" x14ac:dyDescent="0.2">
      <c r="A60" s="3" t="s">
        <v>424</v>
      </c>
      <c r="B60" s="135">
        <f>+'Tot Gas PIS COST SPLIT-P18(Reg)'!B60+'Tot Gas PIS COST SPLIT-P18(Reg)'!B112</f>
        <v>3154110.41</v>
      </c>
      <c r="C60" s="135"/>
      <c r="D60" s="135">
        <f>+'Tot Gas PIS COST SPLIT-P18(Reg)'!D60+'Tot Gas PIS COST SPLIT-P18(Reg)'!D112</f>
        <v>563598.13</v>
      </c>
      <c r="E60" s="135"/>
      <c r="F60" s="135">
        <f>+'Tot Gas PIS COST SPLIT-P18(Reg)'!F60+'Tot Gas PIS COST SPLIT-P18(Reg)'!F112</f>
        <v>-4875.8100000000004</v>
      </c>
      <c r="G60" s="135"/>
      <c r="H60" s="135">
        <f>+'Tot Gas PIS COST SPLIT-P18(Reg)'!H60+'Tot Gas PIS COST SPLIT-P18(Reg)'!H112</f>
        <v>2817.36</v>
      </c>
      <c r="I60" s="135"/>
      <c r="J60" s="135">
        <f t="shared" si="6"/>
        <v>561539.68000000005</v>
      </c>
      <c r="K60" s="135"/>
      <c r="L60" s="135">
        <f t="shared" si="7"/>
        <v>3715650.0900000003</v>
      </c>
      <c r="M60" s="146"/>
      <c r="N60" s="39">
        <f>'KY_Res by Plant Acct-P29 (Reg)'!R438+'IN_Total PIS_Gas_NBV-P21(Reg)'!N18</f>
        <v>-503745.53000000009</v>
      </c>
      <c r="P60" s="39">
        <f t="shared" si="8"/>
        <v>3211904.56</v>
      </c>
    </row>
    <row r="61" spans="1:16" x14ac:dyDescent="0.2">
      <c r="A61" s="3" t="s">
        <v>425</v>
      </c>
      <c r="B61" s="135">
        <f>+'Tot Gas PIS COST SPLIT-P18(Reg)'!B61</f>
        <v>277032.93</v>
      </c>
      <c r="C61" s="135"/>
      <c r="D61" s="135">
        <f>+'Tot Gas PIS COST SPLIT-P18(Reg)'!D61</f>
        <v>0</v>
      </c>
      <c r="E61" s="135"/>
      <c r="F61" s="135">
        <f>+'Tot Gas PIS COST SPLIT-P18(Reg)'!F61</f>
        <v>-4450.28</v>
      </c>
      <c r="G61" s="135"/>
      <c r="H61" s="135">
        <f>+'Tot Gas PIS COST SPLIT-P18(Reg)'!H61</f>
        <v>-60904</v>
      </c>
      <c r="I61" s="135"/>
      <c r="J61" s="135">
        <f t="shared" si="6"/>
        <v>-65354.28</v>
      </c>
      <c r="K61" s="135"/>
      <c r="L61" s="135">
        <f t="shared" si="7"/>
        <v>211678.65</v>
      </c>
      <c r="M61" s="146"/>
      <c r="N61" s="39">
        <f>'KY_Res by Plant Acct-P29 (Reg)'!R439</f>
        <v>-150931.94999999998</v>
      </c>
      <c r="P61" s="39">
        <f t="shared" si="8"/>
        <v>60746.700000000012</v>
      </c>
    </row>
    <row r="62" spans="1:16" x14ac:dyDescent="0.2">
      <c r="A62" s="3" t="s">
        <v>426</v>
      </c>
      <c r="B62" s="149">
        <f>+'Tot Gas PIS COST SPLIT-P18(Reg)'!B62</f>
        <v>4212982.8600000003</v>
      </c>
      <c r="C62" s="135"/>
      <c r="D62" s="149">
        <f>+'Tot Gas PIS COST SPLIT-P18(Reg)'!D62</f>
        <v>0</v>
      </c>
      <c r="E62" s="135"/>
      <c r="F62" s="149">
        <f>+'Tot Gas PIS COST SPLIT-P18(Reg)'!F62</f>
        <v>-52867.67</v>
      </c>
      <c r="G62" s="135"/>
      <c r="H62" s="149">
        <f>+'Tot Gas PIS COST SPLIT-P18(Reg)'!H62</f>
        <v>808505.9</v>
      </c>
      <c r="I62" s="135"/>
      <c r="J62" s="149">
        <f t="shared" si="6"/>
        <v>755638.23</v>
      </c>
      <c r="K62" s="135"/>
      <c r="L62" s="149">
        <f t="shared" si="7"/>
        <v>4968621.09</v>
      </c>
      <c r="M62" s="146"/>
      <c r="N62" s="136">
        <f>'KY_Res by Plant Acct-P29 (Reg)'!R440</f>
        <v>-822759.88</v>
      </c>
      <c r="P62" s="136">
        <f t="shared" si="8"/>
        <v>4145861.21</v>
      </c>
    </row>
    <row r="63" spans="1:16" x14ac:dyDescent="0.2">
      <c r="B63" s="135">
        <f>SUM(B45:B62)</f>
        <v>138955869.23000002</v>
      </c>
      <c r="C63" s="135"/>
      <c r="D63" s="135">
        <f>SUM(D45:D62)</f>
        <v>20285759.75</v>
      </c>
      <c r="E63" s="135"/>
      <c r="F63" s="135">
        <f>SUM(F45:F62)</f>
        <v>-508478.85</v>
      </c>
      <c r="G63" s="135"/>
      <c r="H63" s="135">
        <f>SUM(H45:H62)</f>
        <v>746762.26</v>
      </c>
      <c r="I63" s="135"/>
      <c r="J63" s="135">
        <f>SUM(J45:J62)</f>
        <v>20524043.16</v>
      </c>
      <c r="K63" s="135"/>
      <c r="L63" s="135">
        <f>SUM(L45:L62)</f>
        <v>159479912.39000002</v>
      </c>
      <c r="M63" s="146"/>
      <c r="N63" s="39">
        <f>SUM(N45:N62)</f>
        <v>-39697171.460000001</v>
      </c>
      <c r="P63" s="39">
        <f>SUM(P45:P62)</f>
        <v>119782740.93000001</v>
      </c>
    </row>
    <row r="64" spans="1:16" x14ac:dyDescent="0.2">
      <c r="A64" s="10" t="s">
        <v>31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45"/>
    </row>
    <row r="65" spans="1:16" x14ac:dyDescent="0.2">
      <c r="A65" s="3" t="s">
        <v>429</v>
      </c>
      <c r="B65" s="138">
        <f>'KY_Cost Plant Acct-Gas-P20(REG)'!B66</f>
        <v>220659.05</v>
      </c>
      <c r="C65" s="138"/>
      <c r="D65" s="138">
        <f>'KY_Cost Plant Acct-Gas-P20(REG)'!D66</f>
        <v>0</v>
      </c>
      <c r="E65" s="138"/>
      <c r="F65" s="138">
        <f>'KY_Cost Plant Acct-Gas-P20(REG)'!F66</f>
        <v>0</v>
      </c>
      <c r="G65" s="138"/>
      <c r="H65" s="138">
        <f>'KY_Cost Plant Acct-Gas-P20(REG)'!H66</f>
        <v>0</v>
      </c>
      <c r="I65" s="138"/>
      <c r="J65" s="138">
        <f>H65+F65+D65</f>
        <v>0</v>
      </c>
      <c r="K65" s="138"/>
      <c r="L65" s="138">
        <f>J65+B65</f>
        <v>220659.05</v>
      </c>
      <c r="M65" s="145"/>
      <c r="N65" s="39">
        <f>'KY_Res by Plant Acct-P29 (Reg)'!R444</f>
        <v>-210845.43</v>
      </c>
      <c r="P65" s="39">
        <f>L65+N65</f>
        <v>9813.6199999999953</v>
      </c>
    </row>
    <row r="66" spans="1:16" x14ac:dyDescent="0.2">
      <c r="A66" s="3" t="s">
        <v>430</v>
      </c>
      <c r="B66" s="138">
        <f>'KY_Cost Plant Acct-Gas-P20(REG)'!B67+'KY_Cost Plant Acct-Gas-P20(REG)'!B116</f>
        <v>50220166.610000007</v>
      </c>
      <c r="C66" s="138"/>
      <c r="D66" s="138">
        <f>'KY_Cost Plant Acct-Gas-P20(REG)'!D67+'KY_Cost Plant Acct-Gas-P20(REG)'!D116</f>
        <v>2375373.0699999998</v>
      </c>
      <c r="E66" s="138"/>
      <c r="F66" s="138">
        <f>'KY_Cost Plant Acct-Gas-P20(REG)'!F67</f>
        <v>-88991</v>
      </c>
      <c r="G66" s="138"/>
      <c r="H66" s="138">
        <f>'KY_Cost Plant Acct-Gas-P20(REG)'!H67</f>
        <v>0</v>
      </c>
      <c r="I66" s="138"/>
      <c r="J66" s="138">
        <f>H66+F66+D66</f>
        <v>2286382.0699999998</v>
      </c>
      <c r="K66" s="138"/>
      <c r="L66" s="138">
        <f>J66+B66</f>
        <v>52506548.680000007</v>
      </c>
      <c r="M66" s="145"/>
      <c r="N66" s="39">
        <f>'KY_Res by Plant Acct-P29 (Reg)'!R445</f>
        <v>-11320424.589999998</v>
      </c>
      <c r="P66" s="39">
        <f>L66+N66</f>
        <v>41186124.090000011</v>
      </c>
    </row>
    <row r="67" spans="1:16" x14ac:dyDescent="0.2">
      <c r="A67" s="22" t="s">
        <v>2775</v>
      </c>
      <c r="B67" s="135">
        <f>'KY_Cost Plant Acct-Gas-P20(REG)'!B68</f>
        <v>2332004.9099999997</v>
      </c>
      <c r="C67" s="135"/>
      <c r="D67" s="135">
        <f>'KY_Cost Plant Acct-Gas-P20(REG)'!D68</f>
        <v>0</v>
      </c>
      <c r="E67" s="135"/>
      <c r="F67" s="135">
        <f>'KY_Cost Plant Acct-Gas-P20(REG)'!F68</f>
        <v>-2851.93</v>
      </c>
      <c r="G67" s="135"/>
      <c r="H67" s="135">
        <f>'KY_Cost Plant Acct-Gas-P20(REG)'!H68</f>
        <v>-1269</v>
      </c>
      <c r="I67" s="135"/>
      <c r="J67" s="135">
        <f>H67+F67+D67</f>
        <v>-4120.93</v>
      </c>
      <c r="K67" s="135"/>
      <c r="L67" s="135">
        <f>J67+B67</f>
        <v>2327883.9799999995</v>
      </c>
      <c r="M67" s="146"/>
      <c r="N67" s="38">
        <f>'KY_Res by Plant Acct-P29 (Reg)'!R446</f>
        <v>-341676.45999999996</v>
      </c>
      <c r="O67" s="31"/>
      <c r="P67" s="38">
        <f>L67+N67</f>
        <v>1986207.5199999996</v>
      </c>
    </row>
    <row r="68" spans="1:16" x14ac:dyDescent="0.2">
      <c r="B68" s="148">
        <f>SUM(B65:B67)</f>
        <v>52772830.57</v>
      </c>
      <c r="C68" s="135"/>
      <c r="D68" s="148">
        <f>SUM(D65:D67)</f>
        <v>2375373.0699999998</v>
      </c>
      <c r="E68" s="135"/>
      <c r="F68" s="148">
        <f>SUM(F65:F67)</f>
        <v>-91842.93</v>
      </c>
      <c r="G68" s="135"/>
      <c r="H68" s="148">
        <f>SUM(H65:H67)</f>
        <v>-1269</v>
      </c>
      <c r="I68" s="135"/>
      <c r="J68" s="148">
        <f>SUM(J65:J67)</f>
        <v>2282261.1399999997</v>
      </c>
      <c r="K68" s="135"/>
      <c r="L68" s="148">
        <f>SUM(L65:L67)</f>
        <v>55055091.710000001</v>
      </c>
      <c r="M68" s="146"/>
      <c r="N68" s="148">
        <f>SUM(N65:N67)</f>
        <v>-11872946.479999997</v>
      </c>
      <c r="P68" s="148">
        <f>SUM(P65:P67)</f>
        <v>43182145.230000004</v>
      </c>
    </row>
    <row r="69" spans="1:16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46"/>
    </row>
    <row r="70" spans="1:16" x14ac:dyDescent="0.2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45"/>
    </row>
    <row r="71" spans="1:16" ht="13.5" thickBot="1" x14ac:dyDescent="0.25">
      <c r="A71" s="10" t="s">
        <v>2776</v>
      </c>
      <c r="B71" s="143">
        <f>B68+B63+B42+B38+B27</f>
        <v>1021163077.6800001</v>
      </c>
      <c r="C71" s="135"/>
      <c r="D71" s="143">
        <f>D68+D63+D42+D38+D27</f>
        <v>96621651.25</v>
      </c>
      <c r="E71" s="135"/>
      <c r="F71" s="143">
        <f>F68+F63+F42+F38+F27</f>
        <v>-10001316.450000001</v>
      </c>
      <c r="G71" s="135"/>
      <c r="H71" s="143">
        <f>H68+H63+H42+H38+H27</f>
        <v>2328350.6399999997</v>
      </c>
      <c r="I71" s="135"/>
      <c r="J71" s="143">
        <f>J68+J63+J42+J38+J27</f>
        <v>88948685.439999998</v>
      </c>
      <c r="K71" s="135"/>
      <c r="L71" s="143">
        <f>L68+L63+L42+L38+L27</f>
        <v>1110111763.1200004</v>
      </c>
      <c r="M71" s="145"/>
      <c r="N71" s="143">
        <f>N68+N63+N42+N38+N27</f>
        <v>-308165992.63</v>
      </c>
      <c r="P71" s="143">
        <f>P68+P63+P42+P38+P27</f>
        <v>801945770.48999989</v>
      </c>
    </row>
    <row r="72" spans="1:16" ht="13.5" thickTop="1" x14ac:dyDescent="0.2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45"/>
    </row>
    <row r="73" spans="1:16" x14ac:dyDescent="0.2"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45"/>
    </row>
    <row r="74" spans="1:16" x14ac:dyDescent="0.2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45"/>
    </row>
    <row r="75" spans="1:16" x14ac:dyDescent="0.2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45"/>
    </row>
    <row r="76" spans="1:16" x14ac:dyDescent="0.2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45"/>
    </row>
    <row r="77" spans="1:16" x14ac:dyDescent="0.2"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45"/>
    </row>
    <row r="78" spans="1:16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1:16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6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162"/>
  <sheetViews>
    <sheetView zoomScaleNormal="100" workbookViewId="0">
      <selection sqref="A1:N1"/>
    </sheetView>
  </sheetViews>
  <sheetFormatPr defaultRowHeight="12.75" x14ac:dyDescent="0.2"/>
  <cols>
    <col min="1" max="1" width="49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2777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38"/>
      <c r="F6" s="138"/>
      <c r="H6" s="8" t="s">
        <v>4</v>
      </c>
      <c r="J6" s="138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A8" s="10" t="s">
        <v>2557</v>
      </c>
      <c r="B8" s="18"/>
      <c r="D8" s="18"/>
      <c r="F8" s="18"/>
      <c r="H8" s="18"/>
      <c r="J8" s="18"/>
      <c r="L8" s="18"/>
    </row>
    <row r="9" spans="1:13" x14ac:dyDescent="0.2">
      <c r="A9" s="10" t="s">
        <v>2572</v>
      </c>
      <c r="B9" s="18"/>
      <c r="D9" s="18"/>
      <c r="F9" s="18"/>
      <c r="H9" s="18"/>
      <c r="J9" s="18"/>
      <c r="L9" s="18"/>
    </row>
    <row r="10" spans="1:13" x14ac:dyDescent="0.2">
      <c r="A10" s="10" t="s">
        <v>27</v>
      </c>
    </row>
    <row r="11" spans="1:13" x14ac:dyDescent="0.2">
      <c r="A11" s="3" t="s">
        <v>373</v>
      </c>
      <c r="B11" s="138">
        <f>'KY_Cost Plant Acct-Gas-P20(REG)'!B11</f>
        <v>60478.68</v>
      </c>
      <c r="C11" s="138"/>
      <c r="D11" s="138">
        <f>'KY_Cost Plant Acct-Gas-P20(REG)'!D11</f>
        <v>0</v>
      </c>
      <c r="E11" s="138"/>
      <c r="F11" s="138">
        <f>'KY_Cost Plant Acct-Gas-P20(REG)'!F11</f>
        <v>0</v>
      </c>
      <c r="G11" s="138"/>
      <c r="H11" s="138">
        <f>'KY_Cost Plant Acct-Gas-P20(REG)'!H11</f>
        <v>0</v>
      </c>
      <c r="I11" s="138"/>
      <c r="J11" s="138">
        <f t="shared" ref="J11:J26" si="0">H11+F11+D11</f>
        <v>0</v>
      </c>
      <c r="K11" s="138"/>
      <c r="L11" s="138">
        <f t="shared" ref="L11:L26" si="1">J11+B11</f>
        <v>60478.68</v>
      </c>
      <c r="M11" s="145"/>
    </row>
    <row r="12" spans="1:13" x14ac:dyDescent="0.2">
      <c r="A12" s="3" t="s">
        <v>374</v>
      </c>
      <c r="B12" s="138">
        <f>'KY_Cost Plant Acct-Gas-P20(REG)'!B12</f>
        <v>74018.23</v>
      </c>
      <c r="C12" s="138"/>
      <c r="D12" s="138">
        <f>'KY_Cost Plant Acct-Gas-P20(REG)'!D12</f>
        <v>0</v>
      </c>
      <c r="E12" s="138"/>
      <c r="F12" s="138">
        <f>'KY_Cost Plant Acct-Gas-P20(REG)'!F12</f>
        <v>0</v>
      </c>
      <c r="G12" s="138"/>
      <c r="H12" s="138">
        <f>'KY_Cost Plant Acct-Gas-P20(REG)'!H12</f>
        <v>0</v>
      </c>
      <c r="I12" s="138"/>
      <c r="J12" s="138">
        <f t="shared" si="0"/>
        <v>0</v>
      </c>
      <c r="K12" s="138"/>
      <c r="L12" s="138">
        <f t="shared" si="1"/>
        <v>74018.23</v>
      </c>
      <c r="M12" s="145"/>
    </row>
    <row r="13" spans="1:13" x14ac:dyDescent="0.2">
      <c r="A13" s="3" t="s">
        <v>376</v>
      </c>
      <c r="B13" s="138">
        <f>'KY_Cost Plant Acct-Gas-P20(REG)'!B13</f>
        <v>499620.92000000004</v>
      </c>
      <c r="C13" s="138"/>
      <c r="D13" s="138">
        <f>'KY_Cost Plant Acct-Gas-P20(REG)'!D13</f>
        <v>0</v>
      </c>
      <c r="E13" s="138"/>
      <c r="F13" s="138">
        <f>'KY_Cost Plant Acct-Gas-P20(REG)'!F13</f>
        <v>-597.48</v>
      </c>
      <c r="G13" s="138"/>
      <c r="H13" s="138">
        <f>'KY_Cost Plant Acct-Gas-P20(REG)'!H13</f>
        <v>0</v>
      </c>
      <c r="I13" s="138"/>
      <c r="J13" s="138">
        <f t="shared" si="0"/>
        <v>-597.48</v>
      </c>
      <c r="K13" s="138"/>
      <c r="L13" s="138">
        <f t="shared" si="1"/>
        <v>499023.44000000006</v>
      </c>
      <c r="M13" s="145"/>
    </row>
    <row r="14" spans="1:13" x14ac:dyDescent="0.2">
      <c r="A14" s="3" t="s">
        <v>377</v>
      </c>
      <c r="B14" s="138">
        <f>'KY_Cost Plant Acct-Gas-P20(REG)'!B14</f>
        <v>508398.20000000007</v>
      </c>
      <c r="C14" s="138"/>
      <c r="D14" s="138">
        <f>'KY_Cost Plant Acct-Gas-P20(REG)'!D14</f>
        <v>159484.82999999999</v>
      </c>
      <c r="E14" s="138"/>
      <c r="F14" s="138">
        <f>'KY_Cost Plant Acct-Gas-P20(REG)'!F14</f>
        <v>-3808.67</v>
      </c>
      <c r="G14" s="138"/>
      <c r="H14" s="138">
        <f>'KY_Cost Plant Acct-Gas-P20(REG)'!H14</f>
        <v>12074.4</v>
      </c>
      <c r="I14" s="138"/>
      <c r="J14" s="138">
        <f t="shared" si="0"/>
        <v>167750.56</v>
      </c>
      <c r="K14" s="138"/>
      <c r="L14" s="138">
        <f t="shared" si="1"/>
        <v>676148.76</v>
      </c>
      <c r="M14" s="145"/>
    </row>
    <row r="15" spans="1:13" x14ac:dyDescent="0.2">
      <c r="A15" s="3" t="s">
        <v>379</v>
      </c>
      <c r="B15" s="138">
        <f>'KY_Cost Plant Acct-Gas-P20(REG)'!B15</f>
        <v>335066142.28999996</v>
      </c>
      <c r="C15" s="138"/>
      <c r="D15" s="138">
        <f>'KY_Cost Plant Acct-Gas-P20(REG)'!D15</f>
        <v>4411419.07</v>
      </c>
      <c r="E15" s="138"/>
      <c r="F15" s="138">
        <f>'KY_Cost Plant Acct-Gas-P20(REG)'!F15</f>
        <v>-309953.23</v>
      </c>
      <c r="G15" s="138"/>
      <c r="H15" s="138">
        <f>'KY_Cost Plant Acct-Gas-P20(REG)'!H15</f>
        <v>0</v>
      </c>
      <c r="I15" s="138"/>
      <c r="J15" s="138">
        <f t="shared" si="0"/>
        <v>4101465.8400000003</v>
      </c>
      <c r="K15" s="138"/>
      <c r="L15" s="138">
        <f t="shared" si="1"/>
        <v>339167608.12999994</v>
      </c>
      <c r="M15" s="145"/>
    </row>
    <row r="16" spans="1:13" x14ac:dyDescent="0.2">
      <c r="A16" s="22" t="s">
        <v>380</v>
      </c>
      <c r="B16" s="138">
        <f>'KY_Cost Plant Acct-Gas-P20(REG)'!B16</f>
        <v>36101789.010000005</v>
      </c>
      <c r="C16" s="138"/>
      <c r="D16" s="138">
        <f>'KY_Cost Plant Acct-Gas-P20(REG)'!D16</f>
        <v>8847839.1699999999</v>
      </c>
      <c r="E16" s="138"/>
      <c r="F16" s="138">
        <f>'KY_Cost Plant Acct-Gas-P20(REG)'!F16</f>
        <v>0</v>
      </c>
      <c r="G16" s="138"/>
      <c r="H16" s="138">
        <f>'KY_Cost Plant Acct-Gas-P20(REG)'!H16</f>
        <v>0</v>
      </c>
      <c r="I16" s="138"/>
      <c r="J16" s="138">
        <f t="shared" si="0"/>
        <v>8847839.1699999999</v>
      </c>
      <c r="K16" s="138"/>
      <c r="L16" s="138">
        <f t="shared" si="1"/>
        <v>44949628.180000007</v>
      </c>
      <c r="M16" s="145"/>
    </row>
    <row r="17" spans="1:15" x14ac:dyDescent="0.2">
      <c r="A17" s="3" t="s">
        <v>381</v>
      </c>
      <c r="B17" s="138">
        <f>'KY_Cost Plant Acct-Gas-P20(REG)'!B17</f>
        <v>16314378.329999998</v>
      </c>
      <c r="C17" s="138"/>
      <c r="D17" s="138">
        <f>'KY_Cost Plant Acct-Gas-P20(REG)'!D17</f>
        <v>1617236.04</v>
      </c>
      <c r="E17" s="138"/>
      <c r="F17" s="138">
        <f>'KY_Cost Plant Acct-Gas-P20(REG)'!F17</f>
        <v>-87472.57</v>
      </c>
      <c r="G17" s="138"/>
      <c r="H17" s="138">
        <f>'KY_Cost Plant Acct-Gas-P20(REG)'!H17</f>
        <v>0</v>
      </c>
      <c r="I17" s="138"/>
      <c r="J17" s="138">
        <f t="shared" si="0"/>
        <v>1529763.47</v>
      </c>
      <c r="K17" s="138"/>
      <c r="L17" s="138">
        <f t="shared" si="1"/>
        <v>17844141.799999997</v>
      </c>
      <c r="M17" s="145"/>
    </row>
    <row r="18" spans="1:15" x14ac:dyDescent="0.2">
      <c r="A18" s="3" t="s">
        <v>382</v>
      </c>
      <c r="B18" s="138">
        <f>'KY_Cost Plant Acct-Gas-P20(REG)'!B18</f>
        <v>6928049.6000000006</v>
      </c>
      <c r="C18" s="138"/>
      <c r="D18" s="138">
        <f>'KY_Cost Plant Acct-Gas-P20(REG)'!D18</f>
        <v>370892.07</v>
      </c>
      <c r="E18" s="138"/>
      <c r="F18" s="138">
        <f>'KY_Cost Plant Acct-Gas-P20(REG)'!F18</f>
        <v>-24883.53</v>
      </c>
      <c r="G18" s="138"/>
      <c r="H18" s="138">
        <f>'KY_Cost Plant Acct-Gas-P20(REG)'!H18</f>
        <v>0</v>
      </c>
      <c r="I18" s="138"/>
      <c r="J18" s="138">
        <f t="shared" si="0"/>
        <v>346008.54000000004</v>
      </c>
      <c r="K18" s="138"/>
      <c r="L18" s="138">
        <f t="shared" si="1"/>
        <v>7274058.1400000006</v>
      </c>
      <c r="M18" s="145"/>
    </row>
    <row r="19" spans="1:15" x14ac:dyDescent="0.2">
      <c r="A19" s="3" t="s">
        <v>383</v>
      </c>
      <c r="B19" s="138">
        <f>'KY_Cost Plant Acct-Gas-P20(REG)'!B19</f>
        <v>200851250.06999999</v>
      </c>
      <c r="C19" s="138"/>
      <c r="D19" s="138">
        <f>'KY_Cost Plant Acct-Gas-P20(REG)'!D19</f>
        <v>2493.89</v>
      </c>
      <c r="E19" s="138"/>
      <c r="F19" s="138">
        <f>'KY_Cost Plant Acct-Gas-P20(REG)'!F19</f>
        <v>-7034482.9400000004</v>
      </c>
      <c r="G19" s="138"/>
      <c r="H19" s="138">
        <f>'KY_Cost Plant Acct-Gas-P20(REG)'!H19</f>
        <v>0</v>
      </c>
      <c r="I19" s="138"/>
      <c r="J19" s="138">
        <f t="shared" si="0"/>
        <v>-7031989.0500000007</v>
      </c>
      <c r="K19" s="138"/>
      <c r="L19" s="138">
        <f t="shared" si="1"/>
        <v>193819261.01999998</v>
      </c>
      <c r="M19" s="145"/>
    </row>
    <row r="20" spans="1:15" x14ac:dyDescent="0.2">
      <c r="A20" s="22" t="s">
        <v>384</v>
      </c>
      <c r="B20" s="138">
        <f>'KY_Cost Plant Acct-Gas-P20(REG)'!B20</f>
        <v>92141968.599999994</v>
      </c>
      <c r="C20" s="138"/>
      <c r="D20" s="138">
        <f>'KY_Cost Plant Acct-Gas-P20(REG)'!D20</f>
        <v>50012080.020000003</v>
      </c>
      <c r="E20" s="138"/>
      <c r="F20" s="138">
        <f>'KY_Cost Plant Acct-Gas-P20(REG)'!F20</f>
        <v>0</v>
      </c>
      <c r="G20" s="138"/>
      <c r="H20" s="138">
        <f>'KY_Cost Plant Acct-Gas-P20(REG)'!H20</f>
        <v>0</v>
      </c>
      <c r="I20" s="138"/>
      <c r="J20" s="138">
        <f>H20+F20+D20</f>
        <v>50012080.020000003</v>
      </c>
      <c r="K20" s="138"/>
      <c r="L20" s="138">
        <f>J20+B20</f>
        <v>142154048.62</v>
      </c>
      <c r="M20" s="145"/>
    </row>
    <row r="21" spans="1:15" x14ac:dyDescent="0.2">
      <c r="A21" s="3" t="s">
        <v>385</v>
      </c>
      <c r="B21" s="138">
        <f>'KY_Cost Plant Acct-Gas-P20(REG)'!B21</f>
        <v>47293647.549999997</v>
      </c>
      <c r="C21" s="138"/>
      <c r="D21" s="138">
        <f>'KY_Cost Plant Acct-Gas-P20(REG)'!D21</f>
        <v>2597142.88</v>
      </c>
      <c r="E21" s="138"/>
      <c r="F21" s="138">
        <f>'KY_Cost Plant Acct-Gas-P20(REG)'!F21</f>
        <v>-846588.36</v>
      </c>
      <c r="G21" s="138"/>
      <c r="H21" s="138">
        <f>'KY_Cost Plant Acct-Gas-P20(REG)'!H21</f>
        <v>0</v>
      </c>
      <c r="I21" s="138"/>
      <c r="J21" s="138">
        <f t="shared" si="0"/>
        <v>1750554.52</v>
      </c>
      <c r="K21" s="138"/>
      <c r="L21" s="138">
        <f t="shared" si="1"/>
        <v>49044202.07</v>
      </c>
      <c r="M21" s="145"/>
    </row>
    <row r="22" spans="1:15" x14ac:dyDescent="0.2">
      <c r="A22" s="3" t="s">
        <v>386</v>
      </c>
      <c r="B22" s="138">
        <f>'KY_Cost Plant Acct-Gas-P20(REG)'!B22</f>
        <v>25550379.960000001</v>
      </c>
      <c r="C22" s="138"/>
      <c r="D22" s="138">
        <f>'KY_Cost Plant Acct-Gas-P20(REG)'!D22</f>
        <v>605810.51</v>
      </c>
      <c r="E22" s="138"/>
      <c r="F22" s="138">
        <f>'KY_Cost Plant Acct-Gas-P20(REG)'!F22</f>
        <v>-183921.28</v>
      </c>
      <c r="G22" s="138"/>
      <c r="H22" s="138">
        <f>'KY_Cost Plant Acct-Gas-P20(REG)'!H22</f>
        <v>0</v>
      </c>
      <c r="I22" s="138"/>
      <c r="J22" s="138">
        <f t="shared" si="0"/>
        <v>421889.23</v>
      </c>
      <c r="K22" s="138"/>
      <c r="L22" s="138">
        <f t="shared" si="1"/>
        <v>25972269.190000001</v>
      </c>
      <c r="M22" s="145"/>
    </row>
    <row r="23" spans="1:15" x14ac:dyDescent="0.2">
      <c r="A23" s="3" t="s">
        <v>387</v>
      </c>
      <c r="B23" s="138">
        <f>'KY_Cost Plant Acct-Gas-P20(REG)'!B23</f>
        <v>960686.95</v>
      </c>
      <c r="C23" s="138"/>
      <c r="D23" s="138">
        <f>'KY_Cost Plant Acct-Gas-P20(REG)'!D23</f>
        <v>0</v>
      </c>
      <c r="E23" s="138"/>
      <c r="F23" s="138">
        <f>'KY_Cost Plant Acct-Gas-P20(REG)'!F23</f>
        <v>0</v>
      </c>
      <c r="G23" s="138"/>
      <c r="H23" s="138">
        <f>'KY_Cost Plant Acct-Gas-P20(REG)'!H23</f>
        <v>0</v>
      </c>
      <c r="I23" s="138"/>
      <c r="J23" s="138">
        <f t="shared" si="0"/>
        <v>0</v>
      </c>
      <c r="K23" s="138"/>
      <c r="L23" s="138">
        <f t="shared" si="1"/>
        <v>960686.95</v>
      </c>
      <c r="M23" s="145"/>
    </row>
    <row r="24" spans="1:15" x14ac:dyDescent="0.2">
      <c r="A24" s="3" t="s">
        <v>388</v>
      </c>
      <c r="B24" s="138">
        <f>'KY_Cost Plant Acct-Gas-P20(REG)'!B24</f>
        <v>51112.34</v>
      </c>
      <c r="C24" s="135"/>
      <c r="D24" s="138">
        <f>'KY_Cost Plant Acct-Gas-P20(REG)'!D24</f>
        <v>0</v>
      </c>
      <c r="E24" s="135"/>
      <c r="F24" s="138">
        <f>'KY_Cost Plant Acct-Gas-P20(REG)'!F24</f>
        <v>0</v>
      </c>
      <c r="G24" s="135"/>
      <c r="H24" s="138">
        <f>'KY_Cost Plant Acct-Gas-P20(REG)'!H24</f>
        <v>0</v>
      </c>
      <c r="I24" s="135"/>
      <c r="J24" s="135">
        <f t="shared" si="0"/>
        <v>0</v>
      </c>
      <c r="K24" s="135"/>
      <c r="L24" s="135">
        <f t="shared" si="1"/>
        <v>51112.34</v>
      </c>
      <c r="M24" s="146"/>
      <c r="N24" s="31"/>
      <c r="O24" s="31"/>
    </row>
    <row r="25" spans="1:15" x14ac:dyDescent="0.2">
      <c r="A25" s="3" t="s">
        <v>389</v>
      </c>
      <c r="B25" s="138">
        <f>'KY_Cost Plant Acct-Gas-P20(REG)'!B25</f>
        <v>2667.35</v>
      </c>
      <c r="C25" s="135"/>
      <c r="D25" s="138">
        <f>'KY_Cost Plant Acct-Gas-P20(REG)'!D25</f>
        <v>0</v>
      </c>
      <c r="E25" s="135"/>
      <c r="F25" s="138">
        <f>'KY_Cost Plant Acct-Gas-P20(REG)'!F25</f>
        <v>0</v>
      </c>
      <c r="G25" s="135"/>
      <c r="H25" s="138">
        <f>'KY_Cost Plant Acct-Gas-P20(REG)'!H25</f>
        <v>34428.04</v>
      </c>
      <c r="I25" s="135"/>
      <c r="J25" s="135">
        <f t="shared" si="0"/>
        <v>34428.04</v>
      </c>
      <c r="K25" s="135"/>
      <c r="L25" s="135">
        <f t="shared" si="1"/>
        <v>37095.39</v>
      </c>
      <c r="M25" s="146"/>
      <c r="N25" s="31"/>
      <c r="O25" s="31"/>
    </row>
    <row r="26" spans="1:15" x14ac:dyDescent="0.2">
      <c r="A26" s="3" t="s">
        <v>390</v>
      </c>
      <c r="B26" s="149">
        <f>'KY_Cost Plant Acct-Gas-P20(REG)'!B26</f>
        <v>10479426.170000002</v>
      </c>
      <c r="C26" s="135"/>
      <c r="D26" s="149">
        <f>'KY_Cost Plant Acct-Gas-P20(REG)'!D26</f>
        <v>0</v>
      </c>
      <c r="E26" s="135"/>
      <c r="F26" s="149">
        <f>'KY_Cost Plant Acct-Gas-P20(REG)'!F26</f>
        <v>-487435.15</v>
      </c>
      <c r="G26" s="135"/>
      <c r="H26" s="149">
        <f>'KY_Cost Plant Acct-Gas-P20(REG)'!H26</f>
        <v>1532697.94</v>
      </c>
      <c r="I26" s="135"/>
      <c r="J26" s="149">
        <f t="shared" si="0"/>
        <v>1045262.7899999999</v>
      </c>
      <c r="K26" s="135"/>
      <c r="L26" s="149">
        <f t="shared" si="1"/>
        <v>11524688.960000001</v>
      </c>
      <c r="M26" s="146"/>
      <c r="N26" s="31"/>
      <c r="O26" s="31"/>
    </row>
    <row r="27" spans="1:15" x14ac:dyDescent="0.2">
      <c r="B27" s="135">
        <f>SUM(B11:B26)</f>
        <v>772884014.25</v>
      </c>
      <c r="C27" s="135"/>
      <c r="D27" s="135">
        <f>SUM(D11:D26)</f>
        <v>68624398.480000004</v>
      </c>
      <c r="E27" s="135"/>
      <c r="F27" s="135">
        <f>SUM(F11:F26)</f>
        <v>-8979143.2100000009</v>
      </c>
      <c r="G27" s="135"/>
      <c r="H27" s="135">
        <f>SUM(H11:H26)</f>
        <v>1579200.38</v>
      </c>
      <c r="I27" s="135"/>
      <c r="J27" s="135">
        <f>SUM(J11:J26)</f>
        <v>61224455.650000006</v>
      </c>
      <c r="K27" s="135"/>
      <c r="L27" s="135">
        <f>SUM(L11:L26)</f>
        <v>834108469.9000001</v>
      </c>
      <c r="M27" s="146"/>
      <c r="N27" s="31"/>
      <c r="O27" s="31"/>
    </row>
    <row r="28" spans="1:15" x14ac:dyDescent="0.2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45"/>
    </row>
    <row r="29" spans="1:15" x14ac:dyDescent="0.2">
      <c r="A29" s="10" t="s">
        <v>28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45"/>
    </row>
    <row r="30" spans="1:15" x14ac:dyDescent="0.2">
      <c r="A30" s="3" t="s">
        <v>2772</v>
      </c>
      <c r="B30" s="138">
        <f>'KY_Cost Plant Acct-Gas-P20(REG)'!B30</f>
        <v>12617.94</v>
      </c>
      <c r="C30" s="138"/>
      <c r="D30" s="138">
        <f>'KY_Cost Plant Acct-Gas-P20(REG)'!D30</f>
        <v>31064.85</v>
      </c>
      <c r="E30" s="138"/>
      <c r="F30" s="138">
        <f>'KY_Cost Plant Acct-Gas-P20(REG)'!F30</f>
        <v>0</v>
      </c>
      <c r="G30" s="138"/>
      <c r="H30" s="138">
        <f>'KY_Cost Plant Acct-Gas-P20(REG)'!H30</f>
        <v>0</v>
      </c>
      <c r="I30" s="138"/>
      <c r="J30" s="138">
        <f>H30+F30+D30</f>
        <v>31064.85</v>
      </c>
      <c r="K30" s="138"/>
      <c r="L30" s="138">
        <f>J30+B30</f>
        <v>43682.79</v>
      </c>
      <c r="M30" s="145"/>
    </row>
    <row r="31" spans="1:15" x14ac:dyDescent="0.2">
      <c r="A31" s="3" t="s">
        <v>2773</v>
      </c>
      <c r="B31" s="138">
        <f>'KY_Cost Plant Acct-Gas-P20(REG)'!B31</f>
        <v>926192.23</v>
      </c>
      <c r="C31" s="138"/>
      <c r="D31" s="138">
        <f>'KY_Cost Plant Acct-Gas-P20(REG)'!D31</f>
        <v>0</v>
      </c>
      <c r="E31" s="138"/>
      <c r="F31" s="138">
        <f>'KY_Cost Plant Acct-Gas-P20(REG)'!F31</f>
        <v>0</v>
      </c>
      <c r="G31" s="138"/>
      <c r="H31" s="138">
        <f>'KY_Cost Plant Acct-Gas-P20(REG)'!H31</f>
        <v>0</v>
      </c>
      <c r="I31" s="138"/>
      <c r="J31" s="138">
        <f t="shared" ref="J31:J37" si="2">H31+F31+D31</f>
        <v>0</v>
      </c>
      <c r="K31" s="138"/>
      <c r="L31" s="138">
        <f t="shared" ref="L31:L37" si="3">J31+B31</f>
        <v>926192.23</v>
      </c>
      <c r="M31" s="145"/>
    </row>
    <row r="32" spans="1:15" x14ac:dyDescent="0.2">
      <c r="A32" s="3" t="s">
        <v>395</v>
      </c>
      <c r="B32" s="138">
        <f>'KY_Cost Plant Acct-Gas-P20(REG)'!B32</f>
        <v>577962.1</v>
      </c>
      <c r="C32" s="138"/>
      <c r="D32" s="138">
        <f>'KY_Cost Plant Acct-Gas-P20(REG)'!D32</f>
        <v>10229.280000000001</v>
      </c>
      <c r="E32" s="138"/>
      <c r="F32" s="138">
        <f>'KY_Cost Plant Acct-Gas-P20(REG)'!F32</f>
        <v>-2173</v>
      </c>
      <c r="G32" s="138"/>
      <c r="H32" s="138">
        <f>'KY_Cost Plant Acct-Gas-P20(REG)'!H32</f>
        <v>0</v>
      </c>
      <c r="I32" s="138"/>
      <c r="J32" s="138">
        <f t="shared" si="2"/>
        <v>8056.2800000000007</v>
      </c>
      <c r="K32" s="138"/>
      <c r="L32" s="138">
        <f t="shared" si="3"/>
        <v>586018.38</v>
      </c>
      <c r="M32" s="145"/>
    </row>
    <row r="33" spans="1:13" x14ac:dyDescent="0.2">
      <c r="A33" s="3" t="s">
        <v>397</v>
      </c>
      <c r="B33" s="138">
        <f>'KY_Cost Plant Acct-Gas-P20(REG)'!B33</f>
        <v>6234828.3000000007</v>
      </c>
      <c r="C33" s="138"/>
      <c r="D33" s="138">
        <f>'KY_Cost Plant Acct-Gas-P20(REG)'!D33</f>
        <v>516108.64</v>
      </c>
      <c r="E33" s="138"/>
      <c r="F33" s="138">
        <f>'KY_Cost Plant Acct-Gas-P20(REG)'!F33</f>
        <v>-245638.37</v>
      </c>
      <c r="G33" s="138"/>
      <c r="H33" s="138">
        <f>'KY_Cost Plant Acct-Gas-P20(REG)'!H33</f>
        <v>6742.3</v>
      </c>
      <c r="I33" s="138"/>
      <c r="J33" s="138">
        <f t="shared" si="2"/>
        <v>277212.57</v>
      </c>
      <c r="K33" s="138"/>
      <c r="L33" s="138">
        <f t="shared" si="3"/>
        <v>6512040.870000001</v>
      </c>
      <c r="M33" s="145"/>
    </row>
    <row r="34" spans="1:13" x14ac:dyDescent="0.2">
      <c r="A34" s="3" t="s">
        <v>398</v>
      </c>
      <c r="B34" s="138">
        <f>'KY_Cost Plant Acct-Gas-P20(REG)'!B34</f>
        <v>0</v>
      </c>
      <c r="C34" s="138"/>
      <c r="D34" s="138">
        <f>'KY_Cost Plant Acct-Gas-P20(REG)'!D34</f>
        <v>0</v>
      </c>
      <c r="E34" s="138"/>
      <c r="F34" s="138">
        <f>'KY_Cost Plant Acct-Gas-P20(REG)'!F34</f>
        <v>0</v>
      </c>
      <c r="G34" s="138"/>
      <c r="H34" s="138">
        <f>'KY_Cost Plant Acct-Gas-P20(REG)'!H34</f>
        <v>0</v>
      </c>
      <c r="I34" s="138"/>
      <c r="J34" s="138">
        <f t="shared" si="2"/>
        <v>0</v>
      </c>
      <c r="K34" s="138"/>
      <c r="L34" s="138">
        <f t="shared" si="3"/>
        <v>0</v>
      </c>
      <c r="M34" s="145"/>
    </row>
    <row r="35" spans="1:13" x14ac:dyDescent="0.2">
      <c r="A35" s="3" t="s">
        <v>2778</v>
      </c>
      <c r="B35" s="138">
        <f>'KY_Cost Plant Acct-Gas-P20(REG)'!B35</f>
        <v>2931525.4800000004</v>
      </c>
      <c r="C35" s="135"/>
      <c r="D35" s="138">
        <f>'KY_Cost Plant Acct-Gas-P20(REG)'!D35</f>
        <v>562859.4</v>
      </c>
      <c r="E35" s="135"/>
      <c r="F35" s="138">
        <f>'KY_Cost Plant Acct-Gas-P20(REG)'!F35</f>
        <v>-174040.09</v>
      </c>
      <c r="G35" s="135"/>
      <c r="H35" s="138">
        <f>'KY_Cost Plant Acct-Gas-P20(REG)'!H35</f>
        <v>-3085.3</v>
      </c>
      <c r="I35" s="135"/>
      <c r="J35" s="135">
        <f t="shared" si="2"/>
        <v>385734.01</v>
      </c>
      <c r="K35" s="135"/>
      <c r="L35" s="135">
        <f t="shared" si="3"/>
        <v>3317259.49</v>
      </c>
      <c r="M35" s="146"/>
    </row>
    <row r="36" spans="1:13" x14ac:dyDescent="0.2">
      <c r="A36" s="3" t="s">
        <v>400</v>
      </c>
      <c r="B36" s="135">
        <f>'KY_Cost Plant Acct-Gas-P20(REG)'!B36</f>
        <v>214328.50999999998</v>
      </c>
      <c r="C36" s="135"/>
      <c r="D36" s="135">
        <f>'KY_Cost Plant Acct-Gas-P20(REG)'!D36</f>
        <v>0</v>
      </c>
      <c r="E36" s="135"/>
      <c r="F36" s="135">
        <f>'KY_Cost Plant Acct-Gas-P20(REG)'!F36</f>
        <v>0</v>
      </c>
      <c r="G36" s="135"/>
      <c r="H36" s="135">
        <f>'KY_Cost Plant Acct-Gas-P20(REG)'!H36</f>
        <v>0</v>
      </c>
      <c r="I36" s="135"/>
      <c r="J36" s="135">
        <f t="shared" si="2"/>
        <v>0</v>
      </c>
      <c r="K36" s="135"/>
      <c r="L36" s="135">
        <f t="shared" si="3"/>
        <v>214328.50999999998</v>
      </c>
      <c r="M36" s="146"/>
    </row>
    <row r="37" spans="1:13" x14ac:dyDescent="0.2">
      <c r="A37" s="22" t="s">
        <v>402</v>
      </c>
      <c r="B37" s="135">
        <f>'KY_Cost Plant Acct-Gas-P20(REG)'!B37</f>
        <v>0</v>
      </c>
      <c r="C37" s="135"/>
      <c r="D37" s="135">
        <f>'KY_Cost Plant Acct-Gas-P20(REG)'!D37</f>
        <v>0</v>
      </c>
      <c r="E37" s="135"/>
      <c r="F37" s="135">
        <f>'KY_Cost Plant Acct-Gas-P20(REG)'!F37</f>
        <v>0</v>
      </c>
      <c r="G37" s="135"/>
      <c r="H37" s="135">
        <f>'KY_Cost Plant Acct-Gas-P20(REG)'!H37</f>
        <v>0</v>
      </c>
      <c r="I37" s="135"/>
      <c r="J37" s="135">
        <f t="shared" si="2"/>
        <v>0</v>
      </c>
      <c r="K37" s="135"/>
      <c r="L37" s="135">
        <f t="shared" si="3"/>
        <v>0</v>
      </c>
      <c r="M37" s="146"/>
    </row>
    <row r="38" spans="1:13" x14ac:dyDescent="0.2">
      <c r="B38" s="148">
        <f>SUM(B30:B37)</f>
        <v>10897454.560000001</v>
      </c>
      <c r="C38" s="135"/>
      <c r="D38" s="148">
        <f>SUM(D30:D37)</f>
        <v>1120262.17</v>
      </c>
      <c r="E38" s="135"/>
      <c r="F38" s="148">
        <f>SUM(F30:F37)</f>
        <v>-421851.45999999996</v>
      </c>
      <c r="G38" s="135"/>
      <c r="H38" s="148">
        <f>SUM(H30:H37)</f>
        <v>3657</v>
      </c>
      <c r="I38" s="135"/>
      <c r="J38" s="148">
        <f>SUM(J30:J37)</f>
        <v>702067.71</v>
      </c>
      <c r="K38" s="135"/>
      <c r="L38" s="148">
        <f>SUM(L30:L37)</f>
        <v>11599522.270000001</v>
      </c>
      <c r="M38" s="146"/>
    </row>
    <row r="39" spans="1:13" x14ac:dyDescent="0.2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46"/>
    </row>
    <row r="40" spans="1:13" x14ac:dyDescent="0.2">
      <c r="A40" s="10" t="s">
        <v>29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46"/>
    </row>
    <row r="41" spans="1:13" x14ac:dyDescent="0.2">
      <c r="A41" s="3" t="s">
        <v>404</v>
      </c>
      <c r="B41" s="149">
        <f>'KY_Cost Plant Acct-Gas-P20(REG)'!B41</f>
        <v>387.49</v>
      </c>
      <c r="C41" s="135"/>
      <c r="D41" s="149">
        <f>'KY_Cost Plant Acct-Gas-P20(REG)'!D41</f>
        <v>0</v>
      </c>
      <c r="E41" s="135"/>
      <c r="F41" s="149">
        <f>'KY_Cost Plant Acct-Gas-P20(REG)'!F41</f>
        <v>0</v>
      </c>
      <c r="G41" s="135"/>
      <c r="H41" s="149">
        <f>'KY_Cost Plant Acct-Gas-P20(REG)'!H41</f>
        <v>0</v>
      </c>
      <c r="I41" s="135"/>
      <c r="J41" s="149">
        <f>H41+F41+D41</f>
        <v>0</v>
      </c>
      <c r="K41" s="135"/>
      <c r="L41" s="149">
        <f>J41+B41</f>
        <v>387.49</v>
      </c>
      <c r="M41" s="146"/>
    </row>
    <row r="42" spans="1:13" x14ac:dyDescent="0.2">
      <c r="B42" s="135">
        <f>SUM(B41)</f>
        <v>387.49</v>
      </c>
      <c r="C42" s="135"/>
      <c r="D42" s="135">
        <f>SUM(D41)</f>
        <v>0</v>
      </c>
      <c r="E42" s="135"/>
      <c r="F42" s="135">
        <f>SUM(F41)</f>
        <v>0</v>
      </c>
      <c r="G42" s="135"/>
      <c r="H42" s="135">
        <f>SUM(H41)</f>
        <v>0</v>
      </c>
      <c r="I42" s="135"/>
      <c r="J42" s="135">
        <f>SUM(J41)</f>
        <v>0</v>
      </c>
      <c r="K42" s="135"/>
      <c r="L42" s="135">
        <f>SUM(L41)</f>
        <v>387.49</v>
      </c>
      <c r="M42" s="146"/>
    </row>
    <row r="43" spans="1:13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3" x14ac:dyDescent="0.2">
      <c r="A44" s="10" t="s">
        <v>30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46"/>
    </row>
    <row r="45" spans="1:13" x14ac:dyDescent="0.2">
      <c r="A45" s="3" t="s">
        <v>406</v>
      </c>
      <c r="B45" s="135">
        <f>'KY_Cost Plant Acct-Gas-P20(REG)'!B45+'IN_Cost Plant Acct-Gas-P22(Reg)'!B11</f>
        <v>32864.07</v>
      </c>
      <c r="C45" s="135"/>
      <c r="D45" s="135">
        <f>'KY_Cost Plant Acct-Gas-P20(REG)'!D45+'IN_Cost Plant Acct-Gas-P22(Reg)'!D11</f>
        <v>0</v>
      </c>
      <c r="E45" s="135"/>
      <c r="F45" s="135">
        <f>'KY_Cost Plant Acct-Gas-P20(REG)'!F45+'IN_Cost Plant Acct-Gas-P22(Reg)'!F11</f>
        <v>0</v>
      </c>
      <c r="G45" s="135"/>
      <c r="H45" s="135">
        <f>'KY_Cost Plant Acct-Gas-P20(REG)'!H45+'IN_Cost Plant Acct-Gas-P22(Reg)'!H11</f>
        <v>0</v>
      </c>
      <c r="I45" s="135"/>
      <c r="J45" s="135">
        <f t="shared" ref="J45:J62" si="4">H45+F45+D45</f>
        <v>0</v>
      </c>
      <c r="K45" s="135"/>
      <c r="L45" s="135">
        <f t="shared" ref="L45:L62" si="5">J45+B45</f>
        <v>32864.07</v>
      </c>
      <c r="M45" s="146"/>
    </row>
    <row r="46" spans="1:13" x14ac:dyDescent="0.2">
      <c r="A46" s="3" t="s">
        <v>407</v>
      </c>
      <c r="B46" s="135">
        <f>'KY_Cost Plant Acct-Gas-P20(REG)'!B46</f>
        <v>104869.48999999999</v>
      </c>
      <c r="C46" s="135"/>
      <c r="D46" s="135">
        <f>'KY_Cost Plant Acct-Gas-P20(REG)'!D46</f>
        <v>0</v>
      </c>
      <c r="E46" s="135"/>
      <c r="F46" s="135">
        <f>'KY_Cost Plant Acct-Gas-P20(REG)'!F46</f>
        <v>0</v>
      </c>
      <c r="G46" s="135"/>
      <c r="H46" s="135">
        <f>'KY_Cost Plant Acct-Gas-P20(REG)'!H46</f>
        <v>-3657</v>
      </c>
      <c r="I46" s="135"/>
      <c r="J46" s="135">
        <f t="shared" si="4"/>
        <v>-3657</v>
      </c>
      <c r="K46" s="135"/>
      <c r="L46" s="135">
        <f t="shared" si="5"/>
        <v>101212.48999999999</v>
      </c>
      <c r="M46" s="146"/>
    </row>
    <row r="47" spans="1:13" x14ac:dyDescent="0.2">
      <c r="A47" s="3" t="s">
        <v>409</v>
      </c>
      <c r="B47" s="135">
        <f>'KY_Cost Plant Acct-Gas-P20(REG)'!B47</f>
        <v>9624979.6600000001</v>
      </c>
      <c r="C47" s="135"/>
      <c r="D47" s="135">
        <f>'KY_Cost Plant Acct-Gas-P20(REG)'!D47</f>
        <v>100734.72</v>
      </c>
      <c r="E47" s="135"/>
      <c r="F47" s="135">
        <f>'KY_Cost Plant Acct-Gas-P20(REG)'!F47</f>
        <v>-3024.64</v>
      </c>
      <c r="G47" s="135"/>
      <c r="H47" s="135">
        <f>'KY_Cost Plant Acct-Gas-P20(REG)'!H47</f>
        <v>0</v>
      </c>
      <c r="I47" s="135"/>
      <c r="J47" s="135">
        <f t="shared" si="4"/>
        <v>97710.080000000002</v>
      </c>
      <c r="K47" s="135"/>
      <c r="L47" s="135">
        <f t="shared" si="5"/>
        <v>9722689.7400000002</v>
      </c>
      <c r="M47" s="146"/>
    </row>
    <row r="48" spans="1:13" x14ac:dyDescent="0.2">
      <c r="A48" s="3" t="s">
        <v>410</v>
      </c>
      <c r="B48" s="135">
        <f>'KY_Cost Plant Acct-Gas-P20(REG)'!B48</f>
        <v>33151.61</v>
      </c>
      <c r="C48" s="135"/>
      <c r="D48" s="135">
        <f>'KY_Cost Plant Acct-Gas-P20(REG)'!D48</f>
        <v>0</v>
      </c>
      <c r="E48" s="135"/>
      <c r="F48" s="135">
        <f>'KY_Cost Plant Acct-Gas-P20(REG)'!F48</f>
        <v>-108.56</v>
      </c>
      <c r="G48" s="135"/>
      <c r="H48" s="135">
        <f>'KY_Cost Plant Acct-Gas-P20(REG)'!H48</f>
        <v>0</v>
      </c>
      <c r="I48" s="135"/>
      <c r="J48" s="135">
        <f t="shared" si="4"/>
        <v>-108.56</v>
      </c>
      <c r="K48" s="135"/>
      <c r="L48" s="135">
        <f t="shared" si="5"/>
        <v>33043.050000000003</v>
      </c>
      <c r="M48" s="146"/>
    </row>
    <row r="49" spans="1:13" x14ac:dyDescent="0.2">
      <c r="A49" s="3" t="s">
        <v>411</v>
      </c>
      <c r="B49" s="135">
        <f>'KY_Cost Plant Acct-Gas-P20(REG)'!B49+'IN_Cost Plant Acct-Gas-P22(Reg)'!B12</f>
        <v>4781549.2</v>
      </c>
      <c r="C49" s="135"/>
      <c r="D49" s="135">
        <f>'KY_Cost Plant Acct-Gas-P20(REG)'!D49+'IN_Cost Plant Acct-Gas-P22(Reg)'!D12</f>
        <v>733304.61</v>
      </c>
      <c r="E49" s="135"/>
      <c r="F49" s="135">
        <f>'KY_Cost Plant Acct-Gas-P20(REG)'!F49+'IN_Cost Plant Acct-Gas-P22(Reg)'!F12</f>
        <v>-9637.7999999999993</v>
      </c>
      <c r="G49" s="135"/>
      <c r="H49" s="135">
        <f>'KY_Cost Plant Acct-Gas-P20(REG)'!H49+'IN_Cost Plant Acct-Gas-P22(Reg)'!H12</f>
        <v>0</v>
      </c>
      <c r="I49" s="135"/>
      <c r="J49" s="135">
        <f t="shared" si="4"/>
        <v>723666.80999999994</v>
      </c>
      <c r="K49" s="135"/>
      <c r="L49" s="135">
        <f t="shared" si="5"/>
        <v>5505216.0099999998</v>
      </c>
      <c r="M49" s="146"/>
    </row>
    <row r="50" spans="1:13" x14ac:dyDescent="0.2">
      <c r="A50" s="3" t="s">
        <v>417</v>
      </c>
      <c r="B50" s="135">
        <f>'KY_Cost Plant Acct-Gas-P20(REG)'!B50</f>
        <v>548241.14</v>
      </c>
      <c r="C50" s="135"/>
      <c r="D50" s="135">
        <f>'KY_Cost Plant Acct-Gas-P20(REG)'!D50</f>
        <v>0</v>
      </c>
      <c r="E50" s="135"/>
      <c r="F50" s="135">
        <f>'KY_Cost Plant Acct-Gas-P20(REG)'!F50</f>
        <v>0</v>
      </c>
      <c r="G50" s="135"/>
      <c r="H50" s="135">
        <f>'KY_Cost Plant Acct-Gas-P20(REG)'!H50</f>
        <v>0</v>
      </c>
      <c r="I50" s="135"/>
      <c r="J50" s="135">
        <f t="shared" si="4"/>
        <v>0</v>
      </c>
      <c r="K50" s="135"/>
      <c r="L50" s="135">
        <f t="shared" si="5"/>
        <v>548241.14</v>
      </c>
      <c r="M50" s="146"/>
    </row>
    <row r="51" spans="1:13" x14ac:dyDescent="0.2">
      <c r="A51" s="3" t="s">
        <v>418</v>
      </c>
      <c r="B51" s="135">
        <f>'KY_Cost Plant Acct-Gas-P20(REG)'!B51</f>
        <v>400511.4</v>
      </c>
      <c r="C51" s="135"/>
      <c r="D51" s="135">
        <f>'KY_Cost Plant Acct-Gas-P20(REG)'!D51</f>
        <v>0</v>
      </c>
      <c r="E51" s="135"/>
      <c r="F51" s="135">
        <f>'KY_Cost Plant Acct-Gas-P20(REG)'!F51</f>
        <v>0</v>
      </c>
      <c r="G51" s="135"/>
      <c r="H51" s="135">
        <f>'KY_Cost Plant Acct-Gas-P20(REG)'!H51</f>
        <v>0</v>
      </c>
      <c r="I51" s="135"/>
      <c r="J51" s="135">
        <f t="shared" si="4"/>
        <v>0</v>
      </c>
      <c r="K51" s="135"/>
      <c r="L51" s="135">
        <f t="shared" si="5"/>
        <v>400511.4</v>
      </c>
      <c r="M51" s="146"/>
    </row>
    <row r="52" spans="1:13" x14ac:dyDescent="0.2">
      <c r="A52" s="3" t="s">
        <v>419</v>
      </c>
      <c r="B52" s="135">
        <f>'KY_Cost Plant Acct-Gas-P20(REG)'!B52</f>
        <v>9648855</v>
      </c>
      <c r="C52" s="135"/>
      <c r="D52" s="135">
        <f>'KY_Cost Plant Acct-Gas-P20(REG)'!D52</f>
        <v>0</v>
      </c>
      <c r="E52" s="135"/>
      <c r="F52" s="135">
        <f>'KY_Cost Plant Acct-Gas-P20(REG)'!F52</f>
        <v>0</v>
      </c>
      <c r="G52" s="135"/>
      <c r="H52" s="135">
        <f>'KY_Cost Plant Acct-Gas-P20(REG)'!H52</f>
        <v>0</v>
      </c>
      <c r="I52" s="135"/>
      <c r="J52" s="135">
        <f t="shared" si="4"/>
        <v>0</v>
      </c>
      <c r="K52" s="135"/>
      <c r="L52" s="135">
        <f t="shared" si="5"/>
        <v>9648855</v>
      </c>
      <c r="M52" s="146"/>
    </row>
    <row r="53" spans="1:13" x14ac:dyDescent="0.2">
      <c r="A53" s="3" t="s">
        <v>413</v>
      </c>
      <c r="B53" s="135">
        <f>'KY_Cost Plant Acct-Gas-P20(REG)'!B53+'IN_Cost Plant Acct-Gas-P22(Reg)'!B13</f>
        <v>5995334.5199999996</v>
      </c>
      <c r="C53" s="135"/>
      <c r="D53" s="135">
        <f>'KY_Cost Plant Acct-Gas-P20(REG)'!D53+'IN_Cost Plant Acct-Gas-P22(Reg)'!D13</f>
        <v>0</v>
      </c>
      <c r="E53" s="135"/>
      <c r="F53" s="135">
        <f>'KY_Cost Plant Acct-Gas-P20(REG)'!F53+'IN_Cost Plant Acct-Gas-P22(Reg)'!F13</f>
        <v>0</v>
      </c>
      <c r="G53" s="135"/>
      <c r="H53" s="135">
        <f>'KY_Cost Plant Acct-Gas-P20(REG)'!H53+'IN_Cost Plant Acct-Gas-P22(Reg)'!H13</f>
        <v>0</v>
      </c>
      <c r="I53" s="135"/>
      <c r="J53" s="135">
        <f t="shared" si="4"/>
        <v>0</v>
      </c>
      <c r="K53" s="135"/>
      <c r="L53" s="135">
        <f t="shared" si="5"/>
        <v>5995334.5199999996</v>
      </c>
      <c r="M53" s="146"/>
    </row>
    <row r="54" spans="1:13" x14ac:dyDescent="0.2">
      <c r="A54" s="3" t="s">
        <v>414</v>
      </c>
      <c r="B54" s="135">
        <f>'KY_Cost Plant Acct-Gas-P20(REG)'!B54+'IN_Cost Plant Acct-Gas-P22(Reg)'!B14</f>
        <v>0</v>
      </c>
      <c r="C54" s="135"/>
      <c r="D54" s="135">
        <f>'KY_Cost Plant Acct-Gas-P20(REG)'!D54+'IN_Cost Plant Acct-Gas-P22(Reg)'!D14</f>
        <v>0</v>
      </c>
      <c r="E54" s="135"/>
      <c r="F54" s="135">
        <f>'KY_Cost Plant Acct-Gas-P20(REG)'!F54+'IN_Cost Plant Acct-Gas-P22(Reg)'!F14</f>
        <v>0</v>
      </c>
      <c r="G54" s="135"/>
      <c r="H54" s="135">
        <f>'KY_Cost Plant Acct-Gas-P20(REG)'!H54+'IN_Cost Plant Acct-Gas-P22(Reg)'!H14</f>
        <v>0</v>
      </c>
      <c r="I54" s="135"/>
      <c r="J54" s="135">
        <f t="shared" si="4"/>
        <v>0</v>
      </c>
      <c r="K54" s="135"/>
      <c r="L54" s="135">
        <f t="shared" si="5"/>
        <v>0</v>
      </c>
      <c r="M54" s="146"/>
    </row>
    <row r="55" spans="1:13" x14ac:dyDescent="0.2">
      <c r="A55" s="3" t="s">
        <v>415</v>
      </c>
      <c r="B55" s="135">
        <f>'KY_Cost Plant Acct-Gas-P20(REG)'!B55+'IN_Cost Plant Acct-Gas-P22(Reg)'!B15</f>
        <v>13161625.379999999</v>
      </c>
      <c r="C55" s="135"/>
      <c r="D55" s="135">
        <f>'KY_Cost Plant Acct-Gas-P20(REG)'!D55+'IN_Cost Plant Acct-Gas-P22(Reg)'!D15</f>
        <v>175822.45</v>
      </c>
      <c r="E55" s="135"/>
      <c r="F55" s="135">
        <f>'KY_Cost Plant Acct-Gas-P20(REG)'!F55+'IN_Cost Plant Acct-Gas-P22(Reg)'!F15</f>
        <v>-26431.73</v>
      </c>
      <c r="G55" s="135"/>
      <c r="H55" s="135">
        <f>'KY_Cost Plant Acct-Gas-P20(REG)'!H55+'IN_Cost Plant Acct-Gas-P22(Reg)'!H15</f>
        <v>0</v>
      </c>
      <c r="I55" s="135"/>
      <c r="J55" s="135">
        <f t="shared" si="4"/>
        <v>149390.72</v>
      </c>
      <c r="K55" s="135"/>
      <c r="L55" s="135">
        <f t="shared" si="5"/>
        <v>13311016.1</v>
      </c>
      <c r="M55" s="146"/>
    </row>
    <row r="56" spans="1:13" x14ac:dyDescent="0.2">
      <c r="A56" s="3" t="s">
        <v>420</v>
      </c>
      <c r="B56" s="135">
        <f>'KY_Cost Plant Acct-Gas-P20(REG)'!B56+'IN_Cost Plant Acct-Gas-P22(Reg)'!B16</f>
        <v>20434097.32</v>
      </c>
      <c r="C56" s="135"/>
      <c r="D56" s="135">
        <f>'KY_Cost Plant Acct-Gas-P20(REG)'!D56+'IN_Cost Plant Acct-Gas-P22(Reg)'!D16</f>
        <v>805195.11</v>
      </c>
      <c r="E56" s="135"/>
      <c r="F56" s="135">
        <f>'KY_Cost Plant Acct-Gas-P20(REG)'!F56+'IN_Cost Plant Acct-Gas-P22(Reg)'!F16</f>
        <v>-6179.0599999999995</v>
      </c>
      <c r="G56" s="135"/>
      <c r="H56" s="135">
        <f>'KY_Cost Plant Acct-Gas-P20(REG)'!H56+'IN_Cost Plant Acct-Gas-P22(Reg)'!H16</f>
        <v>0</v>
      </c>
      <c r="I56" s="135"/>
      <c r="J56" s="135">
        <f t="shared" si="4"/>
        <v>799016.04999999993</v>
      </c>
      <c r="K56" s="135"/>
      <c r="L56" s="135">
        <f t="shared" si="5"/>
        <v>21233113.370000001</v>
      </c>
      <c r="M56" s="146"/>
    </row>
    <row r="57" spans="1:13" x14ac:dyDescent="0.2">
      <c r="A57" s="3" t="s">
        <v>421</v>
      </c>
      <c r="B57" s="135">
        <f>'KY_Cost Plant Acct-Gas-P20(REG)'!B57+'IN_Cost Plant Acct-Gas-P22(Reg)'!B17</f>
        <v>45337658.270000003</v>
      </c>
      <c r="C57" s="135"/>
      <c r="D57" s="135">
        <f>'KY_Cost Plant Acct-Gas-P20(REG)'!D57+'IN_Cost Plant Acct-Gas-P22(Reg)'!D17</f>
        <v>3050683.53</v>
      </c>
      <c r="E57" s="135"/>
      <c r="F57" s="135">
        <f>'KY_Cost Plant Acct-Gas-P20(REG)'!F57+'IN_Cost Plant Acct-Gas-P22(Reg)'!F17</f>
        <v>-364291.37</v>
      </c>
      <c r="G57" s="135"/>
      <c r="H57" s="135">
        <f>'KY_Cost Plant Acct-Gas-P20(REG)'!H57+'IN_Cost Plant Acct-Gas-P22(Reg)'!H17</f>
        <v>0</v>
      </c>
      <c r="I57" s="135"/>
      <c r="J57" s="135">
        <f t="shared" si="4"/>
        <v>2686392.1599999997</v>
      </c>
      <c r="K57" s="135"/>
      <c r="L57" s="135">
        <f t="shared" si="5"/>
        <v>48024050.43</v>
      </c>
      <c r="M57" s="146"/>
    </row>
    <row r="58" spans="1:13" x14ac:dyDescent="0.2">
      <c r="A58" s="3" t="s">
        <v>422</v>
      </c>
      <c r="B58" s="135">
        <f>'KY_Cost Plant Acct-Gas-P20(REG)'!B58</f>
        <v>749435.65999999992</v>
      </c>
      <c r="C58" s="135"/>
      <c r="D58" s="135">
        <f>'KY_Cost Plant Acct-Gas-P20(REG)'!D58</f>
        <v>248499.77</v>
      </c>
      <c r="E58" s="135"/>
      <c r="F58" s="135">
        <f>'KY_Cost Plant Acct-Gas-P20(REG)'!F58</f>
        <v>-2288.25</v>
      </c>
      <c r="G58" s="135"/>
      <c r="H58" s="135">
        <f>'KY_Cost Plant Acct-Gas-P20(REG)'!H58</f>
        <v>0</v>
      </c>
      <c r="I58" s="135"/>
      <c r="J58" s="135">
        <f t="shared" si="4"/>
        <v>246211.52</v>
      </c>
      <c r="K58" s="135"/>
      <c r="L58" s="135">
        <f t="shared" si="5"/>
        <v>995647.17999999993</v>
      </c>
      <c r="M58" s="146"/>
    </row>
    <row r="59" spans="1:13" x14ac:dyDescent="0.2">
      <c r="A59" s="3" t="s">
        <v>423</v>
      </c>
      <c r="B59" s="135">
        <f>'KY_Cost Plant Acct-Gas-P20(REG)'!B59</f>
        <v>15592522.890000001</v>
      </c>
      <c r="C59" s="135"/>
      <c r="D59" s="135">
        <f>'KY_Cost Plant Acct-Gas-P20(REG)'!D59</f>
        <v>4843509.88</v>
      </c>
      <c r="E59" s="135"/>
      <c r="F59" s="135">
        <f>'KY_Cost Plant Acct-Gas-P20(REG)'!F59</f>
        <v>-34323.68</v>
      </c>
      <c r="G59" s="135"/>
      <c r="H59" s="135">
        <f>'KY_Cost Plant Acct-Gas-P20(REG)'!H59</f>
        <v>0</v>
      </c>
      <c r="I59" s="135"/>
      <c r="J59" s="135">
        <f t="shared" si="4"/>
        <v>4809186.2</v>
      </c>
      <c r="K59" s="135"/>
      <c r="L59" s="135">
        <f t="shared" si="5"/>
        <v>20401709.09</v>
      </c>
      <c r="M59" s="146"/>
    </row>
    <row r="60" spans="1:13" x14ac:dyDescent="0.2">
      <c r="A60" s="3" t="s">
        <v>424</v>
      </c>
      <c r="B60" s="135">
        <f>'KY_Cost Plant Acct-Gas-P20(REG)'!B60+'IN_Cost Plant Acct-Gas-P22(Reg)'!B18</f>
        <v>3145015.27</v>
      </c>
      <c r="C60" s="135"/>
      <c r="D60" s="135">
        <f>'KY_Cost Plant Acct-Gas-P20(REG)'!D60+'IN_Cost Plant Acct-Gas-P22(Reg)'!D18</f>
        <v>238060.85000000003</v>
      </c>
      <c r="E60" s="135"/>
      <c r="F60" s="135">
        <f>'KY_Cost Plant Acct-Gas-P20(REG)'!F60+'IN_Cost Plant Acct-Gas-P22(Reg)'!F18</f>
        <v>-4875.8100000000004</v>
      </c>
      <c r="G60" s="135"/>
      <c r="H60" s="135">
        <f>'KY_Cost Plant Acct-Gas-P20(REG)'!H60+'IN_Cost Plant Acct-Gas-P22(Reg)'!H18</f>
        <v>2817.36</v>
      </c>
      <c r="I60" s="135"/>
      <c r="J60" s="135">
        <f t="shared" si="4"/>
        <v>236002.40000000002</v>
      </c>
      <c r="K60" s="135"/>
      <c r="L60" s="135">
        <f t="shared" si="5"/>
        <v>3381017.67</v>
      </c>
      <c r="M60" s="146"/>
    </row>
    <row r="61" spans="1:13" x14ac:dyDescent="0.2">
      <c r="A61" s="3" t="s">
        <v>425</v>
      </c>
      <c r="B61" s="135">
        <f>'KY_Cost Plant Acct-Gas-P20(REG)'!B61</f>
        <v>277032.93</v>
      </c>
      <c r="C61" s="135"/>
      <c r="D61" s="135">
        <f>'KY_Cost Plant Acct-Gas-P20(REG)'!D61</f>
        <v>0</v>
      </c>
      <c r="E61" s="135"/>
      <c r="F61" s="135">
        <f>'KY_Cost Plant Acct-Gas-P20(REG)'!F61</f>
        <v>-4450.28</v>
      </c>
      <c r="G61" s="135"/>
      <c r="H61" s="135">
        <f>'KY_Cost Plant Acct-Gas-P20(REG)'!H61</f>
        <v>-60904</v>
      </c>
      <c r="I61" s="135"/>
      <c r="J61" s="135">
        <f t="shared" si="4"/>
        <v>-65354.28</v>
      </c>
      <c r="K61" s="135"/>
      <c r="L61" s="135">
        <f t="shared" si="5"/>
        <v>211678.65</v>
      </c>
      <c r="M61" s="146"/>
    </row>
    <row r="62" spans="1:13" x14ac:dyDescent="0.2">
      <c r="A62" s="3" t="s">
        <v>426</v>
      </c>
      <c r="B62" s="149">
        <f>'KY_Cost Plant Acct-Gas-P20(REG)'!B62</f>
        <v>4212982.8600000003</v>
      </c>
      <c r="C62" s="135"/>
      <c r="D62" s="149">
        <f>'KY_Cost Plant Acct-Gas-P20(REG)'!D62</f>
        <v>0</v>
      </c>
      <c r="E62" s="135"/>
      <c r="F62" s="149">
        <f>'KY_Cost Plant Acct-Gas-P20(REG)'!F62</f>
        <v>-52867.67</v>
      </c>
      <c r="G62" s="135"/>
      <c r="H62" s="149">
        <f>'KY_Cost Plant Acct-Gas-P20(REG)'!H62</f>
        <v>808505.9</v>
      </c>
      <c r="I62" s="135"/>
      <c r="J62" s="149">
        <f t="shared" si="4"/>
        <v>755638.23</v>
      </c>
      <c r="K62" s="135"/>
      <c r="L62" s="149">
        <f t="shared" si="5"/>
        <v>4968621.09</v>
      </c>
      <c r="M62" s="146"/>
    </row>
    <row r="63" spans="1:13" x14ac:dyDescent="0.2">
      <c r="B63" s="135">
        <f>SUM(B45:B62)</f>
        <v>134080726.67</v>
      </c>
      <c r="C63" s="135"/>
      <c r="D63" s="135">
        <f>SUM(D45:D62)</f>
        <v>10195810.92</v>
      </c>
      <c r="E63" s="135"/>
      <c r="F63" s="135">
        <f>SUM(F45:F62)</f>
        <v>-508478.85</v>
      </c>
      <c r="G63" s="135"/>
      <c r="H63" s="135">
        <f>SUM(H45:H62)</f>
        <v>746762.26</v>
      </c>
      <c r="I63" s="135"/>
      <c r="J63" s="135">
        <f>SUM(J45:J62)</f>
        <v>10434094.330000002</v>
      </c>
      <c r="K63" s="135"/>
      <c r="L63" s="135">
        <f>SUM(L45:L62)</f>
        <v>144514821</v>
      </c>
      <c r="M63" s="146"/>
    </row>
    <row r="64" spans="1:13" x14ac:dyDescent="0.2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45"/>
    </row>
    <row r="65" spans="1:13" x14ac:dyDescent="0.2">
      <c r="A65" s="10" t="s">
        <v>31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45"/>
    </row>
    <row r="66" spans="1:13" x14ac:dyDescent="0.2">
      <c r="A66" s="3" t="s">
        <v>429</v>
      </c>
      <c r="B66" s="138">
        <f>'KY_Cost Plant Acct-Gas-P20(REG)'!B66</f>
        <v>220659.05</v>
      </c>
      <c r="C66" s="138"/>
      <c r="D66" s="138">
        <f>'KY_Cost Plant Acct-Gas-P20(REG)'!D66</f>
        <v>0</v>
      </c>
      <c r="E66" s="138"/>
      <c r="F66" s="138">
        <f>'KY_Cost Plant Acct-Gas-P20(REG)'!F66</f>
        <v>0</v>
      </c>
      <c r="G66" s="138"/>
      <c r="H66" s="138">
        <f>'KY_Cost Plant Acct-Gas-P20(REG)'!H66</f>
        <v>0</v>
      </c>
      <c r="I66" s="138"/>
      <c r="J66" s="138">
        <f>H66+F66+D66</f>
        <v>0</v>
      </c>
      <c r="K66" s="138"/>
      <c r="L66" s="138">
        <f>J66+B66</f>
        <v>220659.05</v>
      </c>
      <c r="M66" s="145"/>
    </row>
    <row r="67" spans="1:13" x14ac:dyDescent="0.2">
      <c r="A67" s="3" t="s">
        <v>430</v>
      </c>
      <c r="B67" s="138">
        <f>'KY_Cost Plant Acct-Gas-P20(REG)'!B67</f>
        <v>46204307.38000001</v>
      </c>
      <c r="C67" s="138"/>
      <c r="D67" s="138">
        <f>'KY_Cost Plant Acct-Gas-P20(REG)'!D67</f>
        <v>695631.62</v>
      </c>
      <c r="E67" s="138"/>
      <c r="F67" s="138">
        <f>'KY_Cost Plant Acct-Gas-P20(REG)'!F67</f>
        <v>-88991</v>
      </c>
      <c r="G67" s="138"/>
      <c r="H67" s="138">
        <f>'KY_Cost Plant Acct-Gas-P20(REG)'!H67</f>
        <v>0</v>
      </c>
      <c r="I67" s="138"/>
      <c r="J67" s="138">
        <f>H67+F67+D67</f>
        <v>606640.62</v>
      </c>
      <c r="K67" s="138"/>
      <c r="L67" s="138">
        <f>J67+B67</f>
        <v>46810948.000000007</v>
      </c>
      <c r="M67" s="145"/>
    </row>
    <row r="68" spans="1:13" x14ac:dyDescent="0.2">
      <c r="A68" s="22" t="s">
        <v>2775</v>
      </c>
      <c r="B68" s="135">
        <f>'KY_Cost Plant Acct-Gas-P20(REG)'!B68</f>
        <v>2332004.9099999997</v>
      </c>
      <c r="C68" s="135"/>
      <c r="D68" s="135">
        <f>'KY_Cost Plant Acct-Gas-P20(REG)'!D68</f>
        <v>0</v>
      </c>
      <c r="E68" s="135"/>
      <c r="F68" s="135">
        <f>'KY_Cost Plant Acct-Gas-P20(REG)'!F68</f>
        <v>-2851.93</v>
      </c>
      <c r="G68" s="135"/>
      <c r="H68" s="135">
        <f>'KY_Cost Plant Acct-Gas-P20(REG)'!H68</f>
        <v>-1269</v>
      </c>
      <c r="I68" s="135"/>
      <c r="J68" s="135">
        <f>H68+F68+D68</f>
        <v>-4120.93</v>
      </c>
      <c r="K68" s="135"/>
      <c r="L68" s="135">
        <f>J68+B68</f>
        <v>2327883.9799999995</v>
      </c>
      <c r="M68" s="145"/>
    </row>
    <row r="69" spans="1:13" x14ac:dyDescent="0.2">
      <c r="B69" s="148">
        <f>SUM(B66:B68)</f>
        <v>48756971.340000004</v>
      </c>
      <c r="C69" s="135"/>
      <c r="D69" s="148">
        <f>SUM(D66:D68)</f>
        <v>695631.62</v>
      </c>
      <c r="E69" s="135"/>
      <c r="F69" s="148">
        <f>SUM(F66:F68)</f>
        <v>-91842.93</v>
      </c>
      <c r="G69" s="135"/>
      <c r="H69" s="148">
        <f>SUM(H66:H68)</f>
        <v>-1269</v>
      </c>
      <c r="I69" s="135"/>
      <c r="J69" s="148">
        <f>SUM(J66:J68)</f>
        <v>602519.68999999994</v>
      </c>
      <c r="K69" s="135"/>
      <c r="L69" s="148">
        <f>SUM(L66:L68)</f>
        <v>49359491.030000001</v>
      </c>
      <c r="M69" s="146"/>
    </row>
    <row r="70" spans="1:13" x14ac:dyDescent="0.2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46"/>
    </row>
    <row r="71" spans="1:13" x14ac:dyDescent="0.2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45"/>
    </row>
    <row r="72" spans="1:13" x14ac:dyDescent="0.2">
      <c r="A72" s="10" t="s">
        <v>2779</v>
      </c>
      <c r="B72" s="164">
        <f>B69+B63+B42+B38+B27</f>
        <v>966619554.30999994</v>
      </c>
      <c r="C72" s="135"/>
      <c r="D72" s="164">
        <f>D69+D63+D42+D38+D27</f>
        <v>80636103.189999998</v>
      </c>
      <c r="E72" s="135"/>
      <c r="F72" s="164">
        <f>F69+F63+F42+F38+F27</f>
        <v>-10001316.450000001</v>
      </c>
      <c r="G72" s="135"/>
      <c r="H72" s="164">
        <f>H69+H63+H42+H38+H27</f>
        <v>2328350.6399999997</v>
      </c>
      <c r="I72" s="135"/>
      <c r="J72" s="164">
        <f>J69+J63+J42+J38+J27</f>
        <v>72963137.38000001</v>
      </c>
      <c r="K72" s="135"/>
      <c r="L72" s="164">
        <f>L69+L63+L42+L38+L27</f>
        <v>1039582691.6900001</v>
      </c>
      <c r="M72" s="145"/>
    </row>
    <row r="73" spans="1:13" x14ac:dyDescent="0.2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45"/>
    </row>
    <row r="74" spans="1:13" x14ac:dyDescent="0.2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45"/>
    </row>
    <row r="75" spans="1:13" x14ac:dyDescent="0.2">
      <c r="A75" s="10" t="s">
        <v>2639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45"/>
    </row>
    <row r="76" spans="1:13" x14ac:dyDescent="0.2">
      <c r="A76" s="10" t="s">
        <v>27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45"/>
    </row>
    <row r="77" spans="1:13" x14ac:dyDescent="0.2">
      <c r="A77" s="3" t="s">
        <v>376</v>
      </c>
      <c r="B77" s="138">
        <f>'KY_Cost Plant Acct-Gas-P20(REG)'!B77</f>
        <v>0</v>
      </c>
      <c r="C77" s="138"/>
      <c r="D77" s="138">
        <f>'KY_Cost Plant Acct-Gas-P20(REG)'!D77</f>
        <v>0</v>
      </c>
      <c r="E77" s="138"/>
      <c r="F77" s="138">
        <v>0</v>
      </c>
      <c r="G77" s="138"/>
      <c r="H77" s="138">
        <v>0</v>
      </c>
      <c r="I77" s="138"/>
      <c r="J77" s="138">
        <f t="shared" ref="J77:J86" si="6">H77+F77+D77</f>
        <v>0</v>
      </c>
      <c r="K77" s="138"/>
      <c r="L77" s="138">
        <f t="shared" ref="L77:L86" si="7">J77+B77</f>
        <v>0</v>
      </c>
      <c r="M77" s="145"/>
    </row>
    <row r="78" spans="1:13" x14ac:dyDescent="0.2">
      <c r="A78" s="3" t="s">
        <v>2780</v>
      </c>
      <c r="B78" s="138">
        <f>'KY_Cost Plant Acct-Gas-P20(REG)'!B78</f>
        <v>136973.37</v>
      </c>
      <c r="C78" s="138"/>
      <c r="D78" s="138">
        <f>'KY_Cost Plant Acct-Gas-P20(REG)'!D78</f>
        <v>-136973.37</v>
      </c>
      <c r="E78" s="138"/>
      <c r="F78" s="138">
        <v>0</v>
      </c>
      <c r="G78" s="138"/>
      <c r="H78" s="138">
        <v>0</v>
      </c>
      <c r="I78" s="138"/>
      <c r="J78" s="138">
        <f t="shared" si="6"/>
        <v>-136973.37</v>
      </c>
      <c r="K78" s="138"/>
      <c r="L78" s="138">
        <f t="shared" si="7"/>
        <v>0</v>
      </c>
      <c r="M78" s="145"/>
    </row>
    <row r="79" spans="1:13" x14ac:dyDescent="0.2">
      <c r="A79" s="3" t="s">
        <v>379</v>
      </c>
      <c r="B79" s="138">
        <f>'KY_Cost Plant Acct-Gas-P20(REG)'!B79</f>
        <v>3852439.2400000072</v>
      </c>
      <c r="C79" s="138"/>
      <c r="D79" s="138">
        <f>'KY_Cost Plant Acct-Gas-P20(REG)'!D79</f>
        <v>2255752.0099999998</v>
      </c>
      <c r="E79" s="138"/>
      <c r="F79" s="138">
        <f>'KY_Cost Plant Acct-Gas-P20(REG)'!F79</f>
        <v>0</v>
      </c>
      <c r="G79" s="138"/>
      <c r="H79" s="138">
        <f>'KY_Cost Plant Acct-Gas-P20(REG)'!H79</f>
        <v>0</v>
      </c>
      <c r="I79" s="138"/>
      <c r="J79" s="138">
        <f t="shared" si="6"/>
        <v>2255752.0099999998</v>
      </c>
      <c r="K79" s="138"/>
      <c r="L79" s="138">
        <f t="shared" si="7"/>
        <v>6108191.2500000075</v>
      </c>
      <c r="M79" s="145"/>
    </row>
    <row r="80" spans="1:13" x14ac:dyDescent="0.2">
      <c r="A80" s="22" t="s">
        <v>380</v>
      </c>
      <c r="B80" s="138">
        <f>'KY_Cost Plant Acct-Gas-P20(REG)'!B80</f>
        <v>5964301.3500000006</v>
      </c>
      <c r="C80" s="138"/>
      <c r="D80" s="138">
        <f>'KY_Cost Plant Acct-Gas-P20(REG)'!D80</f>
        <v>2254398.84</v>
      </c>
      <c r="E80" s="138"/>
      <c r="F80" s="138">
        <f>'KY_Cost Plant Acct-Gas-P20(REG)'!F80</f>
        <v>0</v>
      </c>
      <c r="G80" s="138"/>
      <c r="H80" s="138">
        <f>'KY_Cost Plant Acct-Gas-P20(REG)'!H80</f>
        <v>0</v>
      </c>
      <c r="I80" s="138"/>
      <c r="J80" s="138">
        <f>H80+F80+D80</f>
        <v>2254398.84</v>
      </c>
      <c r="K80" s="138"/>
      <c r="L80" s="138">
        <f>J80+B80</f>
        <v>8218700.1900000004</v>
      </c>
      <c r="M80" s="145"/>
    </row>
    <row r="81" spans="1:13" x14ac:dyDescent="0.2">
      <c r="A81" s="3" t="s">
        <v>381</v>
      </c>
      <c r="B81" s="138">
        <f>'KY_Cost Plant Acct-Gas-P20(REG)'!B81</f>
        <v>1362003.33</v>
      </c>
      <c r="C81" s="138"/>
      <c r="D81" s="138">
        <f>'KY_Cost Plant Acct-Gas-P20(REG)'!D81</f>
        <v>1773388.53</v>
      </c>
      <c r="E81" s="138"/>
      <c r="F81" s="138">
        <v>0</v>
      </c>
      <c r="G81" s="138"/>
      <c r="H81" s="138">
        <v>0</v>
      </c>
      <c r="I81" s="138"/>
      <c r="J81" s="138">
        <f t="shared" si="6"/>
        <v>1773388.53</v>
      </c>
      <c r="K81" s="138"/>
      <c r="L81" s="138">
        <f t="shared" si="7"/>
        <v>3135391.8600000003</v>
      </c>
      <c r="M81" s="145"/>
    </row>
    <row r="82" spans="1:13" x14ac:dyDescent="0.2">
      <c r="A82" s="3" t="s">
        <v>382</v>
      </c>
      <c r="B82" s="138">
        <f>'KY_Cost Plant Acct-Gas-P20(REG)'!B82</f>
        <v>257341.07</v>
      </c>
      <c r="C82" s="138"/>
      <c r="D82" s="138">
        <f>'KY_Cost Plant Acct-Gas-P20(REG)'!D82</f>
        <v>137056.15</v>
      </c>
      <c r="E82" s="138"/>
      <c r="F82" s="138">
        <v>0</v>
      </c>
      <c r="G82" s="138"/>
      <c r="H82" s="138">
        <v>0</v>
      </c>
      <c r="I82" s="138"/>
      <c r="J82" s="138">
        <f t="shared" si="6"/>
        <v>137056.15</v>
      </c>
      <c r="K82" s="138"/>
      <c r="L82" s="138">
        <f t="shared" si="7"/>
        <v>394397.22</v>
      </c>
      <c r="M82" s="145"/>
    </row>
    <row r="83" spans="1:13" x14ac:dyDescent="0.2">
      <c r="A83" s="3" t="s">
        <v>383</v>
      </c>
      <c r="B83" s="138">
        <f>'KY_Cost Plant Acct-Gas-P20(REG)'!B83</f>
        <v>1681147.8999999997</v>
      </c>
      <c r="C83" s="135"/>
      <c r="D83" s="138">
        <f>'KY_Cost Plant Acct-Gas-P20(REG)'!D83</f>
        <v>1921238.76</v>
      </c>
      <c r="E83" s="135"/>
      <c r="F83" s="135">
        <v>0</v>
      </c>
      <c r="G83" s="135"/>
      <c r="H83" s="138">
        <f>'KY_Cost Plant Acct-Gas-P20(REG)'!H83</f>
        <v>0</v>
      </c>
      <c r="I83" s="135"/>
      <c r="J83" s="135">
        <f t="shared" si="6"/>
        <v>1921238.76</v>
      </c>
      <c r="K83" s="135"/>
      <c r="L83" s="135">
        <f t="shared" si="7"/>
        <v>3602386.6599999997</v>
      </c>
      <c r="M83" s="145"/>
    </row>
    <row r="84" spans="1:13" x14ac:dyDescent="0.2">
      <c r="A84" s="22" t="s">
        <v>384</v>
      </c>
      <c r="B84" s="138">
        <f>'KY_Cost Plant Acct-Gas-P20(REG)'!B84</f>
        <v>32173848.210000005</v>
      </c>
      <c r="C84" s="135"/>
      <c r="D84" s="138">
        <f>'KY_Cost Plant Acct-Gas-P20(REG)'!D84</f>
        <v>-4403627.9000000004</v>
      </c>
      <c r="E84" s="135"/>
      <c r="F84" s="135">
        <v>0</v>
      </c>
      <c r="G84" s="135"/>
      <c r="H84" s="138">
        <f>'KY_Cost Plant Acct-Gas-P20(REG)'!H84</f>
        <v>0</v>
      </c>
      <c r="I84" s="135"/>
      <c r="J84" s="135">
        <f>H84+F84+D84</f>
        <v>-4403627.9000000004</v>
      </c>
      <c r="K84" s="135"/>
      <c r="L84" s="135">
        <f>J84+B84</f>
        <v>27770220.310000002</v>
      </c>
      <c r="M84" s="145"/>
    </row>
    <row r="85" spans="1:13" x14ac:dyDescent="0.2">
      <c r="A85" s="3" t="s">
        <v>385</v>
      </c>
      <c r="B85" s="138">
        <f>'KY_Cost Plant Acct-Gas-P20(REG)'!B85</f>
        <v>57371.14</v>
      </c>
      <c r="C85" s="135"/>
      <c r="D85" s="138">
        <f>'KY_Cost Plant Acct-Gas-P20(REG)'!D85</f>
        <v>64024.639999999999</v>
      </c>
      <c r="E85" s="135"/>
      <c r="F85" s="135">
        <v>0</v>
      </c>
      <c r="G85" s="135"/>
      <c r="H85" s="135">
        <v>0</v>
      </c>
      <c r="I85" s="135"/>
      <c r="J85" s="135">
        <f t="shared" si="6"/>
        <v>64024.639999999999</v>
      </c>
      <c r="K85" s="135"/>
      <c r="L85" s="135">
        <f t="shared" si="7"/>
        <v>121395.78</v>
      </c>
      <c r="M85" s="145"/>
    </row>
    <row r="86" spans="1:13" x14ac:dyDescent="0.2">
      <c r="A86" s="3" t="s">
        <v>386</v>
      </c>
      <c r="B86" s="138">
        <f>'KY_Cost Plant Acct-Gas-P20(REG)'!B86</f>
        <v>0</v>
      </c>
      <c r="C86" s="135"/>
      <c r="D86" s="138">
        <f>'KY_Cost Plant Acct-Gas-P20(REG)'!D86</f>
        <v>16000</v>
      </c>
      <c r="E86" s="135"/>
      <c r="F86" s="135">
        <v>0</v>
      </c>
      <c r="G86" s="135"/>
      <c r="H86" s="135">
        <v>0</v>
      </c>
      <c r="I86" s="135"/>
      <c r="J86" s="135">
        <f t="shared" si="6"/>
        <v>16000</v>
      </c>
      <c r="K86" s="135"/>
      <c r="L86" s="135">
        <f t="shared" si="7"/>
        <v>16000</v>
      </c>
      <c r="M86" s="145"/>
    </row>
    <row r="87" spans="1:13" x14ac:dyDescent="0.2">
      <c r="A87" s="3" t="s">
        <v>387</v>
      </c>
      <c r="B87" s="135">
        <f>'KY_Cost Plant Acct-Gas-P20(REG)'!B87</f>
        <v>0</v>
      </c>
      <c r="C87" s="135"/>
      <c r="D87" s="135">
        <f>'KY_Cost Plant Acct-Gas-P20(REG)'!D87</f>
        <v>0</v>
      </c>
      <c r="E87" s="135"/>
      <c r="F87" s="135">
        <v>0</v>
      </c>
      <c r="G87" s="135"/>
      <c r="H87" s="135">
        <v>0</v>
      </c>
      <c r="I87" s="135"/>
      <c r="J87" s="135">
        <f>H87+F87+D87</f>
        <v>0</v>
      </c>
      <c r="K87" s="135"/>
      <c r="L87" s="135">
        <f>J87+B87</f>
        <v>0</v>
      </c>
      <c r="M87" s="145"/>
    </row>
    <row r="88" spans="1:13" x14ac:dyDescent="0.2">
      <c r="A88" s="3" t="s">
        <v>388</v>
      </c>
      <c r="B88" s="136">
        <f>'KY_Cost Plant Acct-Gas-P20(REG)'!B88</f>
        <v>0</v>
      </c>
      <c r="D88" s="136">
        <f>'KY_Cost Plant Acct-Gas-P20(REG)'!D88</f>
        <v>0</v>
      </c>
      <c r="F88" s="136">
        <f>'KY_Cost Plant Acct-Gas-P20(REG)'!F88</f>
        <v>0</v>
      </c>
      <c r="H88" s="136">
        <f>'KY_Cost Plant Acct-Gas-P20(REG)'!H88</f>
        <v>0</v>
      </c>
      <c r="J88" s="136">
        <f>'KY_Cost Plant Acct-Gas-P20(REG)'!J88</f>
        <v>0</v>
      </c>
      <c r="L88" s="136">
        <f>'KY_Cost Plant Acct-Gas-P20(REG)'!L88</f>
        <v>0</v>
      </c>
    </row>
    <row r="89" spans="1:13" x14ac:dyDescent="0.2">
      <c r="B89" s="135">
        <f>SUM(B77:B88)</f>
        <v>45485425.610000014</v>
      </c>
      <c r="C89" s="135"/>
      <c r="D89" s="135">
        <f>SUM(D77:D88)</f>
        <v>3881257.6599999997</v>
      </c>
      <c r="E89" s="135"/>
      <c r="F89" s="135">
        <f>SUM(F77:F88)</f>
        <v>0</v>
      </c>
      <c r="G89" s="135"/>
      <c r="H89" s="135">
        <f>SUM(H77:H88)</f>
        <v>0</v>
      </c>
      <c r="I89" s="135"/>
      <c r="J89" s="135">
        <f>SUM(J77:J88)</f>
        <v>3881257.6599999997</v>
      </c>
      <c r="K89" s="135"/>
      <c r="L89" s="135">
        <f>SUM(L77:L88)</f>
        <v>49366683.270000011</v>
      </c>
      <c r="M89" s="145"/>
    </row>
    <row r="90" spans="1:13" x14ac:dyDescent="0.2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45"/>
    </row>
    <row r="91" spans="1:13" x14ac:dyDescent="0.2">
      <c r="A91" s="10" t="s">
        <v>28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45"/>
    </row>
    <row r="92" spans="1:13" x14ac:dyDescent="0.2">
      <c r="A92" s="3" t="s">
        <v>2773</v>
      </c>
      <c r="B92" s="138">
        <f>'KY_Cost Plant Acct-Gas-P20(REG)'!B92</f>
        <v>0</v>
      </c>
      <c r="C92" s="138"/>
      <c r="D92" s="138">
        <f>'KY_Cost Plant Acct-Gas-P20(REG)'!D92</f>
        <v>0</v>
      </c>
      <c r="E92" s="138"/>
      <c r="F92" s="138">
        <v>0</v>
      </c>
      <c r="G92" s="138"/>
      <c r="H92" s="138">
        <v>0</v>
      </c>
      <c r="I92" s="138"/>
      <c r="J92" s="138">
        <f t="shared" ref="J92:J98" si="8">H92+F92+D92</f>
        <v>0</v>
      </c>
      <c r="K92" s="138"/>
      <c r="L92" s="138">
        <f t="shared" ref="L92:L98" si="9">J92+B92</f>
        <v>0</v>
      </c>
      <c r="M92" s="145"/>
    </row>
    <row r="93" spans="1:13" x14ac:dyDescent="0.2">
      <c r="A93" s="3" t="s">
        <v>395</v>
      </c>
      <c r="B93" s="138">
        <f>'KY_Cost Plant Acct-Gas-P20(REG)'!B93</f>
        <v>0</v>
      </c>
      <c r="C93" s="138"/>
      <c r="D93" s="138">
        <f>'KY_Cost Plant Acct-Gas-P20(REG)'!D93</f>
        <v>242398.53</v>
      </c>
      <c r="E93" s="138"/>
      <c r="F93" s="138">
        <v>0</v>
      </c>
      <c r="G93" s="138"/>
      <c r="H93" s="138">
        <v>0</v>
      </c>
      <c r="I93" s="138"/>
      <c r="J93" s="138">
        <f t="shared" si="8"/>
        <v>242398.53</v>
      </c>
      <c r="K93" s="138"/>
      <c r="L93" s="138">
        <f t="shared" si="9"/>
        <v>242398.53</v>
      </c>
      <c r="M93" s="145"/>
    </row>
    <row r="94" spans="1:13" x14ac:dyDescent="0.2">
      <c r="A94" s="3" t="s">
        <v>397</v>
      </c>
      <c r="B94" s="138">
        <f>'KY_Cost Plant Acct-Gas-P20(REG)'!B94</f>
        <v>167095.97</v>
      </c>
      <c r="C94" s="138"/>
      <c r="D94" s="138">
        <f>'KY_Cost Plant Acct-Gas-P20(REG)'!D94</f>
        <v>92201.59</v>
      </c>
      <c r="E94" s="138"/>
      <c r="F94" s="138">
        <v>0</v>
      </c>
      <c r="G94" s="138"/>
      <c r="H94" s="138">
        <v>0</v>
      </c>
      <c r="I94" s="138"/>
      <c r="J94" s="138">
        <f t="shared" si="8"/>
        <v>92201.59</v>
      </c>
      <c r="K94" s="138"/>
      <c r="L94" s="138">
        <f t="shared" si="9"/>
        <v>259297.56</v>
      </c>
      <c r="M94" s="145"/>
    </row>
    <row r="95" spans="1:13" x14ac:dyDescent="0.2">
      <c r="A95" s="3" t="s">
        <v>398</v>
      </c>
      <c r="B95" s="138">
        <f>'KY_Cost Plant Acct-Gas-P20(REG)'!B95</f>
        <v>0</v>
      </c>
      <c r="C95" s="138"/>
      <c r="D95" s="138">
        <f>'KY_Cost Plant Acct-Gas-P20(REG)'!D95</f>
        <v>0</v>
      </c>
      <c r="E95" s="138"/>
      <c r="F95" s="138">
        <v>0</v>
      </c>
      <c r="G95" s="138"/>
      <c r="H95" s="138">
        <v>0</v>
      </c>
      <c r="I95" s="138"/>
      <c r="J95" s="138">
        <f t="shared" si="8"/>
        <v>0</v>
      </c>
      <c r="K95" s="138"/>
      <c r="L95" s="138">
        <f t="shared" si="9"/>
        <v>0</v>
      </c>
      <c r="M95" s="145"/>
    </row>
    <row r="96" spans="1:13" x14ac:dyDescent="0.2">
      <c r="A96" s="3" t="s">
        <v>399</v>
      </c>
      <c r="B96" s="138">
        <f>'KY_Cost Plant Acct-Gas-P20(REG)'!B96</f>
        <v>0</v>
      </c>
      <c r="C96" s="135"/>
      <c r="D96" s="138">
        <f>'KY_Cost Plant Acct-Gas-P20(REG)'!D96</f>
        <v>0</v>
      </c>
      <c r="E96" s="135"/>
      <c r="F96" s="135">
        <v>0</v>
      </c>
      <c r="G96" s="135"/>
      <c r="H96" s="135">
        <v>0</v>
      </c>
      <c r="I96" s="135"/>
      <c r="J96" s="135">
        <f t="shared" si="8"/>
        <v>0</v>
      </c>
      <c r="K96" s="135"/>
      <c r="L96" s="135">
        <f t="shared" si="9"/>
        <v>0</v>
      </c>
      <c r="M96" s="146"/>
    </row>
    <row r="97" spans="1:13" x14ac:dyDescent="0.2">
      <c r="A97" s="3" t="s">
        <v>400</v>
      </c>
      <c r="B97" s="135">
        <f>'KY_Cost Plant Acct-Gas-P20(REG)'!B97</f>
        <v>0</v>
      </c>
      <c r="C97" s="135"/>
      <c r="D97" s="135">
        <f>'KY_Cost Plant Acct-Gas-P20(REG)'!D97</f>
        <v>0</v>
      </c>
      <c r="E97" s="135"/>
      <c r="F97" s="135">
        <v>0</v>
      </c>
      <c r="G97" s="135"/>
      <c r="H97" s="135">
        <v>0</v>
      </c>
      <c r="I97" s="135"/>
      <c r="J97" s="135">
        <f t="shared" si="8"/>
        <v>0</v>
      </c>
      <c r="K97" s="135"/>
      <c r="L97" s="135">
        <f t="shared" si="9"/>
        <v>0</v>
      </c>
      <c r="M97" s="146"/>
    </row>
    <row r="98" spans="1:13" x14ac:dyDescent="0.2">
      <c r="A98" s="22" t="s">
        <v>402</v>
      </c>
      <c r="B98" s="135">
        <f>'KY_Cost Plant Acct-Gas-P20(REG)'!B98</f>
        <v>0</v>
      </c>
      <c r="C98" s="135"/>
      <c r="D98" s="135">
        <f>'KY_Cost Plant Acct-Gas-P20(REG)'!D98</f>
        <v>0</v>
      </c>
      <c r="E98" s="135"/>
      <c r="F98" s="135">
        <v>0</v>
      </c>
      <c r="G98" s="135"/>
      <c r="H98" s="135">
        <v>0</v>
      </c>
      <c r="I98" s="135"/>
      <c r="J98" s="135">
        <f t="shared" si="8"/>
        <v>0</v>
      </c>
      <c r="K98" s="135"/>
      <c r="L98" s="135">
        <f t="shared" si="9"/>
        <v>0</v>
      </c>
      <c r="M98" s="146"/>
    </row>
    <row r="99" spans="1:13" x14ac:dyDescent="0.2">
      <c r="B99" s="148">
        <f>SUM(B92:B98)</f>
        <v>167095.97</v>
      </c>
      <c r="C99" s="135"/>
      <c r="D99" s="148">
        <f>SUM(D92:D98)</f>
        <v>334600.12</v>
      </c>
      <c r="E99" s="135"/>
      <c r="F99" s="148">
        <f>SUM(F92:F98)</f>
        <v>0</v>
      </c>
      <c r="G99" s="135"/>
      <c r="H99" s="148">
        <f>SUM(H92:H98)</f>
        <v>0</v>
      </c>
      <c r="I99" s="135"/>
      <c r="J99" s="148">
        <f>SUM(J92:J98)</f>
        <v>334600.12</v>
      </c>
      <c r="K99" s="135"/>
      <c r="L99" s="148">
        <f>SUM(L92:L98)</f>
        <v>501696.08999999997</v>
      </c>
      <c r="M99" s="146"/>
    </row>
    <row r="100" spans="1:13" x14ac:dyDescent="0.2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46"/>
    </row>
    <row r="101" spans="1:13" x14ac:dyDescent="0.2">
      <c r="A101" s="10" t="s">
        <v>30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45"/>
    </row>
    <row r="102" spans="1:13" x14ac:dyDescent="0.2">
      <c r="A102" s="3" t="s">
        <v>409</v>
      </c>
      <c r="B102" s="135">
        <f>'KY_Cost Plant Acct-Gas-P20(REG)'!B102</f>
        <v>143153.95000000001</v>
      </c>
      <c r="C102" s="135"/>
      <c r="D102" s="135">
        <f>'KY_Cost Plant Acct-Gas-P20(REG)'!D102</f>
        <v>188336.23</v>
      </c>
      <c r="E102" s="135"/>
      <c r="F102" s="135">
        <v>0</v>
      </c>
      <c r="G102" s="135"/>
      <c r="H102" s="135">
        <v>0</v>
      </c>
      <c r="I102" s="135"/>
      <c r="J102" s="135">
        <f t="shared" ref="J102:J111" si="10">H102+F102+D102</f>
        <v>188336.23</v>
      </c>
      <c r="K102" s="135"/>
      <c r="L102" s="135">
        <f t="shared" ref="L102:L111" si="11">J102+B102</f>
        <v>331490.18000000005</v>
      </c>
      <c r="M102" s="145"/>
    </row>
    <row r="103" spans="1:13" x14ac:dyDescent="0.2">
      <c r="A103" s="3" t="s">
        <v>2781</v>
      </c>
      <c r="B103" s="135">
        <f>'KY_Cost Plant Acct-Gas-P20(REG)'!B103</f>
        <v>0</v>
      </c>
      <c r="C103" s="135"/>
      <c r="D103" s="135">
        <f>'KY_Cost Plant Acct-Gas-P20(REG)'!D103</f>
        <v>0</v>
      </c>
      <c r="E103" s="135"/>
      <c r="F103" s="135">
        <v>0</v>
      </c>
      <c r="G103" s="135"/>
      <c r="H103" s="135">
        <v>0</v>
      </c>
      <c r="I103" s="135"/>
      <c r="J103" s="135">
        <f>H103+F103+D103</f>
        <v>0</v>
      </c>
      <c r="K103" s="135"/>
      <c r="L103" s="135">
        <f>J103+B103</f>
        <v>0</v>
      </c>
      <c r="M103" s="145"/>
    </row>
    <row r="104" spans="1:13" x14ac:dyDescent="0.2">
      <c r="A104" s="3" t="s">
        <v>411</v>
      </c>
      <c r="B104" s="135">
        <f>'KY_Cost Plant Acct-Gas-P20(REG)'!B104+'IN_Cost Plant Acct-Gas-P22(Reg)'!B26</f>
        <v>28915.31</v>
      </c>
      <c r="C104" s="135"/>
      <c r="D104" s="135">
        <f>'KY_Cost Plant Acct-Gas-P20(REG)'!D104+'IN_Cost Plant Acct-Gas-P22(Reg)'!D26</f>
        <v>191366.47</v>
      </c>
      <c r="E104" s="135"/>
      <c r="F104" s="135">
        <f>'KY_Cost Plant Acct-Gas-P20(REG)'!F104+'IN_Cost Plant Acct-Gas-P22(Reg)'!F26</f>
        <v>0</v>
      </c>
      <c r="G104" s="135"/>
      <c r="H104" s="135">
        <f>'KY_Cost Plant Acct-Gas-P20(REG)'!H104+'IN_Cost Plant Acct-Gas-P22(Reg)'!H26</f>
        <v>0</v>
      </c>
      <c r="I104" s="135"/>
      <c r="J104" s="135">
        <f t="shared" si="10"/>
        <v>191366.47</v>
      </c>
      <c r="K104" s="135"/>
      <c r="L104" s="135">
        <f t="shared" si="11"/>
        <v>220281.78</v>
      </c>
      <c r="M104" s="145"/>
    </row>
    <row r="105" spans="1:13" x14ac:dyDescent="0.2">
      <c r="A105" s="3" t="s">
        <v>413</v>
      </c>
      <c r="B105" s="135">
        <f>'IN_Cost Plant Acct-Gas-P22(Reg)'!B27+'KY_Cost Plant Acct-Gas-P20(REG)'!B105</f>
        <v>0</v>
      </c>
      <c r="C105" s="135"/>
      <c r="D105" s="135">
        <f>'IN_Cost Plant Acct-Gas-P22(Reg)'!D27+'KY_Cost Plant Acct-Gas-P20(REG)'!D105</f>
        <v>0</v>
      </c>
      <c r="E105" s="135"/>
      <c r="F105" s="135">
        <f>'IN_Cost Plant Acct-Gas-P22(Reg)'!F27+'KY_Cost Plant Acct-Gas-P20(REG)'!F105</f>
        <v>0</v>
      </c>
      <c r="G105" s="135"/>
      <c r="H105" s="135">
        <f>'IN_Cost Plant Acct-Gas-P22(Reg)'!H27+'KY_Cost Plant Acct-Gas-P20(REG)'!H105</f>
        <v>0</v>
      </c>
      <c r="I105" s="135"/>
      <c r="J105" s="135">
        <f t="shared" si="10"/>
        <v>0</v>
      </c>
      <c r="K105" s="135"/>
      <c r="L105" s="135">
        <f t="shared" si="11"/>
        <v>0</v>
      </c>
      <c r="M105" s="145"/>
    </row>
    <row r="106" spans="1:13" x14ac:dyDescent="0.2">
      <c r="A106" s="3" t="s">
        <v>414</v>
      </c>
      <c r="B106" s="135">
        <f>'KY_Cost Plant Acct-Gas-P20(REG)'!B106+'IN_Cost Plant Acct-Gas-P22(Reg)'!B28</f>
        <v>0</v>
      </c>
      <c r="C106" s="135"/>
      <c r="D106" s="135">
        <f>'KY_Cost Plant Acct-Gas-P20(REG)'!D106+'IN_Cost Plant Acct-Gas-P22(Reg)'!D28</f>
        <v>0</v>
      </c>
      <c r="E106" s="135"/>
      <c r="F106" s="135">
        <f>'KY_Cost Plant Acct-Gas-P20(REG)'!F106+'IN_Cost Plant Acct-Gas-P22(Reg)'!F28</f>
        <v>0</v>
      </c>
      <c r="G106" s="135"/>
      <c r="H106" s="135">
        <f>'KY_Cost Plant Acct-Gas-P20(REG)'!H106+'IN_Cost Plant Acct-Gas-P22(Reg)'!H28</f>
        <v>0</v>
      </c>
      <c r="I106" s="135"/>
      <c r="J106" s="135">
        <f t="shared" si="10"/>
        <v>0</v>
      </c>
      <c r="K106" s="135"/>
      <c r="L106" s="135">
        <f t="shared" si="11"/>
        <v>0</v>
      </c>
      <c r="M106" s="145"/>
    </row>
    <row r="107" spans="1:13" x14ac:dyDescent="0.2">
      <c r="A107" s="3" t="s">
        <v>415</v>
      </c>
      <c r="B107" s="135">
        <f>'KY_Cost Plant Acct-Gas-P20(REG)'!B107+'IN_Cost Plant Acct-Gas-P22(Reg)'!B29</f>
        <v>-1.1641532182693481E-10</v>
      </c>
      <c r="C107" s="135"/>
      <c r="D107" s="135">
        <f>'KY_Cost Plant Acct-Gas-P20(REG)'!D107+'IN_Cost Plant Acct-Gas-P22(Reg)'!D29</f>
        <v>411907.78</v>
      </c>
      <c r="E107" s="135"/>
      <c r="F107" s="135">
        <f>'KY_Cost Plant Acct-Gas-P20(REG)'!F107+'IN_Cost Plant Acct-Gas-P22(Reg)'!F29</f>
        <v>0</v>
      </c>
      <c r="G107" s="135"/>
      <c r="H107" s="135">
        <f>'KY_Cost Plant Acct-Gas-P20(REG)'!H107+'IN_Cost Plant Acct-Gas-P22(Reg)'!H29</f>
        <v>0</v>
      </c>
      <c r="I107" s="135"/>
      <c r="J107" s="135">
        <f>H107+F107+D107</f>
        <v>411907.78</v>
      </c>
      <c r="K107" s="135"/>
      <c r="L107" s="135">
        <f>J107+B107</f>
        <v>411907.77999999991</v>
      </c>
      <c r="M107" s="145"/>
    </row>
    <row r="108" spans="1:13" x14ac:dyDescent="0.2">
      <c r="A108" s="3" t="s">
        <v>420</v>
      </c>
      <c r="B108" s="135">
        <f>'KY_Cost Plant Acct-Gas-P20(REG)'!B108+'IN_Cost Plant Acct-Gas-P22(Reg)'!B30</f>
        <v>841980.09000000008</v>
      </c>
      <c r="C108" s="135"/>
      <c r="D108" s="135">
        <f>'KY_Cost Plant Acct-Gas-P20(REG)'!D108+'IN_Cost Plant Acct-Gas-P22(Reg)'!D30</f>
        <v>1217510.45</v>
      </c>
      <c r="E108" s="135"/>
      <c r="F108" s="135">
        <f>'KY_Cost Plant Acct-Gas-P20(REG)'!F108+'IN_Cost Plant Acct-Gas-P22(Reg)'!F30</f>
        <v>0</v>
      </c>
      <c r="G108" s="135"/>
      <c r="H108" s="135">
        <f>'KY_Cost Plant Acct-Gas-P20(REG)'!H108+'IN_Cost Plant Acct-Gas-P22(Reg)'!H30</f>
        <v>0</v>
      </c>
      <c r="I108" s="135"/>
      <c r="J108" s="135">
        <f t="shared" si="10"/>
        <v>1217510.45</v>
      </c>
      <c r="K108" s="135"/>
      <c r="L108" s="135">
        <f t="shared" si="11"/>
        <v>2059490.54</v>
      </c>
      <c r="M108" s="145"/>
    </row>
    <row r="109" spans="1:13" x14ac:dyDescent="0.2">
      <c r="A109" s="3" t="s">
        <v>421</v>
      </c>
      <c r="B109" s="135">
        <f>'KY_Cost Plant Acct-Gas-P20(REG)'!B109+'IN_Cost Plant Acct-Gas-P22(Reg)'!B31</f>
        <v>608115.66999999806</v>
      </c>
      <c r="C109" s="135"/>
      <c r="D109" s="135">
        <f>'KY_Cost Plant Acct-Gas-P20(REG)'!D109+'IN_Cost Plant Acct-Gas-P22(Reg)'!D31</f>
        <v>7566901.3600000003</v>
      </c>
      <c r="E109" s="135"/>
      <c r="F109" s="135">
        <v>0</v>
      </c>
      <c r="G109" s="135"/>
      <c r="H109" s="135">
        <v>0</v>
      </c>
      <c r="I109" s="135"/>
      <c r="J109" s="135">
        <f t="shared" si="10"/>
        <v>7566901.3600000003</v>
      </c>
      <c r="K109" s="135"/>
      <c r="L109" s="135">
        <f t="shared" si="11"/>
        <v>8175017.0299999984</v>
      </c>
      <c r="M109" s="145"/>
    </row>
    <row r="110" spans="1:13" x14ac:dyDescent="0.2">
      <c r="A110" s="3" t="s">
        <v>422</v>
      </c>
      <c r="B110" s="135">
        <f>'KY_Cost Plant Acct-Gas-P20(REG)'!B110</f>
        <v>0</v>
      </c>
      <c r="C110" s="135"/>
      <c r="D110" s="135">
        <f>'KY_Cost Plant Acct-Gas-P20(REG)'!D110</f>
        <v>989556.78</v>
      </c>
      <c r="E110" s="135"/>
      <c r="F110" s="135">
        <v>0</v>
      </c>
      <c r="G110" s="135"/>
      <c r="H110" s="135">
        <v>0</v>
      </c>
      <c r="I110" s="135"/>
      <c r="J110" s="135">
        <f t="shared" si="10"/>
        <v>989556.78</v>
      </c>
      <c r="K110" s="135"/>
      <c r="L110" s="135">
        <f t="shared" si="11"/>
        <v>989556.78</v>
      </c>
      <c r="M110" s="145"/>
    </row>
    <row r="111" spans="1:13" x14ac:dyDescent="0.2">
      <c r="A111" s="3" t="s">
        <v>423</v>
      </c>
      <c r="B111" s="135">
        <f>'KY_Cost Plant Acct-Gas-P20(REG)'!B111</f>
        <v>3243882.4</v>
      </c>
      <c r="C111" s="135"/>
      <c r="D111" s="135">
        <f>'KY_Cost Plant Acct-Gas-P20(REG)'!D111</f>
        <v>-801167.52</v>
      </c>
      <c r="E111" s="135"/>
      <c r="F111" s="135">
        <v>0</v>
      </c>
      <c r="G111" s="135"/>
      <c r="H111" s="135">
        <v>0</v>
      </c>
      <c r="I111" s="135"/>
      <c r="J111" s="135">
        <f t="shared" si="10"/>
        <v>-801167.52</v>
      </c>
      <c r="K111" s="135"/>
      <c r="L111" s="135">
        <f t="shared" si="11"/>
        <v>2442714.88</v>
      </c>
      <c r="M111" s="145"/>
    </row>
    <row r="112" spans="1:13" x14ac:dyDescent="0.2">
      <c r="A112" s="3" t="s">
        <v>424</v>
      </c>
      <c r="B112" s="149">
        <f>'KY_Cost Plant Acct-Gas-P20(REG)'!B112+'IN_Cost Plant Acct-Gas-P22(Reg)'!B32</f>
        <v>9095.14</v>
      </c>
      <c r="C112" s="135"/>
      <c r="D112" s="149">
        <f>'KY_Cost Plant Acct-Gas-P20(REG)'!D112+'IN_Cost Plant Acct-Gas-P22(Reg)'!D32</f>
        <v>325537.27999999997</v>
      </c>
      <c r="E112" s="135"/>
      <c r="F112" s="149">
        <f>'KY_Cost Plant Acct-Gas-P20(REG)'!F112+'IN_Cost Plant Acct-Gas-P22(Reg)'!F32</f>
        <v>0</v>
      </c>
      <c r="G112" s="135"/>
      <c r="H112" s="149">
        <f>'KY_Cost Plant Acct-Gas-P20(REG)'!H112+'IN_Cost Plant Acct-Gas-P22(Reg)'!H32</f>
        <v>0</v>
      </c>
      <c r="I112" s="135"/>
      <c r="J112" s="149">
        <f>H112+F112+D112</f>
        <v>325537.27999999997</v>
      </c>
      <c r="K112" s="135"/>
      <c r="L112" s="149">
        <f>J112+B112</f>
        <v>334632.42</v>
      </c>
      <c r="M112" s="145"/>
    </row>
    <row r="113" spans="1:13" x14ac:dyDescent="0.2">
      <c r="B113" s="135">
        <f>SUM(B102:B112)</f>
        <v>4875142.5599999977</v>
      </c>
      <c r="C113" s="135"/>
      <c r="D113" s="135">
        <f>SUM(D102:D112)</f>
        <v>10089948.83</v>
      </c>
      <c r="E113" s="135"/>
      <c r="F113" s="135">
        <f>SUM(F102:F112)</f>
        <v>0</v>
      </c>
      <c r="G113" s="135"/>
      <c r="H113" s="135">
        <f>SUM(H102:H112)</f>
        <v>0</v>
      </c>
      <c r="I113" s="135"/>
      <c r="J113" s="135">
        <f>SUM(J102:J112)</f>
        <v>10089948.83</v>
      </c>
      <c r="K113" s="135"/>
      <c r="L113" s="135">
        <f>SUM(L102:L112)</f>
        <v>14965091.389999999</v>
      </c>
      <c r="M113" s="145"/>
    </row>
    <row r="114" spans="1:13" x14ac:dyDescent="0.2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45"/>
    </row>
    <row r="115" spans="1:13" x14ac:dyDescent="0.2">
      <c r="A115" s="10" t="s">
        <v>31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45"/>
    </row>
    <row r="116" spans="1:13" x14ac:dyDescent="0.2">
      <c r="A116" s="3" t="s">
        <v>430</v>
      </c>
      <c r="B116" s="149">
        <f>'KY_Cost Plant Acct-Gas-P20(REG)'!B116</f>
        <v>4015859.2299999995</v>
      </c>
      <c r="C116" s="135"/>
      <c r="D116" s="149">
        <f>'KY_Cost Plant Acct-Gas-P20(REG)'!D116</f>
        <v>1679741.45</v>
      </c>
      <c r="E116" s="135"/>
      <c r="F116" s="149">
        <v>0</v>
      </c>
      <c r="G116" s="135"/>
      <c r="H116" s="149">
        <v>0</v>
      </c>
      <c r="I116" s="135"/>
      <c r="J116" s="149">
        <f>H116+F116+D116</f>
        <v>1679741.45</v>
      </c>
      <c r="K116" s="135"/>
      <c r="L116" s="149">
        <f>J116+B116</f>
        <v>5695600.6799999997</v>
      </c>
      <c r="M116" s="145"/>
    </row>
    <row r="117" spans="1:13" x14ac:dyDescent="0.2">
      <c r="B117" s="135">
        <f>SUM(B116)</f>
        <v>4015859.2299999995</v>
      </c>
      <c r="C117" s="135"/>
      <c r="D117" s="135">
        <f>SUM(D116)</f>
        <v>1679741.45</v>
      </c>
      <c r="E117" s="135"/>
      <c r="F117" s="135">
        <f>SUM(F116)</f>
        <v>0</v>
      </c>
      <c r="G117" s="135"/>
      <c r="H117" s="135">
        <f>SUM(H116)</f>
        <v>0</v>
      </c>
      <c r="I117" s="135"/>
      <c r="J117" s="135">
        <f>SUM(J116)</f>
        <v>1679741.45</v>
      </c>
      <c r="K117" s="135"/>
      <c r="L117" s="135">
        <f>SUM(L116)</f>
        <v>5695600.6799999997</v>
      </c>
      <c r="M117" s="145"/>
    </row>
    <row r="118" spans="1:13" x14ac:dyDescent="0.2"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45"/>
    </row>
    <row r="119" spans="1:13" x14ac:dyDescent="0.2">
      <c r="B119" s="135"/>
      <c r="C119" s="138"/>
      <c r="D119" s="135"/>
      <c r="E119" s="138"/>
      <c r="F119" s="135"/>
      <c r="G119" s="138"/>
      <c r="H119" s="135"/>
      <c r="I119" s="138"/>
      <c r="J119" s="135"/>
      <c r="K119" s="138"/>
      <c r="L119" s="135"/>
      <c r="M119" s="145"/>
    </row>
    <row r="120" spans="1:13" x14ac:dyDescent="0.2"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45"/>
    </row>
    <row r="121" spans="1:13" x14ac:dyDescent="0.2">
      <c r="A121" s="10" t="s">
        <v>2782</v>
      </c>
      <c r="B121" s="164">
        <f>B113+B89+B99+B117</f>
        <v>54543523.370000005</v>
      </c>
      <c r="C121" s="135"/>
      <c r="D121" s="164">
        <f>D113+D89+D99+D117</f>
        <v>15985548.059999999</v>
      </c>
      <c r="E121" s="135"/>
      <c r="F121" s="164">
        <f>F113+F89+F99+F117</f>
        <v>0</v>
      </c>
      <c r="G121" s="135"/>
      <c r="H121" s="164">
        <f>H113+H89+H99+H117</f>
        <v>0</v>
      </c>
      <c r="I121" s="135"/>
      <c r="J121" s="164">
        <f>J113+J89+J99+J117</f>
        <v>15985548.059999999</v>
      </c>
      <c r="K121" s="135"/>
      <c r="L121" s="164">
        <f>L113+L89+L99+L117</f>
        <v>70529071.430000007</v>
      </c>
      <c r="M121" s="146"/>
    </row>
    <row r="122" spans="1:13" x14ac:dyDescent="0.2">
      <c r="B122" s="135"/>
      <c r="C122" s="138"/>
      <c r="D122" s="135"/>
      <c r="E122" s="138"/>
      <c r="F122" s="135"/>
      <c r="G122" s="138"/>
      <c r="H122" s="135"/>
      <c r="I122" s="138"/>
      <c r="J122" s="135"/>
      <c r="K122" s="138"/>
      <c r="L122" s="135"/>
      <c r="M122" s="145"/>
    </row>
    <row r="123" spans="1:13" x14ac:dyDescent="0.2"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45"/>
    </row>
    <row r="124" spans="1:13" ht="13.5" thickBot="1" x14ac:dyDescent="0.25">
      <c r="A124" s="10" t="s">
        <v>2783</v>
      </c>
      <c r="B124" s="143">
        <f>B121+B72</f>
        <v>1021163077.6799999</v>
      </c>
      <c r="C124" s="138"/>
      <c r="D124" s="143">
        <f>D121+D72</f>
        <v>96621651.25</v>
      </c>
      <c r="E124" s="138"/>
      <c r="F124" s="143">
        <f>F121+F72</f>
        <v>-10001316.450000001</v>
      </c>
      <c r="G124" s="138"/>
      <c r="H124" s="143">
        <f>H121+H72</f>
        <v>2328350.6399999997</v>
      </c>
      <c r="I124" s="138"/>
      <c r="J124" s="143">
        <f>J121+J72</f>
        <v>88948685.440000013</v>
      </c>
      <c r="K124" s="138"/>
      <c r="L124" s="143">
        <f>L121+L72</f>
        <v>1110111763.1200001</v>
      </c>
      <c r="M124" s="145"/>
    </row>
    <row r="125" spans="1:13" ht="13.5" thickTop="1" x14ac:dyDescent="0.2"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45"/>
    </row>
    <row r="126" spans="1:13" x14ac:dyDescent="0.2"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45"/>
    </row>
    <row r="127" spans="1:13" x14ac:dyDescent="0.2"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45"/>
    </row>
    <row r="128" spans="1:13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 x14ac:dyDescent="0.2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 x14ac:dyDescent="0.2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 x14ac:dyDescent="0.2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 x14ac:dyDescent="0.2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 x14ac:dyDescent="0.2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 x14ac:dyDescent="0.2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 x14ac:dyDescent="0.2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 x14ac:dyDescent="0.2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 x14ac:dyDescent="0.2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 x14ac:dyDescent="0.2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 x14ac:dyDescent="0.2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 x14ac:dyDescent="0.2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 x14ac:dyDescent="0.2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 x14ac:dyDescent="0.2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 x14ac:dyDescent="0.2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 x14ac:dyDescent="0.2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 x14ac:dyDescent="0.2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 x14ac:dyDescent="0.2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 x14ac:dyDescent="0.2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 x14ac:dyDescent="0.2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 x14ac:dyDescent="0.2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2:13" x14ac:dyDescent="0.2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2" manualBreakCount="2">
    <brk id="43" max="16383" man="1"/>
    <brk id="7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13"/>
  <sheetViews>
    <sheetView zoomScale="90" zoomScaleNormal="90" workbookViewId="0">
      <selection sqref="A1:N1"/>
    </sheetView>
  </sheetViews>
  <sheetFormatPr defaultRowHeight="12.75" x14ac:dyDescent="0.2"/>
  <cols>
    <col min="1" max="1" width="45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85546875" style="3" customWidth="1"/>
    <col min="14" max="14" width="18.5703125" style="3" customWidth="1"/>
    <col min="15" max="15" width="1.710937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2784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  <c r="B9" s="18"/>
      <c r="D9" s="18"/>
      <c r="F9" s="18"/>
      <c r="H9" s="18"/>
      <c r="J9" s="18"/>
      <c r="L9" s="18"/>
    </row>
    <row r="10" spans="1:16" x14ac:dyDescent="0.2">
      <c r="A10" s="10" t="s">
        <v>27</v>
      </c>
    </row>
    <row r="11" spans="1:16" x14ac:dyDescent="0.2">
      <c r="A11" s="3" t="s">
        <v>373</v>
      </c>
      <c r="B11" s="138">
        <f>'KY_Cost Plant Acct-Gas-P20(REG)'!B11</f>
        <v>60478.68</v>
      </c>
      <c r="C11" s="138"/>
      <c r="D11" s="138">
        <f>'KY_Cost Plant Acct-Gas-P20(REG)'!D11</f>
        <v>0</v>
      </c>
      <c r="E11" s="138"/>
      <c r="F11" s="138">
        <f>'KY_Cost Plant Acct-Gas-P20(REG)'!F11</f>
        <v>0</v>
      </c>
      <c r="G11" s="138"/>
      <c r="H11" s="138">
        <f>'KY_Cost Plant Acct-Gas-P20(REG)'!H11</f>
        <v>0</v>
      </c>
      <c r="I11" s="138"/>
      <c r="J11" s="138">
        <f t="shared" ref="J11:J26" si="0">H11+F11+D11</f>
        <v>0</v>
      </c>
      <c r="K11" s="138"/>
      <c r="L11" s="138">
        <f t="shared" ref="L11:L26" si="1">J11+B11</f>
        <v>60478.68</v>
      </c>
      <c r="M11" s="145"/>
      <c r="N11" s="39">
        <f>'KY_Res by Plant Acct-P29 (Reg)'!R392</f>
        <v>1.6058265828178264E-12</v>
      </c>
      <c r="P11" s="39">
        <f>L11+N11</f>
        <v>60478.68</v>
      </c>
    </row>
    <row r="12" spans="1:16" x14ac:dyDescent="0.2">
      <c r="A12" s="3" t="s">
        <v>374</v>
      </c>
      <c r="B12" s="138">
        <f>'KY_Cost Plant Acct-Gas-P20(REG)'!B12</f>
        <v>74018.23</v>
      </c>
      <c r="C12" s="138"/>
      <c r="D12" s="138">
        <f>'KY_Cost Plant Acct-Gas-P20(REG)'!D12</f>
        <v>0</v>
      </c>
      <c r="E12" s="138"/>
      <c r="F12" s="138">
        <f>'KY_Cost Plant Acct-Gas-P20(REG)'!F12</f>
        <v>0</v>
      </c>
      <c r="G12" s="138"/>
      <c r="H12" s="138">
        <f>'KY_Cost Plant Acct-Gas-P20(REG)'!H12</f>
        <v>0</v>
      </c>
      <c r="I12" s="138"/>
      <c r="J12" s="138">
        <f t="shared" si="0"/>
        <v>0</v>
      </c>
      <c r="K12" s="138"/>
      <c r="L12" s="138">
        <f t="shared" si="1"/>
        <v>74018.23</v>
      </c>
      <c r="M12" s="145"/>
      <c r="N12" s="39">
        <f>'KY_Res by Plant Acct-P29 (Reg)'!R393</f>
        <v>-77439.69</v>
      </c>
      <c r="P12" s="39">
        <f t="shared" ref="P12:P26" si="2">L12+N12</f>
        <v>-3421.4600000000064</v>
      </c>
    </row>
    <row r="13" spans="1:16" x14ac:dyDescent="0.2">
      <c r="A13" s="3" t="s">
        <v>376</v>
      </c>
      <c r="B13" s="138">
        <f>'KY_Cost Plant Acct-Gas-P20(REG)'!B13+'KY_Cost Plant Acct-Gas-P20(REG)'!B77</f>
        <v>499620.92000000004</v>
      </c>
      <c r="C13" s="138"/>
      <c r="D13" s="138">
        <f>'KY_Cost Plant Acct-Gas-P20(REG)'!D13+'KY_Cost Plant Acct-Gas-P20(REG)'!D77</f>
        <v>0</v>
      </c>
      <c r="E13" s="138"/>
      <c r="F13" s="138">
        <f>'KY_Cost Plant Acct-Gas-P20(REG)'!F13</f>
        <v>-597.48</v>
      </c>
      <c r="G13" s="138"/>
      <c r="H13" s="138">
        <f>'KY_Cost Plant Acct-Gas-P20(REG)'!H13</f>
        <v>0</v>
      </c>
      <c r="I13" s="138"/>
      <c r="J13" s="138">
        <f t="shared" si="0"/>
        <v>-597.48</v>
      </c>
      <c r="K13" s="138"/>
      <c r="L13" s="138">
        <f t="shared" si="1"/>
        <v>499023.44000000006</v>
      </c>
      <c r="M13" s="145"/>
      <c r="N13" s="39">
        <f>'KY_Res by Plant Acct-P29 (Reg)'!R394</f>
        <v>-90124.99000000002</v>
      </c>
      <c r="P13" s="39">
        <f t="shared" si="2"/>
        <v>408898.45000000007</v>
      </c>
    </row>
    <row r="14" spans="1:16" x14ac:dyDescent="0.2">
      <c r="A14" s="3" t="s">
        <v>377</v>
      </c>
      <c r="B14" s="138">
        <f>'KY_Cost Plant Acct-Gas-P20(REG)'!B14+'KY_Cost Plant Acct-Gas-P20(REG)'!B78</f>
        <v>645371.57000000007</v>
      </c>
      <c r="C14" s="138"/>
      <c r="D14" s="138">
        <f>'KY_Cost Plant Acct-Gas-P20(REG)'!D14+'KY_Cost Plant Acct-Gas-P20(REG)'!D78</f>
        <v>22511.459999999992</v>
      </c>
      <c r="E14" s="138"/>
      <c r="F14" s="138">
        <f>'KY_Cost Plant Acct-Gas-P20(REG)'!F14</f>
        <v>-3808.67</v>
      </c>
      <c r="G14" s="138"/>
      <c r="H14" s="138">
        <f>'KY_Cost Plant Acct-Gas-P20(REG)'!H14</f>
        <v>12074.4</v>
      </c>
      <c r="I14" s="138"/>
      <c r="J14" s="138">
        <f t="shared" si="0"/>
        <v>30777.189999999991</v>
      </c>
      <c r="K14" s="138"/>
      <c r="L14" s="138">
        <f t="shared" si="1"/>
        <v>676148.76</v>
      </c>
      <c r="M14" s="145"/>
      <c r="N14" s="39">
        <f>'KY_Res by Plant Acct-P29 (Reg)'!R395</f>
        <v>-267755.48000000004</v>
      </c>
      <c r="P14" s="39">
        <f t="shared" si="2"/>
        <v>408393.27999999997</v>
      </c>
    </row>
    <row r="15" spans="1:16" x14ac:dyDescent="0.2">
      <c r="A15" s="3" t="s">
        <v>379</v>
      </c>
      <c r="B15" s="138">
        <f>'KY_Cost Plant Acct-Gas-P20(REG)'!B15+'KY_Cost Plant Acct-Gas-P20(REG)'!B79</f>
        <v>338918581.52999997</v>
      </c>
      <c r="C15" s="138"/>
      <c r="D15" s="138">
        <f>'KY_Cost Plant Acct-Gas-P20(REG)'!D15+'KY_Cost Plant Acct-Gas-P20(REG)'!D79</f>
        <v>6667171.0800000001</v>
      </c>
      <c r="E15" s="138"/>
      <c r="F15" s="138">
        <f>'KY_Cost Plant Acct-Gas-P20(REG)'!F15</f>
        <v>-309953.23</v>
      </c>
      <c r="G15" s="138"/>
      <c r="H15" s="138">
        <f>'KY_Cost Plant Acct-Gas-P20(REG)'!H15+'KY_Cost Plant Acct-Gas-P20(REG)'!H79</f>
        <v>0</v>
      </c>
      <c r="I15" s="138"/>
      <c r="J15" s="138">
        <f t="shared" si="0"/>
        <v>6357217.8499999996</v>
      </c>
      <c r="K15" s="138"/>
      <c r="L15" s="138">
        <f t="shared" si="1"/>
        <v>345275799.38</v>
      </c>
      <c r="M15" s="145"/>
      <c r="N15" s="39">
        <f>'KY_Res by Plant Acct-P29 (Reg)'!R396</f>
        <v>-127206169.88999997</v>
      </c>
      <c r="P15" s="39">
        <f t="shared" si="2"/>
        <v>218069629.49000001</v>
      </c>
    </row>
    <row r="16" spans="1:16" x14ac:dyDescent="0.2">
      <c r="A16" s="22" t="s">
        <v>380</v>
      </c>
      <c r="B16" s="138">
        <f>'KY_Cost Plant Acct-Gas-P20(REG)'!B16+'KY_Cost Plant Acct-Gas-P20(REG)'!B80</f>
        <v>42066090.360000007</v>
      </c>
      <c r="C16" s="138"/>
      <c r="D16" s="138">
        <f>'KY_Cost Plant Acct-Gas-P20(REG)'!D16+'KY_Cost Plant Acct-Gas-P20(REG)'!D80</f>
        <v>11102238.01</v>
      </c>
      <c r="E16" s="138"/>
      <c r="F16" s="138">
        <f>'KY_Cost Plant Acct-Gas-P20(REG)'!F16</f>
        <v>0</v>
      </c>
      <c r="G16" s="138"/>
      <c r="H16" s="138">
        <f>'KY_Cost Plant Acct-Gas-P20(REG)'!H16+'KY_Cost Plant Acct-Gas-P20(REG)'!H80</f>
        <v>0</v>
      </c>
      <c r="I16" s="138"/>
      <c r="J16" s="138">
        <f t="shared" si="0"/>
        <v>11102238.01</v>
      </c>
      <c r="K16" s="138"/>
      <c r="L16" s="138">
        <f t="shared" si="1"/>
        <v>53168328.370000005</v>
      </c>
      <c r="M16" s="145"/>
      <c r="N16" s="39">
        <f>'KY_Res by Plant Acct-P29 (Reg)'!R397</f>
        <v>-2673197.6399999997</v>
      </c>
      <c r="P16" s="39">
        <f t="shared" si="2"/>
        <v>50495130.730000004</v>
      </c>
    </row>
    <row r="17" spans="1:16" x14ac:dyDescent="0.2">
      <c r="A17" s="3" t="s">
        <v>381</v>
      </c>
      <c r="B17" s="138">
        <f>'KY_Cost Plant Acct-Gas-P20(REG)'!B17+'KY_Cost Plant Acct-Gas-P20(REG)'!B81</f>
        <v>17676381.659999996</v>
      </c>
      <c r="C17" s="138"/>
      <c r="D17" s="138">
        <f>'KY_Cost Plant Acct-Gas-P20(REG)'!D17+'KY_Cost Plant Acct-Gas-P20(REG)'!D81</f>
        <v>3390624.5700000003</v>
      </c>
      <c r="E17" s="138"/>
      <c r="F17" s="138">
        <f>'KY_Cost Plant Acct-Gas-P20(REG)'!F17</f>
        <v>-87472.57</v>
      </c>
      <c r="G17" s="138"/>
      <c r="H17" s="138">
        <f>'KY_Cost Plant Acct-Gas-P20(REG)'!H17</f>
        <v>0</v>
      </c>
      <c r="I17" s="138"/>
      <c r="J17" s="138">
        <f t="shared" si="0"/>
        <v>3303152.0000000005</v>
      </c>
      <c r="K17" s="138"/>
      <c r="L17" s="138">
        <f t="shared" si="1"/>
        <v>20979533.659999996</v>
      </c>
      <c r="M17" s="145"/>
      <c r="N17" s="39">
        <f>'KY_Res by Plant Acct-P29 (Reg)'!R398</f>
        <v>-2438258.5200000005</v>
      </c>
      <c r="P17" s="39">
        <f t="shared" si="2"/>
        <v>18541275.139999997</v>
      </c>
    </row>
    <row r="18" spans="1:16" x14ac:dyDescent="0.2">
      <c r="A18" s="3" t="s">
        <v>382</v>
      </c>
      <c r="B18" s="138">
        <f>'KY_Cost Plant Acct-Gas-P20(REG)'!B18+'KY_Cost Plant Acct-Gas-P20(REG)'!B82</f>
        <v>7185390.6700000009</v>
      </c>
      <c r="C18" s="138"/>
      <c r="D18" s="138">
        <f>'KY_Cost Plant Acct-Gas-P20(REG)'!D18+'KY_Cost Plant Acct-Gas-P20(REG)'!D82</f>
        <v>507948.22</v>
      </c>
      <c r="E18" s="138"/>
      <c r="F18" s="138">
        <f>'KY_Cost Plant Acct-Gas-P20(REG)'!F18</f>
        <v>-24883.53</v>
      </c>
      <c r="G18" s="138"/>
      <c r="H18" s="138">
        <f>'KY_Cost Plant Acct-Gas-P20(REG)'!H18</f>
        <v>0</v>
      </c>
      <c r="I18" s="138"/>
      <c r="J18" s="138">
        <f t="shared" si="0"/>
        <v>483064.68999999994</v>
      </c>
      <c r="K18" s="138"/>
      <c r="L18" s="138">
        <f t="shared" si="1"/>
        <v>7668455.3600000013</v>
      </c>
      <c r="M18" s="145"/>
      <c r="N18" s="39">
        <f>'KY_Res by Plant Acct-P29 (Reg)'!R399</f>
        <v>-1300766.5799999996</v>
      </c>
      <c r="P18" s="39">
        <f t="shared" si="2"/>
        <v>6367688.7800000012</v>
      </c>
    </row>
    <row r="19" spans="1:16" x14ac:dyDescent="0.2">
      <c r="A19" s="3" t="s">
        <v>383</v>
      </c>
      <c r="B19" s="138">
        <f>'KY_Cost Plant Acct-Gas-P20(REG)'!B19+'KY_Cost Plant Acct-Gas-P20(REG)'!B83</f>
        <v>202532397.97</v>
      </c>
      <c r="C19" s="138"/>
      <c r="D19" s="138">
        <f>'KY_Cost Plant Acct-Gas-P20(REG)'!D19+'KY_Cost Plant Acct-Gas-P20(REG)'!D83</f>
        <v>1923732.65</v>
      </c>
      <c r="E19" s="138"/>
      <c r="F19" s="138">
        <f>'KY_Cost Plant Acct-Gas-P20(REG)'!F19</f>
        <v>-7034482.9400000004</v>
      </c>
      <c r="G19" s="138"/>
      <c r="H19" s="138">
        <f>'KY_Cost Plant Acct-Gas-P20(REG)'!H19+'KY_Cost Plant Acct-Gas-P20(REG)'!H83</f>
        <v>0</v>
      </c>
      <c r="I19" s="138"/>
      <c r="J19" s="138">
        <f t="shared" si="0"/>
        <v>-5110750.290000001</v>
      </c>
      <c r="K19" s="138"/>
      <c r="L19" s="138">
        <f t="shared" si="1"/>
        <v>197421647.68000001</v>
      </c>
      <c r="M19" s="145"/>
      <c r="N19" s="39">
        <f>'KY_Res by Plant Acct-P29 (Reg)'!R400</f>
        <v>-86044113.090000018</v>
      </c>
      <c r="P19" s="39">
        <f t="shared" si="2"/>
        <v>111377534.58999999</v>
      </c>
    </row>
    <row r="20" spans="1:16" x14ac:dyDescent="0.2">
      <c r="A20" s="22" t="s">
        <v>384</v>
      </c>
      <c r="B20" s="138">
        <f>'KY_Cost Plant Acct-Gas-P20(REG)'!B20+'KY_Cost Plant Acct-Gas-P20(REG)'!B84</f>
        <v>124315816.81</v>
      </c>
      <c r="C20" s="138"/>
      <c r="D20" s="138">
        <f>'KY_Cost Plant Acct-Gas-P20(REG)'!D20+'KY_Cost Plant Acct-Gas-P20(REG)'!D84</f>
        <v>45608452.120000005</v>
      </c>
      <c r="E20" s="138"/>
      <c r="F20" s="138">
        <f>'KY_Cost Plant Acct-Gas-P20(REG)'!F20</f>
        <v>0</v>
      </c>
      <c r="G20" s="138"/>
      <c r="H20" s="138">
        <f>'KY_Cost Plant Acct-Gas-P20(REG)'!H20+'KY_Cost Plant Acct-Gas-P20(REG)'!H84</f>
        <v>0</v>
      </c>
      <c r="I20" s="138"/>
      <c r="J20" s="138">
        <f t="shared" si="0"/>
        <v>45608452.120000005</v>
      </c>
      <c r="K20" s="138"/>
      <c r="L20" s="138">
        <f t="shared" si="1"/>
        <v>169924268.93000001</v>
      </c>
      <c r="M20" s="145"/>
      <c r="N20" s="39">
        <f>'KY_Res by Plant Acct-P29 (Reg)'!R401</f>
        <v>-11678843.310000001</v>
      </c>
      <c r="P20" s="39">
        <f t="shared" si="2"/>
        <v>158245425.62</v>
      </c>
    </row>
    <row r="21" spans="1:16" x14ac:dyDescent="0.2">
      <c r="A21" s="3" t="s">
        <v>385</v>
      </c>
      <c r="B21" s="138">
        <f>'KY_Cost Plant Acct-Gas-P20(REG)'!B21+'KY_Cost Plant Acct-Gas-P20(REG)'!B85</f>
        <v>47351018.689999998</v>
      </c>
      <c r="C21" s="138"/>
      <c r="D21" s="138">
        <f>'KY_Cost Plant Acct-Gas-P20(REG)'!D21+'KY_Cost Plant Acct-Gas-P20(REG)'!D85</f>
        <v>2661167.52</v>
      </c>
      <c r="E21" s="138"/>
      <c r="F21" s="138">
        <f>'KY_Cost Plant Acct-Gas-P20(REG)'!F21</f>
        <v>-846588.36</v>
      </c>
      <c r="G21" s="138"/>
      <c r="H21" s="138">
        <f>'KY_Cost Plant Acct-Gas-P20(REG)'!H21</f>
        <v>0</v>
      </c>
      <c r="I21" s="138"/>
      <c r="J21" s="138">
        <f t="shared" si="0"/>
        <v>1814579.1600000001</v>
      </c>
      <c r="K21" s="138"/>
      <c r="L21" s="138">
        <f t="shared" si="1"/>
        <v>49165597.849999994</v>
      </c>
      <c r="M21" s="145"/>
      <c r="N21" s="39">
        <f>'KY_Res by Plant Acct-P29 (Reg)'!R402</f>
        <v>-12964290.940000005</v>
      </c>
      <c r="P21" s="39">
        <f t="shared" si="2"/>
        <v>36201306.909999989</v>
      </c>
    </row>
    <row r="22" spans="1:16" x14ac:dyDescent="0.2">
      <c r="A22" s="3" t="s">
        <v>386</v>
      </c>
      <c r="B22" s="138">
        <f>'KY_Cost Plant Acct-Gas-P20(REG)'!B22+'KY_Cost Plant Acct-Gas-P20(REG)'!B86</f>
        <v>25550379.960000001</v>
      </c>
      <c r="C22" s="138"/>
      <c r="D22" s="138">
        <f>'KY_Cost Plant Acct-Gas-P20(REG)'!D22+'KY_Cost Plant Acct-Gas-P20(REG)'!D86</f>
        <v>621810.51</v>
      </c>
      <c r="E22" s="138"/>
      <c r="F22" s="138">
        <f>'KY_Cost Plant Acct-Gas-P20(REG)'!F22</f>
        <v>-183921.28</v>
      </c>
      <c r="G22" s="138"/>
      <c r="H22" s="138">
        <f>'KY_Cost Plant Acct-Gas-P20(REG)'!H22</f>
        <v>0</v>
      </c>
      <c r="I22" s="138"/>
      <c r="J22" s="138">
        <f t="shared" si="0"/>
        <v>437889.23</v>
      </c>
      <c r="K22" s="138"/>
      <c r="L22" s="138">
        <f t="shared" si="1"/>
        <v>25988269.190000001</v>
      </c>
      <c r="M22" s="145"/>
      <c r="N22" s="39">
        <f>'KY_Res by Plant Acct-P29 (Reg)'!R403</f>
        <v>-4459750.7</v>
      </c>
      <c r="P22" s="39">
        <f t="shared" si="2"/>
        <v>21528518.490000002</v>
      </c>
    </row>
    <row r="23" spans="1:16" x14ac:dyDescent="0.2">
      <c r="A23" s="3" t="s">
        <v>387</v>
      </c>
      <c r="B23" s="138">
        <f>'KY_Cost Plant Acct-Gas-P20(REG)'!B23+'KY_Cost Plant Acct-Gas-P20(REG)'!B87</f>
        <v>960686.95</v>
      </c>
      <c r="C23" s="138"/>
      <c r="D23" s="138">
        <f>'KY_Cost Plant Acct-Gas-P20(REG)'!D23+'KY_Cost Plant Acct-Gas-P20(REG)'!D87</f>
        <v>0</v>
      </c>
      <c r="E23" s="138"/>
      <c r="F23" s="138">
        <f>'KY_Cost Plant Acct-Gas-P20(REG)'!F23</f>
        <v>0</v>
      </c>
      <c r="G23" s="138"/>
      <c r="H23" s="138">
        <f>'KY_Cost Plant Acct-Gas-P20(REG)'!H23</f>
        <v>0</v>
      </c>
      <c r="I23" s="138"/>
      <c r="J23" s="138">
        <f t="shared" si="0"/>
        <v>0</v>
      </c>
      <c r="K23" s="138"/>
      <c r="L23" s="138">
        <f t="shared" si="1"/>
        <v>960686.95</v>
      </c>
      <c r="M23" s="145"/>
      <c r="N23" s="39">
        <f>'KY_Res by Plant Acct-P29 (Reg)'!R404</f>
        <v>-216659.34</v>
      </c>
      <c r="P23" s="39">
        <f t="shared" si="2"/>
        <v>744027.61</v>
      </c>
    </row>
    <row r="24" spans="1:16" x14ac:dyDescent="0.2">
      <c r="A24" s="3" t="s">
        <v>388</v>
      </c>
      <c r="B24" s="138">
        <f>'KY_Cost Plant Acct-Gas-P20(REG)'!B24+'KY_Cost Plant Acct-Gas-P20(REG)'!B88</f>
        <v>51112.34</v>
      </c>
      <c r="C24" s="135"/>
      <c r="D24" s="138">
        <f>'KY_Cost Plant Acct-Gas-P20(REG)'!D24+'KY_Cost Plant Acct-Gas-P20(REG)'!D88</f>
        <v>0</v>
      </c>
      <c r="E24" s="135"/>
      <c r="F24" s="138">
        <f>'KY_Cost Plant Acct-Gas-P20(REG)'!F24</f>
        <v>0</v>
      </c>
      <c r="G24" s="135"/>
      <c r="H24" s="138">
        <f>'KY_Cost Plant Acct-Gas-P20(REG)'!H24</f>
        <v>0</v>
      </c>
      <c r="I24" s="135"/>
      <c r="J24" s="135">
        <f t="shared" si="0"/>
        <v>0</v>
      </c>
      <c r="K24" s="135"/>
      <c r="L24" s="135">
        <f t="shared" si="1"/>
        <v>51112.34</v>
      </c>
      <c r="M24" s="146"/>
      <c r="N24" s="39">
        <f>'KY_Res by Plant Acct-P29 (Reg)'!R405</f>
        <v>-27451.699999999997</v>
      </c>
      <c r="O24" s="31"/>
      <c r="P24" s="39">
        <f t="shared" si="2"/>
        <v>23660.639999999999</v>
      </c>
    </row>
    <row r="25" spans="1:16" x14ac:dyDescent="0.2">
      <c r="A25" s="3" t="s">
        <v>389</v>
      </c>
      <c r="B25" s="138">
        <f>'KY_Cost Plant Acct-Gas-P20(REG)'!B25</f>
        <v>2667.35</v>
      </c>
      <c r="C25" s="135"/>
      <c r="D25" s="138">
        <f>'KY_Cost Plant Acct-Gas-P20(REG)'!D25</f>
        <v>0</v>
      </c>
      <c r="E25" s="135"/>
      <c r="F25" s="138">
        <f>'KY_Cost Plant Acct-Gas-P20(REG)'!F25</f>
        <v>0</v>
      </c>
      <c r="G25" s="135"/>
      <c r="H25" s="138">
        <f>'KY_Cost Plant Acct-Gas-P20(REG)'!H25</f>
        <v>34428.04</v>
      </c>
      <c r="I25" s="135"/>
      <c r="J25" s="135">
        <f t="shared" si="0"/>
        <v>34428.04</v>
      </c>
      <c r="K25" s="135"/>
      <c r="L25" s="135">
        <f t="shared" si="1"/>
        <v>37095.39</v>
      </c>
      <c r="M25" s="146"/>
      <c r="N25" s="39">
        <f>'KY_Res by Plant Acct-P29 (Reg)'!R406</f>
        <v>-601.71</v>
      </c>
      <c r="O25" s="31"/>
      <c r="P25" s="39">
        <f t="shared" si="2"/>
        <v>36493.68</v>
      </c>
    </row>
    <row r="26" spans="1:16" x14ac:dyDescent="0.2">
      <c r="A26" s="3" t="s">
        <v>390</v>
      </c>
      <c r="B26" s="149">
        <f>'KY_Cost Plant Acct-Gas-P20(REG)'!B26</f>
        <v>10479426.170000002</v>
      </c>
      <c r="C26" s="135"/>
      <c r="D26" s="149">
        <f>'KY_Cost Plant Acct-Gas-P20(REG)'!D26</f>
        <v>0</v>
      </c>
      <c r="E26" s="135"/>
      <c r="F26" s="149">
        <f>'KY_Cost Plant Acct-Gas-P20(REG)'!F26</f>
        <v>-487435.15</v>
      </c>
      <c r="G26" s="135"/>
      <c r="H26" s="149">
        <f>'KY_Cost Plant Acct-Gas-P20(REG)'!H26</f>
        <v>1532697.94</v>
      </c>
      <c r="I26" s="135"/>
      <c r="J26" s="149">
        <f t="shared" si="0"/>
        <v>1045262.7899999999</v>
      </c>
      <c r="K26" s="135"/>
      <c r="L26" s="149">
        <f t="shared" si="1"/>
        <v>11524688.960000001</v>
      </c>
      <c r="M26" s="146"/>
      <c r="N26" s="136">
        <f>'KY_Res by Plant Acct-P29 (Reg)'!R407</f>
        <v>-1377782.1000000015</v>
      </c>
      <c r="O26" s="31"/>
      <c r="P26" s="136">
        <f t="shared" si="2"/>
        <v>10146906.859999999</v>
      </c>
    </row>
    <row r="27" spans="1:16" x14ac:dyDescent="0.2">
      <c r="B27" s="135">
        <f>SUM(B11:B26)</f>
        <v>818369439.86000001</v>
      </c>
      <c r="C27" s="135"/>
      <c r="D27" s="135">
        <f>SUM(D11:D26)</f>
        <v>72505656.140000001</v>
      </c>
      <c r="E27" s="135"/>
      <c r="F27" s="135">
        <f>SUM(F11:F26)</f>
        <v>-8979143.2100000009</v>
      </c>
      <c r="G27" s="135"/>
      <c r="H27" s="135">
        <f>SUM(H11:H26)</f>
        <v>1579200.38</v>
      </c>
      <c r="I27" s="135"/>
      <c r="J27" s="135">
        <f>SUM(J11:J26)</f>
        <v>65105713.309999995</v>
      </c>
      <c r="K27" s="135"/>
      <c r="L27" s="135">
        <f>SUM(L11:L26)</f>
        <v>883475153.1700002</v>
      </c>
      <c r="M27" s="146"/>
      <c r="N27" s="38">
        <f>SUM(N11:N26)</f>
        <v>-250823205.67999998</v>
      </c>
      <c r="O27" s="31"/>
      <c r="P27" s="38">
        <f>SUM(P11:P26)</f>
        <v>632651947.48999989</v>
      </c>
    </row>
    <row r="28" spans="1:16" x14ac:dyDescent="0.2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45"/>
    </row>
    <row r="29" spans="1:16" x14ac:dyDescent="0.2">
      <c r="A29" s="10" t="s">
        <v>28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45"/>
    </row>
    <row r="30" spans="1:16" x14ac:dyDescent="0.2">
      <c r="A30" s="3" t="s">
        <v>2772</v>
      </c>
      <c r="B30" s="138">
        <f>'KY_Cost Plant Acct-Gas-P20(REG)'!B30+'KY_Cost Plant Acct-Gas-P20(REG)'!B91</f>
        <v>12617.94</v>
      </c>
      <c r="C30" s="138"/>
      <c r="D30" s="138">
        <f>'KY_Cost Plant Acct-Gas-P20(REG)'!D30+'KY_Cost Plant Acct-Gas-P20(REG)'!D91</f>
        <v>31064.85</v>
      </c>
      <c r="E30" s="138"/>
      <c r="F30" s="138">
        <f>'KY_Cost Plant Acct-Gas-P20(REG)'!F30</f>
        <v>0</v>
      </c>
      <c r="G30" s="138"/>
      <c r="H30" s="138">
        <f>'KY_Cost Plant Acct-Gas-P20(REG)'!H30</f>
        <v>0</v>
      </c>
      <c r="I30" s="138"/>
      <c r="J30" s="138">
        <f>H30+F30+D30</f>
        <v>31064.85</v>
      </c>
      <c r="K30" s="138"/>
      <c r="L30" s="138">
        <f>J30+B30</f>
        <v>43682.79</v>
      </c>
      <c r="M30" s="145"/>
      <c r="N30" s="39">
        <f>'KY_Res by Plant Acct-P29 (Reg)'!R411</f>
        <v>-12582.33</v>
      </c>
      <c r="P30" s="39">
        <f>L30+N30</f>
        <v>31100.46</v>
      </c>
    </row>
    <row r="31" spans="1:16" x14ac:dyDescent="0.2">
      <c r="A31" s="3" t="s">
        <v>2773</v>
      </c>
      <c r="B31" s="138">
        <f>'KY_Cost Plant Acct-Gas-P20(REG)'!B31+'KY_Cost Plant Acct-Gas-P20(REG)'!B92</f>
        <v>926192.23</v>
      </c>
      <c r="C31" s="138"/>
      <c r="D31" s="138">
        <f>'KY_Cost Plant Acct-Gas-P20(REG)'!D31+'KY_Cost Plant Acct-Gas-P20(REG)'!D92</f>
        <v>0</v>
      </c>
      <c r="E31" s="138"/>
      <c r="F31" s="138">
        <f>'KY_Cost Plant Acct-Gas-P20(REG)'!F31</f>
        <v>0</v>
      </c>
      <c r="G31" s="138"/>
      <c r="H31" s="138">
        <f>'KY_Cost Plant Acct-Gas-P20(REG)'!H31</f>
        <v>0</v>
      </c>
      <c r="I31" s="138"/>
      <c r="J31" s="138">
        <f t="shared" ref="J31:J37" si="3">H31+F31+D31</f>
        <v>0</v>
      </c>
      <c r="K31" s="138"/>
      <c r="L31" s="138">
        <f t="shared" ref="L31:L37" si="4">J31+B31</f>
        <v>926192.23</v>
      </c>
      <c r="M31" s="145"/>
      <c r="N31" s="39">
        <f>'KY_Res by Plant Acct-P29 (Reg)'!R412</f>
        <v>-701310.01000000036</v>
      </c>
      <c r="P31" s="39">
        <f t="shared" ref="P31:P37" si="5">L31+N31</f>
        <v>224882.21999999962</v>
      </c>
    </row>
    <row r="32" spans="1:16" x14ac:dyDescent="0.2">
      <c r="A32" s="3" t="s">
        <v>395</v>
      </c>
      <c r="B32" s="138">
        <f>'KY_Cost Plant Acct-Gas-P20(REG)'!B32+'KY_Cost Plant Acct-Gas-P20(REG)'!B93</f>
        <v>577962.1</v>
      </c>
      <c r="C32" s="138"/>
      <c r="D32" s="138">
        <f>'KY_Cost Plant Acct-Gas-P20(REG)'!D32+'KY_Cost Plant Acct-Gas-P20(REG)'!D93</f>
        <v>252627.81</v>
      </c>
      <c r="E32" s="138"/>
      <c r="F32" s="138">
        <f>'KY_Cost Plant Acct-Gas-P20(REG)'!F32</f>
        <v>-2173</v>
      </c>
      <c r="G32" s="138"/>
      <c r="H32" s="138">
        <f>'KY_Cost Plant Acct-Gas-P20(REG)'!H32</f>
        <v>0</v>
      </c>
      <c r="I32" s="138"/>
      <c r="J32" s="138">
        <f t="shared" si="3"/>
        <v>250454.81</v>
      </c>
      <c r="K32" s="138"/>
      <c r="L32" s="138">
        <f t="shared" si="4"/>
        <v>828416.90999999992</v>
      </c>
      <c r="M32" s="145"/>
      <c r="N32" s="39">
        <f>'KY_Res by Plant Acct-P29 (Reg)'!R413</f>
        <v>-129980.20000000004</v>
      </c>
      <c r="P32" s="39">
        <f t="shared" si="5"/>
        <v>698436.70999999985</v>
      </c>
    </row>
    <row r="33" spans="1:16" x14ac:dyDescent="0.2">
      <c r="A33" s="3" t="s">
        <v>397</v>
      </c>
      <c r="B33" s="138">
        <f>'KY_Cost Plant Acct-Gas-P20(REG)'!B33+'KY_Cost Plant Acct-Gas-P20(REG)'!B94</f>
        <v>6401924.2700000005</v>
      </c>
      <c r="C33" s="138"/>
      <c r="D33" s="138">
        <f>'KY_Cost Plant Acct-Gas-P20(REG)'!D33+'KY_Cost Plant Acct-Gas-P20(REG)'!D94</f>
        <v>608310.23</v>
      </c>
      <c r="E33" s="138"/>
      <c r="F33" s="138">
        <f>'KY_Cost Plant Acct-Gas-P20(REG)'!F33</f>
        <v>-245638.37</v>
      </c>
      <c r="G33" s="138"/>
      <c r="H33" s="138">
        <f>'KY_Cost Plant Acct-Gas-P20(REG)'!H33</f>
        <v>6742.3</v>
      </c>
      <c r="I33" s="138"/>
      <c r="J33" s="138">
        <f t="shared" si="3"/>
        <v>369414.16</v>
      </c>
      <c r="K33" s="138"/>
      <c r="L33" s="138">
        <f t="shared" si="4"/>
        <v>6771338.4300000006</v>
      </c>
      <c r="M33" s="145"/>
      <c r="N33" s="39">
        <f>'KY_Res by Plant Acct-P29 (Reg)'!R414</f>
        <v>-2607062.5699999994</v>
      </c>
      <c r="P33" s="39">
        <f t="shared" si="5"/>
        <v>4164275.8600000013</v>
      </c>
    </row>
    <row r="34" spans="1:16" x14ac:dyDescent="0.2">
      <c r="A34" s="3" t="s">
        <v>398</v>
      </c>
      <c r="B34" s="138">
        <f>'KY_Cost Plant Acct-Gas-P20(REG)'!B34+'KY_Cost Plant Acct-Gas-P20(REG)'!B95</f>
        <v>0</v>
      </c>
      <c r="C34" s="138"/>
      <c r="D34" s="138">
        <f>'KY_Cost Plant Acct-Gas-P20(REG)'!D34+'KY_Cost Plant Acct-Gas-P20(REG)'!D95</f>
        <v>0</v>
      </c>
      <c r="E34" s="138"/>
      <c r="F34" s="138">
        <f>'KY_Cost Plant Acct-Gas-P20(REG)'!F34</f>
        <v>0</v>
      </c>
      <c r="G34" s="138"/>
      <c r="H34" s="138">
        <f>'KY_Cost Plant Acct-Gas-P20(REG)'!H34</f>
        <v>0</v>
      </c>
      <c r="I34" s="138"/>
      <c r="J34" s="138">
        <f t="shared" si="3"/>
        <v>0</v>
      </c>
      <c r="K34" s="138"/>
      <c r="L34" s="138">
        <f t="shared" si="4"/>
        <v>0</v>
      </c>
      <c r="M34" s="145"/>
      <c r="N34" s="39">
        <f>'KY_Res by Plant Acct-P29 (Reg)'!R415</f>
        <v>0</v>
      </c>
      <c r="P34" s="39">
        <f t="shared" si="5"/>
        <v>0</v>
      </c>
    </row>
    <row r="35" spans="1:16" x14ac:dyDescent="0.2">
      <c r="A35" s="3" t="s">
        <v>2778</v>
      </c>
      <c r="B35" s="138">
        <f>'KY_Cost Plant Acct-Gas-P20(REG)'!B35+'KY_Cost Plant Acct-Gas-P20(REG)'!B96</f>
        <v>2931525.4800000004</v>
      </c>
      <c r="C35" s="135"/>
      <c r="D35" s="138">
        <f>'KY_Cost Plant Acct-Gas-P20(REG)'!D35+'KY_Cost Plant Acct-Gas-P20(REG)'!D96</f>
        <v>562859.4</v>
      </c>
      <c r="E35" s="135"/>
      <c r="F35" s="138">
        <f>'KY_Cost Plant Acct-Gas-P20(REG)'!F35</f>
        <v>-174040.09</v>
      </c>
      <c r="G35" s="135"/>
      <c r="H35" s="138">
        <f>'KY_Cost Plant Acct-Gas-P20(REG)'!H35</f>
        <v>-3085.3</v>
      </c>
      <c r="I35" s="135"/>
      <c r="J35" s="135">
        <f t="shared" si="3"/>
        <v>385734.01</v>
      </c>
      <c r="K35" s="135"/>
      <c r="L35" s="135">
        <f t="shared" si="4"/>
        <v>3317259.49</v>
      </c>
      <c r="M35" s="146"/>
      <c r="N35" s="39">
        <f>'KY_Res by Plant Acct-P29 (Reg)'!R416</f>
        <v>-2214352.5400000005</v>
      </c>
      <c r="P35" s="39">
        <f t="shared" si="5"/>
        <v>1102906.9499999997</v>
      </c>
    </row>
    <row r="36" spans="1:16" x14ac:dyDescent="0.2">
      <c r="A36" s="3" t="s">
        <v>400</v>
      </c>
      <c r="B36" s="135">
        <f>'KY_Cost Plant Acct-Gas-P20(REG)'!B36+'KY_Cost Plant Acct-Gas-P20(REG)'!B97</f>
        <v>214328.50999999998</v>
      </c>
      <c r="C36" s="135"/>
      <c r="D36" s="135">
        <f>'KY_Cost Plant Acct-Gas-P20(REG)'!D36+'KY_Cost Plant Acct-Gas-P20(REG)'!D97</f>
        <v>0</v>
      </c>
      <c r="E36" s="135"/>
      <c r="F36" s="135">
        <f>'KY_Cost Plant Acct-Gas-P20(REG)'!F36</f>
        <v>0</v>
      </c>
      <c r="G36" s="135"/>
      <c r="H36" s="135">
        <f>'KY_Cost Plant Acct-Gas-P20(REG)'!H36</f>
        <v>0</v>
      </c>
      <c r="I36" s="135"/>
      <c r="J36" s="135">
        <f t="shared" si="3"/>
        <v>0</v>
      </c>
      <c r="K36" s="135"/>
      <c r="L36" s="135">
        <f t="shared" si="4"/>
        <v>214328.50999999998</v>
      </c>
      <c r="M36" s="146"/>
      <c r="N36" s="38">
        <f>'KY_Res by Plant Acct-P29 (Reg)'!R417</f>
        <v>-107217.2</v>
      </c>
      <c r="O36" s="31"/>
      <c r="P36" s="38">
        <f t="shared" si="5"/>
        <v>107111.30999999998</v>
      </c>
    </row>
    <row r="37" spans="1:16" x14ac:dyDescent="0.2">
      <c r="A37" s="22" t="s">
        <v>402</v>
      </c>
      <c r="B37" s="135">
        <f>'KY_Cost Plant Acct-Gas-P20(REG)'!B37+'KY_Cost Plant Acct-Gas-P20(REG)'!B98</f>
        <v>0</v>
      </c>
      <c r="C37" s="135"/>
      <c r="D37" s="135">
        <f>'KY_Cost Plant Acct-Gas-P20(REG)'!D37+'KY_Cost Plant Acct-Gas-P20(REG)'!D98</f>
        <v>0</v>
      </c>
      <c r="E37" s="135"/>
      <c r="F37" s="135">
        <f>'KY_Cost Plant Acct-Gas-P20(REG)'!F37</f>
        <v>0</v>
      </c>
      <c r="G37" s="135"/>
      <c r="H37" s="135">
        <f>'KY_Cost Plant Acct-Gas-P20(REG)'!H37</f>
        <v>0</v>
      </c>
      <c r="I37" s="135"/>
      <c r="J37" s="135">
        <f t="shared" si="3"/>
        <v>0</v>
      </c>
      <c r="K37" s="135"/>
      <c r="L37" s="135">
        <f t="shared" si="4"/>
        <v>0</v>
      </c>
      <c r="M37" s="146"/>
      <c r="N37" s="38">
        <f>'KY_Res by Plant Acct-P29 (Reg)'!R418</f>
        <v>-9.0949470177292824E-13</v>
      </c>
      <c r="P37" s="38">
        <f t="shared" si="5"/>
        <v>-9.0949470177292824E-13</v>
      </c>
    </row>
    <row r="38" spans="1:16" x14ac:dyDescent="0.2">
      <c r="B38" s="148">
        <f>SUM(B30:B37)</f>
        <v>11064550.530000001</v>
      </c>
      <c r="C38" s="135"/>
      <c r="D38" s="148">
        <f>SUM(D30:D37)</f>
        <v>1454862.29</v>
      </c>
      <c r="E38" s="135"/>
      <c r="F38" s="148">
        <f>SUM(F30:F37)</f>
        <v>-421851.45999999996</v>
      </c>
      <c r="G38" s="135"/>
      <c r="H38" s="148">
        <f>SUM(H30:H37)</f>
        <v>3657</v>
      </c>
      <c r="I38" s="135"/>
      <c r="J38" s="148">
        <f>SUM(J30:J37)</f>
        <v>1036667.83</v>
      </c>
      <c r="K38" s="135"/>
      <c r="L38" s="148">
        <f>SUM(L30:L37)</f>
        <v>12101218.360000001</v>
      </c>
      <c r="M38" s="146"/>
      <c r="N38" s="148">
        <f>SUM(N30:N37)</f>
        <v>-5772504.8500000006</v>
      </c>
      <c r="P38" s="148">
        <f>SUM(P30:P37)</f>
        <v>6328713.5100000007</v>
      </c>
    </row>
    <row r="39" spans="1:16" x14ac:dyDescent="0.2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46"/>
    </row>
    <row r="40" spans="1:16" x14ac:dyDescent="0.2">
      <c r="A40" s="10" t="s">
        <v>29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46"/>
    </row>
    <row r="41" spans="1:16" x14ac:dyDescent="0.2">
      <c r="A41" s="3" t="s">
        <v>404</v>
      </c>
      <c r="B41" s="149">
        <f>'KY_Cost Plant Acct-Gas-P20(REG)'!B41</f>
        <v>387.49</v>
      </c>
      <c r="C41" s="135"/>
      <c r="D41" s="149">
        <f>'KY_Cost Plant Acct-Gas-P20(REG)'!D41</f>
        <v>0</v>
      </c>
      <c r="E41" s="135"/>
      <c r="F41" s="149">
        <f>'KY_Cost Plant Acct-Gas-P20(REG)'!F41</f>
        <v>0</v>
      </c>
      <c r="G41" s="135"/>
      <c r="H41" s="149">
        <f>'KY_Cost Plant Acct-Gas-P20(REG)'!H41</f>
        <v>0</v>
      </c>
      <c r="I41" s="135"/>
      <c r="J41" s="149">
        <f>H41+F41+D41</f>
        <v>0</v>
      </c>
      <c r="K41" s="135"/>
      <c r="L41" s="149">
        <f>J41+B41</f>
        <v>387.49</v>
      </c>
      <c r="M41" s="146"/>
      <c r="N41" s="136">
        <f>'KY_Res by Plant Acct-P29 (Reg)'!R454</f>
        <v>-164.16000000000003</v>
      </c>
      <c r="P41" s="136">
        <f>L41+N41</f>
        <v>223.32999999999998</v>
      </c>
    </row>
    <row r="42" spans="1:16" x14ac:dyDescent="0.2">
      <c r="B42" s="135">
        <f>SUM(B41)</f>
        <v>387.49</v>
      </c>
      <c r="C42" s="135"/>
      <c r="D42" s="135">
        <f>SUM(D41)</f>
        <v>0</v>
      </c>
      <c r="E42" s="135"/>
      <c r="F42" s="135">
        <f>SUM(F41)</f>
        <v>0</v>
      </c>
      <c r="G42" s="135"/>
      <c r="H42" s="135">
        <f>SUM(H41)</f>
        <v>0</v>
      </c>
      <c r="I42" s="135"/>
      <c r="J42" s="135">
        <f>SUM(J41)</f>
        <v>0</v>
      </c>
      <c r="K42" s="135"/>
      <c r="L42" s="135">
        <f>SUM(L41)</f>
        <v>387.49</v>
      </c>
      <c r="M42" s="146"/>
      <c r="N42" s="39">
        <f>SUM(N41)</f>
        <v>-164.16000000000003</v>
      </c>
      <c r="P42" s="39">
        <f>SUM(P41)</f>
        <v>223.32999999999998</v>
      </c>
    </row>
    <row r="43" spans="1:16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6" x14ac:dyDescent="0.2">
      <c r="A44" s="10" t="s">
        <v>30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46"/>
    </row>
    <row r="45" spans="1:16" x14ac:dyDescent="0.2">
      <c r="A45" s="3" t="s">
        <v>406</v>
      </c>
      <c r="B45" s="135">
        <f>'KY_Cost Plant Acct-Gas-P20(REG)'!B45</f>
        <v>29500.57</v>
      </c>
      <c r="C45" s="135"/>
      <c r="D45" s="135">
        <f>'KY_Cost Plant Acct-Gas-P20(REG)'!D45</f>
        <v>0</v>
      </c>
      <c r="E45" s="135"/>
      <c r="F45" s="135">
        <f>'KY_Cost Plant Acct-Gas-P20(REG)'!F45</f>
        <v>0</v>
      </c>
      <c r="G45" s="135"/>
      <c r="H45" s="135">
        <f>'KY_Cost Plant Acct-Gas-P20(REG)'!H45</f>
        <v>0</v>
      </c>
      <c r="I45" s="135"/>
      <c r="J45" s="135">
        <f t="shared" ref="J45:J62" si="6">H45+F45+D45</f>
        <v>0</v>
      </c>
      <c r="K45" s="135"/>
      <c r="L45" s="135">
        <f t="shared" ref="L45:L62" si="7">J45+B45</f>
        <v>29500.57</v>
      </c>
      <c r="M45" s="146"/>
      <c r="N45" s="39">
        <f>'KY_Res by Plant Acct-P29 (Reg)'!R423</f>
        <v>0</v>
      </c>
      <c r="P45" s="39">
        <f t="shared" ref="P45:P62" si="8">L45+N45</f>
        <v>29500.57</v>
      </c>
    </row>
    <row r="46" spans="1:16" x14ac:dyDescent="0.2">
      <c r="A46" s="3" t="s">
        <v>407</v>
      </c>
      <c r="B46" s="135">
        <f>'KY_Cost Plant Acct-Gas-P20(REG)'!B46</f>
        <v>104869.48999999999</v>
      </c>
      <c r="C46" s="135"/>
      <c r="D46" s="135">
        <f>'KY_Cost Plant Acct-Gas-P20(REG)'!D46</f>
        <v>0</v>
      </c>
      <c r="E46" s="135"/>
      <c r="F46" s="135">
        <f>'KY_Cost Plant Acct-Gas-P20(REG)'!F46</f>
        <v>0</v>
      </c>
      <c r="G46" s="135"/>
      <c r="H46" s="135">
        <f>'KY_Cost Plant Acct-Gas-P20(REG)'!H46</f>
        <v>-3657</v>
      </c>
      <c r="I46" s="135"/>
      <c r="J46" s="135">
        <f t="shared" si="6"/>
        <v>-3657</v>
      </c>
      <c r="K46" s="135"/>
      <c r="L46" s="135">
        <f t="shared" si="7"/>
        <v>101212.48999999999</v>
      </c>
      <c r="M46" s="146"/>
      <c r="N46" s="39">
        <f>'KY_Res by Plant Acct-P29 (Reg)'!R424</f>
        <v>-69747.849999999991</v>
      </c>
      <c r="P46" s="39">
        <f t="shared" si="8"/>
        <v>31464.639999999999</v>
      </c>
    </row>
    <row r="47" spans="1:16" x14ac:dyDescent="0.2">
      <c r="A47" s="3" t="s">
        <v>409</v>
      </c>
      <c r="B47" s="135">
        <f>'KY_Cost Plant Acct-Gas-P20(REG)'!B47+'KY_Cost Plant Acct-Gas-P20(REG)'!B102</f>
        <v>9768133.6099999994</v>
      </c>
      <c r="C47" s="135"/>
      <c r="D47" s="135">
        <f>'KY_Cost Plant Acct-Gas-P20(REG)'!D47+'KY_Cost Plant Acct-Gas-P20(REG)'!D102</f>
        <v>289070.95</v>
      </c>
      <c r="E47" s="135"/>
      <c r="F47" s="135">
        <f>'KY_Cost Plant Acct-Gas-P20(REG)'!F47</f>
        <v>-3024.64</v>
      </c>
      <c r="G47" s="135"/>
      <c r="H47" s="135">
        <f>'KY_Cost Plant Acct-Gas-P20(REG)'!H47</f>
        <v>0</v>
      </c>
      <c r="I47" s="135"/>
      <c r="J47" s="135">
        <f t="shared" si="6"/>
        <v>286046.31</v>
      </c>
      <c r="K47" s="135"/>
      <c r="L47" s="135">
        <f t="shared" si="7"/>
        <v>10054179.92</v>
      </c>
      <c r="M47" s="146"/>
      <c r="N47" s="39">
        <f>'KY_Res by Plant Acct-P29 (Reg)'!R425</f>
        <v>-1462911.3900000001</v>
      </c>
      <c r="P47" s="39">
        <f t="shared" si="8"/>
        <v>8591268.5299999993</v>
      </c>
    </row>
    <row r="48" spans="1:16" x14ac:dyDescent="0.2">
      <c r="A48" s="3" t="s">
        <v>410</v>
      </c>
      <c r="B48" s="135">
        <f>'KY_Cost Plant Acct-Gas-P20(REG)'!B48+'KY_Cost Plant Acct-Gas-P20(REG)'!B103</f>
        <v>33151.61</v>
      </c>
      <c r="C48" s="135"/>
      <c r="D48" s="135">
        <f>'KY_Cost Plant Acct-Gas-P20(REG)'!D48+'KY_Cost Plant Acct-Gas-P20(REG)'!D103</f>
        <v>0</v>
      </c>
      <c r="E48" s="135"/>
      <c r="F48" s="135">
        <f>'KY_Cost Plant Acct-Gas-P20(REG)'!F48</f>
        <v>-108.56</v>
      </c>
      <c r="G48" s="135"/>
      <c r="H48" s="135">
        <f>'KY_Cost Plant Acct-Gas-P20(REG)'!H48</f>
        <v>0</v>
      </c>
      <c r="I48" s="135"/>
      <c r="J48" s="135">
        <f>H48+F48+D48</f>
        <v>-108.56</v>
      </c>
      <c r="K48" s="135"/>
      <c r="L48" s="135">
        <f>J48+B48</f>
        <v>33043.050000000003</v>
      </c>
      <c r="M48" s="146"/>
      <c r="N48" s="39">
        <f>'KY_Res by Plant Acct-P29 (Reg)'!R426</f>
        <v>-16208.390000000001</v>
      </c>
      <c r="P48" s="39">
        <f t="shared" si="8"/>
        <v>16834.660000000003</v>
      </c>
    </row>
    <row r="49" spans="1:16" x14ac:dyDescent="0.2">
      <c r="A49" s="3" t="s">
        <v>411</v>
      </c>
      <c r="B49" s="135">
        <f>'KY_Cost Plant Acct-Gas-P20(REG)'!B49+'KY_Cost Plant Acct-Gas-P20(REG)'!B104</f>
        <v>3307619.1</v>
      </c>
      <c r="C49" s="135"/>
      <c r="D49" s="135">
        <f>'KY_Cost Plant Acct-Gas-P20(REG)'!D49+'KY_Cost Plant Acct-Gas-P20(REG)'!D104</f>
        <v>924671.08</v>
      </c>
      <c r="E49" s="135"/>
      <c r="F49" s="135">
        <f>'KY_Cost Plant Acct-Gas-P20(REG)'!F49</f>
        <v>-9637.7999999999993</v>
      </c>
      <c r="G49" s="135"/>
      <c r="H49" s="135">
        <f>'KY_Cost Plant Acct-Gas-P20(REG)'!H49</f>
        <v>0</v>
      </c>
      <c r="I49" s="135"/>
      <c r="J49" s="135">
        <f t="shared" si="6"/>
        <v>915033.27999999991</v>
      </c>
      <c r="K49" s="135"/>
      <c r="L49" s="135">
        <f t="shared" si="7"/>
        <v>4222652.38</v>
      </c>
      <c r="M49" s="146"/>
      <c r="N49" s="39">
        <f>'KY_Res by Plant Acct-P29 (Reg)'!R427</f>
        <v>-717719.89999999991</v>
      </c>
      <c r="P49" s="39">
        <f t="shared" si="8"/>
        <v>3504932.48</v>
      </c>
    </row>
    <row r="50" spans="1:16" x14ac:dyDescent="0.2">
      <c r="A50" s="3" t="s">
        <v>417</v>
      </c>
      <c r="B50" s="135">
        <f>'KY_Cost Plant Acct-Gas-P20(REG)'!B50</f>
        <v>548241.14</v>
      </c>
      <c r="C50" s="135"/>
      <c r="D50" s="135">
        <f>'KY_Cost Plant Acct-Gas-P20(REG)'!D50</f>
        <v>0</v>
      </c>
      <c r="E50" s="135"/>
      <c r="F50" s="135">
        <f>'KY_Cost Plant Acct-Gas-P20(REG)'!F50</f>
        <v>0</v>
      </c>
      <c r="G50" s="135"/>
      <c r="H50" s="135">
        <f>'KY_Cost Plant Acct-Gas-P20(REG)'!H50</f>
        <v>0</v>
      </c>
      <c r="I50" s="135"/>
      <c r="J50" s="135">
        <f t="shared" si="6"/>
        <v>0</v>
      </c>
      <c r="K50" s="135"/>
      <c r="L50" s="135">
        <f t="shared" si="7"/>
        <v>548241.14</v>
      </c>
      <c r="M50" s="146"/>
      <c r="N50" s="39">
        <f>'KY_Res by Plant Acct-P29 (Reg)'!R428</f>
        <v>-569589.96</v>
      </c>
      <c r="P50" s="39">
        <f t="shared" si="8"/>
        <v>-21348.819999999949</v>
      </c>
    </row>
    <row r="51" spans="1:16" x14ac:dyDescent="0.2">
      <c r="A51" s="3" t="s">
        <v>418</v>
      </c>
      <c r="B51" s="135">
        <f>'KY_Cost Plant Acct-Gas-P20(REG)'!B51</f>
        <v>400511.4</v>
      </c>
      <c r="C51" s="135"/>
      <c r="D51" s="135">
        <f>'KY_Cost Plant Acct-Gas-P20(REG)'!D51</f>
        <v>0</v>
      </c>
      <c r="E51" s="135"/>
      <c r="F51" s="135">
        <f>'KY_Cost Plant Acct-Gas-P20(REG)'!F51</f>
        <v>0</v>
      </c>
      <c r="G51" s="135"/>
      <c r="H51" s="135">
        <f>'KY_Cost Plant Acct-Gas-P20(REG)'!H51</f>
        <v>0</v>
      </c>
      <c r="I51" s="135"/>
      <c r="J51" s="135">
        <f t="shared" si="6"/>
        <v>0</v>
      </c>
      <c r="K51" s="135"/>
      <c r="L51" s="135">
        <f t="shared" si="7"/>
        <v>400511.4</v>
      </c>
      <c r="M51" s="146"/>
      <c r="N51" s="39">
        <f>'KY_Res by Plant Acct-P29 (Reg)'!R429</f>
        <v>-452027.29</v>
      </c>
      <c r="P51" s="39">
        <f t="shared" si="8"/>
        <v>-51515.889999999956</v>
      </c>
    </row>
    <row r="52" spans="1:16" x14ac:dyDescent="0.2">
      <c r="A52" s="3" t="s">
        <v>419</v>
      </c>
      <c r="B52" s="135">
        <f>'KY_Cost Plant Acct-Gas-P20(REG)'!B52</f>
        <v>9648855</v>
      </c>
      <c r="C52" s="135"/>
      <c r="D52" s="135">
        <f>'KY_Cost Plant Acct-Gas-P20(REG)'!D52</f>
        <v>0</v>
      </c>
      <c r="E52" s="135"/>
      <c r="F52" s="135">
        <f>'KY_Cost Plant Acct-Gas-P20(REG)'!F52</f>
        <v>0</v>
      </c>
      <c r="G52" s="135"/>
      <c r="H52" s="135">
        <f>'KY_Cost Plant Acct-Gas-P20(REG)'!H52</f>
        <v>0</v>
      </c>
      <c r="I52" s="135"/>
      <c r="J52" s="135">
        <f t="shared" si="6"/>
        <v>0</v>
      </c>
      <c r="K52" s="135"/>
      <c r="L52" s="135">
        <f t="shared" si="7"/>
        <v>9648855</v>
      </c>
      <c r="M52" s="146"/>
      <c r="N52" s="39">
        <f>'KY_Res by Plant Acct-P29 (Reg)'!R430</f>
        <v>-8181488.0600000005</v>
      </c>
      <c r="P52" s="39">
        <f t="shared" si="8"/>
        <v>1467366.9399999995</v>
      </c>
    </row>
    <row r="53" spans="1:16" x14ac:dyDescent="0.2">
      <c r="A53" s="3" t="s">
        <v>413</v>
      </c>
      <c r="B53" s="135">
        <f>'KY_Cost Plant Acct-Gas-P20(REG)'!B53+'KY_Cost Plant Acct-Gas-P20(REG)'!B105</f>
        <v>3613513.9299999997</v>
      </c>
      <c r="C53" s="135"/>
      <c r="D53" s="135">
        <f>'KY_Cost Plant Acct-Gas-P20(REG)'!D53+'KY_Cost Plant Acct-Gas-P20(REG)'!D105</f>
        <v>0</v>
      </c>
      <c r="E53" s="135"/>
      <c r="F53" s="135">
        <f>'KY_Cost Plant Acct-Gas-P20(REG)'!F53+'KY_Cost Plant Acct-Gas-P20(REG)'!F105</f>
        <v>0</v>
      </c>
      <c r="G53" s="135"/>
      <c r="H53" s="135">
        <f>'KY_Cost Plant Acct-Gas-P20(REG)'!H53+'KY_Cost Plant Acct-Gas-P20(REG)'!H105</f>
        <v>0</v>
      </c>
      <c r="I53" s="135"/>
      <c r="J53" s="135">
        <f t="shared" si="6"/>
        <v>0</v>
      </c>
      <c r="K53" s="135"/>
      <c r="L53" s="135">
        <f>J53+B53</f>
        <v>3613513.9299999997</v>
      </c>
      <c r="M53" s="146"/>
      <c r="N53" s="39">
        <f>'KY_Res by Plant Acct-P29 (Reg)'!R431</f>
        <v>-1808695.4699999997</v>
      </c>
      <c r="P53" s="39">
        <f t="shared" si="8"/>
        <v>1804818.46</v>
      </c>
    </row>
    <row r="54" spans="1:16" x14ac:dyDescent="0.2">
      <c r="A54" s="3" t="s">
        <v>414</v>
      </c>
      <c r="B54" s="135">
        <f>'KY_Cost Plant Acct-Gas-P20(REG)'!B54+'KY_Cost Plant Acct-Gas-P20(REG)'!B106</f>
        <v>0</v>
      </c>
      <c r="C54" s="135"/>
      <c r="D54" s="135">
        <f>'KY_Cost Plant Acct-Gas-P20(REG)'!D54+'KY_Cost Plant Acct-Gas-P20(REG)'!D106</f>
        <v>0</v>
      </c>
      <c r="E54" s="135"/>
      <c r="F54" s="135">
        <f>'KY_Cost Plant Acct-Gas-P20(REG)'!F54</f>
        <v>0</v>
      </c>
      <c r="G54" s="135"/>
      <c r="H54" s="135">
        <f>'KY_Cost Plant Acct-Gas-P20(REG)'!H54</f>
        <v>0</v>
      </c>
      <c r="I54" s="135"/>
      <c r="J54" s="135">
        <f t="shared" si="6"/>
        <v>0</v>
      </c>
      <c r="K54" s="135"/>
      <c r="L54" s="135">
        <f t="shared" si="7"/>
        <v>0</v>
      </c>
      <c r="M54" s="146"/>
      <c r="N54" s="39">
        <f>'KY_Res by Plant Acct-P29 (Reg)'!R432</f>
        <v>2.3283064365386963E-10</v>
      </c>
      <c r="P54" s="39">
        <f t="shared" si="8"/>
        <v>2.3283064365386963E-10</v>
      </c>
    </row>
    <row r="55" spans="1:16" x14ac:dyDescent="0.2">
      <c r="A55" s="3" t="s">
        <v>415</v>
      </c>
      <c r="B55" s="135">
        <f>'KY_Cost Plant Acct-Gas-P20(REG)'!B55+'KY_Cost Plant Acct-Gas-P20(REG)'!B107</f>
        <v>10411548.419999998</v>
      </c>
      <c r="C55" s="135"/>
      <c r="D55" s="135">
        <f>'KY_Cost Plant Acct-Gas-P20(REG)'!D55+'KY_Cost Plant Acct-Gas-P20(REG)'!D107</f>
        <v>550303.54</v>
      </c>
      <c r="E55" s="135"/>
      <c r="F55" s="135">
        <f>'KY_Cost Plant Acct-Gas-P20(REG)'!F55</f>
        <v>-26431.73</v>
      </c>
      <c r="G55" s="135"/>
      <c r="H55" s="135">
        <f>'KY_Cost Plant Acct-Gas-P20(REG)'!H55</f>
        <v>0</v>
      </c>
      <c r="I55" s="135"/>
      <c r="J55" s="135">
        <f t="shared" si="6"/>
        <v>523871.81000000006</v>
      </c>
      <c r="K55" s="135"/>
      <c r="L55" s="135">
        <f>J55+B55</f>
        <v>10935420.229999999</v>
      </c>
      <c r="M55" s="146"/>
      <c r="N55" s="39">
        <f>'KY_Res by Plant Acct-P29 (Reg)'!R433</f>
        <v>-2165363.2700000005</v>
      </c>
      <c r="P55" s="39">
        <f t="shared" si="8"/>
        <v>8770056.9599999972</v>
      </c>
    </row>
    <row r="56" spans="1:16" x14ac:dyDescent="0.2">
      <c r="A56" s="3" t="s">
        <v>420</v>
      </c>
      <c r="B56" s="135">
        <f>'KY_Cost Plant Acct-Gas-P20(REG)'!B56+'KY_Cost Plant Acct-Gas-P20(REG)'!B108</f>
        <v>16631876.729999999</v>
      </c>
      <c r="C56" s="135"/>
      <c r="D56" s="135">
        <f>'KY_Cost Plant Acct-Gas-P20(REG)'!D56+'KY_Cost Plant Acct-Gas-P20(REG)'!D108</f>
        <v>1659922.8</v>
      </c>
      <c r="E56" s="135"/>
      <c r="F56" s="135">
        <f>'KY_Cost Plant Acct-Gas-P20(REG)'!F56</f>
        <v>-2568.4899999999998</v>
      </c>
      <c r="G56" s="135"/>
      <c r="H56" s="135">
        <f>'KY_Cost Plant Acct-Gas-P20(REG)'!H56</f>
        <v>0</v>
      </c>
      <c r="I56" s="135"/>
      <c r="J56" s="135">
        <f t="shared" si="6"/>
        <v>1657354.31</v>
      </c>
      <c r="K56" s="135"/>
      <c r="L56" s="135">
        <f t="shared" si="7"/>
        <v>18289231.039999999</v>
      </c>
      <c r="M56" s="146"/>
      <c r="N56" s="39">
        <f>'KY_Res by Plant Acct-P29 (Reg)'!R434</f>
        <v>-7913447.9699999969</v>
      </c>
      <c r="P56" s="39">
        <f t="shared" si="8"/>
        <v>10375783.070000002</v>
      </c>
    </row>
    <row r="57" spans="1:16" x14ac:dyDescent="0.2">
      <c r="A57" s="3" t="s">
        <v>421</v>
      </c>
      <c r="B57" s="135">
        <f>'KY_Cost Plant Acct-Gas-P20(REG)'!B57+'KY_Cost Plant Acct-Gas-P20(REG)'!B109</f>
        <v>45945773.939999998</v>
      </c>
      <c r="C57" s="135"/>
      <c r="D57" s="135">
        <f>'KY_Cost Plant Acct-Gas-P20(REG)'!D57+'KY_Cost Plant Acct-Gas-P20(REG)'!D109</f>
        <v>10617584.890000001</v>
      </c>
      <c r="E57" s="135"/>
      <c r="F57" s="135">
        <f>'KY_Cost Plant Acct-Gas-P20(REG)'!F57</f>
        <v>-364291.37</v>
      </c>
      <c r="G57" s="135"/>
      <c r="H57" s="135">
        <f>'KY_Cost Plant Acct-Gas-P20(REG)'!H57</f>
        <v>0</v>
      </c>
      <c r="I57" s="135"/>
      <c r="J57" s="135">
        <f t="shared" si="6"/>
        <v>10253293.520000001</v>
      </c>
      <c r="K57" s="135"/>
      <c r="L57" s="135">
        <f t="shared" si="7"/>
        <v>56199067.460000001</v>
      </c>
      <c r="M57" s="146"/>
      <c r="N57" s="39">
        <f>'KY_Res by Plant Acct-P29 (Reg)'!R435</f>
        <v>-7327837.9300000006</v>
      </c>
      <c r="P57" s="39">
        <f t="shared" si="8"/>
        <v>48871229.530000001</v>
      </c>
    </row>
    <row r="58" spans="1:16" x14ac:dyDescent="0.2">
      <c r="A58" s="3" t="s">
        <v>422</v>
      </c>
      <c r="B58" s="135">
        <f>'KY_Cost Plant Acct-Gas-P20(REG)'!B58+'KY_Cost Plant Acct-Gas-P20(REG)'!B110</f>
        <v>749435.65999999992</v>
      </c>
      <c r="C58" s="135"/>
      <c r="D58" s="135">
        <f>'KY_Cost Plant Acct-Gas-P20(REG)'!D58+'KY_Cost Plant Acct-Gas-P20(REG)'!D110</f>
        <v>1238056.55</v>
      </c>
      <c r="E58" s="135"/>
      <c r="F58" s="135">
        <f>'KY_Cost Plant Acct-Gas-P20(REG)'!F58</f>
        <v>-2288.25</v>
      </c>
      <c r="G58" s="135"/>
      <c r="H58" s="135">
        <f>'KY_Cost Plant Acct-Gas-P20(REG)'!H58</f>
        <v>0</v>
      </c>
      <c r="I58" s="135"/>
      <c r="J58" s="135">
        <f t="shared" si="6"/>
        <v>1235768.3</v>
      </c>
      <c r="K58" s="135"/>
      <c r="L58" s="135">
        <f t="shared" si="7"/>
        <v>1985203.96</v>
      </c>
      <c r="M58" s="146"/>
      <c r="N58" s="39">
        <f>'KY_Res by Plant Acct-P29 (Reg)'!R436</f>
        <v>-261457.31000000006</v>
      </c>
      <c r="P58" s="39">
        <f t="shared" si="8"/>
        <v>1723746.65</v>
      </c>
    </row>
    <row r="59" spans="1:16" x14ac:dyDescent="0.2">
      <c r="A59" s="3" t="s">
        <v>423</v>
      </c>
      <c r="B59" s="135">
        <f>'KY_Cost Plant Acct-Gas-P20(REG)'!B59+'KY_Cost Plant Acct-Gas-P20(REG)'!B111</f>
        <v>18836405.289999999</v>
      </c>
      <c r="C59" s="135"/>
      <c r="D59" s="135">
        <f>'KY_Cost Plant Acct-Gas-P20(REG)'!D59+'KY_Cost Plant Acct-Gas-P20(REG)'!D111</f>
        <v>4042342.36</v>
      </c>
      <c r="E59" s="135"/>
      <c r="F59" s="135">
        <f>'KY_Cost Plant Acct-Gas-P20(REG)'!F59</f>
        <v>-34323.68</v>
      </c>
      <c r="G59" s="135"/>
      <c r="H59" s="135">
        <f>'KY_Cost Plant Acct-Gas-P20(REG)'!H59</f>
        <v>0</v>
      </c>
      <c r="I59" s="135"/>
      <c r="J59" s="135">
        <f t="shared" si="6"/>
        <v>4008018.6799999997</v>
      </c>
      <c r="K59" s="135"/>
      <c r="L59" s="135">
        <f t="shared" si="7"/>
        <v>22844423.969999999</v>
      </c>
      <c r="M59" s="146"/>
      <c r="N59" s="39">
        <f>'KY_Res by Plant Acct-P29 (Reg)'!R437</f>
        <v>-5682900.6700000018</v>
      </c>
      <c r="P59" s="39">
        <f t="shared" si="8"/>
        <v>17161523.299999997</v>
      </c>
    </row>
    <row r="60" spans="1:16" x14ac:dyDescent="0.2">
      <c r="A60" s="3" t="s">
        <v>424</v>
      </c>
      <c r="B60" s="135">
        <f>'KY_Cost Plant Acct-Gas-P20(REG)'!B60+'KY_Cost Plant Acct-Gas-P20(REG)'!B112</f>
        <v>1483937.51</v>
      </c>
      <c r="C60" s="135"/>
      <c r="D60" s="135">
        <f>'KY_Cost Plant Acct-Gas-P20(REG)'!D60+'KY_Cost Plant Acct-Gas-P20(REG)'!D112</f>
        <v>356740.76</v>
      </c>
      <c r="E60" s="135"/>
      <c r="F60" s="135">
        <f>'KY_Cost Plant Acct-Gas-P20(REG)'!F60+'KY_Cost Plant Acct-Gas-P20(REG)'!F112</f>
        <v>-4875.8100000000004</v>
      </c>
      <c r="G60" s="135"/>
      <c r="H60" s="135">
        <f>'KY_Cost Plant Acct-Gas-P20(REG)'!H60+'KY_Cost Plant Acct-Gas-P20(REG)'!H112</f>
        <v>0</v>
      </c>
      <c r="I60" s="135"/>
      <c r="J60" s="135">
        <f t="shared" si="6"/>
        <v>351864.95</v>
      </c>
      <c r="K60" s="135"/>
      <c r="L60" s="135">
        <f t="shared" si="7"/>
        <v>1835802.46</v>
      </c>
      <c r="M60" s="146"/>
      <c r="N60" s="39">
        <f>'KY_Res by Plant Acct-P29 (Reg)'!R438</f>
        <v>-407934.85000000009</v>
      </c>
      <c r="P60" s="39">
        <f t="shared" si="8"/>
        <v>1427867.6099999999</v>
      </c>
    </row>
    <row r="61" spans="1:16" x14ac:dyDescent="0.2">
      <c r="A61" s="3" t="s">
        <v>425</v>
      </c>
      <c r="B61" s="135">
        <f>'KY_Cost Plant Acct-Gas-P20(REG)'!B61</f>
        <v>277032.93</v>
      </c>
      <c r="C61" s="135"/>
      <c r="D61" s="135">
        <f>'KY_Cost Plant Acct-Gas-P20(REG)'!D61</f>
        <v>0</v>
      </c>
      <c r="E61" s="135"/>
      <c r="F61" s="135">
        <f>'KY_Cost Plant Acct-Gas-P20(REG)'!F61</f>
        <v>-4450.28</v>
      </c>
      <c r="G61" s="135"/>
      <c r="H61" s="135">
        <f>'KY_Cost Plant Acct-Gas-P20(REG)'!H61</f>
        <v>-60904</v>
      </c>
      <c r="I61" s="135"/>
      <c r="J61" s="135">
        <f t="shared" si="6"/>
        <v>-65354.28</v>
      </c>
      <c r="K61" s="135"/>
      <c r="L61" s="135">
        <f t="shared" si="7"/>
        <v>211678.65</v>
      </c>
      <c r="M61" s="146"/>
      <c r="N61" s="39">
        <f>'KY_Res by Plant Acct-P29 (Reg)'!R439</f>
        <v>-150931.94999999998</v>
      </c>
      <c r="P61" s="39">
        <f t="shared" si="8"/>
        <v>60746.700000000012</v>
      </c>
    </row>
    <row r="62" spans="1:16" x14ac:dyDescent="0.2">
      <c r="A62" s="3" t="s">
        <v>426</v>
      </c>
      <c r="B62" s="149">
        <f>'KY_Cost Plant Acct-Gas-P20(REG)'!B62</f>
        <v>4212982.8600000003</v>
      </c>
      <c r="C62" s="135"/>
      <c r="D62" s="149">
        <f>'KY_Cost Plant Acct-Gas-P20(REG)'!D62</f>
        <v>0</v>
      </c>
      <c r="E62" s="135"/>
      <c r="F62" s="149">
        <f>'KY_Cost Plant Acct-Gas-P20(REG)'!F62</f>
        <v>-52867.67</v>
      </c>
      <c r="G62" s="135"/>
      <c r="H62" s="149">
        <f>'KY_Cost Plant Acct-Gas-P20(REG)'!H62</f>
        <v>808505.9</v>
      </c>
      <c r="I62" s="135"/>
      <c r="J62" s="149">
        <f t="shared" si="6"/>
        <v>755638.23</v>
      </c>
      <c r="K62" s="135"/>
      <c r="L62" s="149">
        <f t="shared" si="7"/>
        <v>4968621.09</v>
      </c>
      <c r="M62" s="146"/>
      <c r="N62" s="136">
        <f>'KY_Res by Plant Acct-P29 (Reg)'!R440</f>
        <v>-822759.88</v>
      </c>
      <c r="P62" s="136">
        <f t="shared" si="8"/>
        <v>4145861.21</v>
      </c>
    </row>
    <row r="63" spans="1:16" x14ac:dyDescent="0.2">
      <c r="B63" s="135">
        <f>SUM(B45:B62)</f>
        <v>126003389.19</v>
      </c>
      <c r="C63" s="135"/>
      <c r="D63" s="135">
        <f>SUM(D45:D62)</f>
        <v>19678692.930000003</v>
      </c>
      <c r="E63" s="135"/>
      <c r="F63" s="135">
        <f>SUM(F45:F62)</f>
        <v>-504868.27999999997</v>
      </c>
      <c r="G63" s="135"/>
      <c r="H63" s="135">
        <f>SUM(H45:H62)</f>
        <v>743944.9</v>
      </c>
      <c r="I63" s="135"/>
      <c r="J63" s="135">
        <f>SUM(J45:J62)</f>
        <v>19917769.550000001</v>
      </c>
      <c r="K63" s="135"/>
      <c r="L63" s="135">
        <f>SUM(L45:L62)</f>
        <v>145921158.74000001</v>
      </c>
      <c r="M63" s="146"/>
      <c r="N63" s="39">
        <f>SUM(N45:N62)</f>
        <v>-38011022.140000001</v>
      </c>
      <c r="P63" s="39">
        <f>SUM(P45:P62)</f>
        <v>107910136.59999999</v>
      </c>
    </row>
    <row r="64" spans="1:16" x14ac:dyDescent="0.2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45"/>
    </row>
    <row r="65" spans="1:16" x14ac:dyDescent="0.2">
      <c r="A65" s="10" t="s">
        <v>31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45"/>
    </row>
    <row r="66" spans="1:16" x14ac:dyDescent="0.2">
      <c r="A66" s="3" t="s">
        <v>429</v>
      </c>
      <c r="B66" s="138">
        <f>'KY_Cost Plant Acct-Gas-P20(REG)'!B66</f>
        <v>220659.05</v>
      </c>
      <c r="C66" s="138"/>
      <c r="D66" s="138">
        <f>'KY_Cost Plant Acct-Gas-P20(REG)'!D66</f>
        <v>0</v>
      </c>
      <c r="E66" s="138"/>
      <c r="F66" s="138">
        <f>'KY_Cost Plant Acct-Gas-P20(REG)'!F66</f>
        <v>0</v>
      </c>
      <c r="G66" s="138"/>
      <c r="H66" s="138">
        <f>'KY_Cost Plant Acct-Gas-P20(REG)'!H66</f>
        <v>0</v>
      </c>
      <c r="I66" s="138"/>
      <c r="J66" s="138">
        <f>H66+F66+D66</f>
        <v>0</v>
      </c>
      <c r="K66" s="138"/>
      <c r="L66" s="138">
        <f>J66+B66</f>
        <v>220659.05</v>
      </c>
      <c r="M66" s="145"/>
      <c r="N66" s="39">
        <f>'KY_Res by Plant Acct-P29 (Reg)'!R444</f>
        <v>-210845.43</v>
      </c>
      <c r="P66" s="39">
        <f>L66+N66</f>
        <v>9813.6199999999953</v>
      </c>
    </row>
    <row r="67" spans="1:16" x14ac:dyDescent="0.2">
      <c r="A67" s="3" t="s">
        <v>430</v>
      </c>
      <c r="B67" s="138">
        <f>'KY_Cost Plant Acct-Gas-P20(REG)'!B67+'KY_Cost Plant Acct-Gas-P20(REG)'!B116</f>
        <v>50220166.610000007</v>
      </c>
      <c r="C67" s="138"/>
      <c r="D67" s="138">
        <f>'KY_Cost Plant Acct-Gas-P20(REG)'!D67+'KY_Cost Plant Acct-Gas-P20(REG)'!D116</f>
        <v>2375373.0699999998</v>
      </c>
      <c r="E67" s="138"/>
      <c r="F67" s="138">
        <f>'KY_Cost Plant Acct-Gas-P20(REG)'!F67</f>
        <v>-88991</v>
      </c>
      <c r="G67" s="138"/>
      <c r="H67" s="138">
        <f>'KY_Cost Plant Acct-Gas-P20(REG)'!H67</f>
        <v>0</v>
      </c>
      <c r="I67" s="138"/>
      <c r="J67" s="138">
        <f>H67+F67+D67</f>
        <v>2286382.0699999998</v>
      </c>
      <c r="K67" s="138"/>
      <c r="L67" s="138">
        <f>J67+B67</f>
        <v>52506548.680000007</v>
      </c>
      <c r="M67" s="145"/>
      <c r="N67" s="39">
        <f>'KY_Res by Plant Acct-P29 (Reg)'!R445</f>
        <v>-11320424.589999998</v>
      </c>
      <c r="P67" s="39">
        <f>L67+N67</f>
        <v>41186124.090000011</v>
      </c>
    </row>
    <row r="68" spans="1:16" x14ac:dyDescent="0.2">
      <c r="A68" s="22" t="s">
        <v>2775</v>
      </c>
      <c r="B68" s="138">
        <f>'KY_Cost Plant Acct-Gas-P20(REG)'!B68</f>
        <v>2332004.9099999997</v>
      </c>
      <c r="C68" s="135"/>
      <c r="D68" s="138">
        <f>'KY_Cost Plant Acct-Gas-P20(REG)'!D68</f>
        <v>0</v>
      </c>
      <c r="E68" s="135"/>
      <c r="F68" s="138">
        <f>'KY_Cost Plant Acct-Gas-P20(REG)'!F68</f>
        <v>-2851.93</v>
      </c>
      <c r="G68" s="135"/>
      <c r="H68" s="138">
        <f>'KY_Cost Plant Acct-Gas-P20(REG)'!H68</f>
        <v>-1269</v>
      </c>
      <c r="I68" s="135"/>
      <c r="J68" s="138">
        <f>'KY_Cost Plant Acct-Gas-P20(REG)'!J68</f>
        <v>-4120.93</v>
      </c>
      <c r="K68" s="135"/>
      <c r="L68" s="138">
        <f>J68+B68</f>
        <v>2327883.9799999995</v>
      </c>
      <c r="M68" s="146"/>
      <c r="N68" s="39">
        <f>'KY_Res by Plant Acct-P29 (Reg)'!R446</f>
        <v>-341676.45999999996</v>
      </c>
      <c r="O68" s="31"/>
      <c r="P68" s="38">
        <f>L68+N68</f>
        <v>1986207.5199999996</v>
      </c>
    </row>
    <row r="69" spans="1:16" x14ac:dyDescent="0.2">
      <c r="B69" s="148">
        <f>SUM(B66:B68)</f>
        <v>52772830.57</v>
      </c>
      <c r="C69" s="135"/>
      <c r="D69" s="148">
        <f>SUM(D66:D68)</f>
        <v>2375373.0699999998</v>
      </c>
      <c r="E69" s="135"/>
      <c r="F69" s="148">
        <f>SUM(F66:F68)</f>
        <v>-91842.93</v>
      </c>
      <c r="G69" s="135"/>
      <c r="H69" s="148">
        <f>SUM(H66:H68)</f>
        <v>-1269</v>
      </c>
      <c r="I69" s="135"/>
      <c r="J69" s="148">
        <f>SUM(J66:J68)</f>
        <v>2282261.1399999997</v>
      </c>
      <c r="K69" s="135"/>
      <c r="L69" s="148">
        <f>SUM(L66:L68)</f>
        <v>55055091.710000001</v>
      </c>
      <c r="M69" s="146"/>
      <c r="N69" s="148">
        <f>SUM(N66:N68)</f>
        <v>-11872946.479999997</v>
      </c>
      <c r="P69" s="148">
        <f>SUM(P66:P68)</f>
        <v>43182145.230000004</v>
      </c>
    </row>
    <row r="70" spans="1:16" x14ac:dyDescent="0.2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46"/>
    </row>
    <row r="71" spans="1:16" x14ac:dyDescent="0.2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45"/>
    </row>
    <row r="72" spans="1:16" ht="13.5" thickBot="1" x14ac:dyDescent="0.25">
      <c r="A72" s="10" t="s">
        <v>2785</v>
      </c>
      <c r="B72" s="143">
        <f>B69+B63+B42+B38+B27</f>
        <v>1008210597.64</v>
      </c>
      <c r="C72" s="135"/>
      <c r="D72" s="143">
        <f>D69+D63+D42+D38+D27</f>
        <v>96014584.430000007</v>
      </c>
      <c r="E72" s="135"/>
      <c r="F72" s="143">
        <f>F69+F63+F42+F38+F27</f>
        <v>-9997705.8800000008</v>
      </c>
      <c r="G72" s="135"/>
      <c r="H72" s="143">
        <f>H69+H63+H42+H38+H27</f>
        <v>2325533.2799999998</v>
      </c>
      <c r="I72" s="135"/>
      <c r="J72" s="143">
        <f>J69+J63+J42+J38+J27</f>
        <v>88342411.829999998</v>
      </c>
      <c r="K72" s="135"/>
      <c r="L72" s="143">
        <f>L69+L63+L42+L38+L27</f>
        <v>1096553009.4700003</v>
      </c>
      <c r="M72" s="145"/>
      <c r="N72" s="143">
        <f>N69+N63+N42+N38+N27</f>
        <v>-306479843.30999994</v>
      </c>
      <c r="P72" s="143">
        <f>P69+P63+P42+P38+P27</f>
        <v>790073166.15999985</v>
      </c>
    </row>
    <row r="73" spans="1:16" ht="13.5" thickTop="1" x14ac:dyDescent="0.2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45"/>
    </row>
    <row r="74" spans="1:16" x14ac:dyDescent="0.2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45"/>
      <c r="N74" s="138"/>
    </row>
    <row r="75" spans="1:16" x14ac:dyDescent="0.2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45"/>
    </row>
    <row r="76" spans="1:16" x14ac:dyDescent="0.2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45"/>
    </row>
    <row r="77" spans="1:16" x14ac:dyDescent="0.2"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45"/>
    </row>
    <row r="78" spans="1:16" x14ac:dyDescent="0.2"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45"/>
    </row>
    <row r="79" spans="1:16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6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32"/>
  </sheetPr>
  <dimension ref="A1:O162"/>
  <sheetViews>
    <sheetView zoomScaleNormal="100" workbookViewId="0">
      <pane xSplit="1" ySplit="8" topLeftCell="B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5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5" style="3" bestFit="1" customWidth="1"/>
    <col min="14" max="14" width="13.85546875" style="3" bestFit="1" customWidth="1"/>
    <col min="15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09" t="s">
        <v>2786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A8" s="10"/>
      <c r="B8" s="18"/>
      <c r="D8" s="18"/>
      <c r="F8" s="18"/>
      <c r="H8" s="18"/>
      <c r="J8" s="18"/>
      <c r="L8" s="18"/>
    </row>
    <row r="9" spans="1:13" x14ac:dyDescent="0.2">
      <c r="A9" s="10" t="s">
        <v>2572</v>
      </c>
      <c r="B9" s="18"/>
      <c r="D9" s="18"/>
      <c r="F9" s="18"/>
      <c r="H9" s="18"/>
      <c r="J9" s="18"/>
      <c r="L9" s="18"/>
    </row>
    <row r="10" spans="1:13" x14ac:dyDescent="0.2">
      <c r="A10" s="10" t="s">
        <v>27</v>
      </c>
    </row>
    <row r="11" spans="1:13" x14ac:dyDescent="0.2">
      <c r="A11" s="3" t="s">
        <v>2787</v>
      </c>
      <c r="B11" s="15">
        <v>60478.68</v>
      </c>
      <c r="C11" s="15"/>
      <c r="D11" s="17">
        <v>0</v>
      </c>
      <c r="E11" s="15"/>
      <c r="F11" s="17">
        <v>0</v>
      </c>
      <c r="G11" s="15"/>
      <c r="H11" s="17">
        <v>0</v>
      </c>
      <c r="I11" s="15"/>
      <c r="J11" s="15">
        <f>H11+F11+D11</f>
        <v>0</v>
      </c>
      <c r="K11" s="15"/>
      <c r="L11" s="15">
        <f>J11+B11</f>
        <v>60478.68</v>
      </c>
      <c r="M11" s="29"/>
    </row>
    <row r="12" spans="1:13" x14ac:dyDescent="0.2">
      <c r="A12" s="3" t="s">
        <v>2788</v>
      </c>
      <c r="B12" s="15">
        <v>74018.23</v>
      </c>
      <c r="C12" s="15"/>
      <c r="D12" s="17">
        <v>0</v>
      </c>
      <c r="E12" s="15"/>
      <c r="F12" s="17">
        <v>0</v>
      </c>
      <c r="G12" s="15"/>
      <c r="H12" s="17">
        <v>0</v>
      </c>
      <c r="I12" s="15"/>
      <c r="J12" s="15">
        <f t="shared" ref="J12:J25" si="0">H12+F12+D12</f>
        <v>0</v>
      </c>
      <c r="K12" s="15"/>
      <c r="L12" s="15">
        <f t="shared" ref="L12:L26" si="1">J12+B12</f>
        <v>74018.23</v>
      </c>
      <c r="M12" s="29"/>
    </row>
    <row r="13" spans="1:13" x14ac:dyDescent="0.2">
      <c r="A13" s="3" t="s">
        <v>2789</v>
      </c>
      <c r="B13" s="15">
        <v>499620.92000000004</v>
      </c>
      <c r="C13" s="15"/>
      <c r="D13" s="17">
        <v>0</v>
      </c>
      <c r="E13" s="15"/>
      <c r="F13" s="17">
        <v>-597.48</v>
      </c>
      <c r="G13" s="15"/>
      <c r="H13" s="17">
        <v>0</v>
      </c>
      <c r="I13" s="15"/>
      <c r="J13" s="15">
        <f t="shared" si="0"/>
        <v>-597.48</v>
      </c>
      <c r="K13" s="15"/>
      <c r="L13" s="15">
        <f t="shared" si="1"/>
        <v>499023.44000000006</v>
      </c>
      <c r="M13" s="29"/>
    </row>
    <row r="14" spans="1:13" x14ac:dyDescent="0.2">
      <c r="A14" s="3" t="s">
        <v>2790</v>
      </c>
      <c r="B14" s="15">
        <v>508398.20000000007</v>
      </c>
      <c r="C14" s="15"/>
      <c r="D14" s="17">
        <v>159484.82999999999</v>
      </c>
      <c r="E14" s="15"/>
      <c r="F14" s="17">
        <v>-3808.67</v>
      </c>
      <c r="G14" s="15"/>
      <c r="H14" s="17">
        <v>12074.4</v>
      </c>
      <c r="I14" s="15"/>
      <c r="J14" s="15">
        <f t="shared" si="0"/>
        <v>167750.56</v>
      </c>
      <c r="K14" s="15"/>
      <c r="L14" s="15">
        <f t="shared" si="1"/>
        <v>676148.76</v>
      </c>
      <c r="M14" s="29"/>
    </row>
    <row r="15" spans="1:13" x14ac:dyDescent="0.2">
      <c r="A15" s="133" t="s">
        <v>2791</v>
      </c>
      <c r="B15" s="15">
        <v>335066142.28999996</v>
      </c>
      <c r="C15" s="15"/>
      <c r="D15" s="17">
        <v>4411419.07</v>
      </c>
      <c r="E15" s="15"/>
      <c r="F15" s="17">
        <v>-309953.23</v>
      </c>
      <c r="G15" s="15"/>
      <c r="H15" s="17">
        <v>0</v>
      </c>
      <c r="I15" s="15"/>
      <c r="J15" s="15">
        <f t="shared" si="0"/>
        <v>4101465.8400000003</v>
      </c>
      <c r="K15" s="15"/>
      <c r="L15" s="15">
        <f t="shared" si="1"/>
        <v>339167608.12999994</v>
      </c>
      <c r="M15" s="29"/>
    </row>
    <row r="16" spans="1:13" x14ac:dyDescent="0.2">
      <c r="A16" s="133" t="s">
        <v>2792</v>
      </c>
      <c r="B16" s="15">
        <v>36101789.010000005</v>
      </c>
      <c r="C16" s="15"/>
      <c r="D16" s="17">
        <v>8847839.1699999999</v>
      </c>
      <c r="E16" s="15"/>
      <c r="F16" s="17">
        <v>0</v>
      </c>
      <c r="G16" s="15"/>
      <c r="H16" s="17">
        <v>0</v>
      </c>
      <c r="I16" s="15"/>
      <c r="J16" s="15">
        <f t="shared" si="0"/>
        <v>8847839.1699999999</v>
      </c>
      <c r="K16" s="15"/>
      <c r="L16" s="15">
        <f t="shared" si="1"/>
        <v>44949628.180000007</v>
      </c>
      <c r="M16" s="29"/>
    </row>
    <row r="17" spans="1:15" x14ac:dyDescent="0.2">
      <c r="A17" s="3" t="s">
        <v>2793</v>
      </c>
      <c r="B17" s="15">
        <v>16314378.329999998</v>
      </c>
      <c r="C17" s="15"/>
      <c r="D17" s="17">
        <v>1617236.04</v>
      </c>
      <c r="E17" s="15"/>
      <c r="F17" s="17">
        <v>-87472.57</v>
      </c>
      <c r="G17" s="15"/>
      <c r="H17" s="17">
        <v>0</v>
      </c>
      <c r="I17" s="15"/>
      <c r="J17" s="15">
        <f t="shared" si="0"/>
        <v>1529763.47</v>
      </c>
      <c r="K17" s="15"/>
      <c r="L17" s="15">
        <f t="shared" si="1"/>
        <v>17844141.799999997</v>
      </c>
      <c r="M17" s="29"/>
    </row>
    <row r="18" spans="1:15" x14ac:dyDescent="0.2">
      <c r="A18" s="3" t="s">
        <v>2794</v>
      </c>
      <c r="B18" s="15">
        <v>6928049.6000000006</v>
      </c>
      <c r="C18" s="15"/>
      <c r="D18" s="17">
        <v>370892.07</v>
      </c>
      <c r="E18" s="15"/>
      <c r="F18" s="17">
        <v>-24883.53</v>
      </c>
      <c r="G18" s="15"/>
      <c r="H18" s="17">
        <v>0</v>
      </c>
      <c r="I18" s="15"/>
      <c r="J18" s="15">
        <f t="shared" si="0"/>
        <v>346008.54000000004</v>
      </c>
      <c r="K18" s="15"/>
      <c r="L18" s="15">
        <f t="shared" si="1"/>
        <v>7274058.1400000006</v>
      </c>
      <c r="M18" s="29"/>
    </row>
    <row r="19" spans="1:15" x14ac:dyDescent="0.2">
      <c r="A19" s="3" t="s">
        <v>2795</v>
      </c>
      <c r="B19" s="15">
        <v>200851250.06999999</v>
      </c>
      <c r="C19" s="15"/>
      <c r="D19" s="17">
        <v>2493.89</v>
      </c>
      <c r="E19" s="15"/>
      <c r="F19" s="17">
        <v>-7034482.9400000004</v>
      </c>
      <c r="G19" s="15"/>
      <c r="H19" s="17">
        <v>0</v>
      </c>
      <c r="I19" s="15"/>
      <c r="J19" s="15">
        <f t="shared" si="0"/>
        <v>-7031989.0500000007</v>
      </c>
      <c r="K19" s="15"/>
      <c r="L19" s="15">
        <f t="shared" si="1"/>
        <v>193819261.01999998</v>
      </c>
      <c r="M19" s="29"/>
    </row>
    <row r="20" spans="1:15" x14ac:dyDescent="0.2">
      <c r="A20" s="22" t="s">
        <v>2796</v>
      </c>
      <c r="B20" s="15">
        <v>92141968.599999994</v>
      </c>
      <c r="C20" s="15"/>
      <c r="D20" s="17">
        <v>50012080.020000003</v>
      </c>
      <c r="E20" s="15"/>
      <c r="F20" s="17">
        <v>0</v>
      </c>
      <c r="G20" s="15"/>
      <c r="H20" s="17">
        <v>0</v>
      </c>
      <c r="I20" s="15"/>
      <c r="J20" s="15">
        <f t="shared" si="0"/>
        <v>50012080.020000003</v>
      </c>
      <c r="K20" s="15"/>
      <c r="L20" s="15">
        <f t="shared" si="1"/>
        <v>142154048.62</v>
      </c>
      <c r="M20" s="29"/>
    </row>
    <row r="21" spans="1:15" x14ac:dyDescent="0.2">
      <c r="A21" s="3" t="s">
        <v>2797</v>
      </c>
      <c r="B21" s="15">
        <v>47293647.549999997</v>
      </c>
      <c r="C21" s="15"/>
      <c r="D21" s="17">
        <v>2597142.88</v>
      </c>
      <c r="E21" s="15"/>
      <c r="F21" s="17">
        <v>-846588.36</v>
      </c>
      <c r="G21" s="15"/>
      <c r="H21" s="17">
        <v>0</v>
      </c>
      <c r="I21" s="15"/>
      <c r="J21" s="15">
        <f t="shared" si="0"/>
        <v>1750554.52</v>
      </c>
      <c r="K21" s="15"/>
      <c r="L21" s="15">
        <f t="shared" si="1"/>
        <v>49044202.07</v>
      </c>
      <c r="M21" s="29"/>
    </row>
    <row r="22" spans="1:15" x14ac:dyDescent="0.2">
      <c r="A22" s="3" t="s">
        <v>2798</v>
      </c>
      <c r="B22" s="15">
        <v>25550379.960000001</v>
      </c>
      <c r="C22" s="15"/>
      <c r="D22" s="17">
        <v>605810.51</v>
      </c>
      <c r="E22" s="15"/>
      <c r="F22" s="17">
        <v>-183921.28</v>
      </c>
      <c r="G22" s="15"/>
      <c r="H22" s="17">
        <v>0</v>
      </c>
      <c r="I22" s="15"/>
      <c r="J22" s="15">
        <f t="shared" si="0"/>
        <v>421889.23</v>
      </c>
      <c r="K22" s="15"/>
      <c r="L22" s="15">
        <f t="shared" si="1"/>
        <v>25972269.190000001</v>
      </c>
      <c r="M22" s="29"/>
    </row>
    <row r="23" spans="1:15" x14ac:dyDescent="0.2">
      <c r="A23" s="3" t="s">
        <v>2799</v>
      </c>
      <c r="B23" s="15">
        <v>960686.95</v>
      </c>
      <c r="C23" s="15"/>
      <c r="D23" s="17">
        <v>0</v>
      </c>
      <c r="E23" s="15"/>
      <c r="F23" s="17">
        <v>0</v>
      </c>
      <c r="G23" s="15"/>
      <c r="H23" s="17">
        <v>0</v>
      </c>
      <c r="I23" s="15"/>
      <c r="J23" s="15">
        <f t="shared" si="0"/>
        <v>0</v>
      </c>
      <c r="K23" s="15"/>
      <c r="L23" s="15">
        <f t="shared" si="1"/>
        <v>960686.95</v>
      </c>
      <c r="M23" s="29"/>
    </row>
    <row r="24" spans="1:15" x14ac:dyDescent="0.2">
      <c r="A24" s="3" t="s">
        <v>2800</v>
      </c>
      <c r="B24" s="17">
        <v>51112.34</v>
      </c>
      <c r="C24" s="17"/>
      <c r="D24" s="17">
        <v>0</v>
      </c>
      <c r="E24" s="15"/>
      <c r="F24" s="17">
        <v>0</v>
      </c>
      <c r="G24" s="15"/>
      <c r="H24" s="17">
        <v>0</v>
      </c>
      <c r="I24" s="17"/>
      <c r="J24" s="17">
        <f t="shared" si="0"/>
        <v>0</v>
      </c>
      <c r="K24" s="17"/>
      <c r="L24" s="17">
        <f t="shared" si="1"/>
        <v>51112.34</v>
      </c>
      <c r="M24" s="134"/>
      <c r="N24" s="31"/>
      <c r="O24" s="31"/>
    </row>
    <row r="25" spans="1:15" x14ac:dyDescent="0.2">
      <c r="A25" s="3" t="s">
        <v>2801</v>
      </c>
      <c r="B25" s="17">
        <v>2667.35</v>
      </c>
      <c r="C25" s="17"/>
      <c r="D25" s="17">
        <v>0</v>
      </c>
      <c r="E25" s="15"/>
      <c r="F25" s="17">
        <v>0</v>
      </c>
      <c r="G25" s="15"/>
      <c r="H25" s="17">
        <v>34428.04</v>
      </c>
      <c r="I25" s="17"/>
      <c r="J25" s="17">
        <f t="shared" si="0"/>
        <v>34428.04</v>
      </c>
      <c r="K25" s="17"/>
      <c r="L25" s="17">
        <f t="shared" si="1"/>
        <v>37095.39</v>
      </c>
      <c r="M25" s="134"/>
      <c r="N25" s="31"/>
      <c r="O25" s="31"/>
    </row>
    <row r="26" spans="1:15" x14ac:dyDescent="0.2">
      <c r="A26" s="3" t="s">
        <v>2802</v>
      </c>
      <c r="B26" s="16">
        <v>10479426.170000002</v>
      </c>
      <c r="C26" s="17"/>
      <c r="D26" s="17">
        <v>0</v>
      </c>
      <c r="E26" s="15"/>
      <c r="F26" s="17">
        <v>-487435.15</v>
      </c>
      <c r="G26" s="15"/>
      <c r="H26" s="17">
        <v>1532697.94</v>
      </c>
      <c r="I26" s="17"/>
      <c r="J26" s="16">
        <f>H26+F26+D26</f>
        <v>1045262.7899999999</v>
      </c>
      <c r="K26" s="17"/>
      <c r="L26" s="16">
        <f t="shared" si="1"/>
        <v>11524688.960000001</v>
      </c>
      <c r="M26" s="134"/>
      <c r="N26" s="31"/>
      <c r="O26" s="31"/>
    </row>
    <row r="27" spans="1:15" x14ac:dyDescent="0.2">
      <c r="B27" s="17">
        <f>SUM(B11:B26)</f>
        <v>772884014.25</v>
      </c>
      <c r="C27" s="17"/>
      <c r="D27" s="20">
        <f>SUM(D11:D26)</f>
        <v>68624398.480000004</v>
      </c>
      <c r="E27" s="17"/>
      <c r="F27" s="20">
        <f>SUM(F11:F26)</f>
        <v>-8979143.2100000009</v>
      </c>
      <c r="G27" s="17"/>
      <c r="H27" s="20">
        <f>SUM(H11:H26)</f>
        <v>1579200.38</v>
      </c>
      <c r="I27" s="17"/>
      <c r="J27" s="17">
        <f>SUM(J11:J26)</f>
        <v>61224455.650000006</v>
      </c>
      <c r="K27" s="17"/>
      <c r="L27" s="17">
        <f>SUM(L11:L26)</f>
        <v>834108469.9000001</v>
      </c>
      <c r="M27" s="134"/>
      <c r="N27" s="31"/>
      <c r="O27" s="31"/>
    </row>
    <row r="28" spans="1:15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9"/>
    </row>
    <row r="29" spans="1:15" x14ac:dyDescent="0.2">
      <c r="A29" s="10" t="s">
        <v>28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9"/>
    </row>
    <row r="30" spans="1:15" x14ac:dyDescent="0.2">
      <c r="A30" s="3" t="s">
        <v>2803</v>
      </c>
      <c r="B30" s="15">
        <v>12617.94</v>
      </c>
      <c r="C30" s="15"/>
      <c r="D30" s="17">
        <v>31064.85</v>
      </c>
      <c r="E30" s="15"/>
      <c r="F30" s="17">
        <v>0</v>
      </c>
      <c r="G30" s="15"/>
      <c r="H30" s="17">
        <v>0</v>
      </c>
      <c r="I30" s="15"/>
      <c r="J30" s="15">
        <f>H30+F30+D30</f>
        <v>31064.85</v>
      </c>
      <c r="K30" s="15"/>
      <c r="L30" s="15">
        <f>J30+B30</f>
        <v>43682.79</v>
      </c>
      <c r="M30" s="29"/>
    </row>
    <row r="31" spans="1:15" x14ac:dyDescent="0.2">
      <c r="A31" s="133" t="s">
        <v>2804</v>
      </c>
      <c r="B31" s="15">
        <v>926192.23</v>
      </c>
      <c r="C31" s="15"/>
      <c r="D31" s="17">
        <v>0</v>
      </c>
      <c r="E31" s="15"/>
      <c r="F31" s="17">
        <v>0</v>
      </c>
      <c r="G31" s="15"/>
      <c r="H31" s="17">
        <v>0</v>
      </c>
      <c r="I31" s="15"/>
      <c r="J31" s="15">
        <f t="shared" ref="J31:J37" si="2">H31+F31+D31</f>
        <v>0</v>
      </c>
      <c r="K31" s="15"/>
      <c r="L31" s="15">
        <f t="shared" ref="L31:L37" si="3">J31+B31</f>
        <v>926192.23</v>
      </c>
      <c r="M31" s="29"/>
    </row>
    <row r="32" spans="1:15" x14ac:dyDescent="0.2">
      <c r="A32" s="3" t="s">
        <v>2805</v>
      </c>
      <c r="B32" s="15">
        <v>577962.1</v>
      </c>
      <c r="C32" s="15"/>
      <c r="D32" s="17">
        <v>10229.280000000001</v>
      </c>
      <c r="E32" s="15"/>
      <c r="F32" s="17">
        <v>-2173</v>
      </c>
      <c r="G32" s="15"/>
      <c r="H32" s="17">
        <v>0</v>
      </c>
      <c r="I32" s="15"/>
      <c r="J32" s="15">
        <f t="shared" si="2"/>
        <v>8056.2800000000007</v>
      </c>
      <c r="K32" s="15"/>
      <c r="L32" s="15">
        <f t="shared" si="3"/>
        <v>586018.38</v>
      </c>
      <c r="M32" s="29"/>
    </row>
    <row r="33" spans="1:13" x14ac:dyDescent="0.2">
      <c r="A33" s="3" t="s">
        <v>2806</v>
      </c>
      <c r="B33" s="15">
        <v>6234828.3000000007</v>
      </c>
      <c r="C33" s="15"/>
      <c r="D33" s="17">
        <v>516108.64</v>
      </c>
      <c r="E33" s="15"/>
      <c r="F33" s="17">
        <v>-245638.37</v>
      </c>
      <c r="G33" s="15"/>
      <c r="H33" s="17">
        <v>6742.3</v>
      </c>
      <c r="I33" s="15"/>
      <c r="J33" s="15">
        <f t="shared" si="2"/>
        <v>277212.57</v>
      </c>
      <c r="K33" s="15"/>
      <c r="L33" s="15">
        <f t="shared" si="3"/>
        <v>6512040.870000001</v>
      </c>
      <c r="M33" s="29"/>
    </row>
    <row r="34" spans="1:13" x14ac:dyDescent="0.2">
      <c r="A34" s="3" t="s">
        <v>2807</v>
      </c>
      <c r="B34" s="15">
        <v>0</v>
      </c>
      <c r="C34" s="15"/>
      <c r="D34" s="17">
        <v>0</v>
      </c>
      <c r="E34" s="15"/>
      <c r="F34" s="17">
        <v>0</v>
      </c>
      <c r="G34" s="15"/>
      <c r="H34" s="17">
        <v>0</v>
      </c>
      <c r="I34" s="15"/>
      <c r="J34" s="15">
        <f t="shared" si="2"/>
        <v>0</v>
      </c>
      <c r="K34" s="15"/>
      <c r="L34" s="15">
        <f t="shared" si="3"/>
        <v>0</v>
      </c>
      <c r="M34" s="29"/>
    </row>
    <row r="35" spans="1:13" x14ac:dyDescent="0.2">
      <c r="A35" s="3" t="s">
        <v>2808</v>
      </c>
      <c r="B35" s="17">
        <v>2931525.4800000004</v>
      </c>
      <c r="C35" s="17"/>
      <c r="D35" s="17">
        <v>562859.4</v>
      </c>
      <c r="E35" s="15"/>
      <c r="F35" s="17">
        <v>-174040.09</v>
      </c>
      <c r="G35" s="15"/>
      <c r="H35" s="17">
        <v>-3085.3</v>
      </c>
      <c r="I35" s="17"/>
      <c r="J35" s="15">
        <f t="shared" si="2"/>
        <v>385734.01</v>
      </c>
      <c r="K35" s="17"/>
      <c r="L35" s="17">
        <f t="shared" si="3"/>
        <v>3317259.49</v>
      </c>
      <c r="M35" s="134"/>
    </row>
    <row r="36" spans="1:13" x14ac:dyDescent="0.2">
      <c r="A36" s="3" t="s">
        <v>2809</v>
      </c>
      <c r="B36" s="17">
        <v>214328.50999999998</v>
      </c>
      <c r="C36" s="17"/>
      <c r="D36" s="17">
        <v>0</v>
      </c>
      <c r="E36" s="15"/>
      <c r="F36" s="17">
        <v>0</v>
      </c>
      <c r="G36" s="15"/>
      <c r="H36" s="17">
        <v>0</v>
      </c>
      <c r="I36" s="17"/>
      <c r="J36" s="17">
        <f t="shared" si="2"/>
        <v>0</v>
      </c>
      <c r="K36" s="17"/>
      <c r="L36" s="17">
        <f t="shared" si="3"/>
        <v>214328.50999999998</v>
      </c>
      <c r="M36" s="134"/>
    </row>
    <row r="37" spans="1:13" x14ac:dyDescent="0.2">
      <c r="A37" s="133" t="s">
        <v>2810</v>
      </c>
      <c r="B37" s="17">
        <v>0</v>
      </c>
      <c r="C37" s="17"/>
      <c r="D37" s="17">
        <v>0</v>
      </c>
      <c r="E37" s="17"/>
      <c r="F37" s="17">
        <v>0</v>
      </c>
      <c r="G37" s="17"/>
      <c r="H37" s="17">
        <v>0</v>
      </c>
      <c r="I37" s="17"/>
      <c r="J37" s="17">
        <f t="shared" si="2"/>
        <v>0</v>
      </c>
      <c r="K37" s="17"/>
      <c r="L37" s="17">
        <f t="shared" si="3"/>
        <v>0</v>
      </c>
      <c r="M37" s="134"/>
    </row>
    <row r="38" spans="1:13" x14ac:dyDescent="0.2">
      <c r="B38" s="20">
        <f>SUM(B30:B37)</f>
        <v>10897454.560000001</v>
      </c>
      <c r="C38" s="17"/>
      <c r="D38" s="20">
        <f>SUM(D30:D37)</f>
        <v>1120262.17</v>
      </c>
      <c r="E38" s="17"/>
      <c r="F38" s="20">
        <f>SUM(F30:F37)</f>
        <v>-421851.45999999996</v>
      </c>
      <c r="G38" s="17"/>
      <c r="H38" s="20">
        <f>SUM(H30:H37)</f>
        <v>3657</v>
      </c>
      <c r="I38" s="17"/>
      <c r="J38" s="20">
        <f>SUM(J30:J37)</f>
        <v>702067.71</v>
      </c>
      <c r="K38" s="17"/>
      <c r="L38" s="20">
        <f>SUM(L30:L37)</f>
        <v>11599522.270000001</v>
      </c>
      <c r="M38" s="134"/>
    </row>
    <row r="39" spans="1:13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34"/>
    </row>
    <row r="40" spans="1:13" x14ac:dyDescent="0.2">
      <c r="A40" s="10" t="s">
        <v>29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34"/>
    </row>
    <row r="41" spans="1:13" x14ac:dyDescent="0.2">
      <c r="A41" s="3" t="s">
        <v>2811</v>
      </c>
      <c r="B41" s="16">
        <v>387.49</v>
      </c>
      <c r="C41" s="17"/>
      <c r="D41" s="17">
        <v>0</v>
      </c>
      <c r="E41" s="15"/>
      <c r="F41" s="17">
        <v>0</v>
      </c>
      <c r="G41" s="15"/>
      <c r="H41" s="17">
        <v>0</v>
      </c>
      <c r="I41" s="17"/>
      <c r="J41" s="16">
        <f>H41+F41+D41</f>
        <v>0</v>
      </c>
      <c r="K41" s="17"/>
      <c r="L41" s="16">
        <f>J41+B41</f>
        <v>387.49</v>
      </c>
      <c r="M41" s="134"/>
    </row>
    <row r="42" spans="1:13" x14ac:dyDescent="0.2">
      <c r="B42" s="17">
        <f>SUM(B41)</f>
        <v>387.49</v>
      </c>
      <c r="C42" s="17"/>
      <c r="D42" s="20">
        <f>SUM(D41)</f>
        <v>0</v>
      </c>
      <c r="E42" s="17"/>
      <c r="F42" s="20">
        <f>SUM(F41)</f>
        <v>0</v>
      </c>
      <c r="G42" s="17"/>
      <c r="H42" s="20">
        <f>SUM(H41)</f>
        <v>0</v>
      </c>
      <c r="I42" s="17"/>
      <c r="J42" s="17">
        <f>SUM(J41)</f>
        <v>0</v>
      </c>
      <c r="K42" s="17"/>
      <c r="L42" s="17">
        <f>SUM(L41)</f>
        <v>387.49</v>
      </c>
      <c r="M42" s="134"/>
    </row>
    <row r="43" spans="1:13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34"/>
    </row>
    <row r="44" spans="1:13" x14ac:dyDescent="0.2">
      <c r="A44" s="10" t="s">
        <v>30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34"/>
    </row>
    <row r="45" spans="1:13" x14ac:dyDescent="0.2">
      <c r="A45" s="3" t="s">
        <v>2812</v>
      </c>
      <c r="B45" s="17">
        <v>29500.57</v>
      </c>
      <c r="C45" s="17"/>
      <c r="D45" s="17">
        <v>0</v>
      </c>
      <c r="E45" s="15"/>
      <c r="F45" s="17">
        <v>0</v>
      </c>
      <c r="G45" s="15"/>
      <c r="H45" s="17">
        <v>0</v>
      </c>
      <c r="I45" s="17"/>
      <c r="J45" s="17">
        <f t="shared" ref="J45:J62" si="4">H45+F45+D45</f>
        <v>0</v>
      </c>
      <c r="K45" s="17"/>
      <c r="L45" s="17">
        <f t="shared" ref="L45:L62" si="5">J45+B45</f>
        <v>29500.57</v>
      </c>
      <c r="M45" s="134"/>
    </row>
    <row r="46" spans="1:13" x14ac:dyDescent="0.2">
      <c r="A46" s="3" t="s">
        <v>2813</v>
      </c>
      <c r="B46" s="17">
        <v>104869.48999999999</v>
      </c>
      <c r="C46" s="17"/>
      <c r="D46" s="17">
        <v>0</v>
      </c>
      <c r="E46" s="15"/>
      <c r="F46" s="17">
        <v>0</v>
      </c>
      <c r="G46" s="15"/>
      <c r="H46" s="17">
        <v>-3657</v>
      </c>
      <c r="I46" s="17"/>
      <c r="J46" s="17">
        <f t="shared" si="4"/>
        <v>-3657</v>
      </c>
      <c r="K46" s="17"/>
      <c r="L46" s="17">
        <f t="shared" si="5"/>
        <v>101212.48999999999</v>
      </c>
      <c r="M46" s="134"/>
    </row>
    <row r="47" spans="1:13" x14ac:dyDescent="0.2">
      <c r="A47" s="3" t="s">
        <v>2814</v>
      </c>
      <c r="B47" s="17">
        <v>9624979.6600000001</v>
      </c>
      <c r="C47" s="17"/>
      <c r="D47" s="17">
        <v>100734.72</v>
      </c>
      <c r="E47" s="15"/>
      <c r="F47" s="17">
        <v>-3024.64</v>
      </c>
      <c r="G47" s="15"/>
      <c r="H47" s="17">
        <v>0</v>
      </c>
      <c r="I47" s="17"/>
      <c r="J47" s="17">
        <f t="shared" si="4"/>
        <v>97710.080000000002</v>
      </c>
      <c r="K47" s="17"/>
      <c r="L47" s="17">
        <f t="shared" si="5"/>
        <v>9722689.7400000002</v>
      </c>
      <c r="M47" s="134"/>
    </row>
    <row r="48" spans="1:13" x14ac:dyDescent="0.2">
      <c r="A48" s="3" t="s">
        <v>2815</v>
      </c>
      <c r="B48" s="17">
        <v>33151.61</v>
      </c>
      <c r="C48" s="17"/>
      <c r="D48" s="17">
        <v>0</v>
      </c>
      <c r="E48" s="15"/>
      <c r="F48" s="17">
        <v>-108.56</v>
      </c>
      <c r="G48" s="15"/>
      <c r="H48" s="17">
        <v>0</v>
      </c>
      <c r="I48" s="17"/>
      <c r="J48" s="17">
        <f t="shared" si="4"/>
        <v>-108.56</v>
      </c>
      <c r="K48" s="17"/>
      <c r="L48" s="17">
        <f t="shared" si="5"/>
        <v>33043.050000000003</v>
      </c>
      <c r="M48" s="134"/>
    </row>
    <row r="49" spans="1:13" x14ac:dyDescent="0.2">
      <c r="A49" s="3" t="s">
        <v>2816</v>
      </c>
      <c r="B49" s="17">
        <v>3278703.79</v>
      </c>
      <c r="C49" s="17"/>
      <c r="D49" s="17">
        <v>733304.61</v>
      </c>
      <c r="E49" s="15"/>
      <c r="F49" s="17">
        <v>-9637.7999999999993</v>
      </c>
      <c r="G49" s="15"/>
      <c r="H49" s="17">
        <v>0</v>
      </c>
      <c r="I49" s="17"/>
      <c r="J49" s="17">
        <f t="shared" si="4"/>
        <v>723666.80999999994</v>
      </c>
      <c r="K49" s="17"/>
      <c r="L49" s="17">
        <f t="shared" si="5"/>
        <v>4002370.6</v>
      </c>
      <c r="M49" s="134"/>
    </row>
    <row r="50" spans="1:13" x14ac:dyDescent="0.2">
      <c r="A50" s="3" t="s">
        <v>2817</v>
      </c>
      <c r="B50" s="17">
        <v>548241.14</v>
      </c>
      <c r="C50" s="17"/>
      <c r="D50" s="17">
        <v>0</v>
      </c>
      <c r="E50" s="15"/>
      <c r="F50" s="17">
        <v>0</v>
      </c>
      <c r="G50" s="15"/>
      <c r="H50" s="17">
        <v>0</v>
      </c>
      <c r="I50" s="17"/>
      <c r="J50" s="17">
        <f t="shared" si="4"/>
        <v>0</v>
      </c>
      <c r="K50" s="17"/>
      <c r="L50" s="17">
        <f t="shared" si="5"/>
        <v>548241.14</v>
      </c>
      <c r="M50" s="134"/>
    </row>
    <row r="51" spans="1:13" x14ac:dyDescent="0.2">
      <c r="A51" s="3" t="s">
        <v>2818</v>
      </c>
      <c r="B51" s="17">
        <v>400511.4</v>
      </c>
      <c r="C51" s="17"/>
      <c r="D51" s="17">
        <v>0</v>
      </c>
      <c r="E51" s="15"/>
      <c r="F51" s="17">
        <v>0</v>
      </c>
      <c r="G51" s="15"/>
      <c r="H51" s="17">
        <v>0</v>
      </c>
      <c r="I51" s="17"/>
      <c r="J51" s="17">
        <f t="shared" si="4"/>
        <v>0</v>
      </c>
      <c r="K51" s="17"/>
      <c r="L51" s="17">
        <f t="shared" si="5"/>
        <v>400511.4</v>
      </c>
      <c r="M51" s="134"/>
    </row>
    <row r="52" spans="1:13" x14ac:dyDescent="0.2">
      <c r="A52" s="3" t="s">
        <v>2819</v>
      </c>
      <c r="B52" s="17">
        <v>9648855</v>
      </c>
      <c r="C52" s="17"/>
      <c r="D52" s="17">
        <v>0</v>
      </c>
      <c r="E52" s="15"/>
      <c r="F52" s="17">
        <v>0</v>
      </c>
      <c r="G52" s="15"/>
      <c r="H52" s="17">
        <v>0</v>
      </c>
      <c r="I52" s="17"/>
      <c r="J52" s="17">
        <f t="shared" si="4"/>
        <v>0</v>
      </c>
      <c r="K52" s="17"/>
      <c r="L52" s="17">
        <f t="shared" si="5"/>
        <v>9648855</v>
      </c>
      <c r="M52" s="134"/>
    </row>
    <row r="53" spans="1:13" x14ac:dyDescent="0.2">
      <c r="A53" s="3" t="s">
        <v>2820</v>
      </c>
      <c r="B53" s="17">
        <v>3613513.9299999997</v>
      </c>
      <c r="C53" s="17"/>
      <c r="D53" s="17">
        <v>0</v>
      </c>
      <c r="E53" s="15"/>
      <c r="F53" s="17">
        <v>0</v>
      </c>
      <c r="G53" s="15"/>
      <c r="H53" s="17">
        <v>0</v>
      </c>
      <c r="I53" s="17"/>
      <c r="J53" s="17">
        <f t="shared" si="4"/>
        <v>0</v>
      </c>
      <c r="K53" s="17"/>
      <c r="L53" s="17">
        <f t="shared" si="5"/>
        <v>3613513.9299999997</v>
      </c>
      <c r="M53" s="134"/>
    </row>
    <row r="54" spans="1:13" x14ac:dyDescent="0.2">
      <c r="A54" s="133" t="s">
        <v>2821</v>
      </c>
      <c r="B54" s="17">
        <v>0</v>
      </c>
      <c r="C54" s="17"/>
      <c r="D54" s="17">
        <v>0</v>
      </c>
      <c r="E54" s="15"/>
      <c r="F54" s="17">
        <v>0</v>
      </c>
      <c r="G54" s="15"/>
      <c r="H54" s="17">
        <v>0</v>
      </c>
      <c r="I54" s="17"/>
      <c r="J54" s="17">
        <f t="shared" si="4"/>
        <v>0</v>
      </c>
      <c r="K54" s="17"/>
      <c r="L54" s="17">
        <f t="shared" si="5"/>
        <v>0</v>
      </c>
      <c r="M54" s="134"/>
    </row>
    <row r="55" spans="1:13" x14ac:dyDescent="0.2">
      <c r="A55" s="3" t="s">
        <v>2822</v>
      </c>
      <c r="B55" s="17">
        <v>10411548.419999998</v>
      </c>
      <c r="C55" s="17"/>
      <c r="D55" s="17">
        <v>175822.45</v>
      </c>
      <c r="E55" s="15"/>
      <c r="F55" s="17">
        <v>-26431.73</v>
      </c>
      <c r="G55" s="15"/>
      <c r="H55" s="17">
        <v>0</v>
      </c>
      <c r="I55" s="17"/>
      <c r="J55" s="17">
        <f t="shared" si="4"/>
        <v>149390.72</v>
      </c>
      <c r="K55" s="17"/>
      <c r="L55" s="17">
        <f t="shared" si="5"/>
        <v>10560939.139999999</v>
      </c>
      <c r="M55" s="134"/>
    </row>
    <row r="56" spans="1:13" x14ac:dyDescent="0.2">
      <c r="A56" s="3" t="s">
        <v>2823</v>
      </c>
      <c r="B56" s="17">
        <v>16195604.469999999</v>
      </c>
      <c r="C56" s="17"/>
      <c r="D56" s="17">
        <v>458041.07</v>
      </c>
      <c r="E56" s="15"/>
      <c r="F56" s="17">
        <v>-2568.4899999999998</v>
      </c>
      <c r="G56" s="15"/>
      <c r="H56" s="17">
        <v>0</v>
      </c>
      <c r="I56" s="17"/>
      <c r="J56" s="17">
        <f t="shared" si="4"/>
        <v>455472.58</v>
      </c>
      <c r="K56" s="17"/>
      <c r="L56" s="17">
        <f t="shared" si="5"/>
        <v>16651077.049999999</v>
      </c>
      <c r="M56" s="134"/>
    </row>
    <row r="57" spans="1:13" x14ac:dyDescent="0.2">
      <c r="A57" s="3" t="s">
        <v>2824</v>
      </c>
      <c r="B57" s="17">
        <v>45337658.270000003</v>
      </c>
      <c r="C57" s="17"/>
      <c r="D57" s="17">
        <v>3050683.53</v>
      </c>
      <c r="E57" s="15"/>
      <c r="F57" s="17">
        <v>-364291.37</v>
      </c>
      <c r="G57" s="15"/>
      <c r="H57" s="17">
        <v>0</v>
      </c>
      <c r="I57" s="17"/>
      <c r="J57" s="17">
        <f t="shared" si="4"/>
        <v>2686392.1599999997</v>
      </c>
      <c r="K57" s="17"/>
      <c r="L57" s="17">
        <f t="shared" si="5"/>
        <v>48024050.43</v>
      </c>
      <c r="M57" s="134"/>
    </row>
    <row r="58" spans="1:13" x14ac:dyDescent="0.2">
      <c r="A58" s="3" t="s">
        <v>2825</v>
      </c>
      <c r="B58" s="17">
        <v>749435.65999999992</v>
      </c>
      <c r="C58" s="17"/>
      <c r="D58" s="17">
        <v>248499.77</v>
      </c>
      <c r="E58" s="15"/>
      <c r="F58" s="17">
        <v>-2288.25</v>
      </c>
      <c r="G58" s="15"/>
      <c r="H58" s="17">
        <v>0</v>
      </c>
      <c r="I58" s="17"/>
      <c r="J58" s="17">
        <f t="shared" si="4"/>
        <v>246211.52</v>
      </c>
      <c r="K58" s="17"/>
      <c r="L58" s="17">
        <f t="shared" si="5"/>
        <v>995647.17999999993</v>
      </c>
      <c r="M58" s="134"/>
    </row>
    <row r="59" spans="1:13" x14ac:dyDescent="0.2">
      <c r="A59" s="3" t="s">
        <v>2826</v>
      </c>
      <c r="B59" s="17">
        <v>15592522.890000001</v>
      </c>
      <c r="C59" s="17"/>
      <c r="D59" s="17">
        <v>4843509.88</v>
      </c>
      <c r="E59" s="15"/>
      <c r="F59" s="17">
        <v>-34323.68</v>
      </c>
      <c r="G59" s="15"/>
      <c r="H59" s="17">
        <v>0</v>
      </c>
      <c r="I59" s="17"/>
      <c r="J59" s="17">
        <f t="shared" si="4"/>
        <v>4809186.2</v>
      </c>
      <c r="K59" s="17"/>
      <c r="L59" s="17">
        <f t="shared" si="5"/>
        <v>20401709.09</v>
      </c>
      <c r="M59" s="134"/>
    </row>
    <row r="60" spans="1:13" x14ac:dyDescent="0.2">
      <c r="A60" s="3" t="s">
        <v>2827</v>
      </c>
      <c r="B60" s="17">
        <v>1474842.37</v>
      </c>
      <c r="C60" s="17"/>
      <c r="D60" s="17">
        <v>78719.710000000006</v>
      </c>
      <c r="E60" s="15"/>
      <c r="F60" s="17">
        <v>-4875.8100000000004</v>
      </c>
      <c r="G60" s="15"/>
      <c r="H60" s="17">
        <v>0</v>
      </c>
      <c r="I60" s="17"/>
      <c r="J60" s="17">
        <f t="shared" si="4"/>
        <v>73843.900000000009</v>
      </c>
      <c r="K60" s="17"/>
      <c r="L60" s="17">
        <f t="shared" si="5"/>
        <v>1548686.27</v>
      </c>
      <c r="M60" s="134"/>
    </row>
    <row r="61" spans="1:13" x14ac:dyDescent="0.2">
      <c r="A61" s="3" t="s">
        <v>2828</v>
      </c>
      <c r="B61" s="17">
        <v>277032.93</v>
      </c>
      <c r="C61" s="17"/>
      <c r="D61" s="17">
        <v>0</v>
      </c>
      <c r="E61" s="15"/>
      <c r="F61" s="17">
        <v>-4450.28</v>
      </c>
      <c r="G61" s="15"/>
      <c r="H61" s="17">
        <v>-60904</v>
      </c>
      <c r="I61" s="17"/>
      <c r="J61" s="17">
        <f t="shared" si="4"/>
        <v>-65354.28</v>
      </c>
      <c r="K61" s="17"/>
      <c r="L61" s="17">
        <f t="shared" si="5"/>
        <v>211678.65</v>
      </c>
      <c r="M61" s="134"/>
    </row>
    <row r="62" spans="1:13" x14ac:dyDescent="0.2">
      <c r="A62" s="3" t="s">
        <v>2829</v>
      </c>
      <c r="B62" s="16">
        <v>4212982.8600000003</v>
      </c>
      <c r="C62" s="17"/>
      <c r="D62" s="17">
        <v>0</v>
      </c>
      <c r="E62" s="15"/>
      <c r="F62" s="17">
        <v>-52867.67</v>
      </c>
      <c r="G62" s="15"/>
      <c r="H62" s="17">
        <v>808505.9</v>
      </c>
      <c r="I62" s="17"/>
      <c r="J62" s="16">
        <f t="shared" si="4"/>
        <v>755638.23</v>
      </c>
      <c r="K62" s="17"/>
      <c r="L62" s="16">
        <f t="shared" si="5"/>
        <v>4968621.09</v>
      </c>
      <c r="M62" s="134"/>
    </row>
    <row r="63" spans="1:13" x14ac:dyDescent="0.2">
      <c r="B63" s="17">
        <f>SUM(B45:B62)</f>
        <v>121533954.46000001</v>
      </c>
      <c r="C63" s="17"/>
      <c r="D63" s="20">
        <f>SUM(D45:D62)</f>
        <v>9689315.7400000002</v>
      </c>
      <c r="E63" s="17"/>
      <c r="F63" s="20">
        <f>SUM(F45:F62)</f>
        <v>-504868.27999999997</v>
      </c>
      <c r="G63" s="17"/>
      <c r="H63" s="20">
        <f>SUM(H45:H62)</f>
        <v>743944.9</v>
      </c>
      <c r="I63" s="17"/>
      <c r="J63" s="17">
        <f>SUM(J45:J62)</f>
        <v>9928392.3600000013</v>
      </c>
      <c r="K63" s="17"/>
      <c r="L63" s="17">
        <f>SUM(L45:L62)</f>
        <v>131462346.82000001</v>
      </c>
      <c r="M63" s="134"/>
    </row>
    <row r="64" spans="1:13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9"/>
    </row>
    <row r="65" spans="1:14" x14ac:dyDescent="0.2">
      <c r="A65" s="10" t="s">
        <v>31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9"/>
    </row>
    <row r="66" spans="1:14" x14ac:dyDescent="0.2">
      <c r="A66" s="3" t="s">
        <v>2830</v>
      </c>
      <c r="B66" s="15">
        <v>220659.05</v>
      </c>
      <c r="C66" s="15"/>
      <c r="D66" s="17">
        <v>0</v>
      </c>
      <c r="E66" s="15"/>
      <c r="F66" s="17">
        <v>0</v>
      </c>
      <c r="G66" s="15"/>
      <c r="H66" s="17">
        <v>0</v>
      </c>
      <c r="I66" s="15"/>
      <c r="J66" s="15">
        <f>H66+F66+D66</f>
        <v>0</v>
      </c>
      <c r="K66" s="15"/>
      <c r="L66" s="15">
        <f>J66+B66</f>
        <v>220659.05</v>
      </c>
      <c r="M66" s="29"/>
    </row>
    <row r="67" spans="1:14" x14ac:dyDescent="0.2">
      <c r="A67" s="133" t="s">
        <v>2831</v>
      </c>
      <c r="B67" s="15">
        <v>46204307.38000001</v>
      </c>
      <c r="C67" s="15"/>
      <c r="D67" s="17">
        <v>695631.62</v>
      </c>
      <c r="E67" s="15"/>
      <c r="F67" s="17">
        <v>-88991</v>
      </c>
      <c r="G67" s="15"/>
      <c r="H67" s="17">
        <v>0</v>
      </c>
      <c r="I67" s="15"/>
      <c r="J67" s="15">
        <f>H67+F67+D67</f>
        <v>606640.62</v>
      </c>
      <c r="K67" s="15"/>
      <c r="L67" s="15">
        <f>J67+B67</f>
        <v>46810948.000000007</v>
      </c>
      <c r="M67" s="29"/>
    </row>
    <row r="68" spans="1:14" x14ac:dyDescent="0.2">
      <c r="A68" s="22" t="s">
        <v>2832</v>
      </c>
      <c r="B68" s="17">
        <v>2332004.9099999997</v>
      </c>
      <c r="C68" s="17"/>
      <c r="D68" s="17">
        <v>0</v>
      </c>
      <c r="E68" s="15"/>
      <c r="F68" s="17">
        <v>-2851.93</v>
      </c>
      <c r="G68" s="15"/>
      <c r="H68" s="17">
        <v>-1269</v>
      </c>
      <c r="I68" s="17"/>
      <c r="J68" s="17">
        <f>H68+F68+D68</f>
        <v>-4120.93</v>
      </c>
      <c r="K68" s="17"/>
      <c r="L68" s="17">
        <f>J68+B68</f>
        <v>2327883.9799999995</v>
      </c>
      <c r="M68" s="29"/>
    </row>
    <row r="69" spans="1:14" x14ac:dyDescent="0.2">
      <c r="B69" s="20">
        <f>SUM(B66:B68)</f>
        <v>48756971.340000004</v>
      </c>
      <c r="C69" s="17"/>
      <c r="D69" s="20">
        <f>SUM(D66:D68)</f>
        <v>695631.62</v>
      </c>
      <c r="E69" s="17"/>
      <c r="F69" s="20">
        <f>SUM(F66:F68)</f>
        <v>-91842.93</v>
      </c>
      <c r="G69" s="17"/>
      <c r="H69" s="20">
        <f>SUM(H66:H68)</f>
        <v>-1269</v>
      </c>
      <c r="I69" s="17"/>
      <c r="J69" s="20">
        <f>SUM(J66:J68)</f>
        <v>602519.68999999994</v>
      </c>
      <c r="K69" s="17"/>
      <c r="L69" s="20">
        <f>SUM(L66:L68)</f>
        <v>49359491.030000001</v>
      </c>
      <c r="M69" s="134"/>
    </row>
    <row r="70" spans="1:14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34"/>
    </row>
    <row r="71" spans="1:14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29"/>
    </row>
    <row r="72" spans="1:14" x14ac:dyDescent="0.2">
      <c r="A72" s="10" t="s">
        <v>2833</v>
      </c>
      <c r="B72" s="21">
        <f>B69+B63+B42+B38+B27</f>
        <v>954072782.10000002</v>
      </c>
      <c r="C72" s="17"/>
      <c r="D72" s="21">
        <f>D69+D63+D42+D38+D27</f>
        <v>80129608.010000005</v>
      </c>
      <c r="E72" s="17"/>
      <c r="F72" s="21">
        <f>F69+F63+F42+F38+F27</f>
        <v>-9997705.8800000008</v>
      </c>
      <c r="G72" s="17"/>
      <c r="H72" s="21">
        <f>H69+H63+H42+H38+H27</f>
        <v>2325533.2799999998</v>
      </c>
      <c r="I72" s="17"/>
      <c r="J72" s="21">
        <f>J69+J63+J42+J38+J27</f>
        <v>72457435.410000011</v>
      </c>
      <c r="K72" s="17"/>
      <c r="L72" s="21">
        <f>L69+L63+L42+L38+L27</f>
        <v>1026530217.5100001</v>
      </c>
      <c r="M72" s="29"/>
    </row>
    <row r="73" spans="1:14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9"/>
    </row>
    <row r="74" spans="1:14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9"/>
    </row>
    <row r="75" spans="1:14" x14ac:dyDescent="0.2">
      <c r="A75" s="10" t="s">
        <v>2639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9"/>
    </row>
    <row r="76" spans="1:14" x14ac:dyDescent="0.2">
      <c r="A76" s="10" t="s">
        <v>27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29"/>
    </row>
    <row r="77" spans="1:14" x14ac:dyDescent="0.2">
      <c r="A77" s="3" t="s">
        <v>2834</v>
      </c>
      <c r="B77" s="15">
        <v>0</v>
      </c>
      <c r="C77" s="15"/>
      <c r="D77" s="17">
        <v>0</v>
      </c>
      <c r="E77" s="15"/>
      <c r="F77" s="17">
        <v>0</v>
      </c>
      <c r="G77" s="15"/>
      <c r="H77" s="17">
        <v>0</v>
      </c>
      <c r="I77" s="15"/>
      <c r="J77" s="15">
        <f t="shared" ref="J77:J88" si="6">H77+F77+D77</f>
        <v>0</v>
      </c>
      <c r="K77" s="15"/>
      <c r="L77" s="15">
        <f t="shared" ref="L77:L88" si="7">J77+B77</f>
        <v>0</v>
      </c>
      <c r="M77" s="29"/>
    </row>
    <row r="78" spans="1:14" x14ac:dyDescent="0.2">
      <c r="A78" s="133" t="s">
        <v>2835</v>
      </c>
      <c r="B78" s="15">
        <v>136973.37</v>
      </c>
      <c r="C78" s="15"/>
      <c r="D78" s="17">
        <v>-136973.37</v>
      </c>
      <c r="E78" s="15"/>
      <c r="F78" s="17">
        <v>0</v>
      </c>
      <c r="G78" s="15"/>
      <c r="H78" s="17">
        <v>0</v>
      </c>
      <c r="I78" s="15"/>
      <c r="J78" s="15">
        <f t="shared" si="6"/>
        <v>-136973.37</v>
      </c>
      <c r="K78" s="15"/>
      <c r="L78" s="15">
        <f t="shared" si="7"/>
        <v>0</v>
      </c>
      <c r="M78" s="29"/>
    </row>
    <row r="79" spans="1:14" x14ac:dyDescent="0.2">
      <c r="A79" s="133" t="s">
        <v>2836</v>
      </c>
      <c r="B79" s="15">
        <v>3852439.2400000072</v>
      </c>
      <c r="C79" s="15"/>
      <c r="D79" s="17">
        <v>2255752.0099999998</v>
      </c>
      <c r="E79" s="15"/>
      <c r="F79" s="17">
        <v>0</v>
      </c>
      <c r="G79" s="15"/>
      <c r="H79" s="17">
        <v>0</v>
      </c>
      <c r="I79" s="15"/>
      <c r="J79" s="15">
        <f>H79+F79+D79</f>
        <v>2255752.0099999998</v>
      </c>
      <c r="K79" s="15"/>
      <c r="L79" s="15">
        <f>J79+B79</f>
        <v>6108191.2500000075</v>
      </c>
      <c r="M79" s="29"/>
      <c r="N79" s="39"/>
    </row>
    <row r="80" spans="1:14" x14ac:dyDescent="0.2">
      <c r="A80" s="133" t="s">
        <v>2837</v>
      </c>
      <c r="B80" s="15">
        <v>5964301.3500000006</v>
      </c>
      <c r="C80" s="15"/>
      <c r="D80" s="17">
        <v>2254398.84</v>
      </c>
      <c r="E80" s="15"/>
      <c r="F80" s="17">
        <v>0</v>
      </c>
      <c r="G80" s="15"/>
      <c r="H80" s="17">
        <v>0</v>
      </c>
      <c r="I80" s="15"/>
      <c r="J80" s="15">
        <f t="shared" si="6"/>
        <v>2254398.84</v>
      </c>
      <c r="K80" s="15"/>
      <c r="L80" s="15">
        <f t="shared" si="7"/>
        <v>8218700.1900000004</v>
      </c>
      <c r="M80" s="29"/>
      <c r="N80" s="39"/>
    </row>
    <row r="81" spans="1:14" x14ac:dyDescent="0.2">
      <c r="A81" s="3" t="s">
        <v>2838</v>
      </c>
      <c r="B81" s="15">
        <v>1362003.33</v>
      </c>
      <c r="C81" s="15"/>
      <c r="D81" s="17">
        <v>1773388.53</v>
      </c>
      <c r="E81" s="15"/>
      <c r="F81" s="17">
        <v>0</v>
      </c>
      <c r="G81" s="15"/>
      <c r="H81" s="17">
        <v>0</v>
      </c>
      <c r="I81" s="15"/>
      <c r="J81" s="15">
        <f t="shared" si="6"/>
        <v>1773388.53</v>
      </c>
      <c r="K81" s="15"/>
      <c r="L81" s="15">
        <f t="shared" si="7"/>
        <v>3135391.8600000003</v>
      </c>
      <c r="M81" s="29"/>
      <c r="N81" s="39"/>
    </row>
    <row r="82" spans="1:14" x14ac:dyDescent="0.2">
      <c r="A82" s="3" t="s">
        <v>2839</v>
      </c>
      <c r="B82" s="15">
        <v>257341.07</v>
      </c>
      <c r="C82" s="15"/>
      <c r="D82" s="17">
        <v>137056.15</v>
      </c>
      <c r="E82" s="15"/>
      <c r="F82" s="17">
        <v>0</v>
      </c>
      <c r="G82" s="15"/>
      <c r="H82" s="17">
        <v>0</v>
      </c>
      <c r="I82" s="15"/>
      <c r="J82" s="15">
        <f t="shared" si="6"/>
        <v>137056.15</v>
      </c>
      <c r="K82" s="15"/>
      <c r="L82" s="15">
        <f t="shared" si="7"/>
        <v>394397.22</v>
      </c>
      <c r="M82" s="29"/>
    </row>
    <row r="83" spans="1:14" x14ac:dyDescent="0.2">
      <c r="A83" s="3" t="s">
        <v>2840</v>
      </c>
      <c r="B83" s="17">
        <v>1681147.8999999997</v>
      </c>
      <c r="C83" s="17"/>
      <c r="D83" s="17">
        <v>1921238.76</v>
      </c>
      <c r="E83" s="15"/>
      <c r="F83" s="17">
        <v>0</v>
      </c>
      <c r="G83" s="15"/>
      <c r="H83" s="17">
        <v>0</v>
      </c>
      <c r="I83" s="17"/>
      <c r="J83" s="17">
        <f t="shared" si="6"/>
        <v>1921238.76</v>
      </c>
      <c r="K83" s="17"/>
      <c r="L83" s="17">
        <f t="shared" si="7"/>
        <v>3602386.6599999997</v>
      </c>
      <c r="M83" s="29"/>
      <c r="N83" s="39"/>
    </row>
    <row r="84" spans="1:14" x14ac:dyDescent="0.2">
      <c r="A84" s="22" t="s">
        <v>2841</v>
      </c>
      <c r="B84" s="15">
        <v>32173848.210000005</v>
      </c>
      <c r="C84" s="17"/>
      <c r="D84" s="17">
        <v>-4403627.9000000004</v>
      </c>
      <c r="E84" s="15"/>
      <c r="F84" s="17">
        <v>0</v>
      </c>
      <c r="G84" s="15"/>
      <c r="H84" s="17">
        <v>0</v>
      </c>
      <c r="I84" s="17"/>
      <c r="J84" s="15">
        <f t="shared" si="6"/>
        <v>-4403627.9000000004</v>
      </c>
      <c r="K84" s="17"/>
      <c r="L84" s="15">
        <f t="shared" si="7"/>
        <v>27770220.310000002</v>
      </c>
      <c r="M84" s="29"/>
      <c r="N84" s="39"/>
    </row>
    <row r="85" spans="1:14" x14ac:dyDescent="0.2">
      <c r="A85" s="3" t="s">
        <v>2842</v>
      </c>
      <c r="B85" s="17">
        <v>57371.14</v>
      </c>
      <c r="C85" s="17"/>
      <c r="D85" s="17">
        <v>64024.639999999999</v>
      </c>
      <c r="E85" s="15"/>
      <c r="F85" s="17">
        <v>0</v>
      </c>
      <c r="G85" s="15"/>
      <c r="H85" s="17">
        <v>0</v>
      </c>
      <c r="I85" s="17"/>
      <c r="J85" s="17">
        <f t="shared" si="6"/>
        <v>64024.639999999999</v>
      </c>
      <c r="K85" s="17"/>
      <c r="L85" s="17">
        <f t="shared" si="7"/>
        <v>121395.78</v>
      </c>
      <c r="M85" s="29"/>
    </row>
    <row r="86" spans="1:14" x14ac:dyDescent="0.2">
      <c r="A86" s="3" t="s">
        <v>2843</v>
      </c>
      <c r="B86" s="17">
        <v>0</v>
      </c>
      <c r="C86" s="17"/>
      <c r="D86" s="17">
        <v>16000</v>
      </c>
      <c r="E86" s="15"/>
      <c r="F86" s="17">
        <v>0</v>
      </c>
      <c r="G86" s="15"/>
      <c r="H86" s="17">
        <v>0</v>
      </c>
      <c r="I86" s="17"/>
      <c r="J86" s="17">
        <f t="shared" si="6"/>
        <v>16000</v>
      </c>
      <c r="K86" s="17"/>
      <c r="L86" s="17">
        <f t="shared" si="7"/>
        <v>16000</v>
      </c>
      <c r="M86" s="29"/>
      <c r="N86" s="39"/>
    </row>
    <row r="87" spans="1:14" x14ac:dyDescent="0.2">
      <c r="A87" s="3" t="s">
        <v>2844</v>
      </c>
      <c r="B87" s="17">
        <v>0</v>
      </c>
      <c r="C87" s="17"/>
      <c r="D87" s="17">
        <v>0</v>
      </c>
      <c r="E87" s="15"/>
      <c r="F87" s="17">
        <v>0</v>
      </c>
      <c r="G87" s="15"/>
      <c r="H87" s="17">
        <v>0</v>
      </c>
      <c r="I87" s="17"/>
      <c r="J87" s="17">
        <f t="shared" si="6"/>
        <v>0</v>
      </c>
      <c r="K87" s="17"/>
      <c r="L87" s="17">
        <f t="shared" si="7"/>
        <v>0</v>
      </c>
      <c r="M87" s="29"/>
      <c r="N87" s="39"/>
    </row>
    <row r="88" spans="1:14" x14ac:dyDescent="0.2">
      <c r="A88" s="3" t="s">
        <v>2845</v>
      </c>
      <c r="B88" s="16">
        <v>0</v>
      </c>
      <c r="C88" s="17"/>
      <c r="D88" s="17">
        <v>0</v>
      </c>
      <c r="E88" s="15"/>
      <c r="F88" s="17">
        <v>0</v>
      </c>
      <c r="G88" s="15"/>
      <c r="H88" s="17">
        <v>0</v>
      </c>
      <c r="I88" s="17"/>
      <c r="J88" s="16">
        <f t="shared" si="6"/>
        <v>0</v>
      </c>
      <c r="K88" s="17"/>
      <c r="L88" s="16">
        <f t="shared" si="7"/>
        <v>0</v>
      </c>
      <c r="M88" s="29"/>
      <c r="N88" s="39"/>
    </row>
    <row r="89" spans="1:14" x14ac:dyDescent="0.2">
      <c r="B89" s="17">
        <f>SUM(B77:B88)</f>
        <v>45485425.610000014</v>
      </c>
      <c r="C89" s="17"/>
      <c r="D89" s="20">
        <f>SUM(D77:D88)</f>
        <v>3881257.6599999997</v>
      </c>
      <c r="E89" s="17"/>
      <c r="F89" s="20">
        <f>SUM(F77:F88)</f>
        <v>0</v>
      </c>
      <c r="G89" s="17"/>
      <c r="H89" s="20">
        <f>SUM(H77:H88)</f>
        <v>0</v>
      </c>
      <c r="I89" s="17"/>
      <c r="J89" s="17">
        <f>SUM(J77:J88)</f>
        <v>3881257.6599999997</v>
      </c>
      <c r="K89" s="17"/>
      <c r="L89" s="17">
        <f>SUM(L77:L88)</f>
        <v>49366683.270000011</v>
      </c>
      <c r="M89" s="29"/>
    </row>
    <row r="90" spans="1:14" x14ac:dyDescent="0.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29"/>
    </row>
    <row r="91" spans="1:14" x14ac:dyDescent="0.2">
      <c r="A91" s="10" t="s">
        <v>28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29"/>
    </row>
    <row r="92" spans="1:14" x14ac:dyDescent="0.2">
      <c r="A92" s="3" t="s">
        <v>2846</v>
      </c>
      <c r="B92" s="15">
        <v>0</v>
      </c>
      <c r="C92" s="15"/>
      <c r="D92" s="17">
        <v>0</v>
      </c>
      <c r="E92" s="15"/>
      <c r="F92" s="17">
        <v>0</v>
      </c>
      <c r="G92" s="15"/>
      <c r="H92" s="17">
        <v>0</v>
      </c>
      <c r="I92" s="15"/>
      <c r="J92" s="15">
        <f t="shared" ref="J92:J98" si="8">H92+F92+D92</f>
        <v>0</v>
      </c>
      <c r="K92" s="15"/>
      <c r="L92" s="15">
        <f t="shared" ref="L92:L98" si="9">J92+B92</f>
        <v>0</v>
      </c>
      <c r="M92" s="29"/>
    </row>
    <row r="93" spans="1:14" x14ac:dyDescent="0.2">
      <c r="A93" s="3" t="s">
        <v>2847</v>
      </c>
      <c r="B93" s="15">
        <v>0</v>
      </c>
      <c r="C93" s="15"/>
      <c r="D93" s="17">
        <v>242398.53</v>
      </c>
      <c r="E93" s="15"/>
      <c r="F93" s="17">
        <v>0</v>
      </c>
      <c r="G93" s="15"/>
      <c r="H93" s="17">
        <v>0</v>
      </c>
      <c r="I93" s="15"/>
      <c r="J93" s="15">
        <f t="shared" si="8"/>
        <v>242398.53</v>
      </c>
      <c r="K93" s="15"/>
      <c r="L93" s="15">
        <f t="shared" si="9"/>
        <v>242398.53</v>
      </c>
      <c r="M93" s="29"/>
    </row>
    <row r="94" spans="1:14" x14ac:dyDescent="0.2">
      <c r="A94" s="3" t="s">
        <v>2848</v>
      </c>
      <c r="B94" s="15">
        <v>167095.97</v>
      </c>
      <c r="C94" s="15"/>
      <c r="D94" s="17">
        <v>92201.59</v>
      </c>
      <c r="E94" s="15"/>
      <c r="F94" s="17">
        <v>0</v>
      </c>
      <c r="G94" s="15"/>
      <c r="H94" s="17">
        <v>0</v>
      </c>
      <c r="I94" s="15"/>
      <c r="J94" s="15">
        <f t="shared" si="8"/>
        <v>92201.59</v>
      </c>
      <c r="K94" s="15"/>
      <c r="L94" s="15">
        <f t="shared" si="9"/>
        <v>259297.56</v>
      </c>
      <c r="M94" s="29"/>
    </row>
    <row r="95" spans="1:14" x14ac:dyDescent="0.2">
      <c r="A95" s="133" t="s">
        <v>2849</v>
      </c>
      <c r="B95" s="15">
        <v>0</v>
      </c>
      <c r="C95" s="15"/>
      <c r="D95" s="17">
        <v>0</v>
      </c>
      <c r="E95" s="15"/>
      <c r="F95" s="17">
        <v>0</v>
      </c>
      <c r="G95" s="15"/>
      <c r="H95" s="17">
        <v>0</v>
      </c>
      <c r="I95" s="15"/>
      <c r="J95" s="15">
        <f t="shared" si="8"/>
        <v>0</v>
      </c>
      <c r="K95" s="15"/>
      <c r="L95" s="15">
        <f t="shared" si="9"/>
        <v>0</v>
      </c>
      <c r="M95" s="29"/>
    </row>
    <row r="96" spans="1:14" x14ac:dyDescent="0.2">
      <c r="A96" s="133" t="s">
        <v>2850</v>
      </c>
      <c r="B96" s="17">
        <v>0</v>
      </c>
      <c r="C96" s="17"/>
      <c r="D96" s="17">
        <v>0</v>
      </c>
      <c r="E96" s="17"/>
      <c r="F96" s="17">
        <v>0</v>
      </c>
      <c r="G96" s="17"/>
      <c r="H96" s="17">
        <v>0</v>
      </c>
      <c r="I96" s="17"/>
      <c r="J96" s="17">
        <f t="shared" si="8"/>
        <v>0</v>
      </c>
      <c r="K96" s="17"/>
      <c r="L96" s="17">
        <f t="shared" si="9"/>
        <v>0</v>
      </c>
      <c r="M96" s="134"/>
    </row>
    <row r="97" spans="1:13" x14ac:dyDescent="0.2">
      <c r="A97" s="3" t="s">
        <v>2851</v>
      </c>
      <c r="B97" s="17">
        <v>0</v>
      </c>
      <c r="C97" s="17"/>
      <c r="D97" s="17">
        <v>0</v>
      </c>
      <c r="E97" s="15"/>
      <c r="F97" s="17">
        <v>0</v>
      </c>
      <c r="G97" s="15"/>
      <c r="H97" s="17">
        <v>0</v>
      </c>
      <c r="I97" s="17"/>
      <c r="J97" s="17">
        <f t="shared" si="8"/>
        <v>0</v>
      </c>
      <c r="K97" s="17"/>
      <c r="L97" s="17">
        <f t="shared" si="9"/>
        <v>0</v>
      </c>
      <c r="M97" s="134"/>
    </row>
    <row r="98" spans="1:13" x14ac:dyDescent="0.2">
      <c r="A98" s="22" t="s">
        <v>2810</v>
      </c>
      <c r="B98" s="17">
        <v>0</v>
      </c>
      <c r="C98" s="17"/>
      <c r="D98" s="17">
        <v>0</v>
      </c>
      <c r="E98" s="15"/>
      <c r="F98" s="17">
        <v>0</v>
      </c>
      <c r="G98" s="15"/>
      <c r="H98" s="17">
        <v>0</v>
      </c>
      <c r="I98" s="17"/>
      <c r="J98" s="17">
        <f t="shared" si="8"/>
        <v>0</v>
      </c>
      <c r="K98" s="17"/>
      <c r="L98" s="17">
        <f t="shared" si="9"/>
        <v>0</v>
      </c>
      <c r="M98" s="134"/>
    </row>
    <row r="99" spans="1:13" x14ac:dyDescent="0.2">
      <c r="B99" s="20">
        <f>SUM(B92:B98)</f>
        <v>167095.97</v>
      </c>
      <c r="C99" s="17"/>
      <c r="D99" s="20">
        <f>SUM(D92:D98)</f>
        <v>334600.12</v>
      </c>
      <c r="E99" s="17"/>
      <c r="F99" s="20">
        <f>SUM(F92:F98)</f>
        <v>0</v>
      </c>
      <c r="G99" s="17"/>
      <c r="H99" s="20">
        <f>SUM(H92:H98)</f>
        <v>0</v>
      </c>
      <c r="I99" s="17"/>
      <c r="J99" s="20">
        <f>SUM(J92:J98)</f>
        <v>334600.12</v>
      </c>
      <c r="K99" s="17"/>
      <c r="L99" s="20">
        <f>SUM(L92:L98)</f>
        <v>501696.08999999997</v>
      </c>
      <c r="M99" s="134"/>
    </row>
    <row r="100" spans="1:13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34"/>
    </row>
    <row r="101" spans="1:13" x14ac:dyDescent="0.2">
      <c r="A101" s="10" t="s">
        <v>30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29"/>
    </row>
    <row r="102" spans="1:13" x14ac:dyDescent="0.2">
      <c r="A102" s="3" t="s">
        <v>2852</v>
      </c>
      <c r="B102" s="17">
        <v>143153.95000000001</v>
      </c>
      <c r="C102" s="17"/>
      <c r="D102" s="17">
        <v>188336.23</v>
      </c>
      <c r="E102" s="15"/>
      <c r="F102" s="17">
        <v>0</v>
      </c>
      <c r="G102" s="15"/>
      <c r="H102" s="17">
        <v>0</v>
      </c>
      <c r="I102" s="17"/>
      <c r="J102" s="17">
        <f t="shared" ref="J102:J112" si="10">H102+F102+D102</f>
        <v>188336.23</v>
      </c>
      <c r="K102" s="17"/>
      <c r="L102" s="17">
        <f t="shared" ref="L102:L112" si="11">J102+B102</f>
        <v>331490.18000000005</v>
      </c>
      <c r="M102" s="29"/>
    </row>
    <row r="103" spans="1:13" x14ac:dyDescent="0.2">
      <c r="A103" s="3" t="s">
        <v>2853</v>
      </c>
      <c r="B103" s="17">
        <v>0</v>
      </c>
      <c r="C103" s="17"/>
      <c r="D103" s="17">
        <v>0</v>
      </c>
      <c r="E103" s="15"/>
      <c r="F103" s="17">
        <v>0</v>
      </c>
      <c r="G103" s="15"/>
      <c r="H103" s="17">
        <v>0</v>
      </c>
      <c r="I103" s="17"/>
      <c r="J103" s="17">
        <f t="shared" si="10"/>
        <v>0</v>
      </c>
      <c r="K103" s="17"/>
      <c r="L103" s="17">
        <f t="shared" si="11"/>
        <v>0</v>
      </c>
      <c r="M103" s="29"/>
    </row>
    <row r="104" spans="1:13" x14ac:dyDescent="0.2">
      <c r="A104" s="3" t="s">
        <v>2854</v>
      </c>
      <c r="B104" s="17">
        <v>28915.31</v>
      </c>
      <c r="C104" s="17"/>
      <c r="D104" s="17">
        <v>191366.47</v>
      </c>
      <c r="E104" s="15"/>
      <c r="F104" s="17">
        <v>0</v>
      </c>
      <c r="G104" s="15"/>
      <c r="H104" s="17">
        <v>0</v>
      </c>
      <c r="I104" s="17"/>
      <c r="J104" s="17">
        <f t="shared" si="10"/>
        <v>191366.47</v>
      </c>
      <c r="K104" s="17"/>
      <c r="L104" s="17">
        <f t="shared" si="11"/>
        <v>220281.78</v>
      </c>
      <c r="M104" s="29"/>
    </row>
    <row r="105" spans="1:13" x14ac:dyDescent="0.2">
      <c r="A105" s="22" t="s">
        <v>2855</v>
      </c>
      <c r="B105" s="17">
        <v>0</v>
      </c>
      <c r="C105" s="17"/>
      <c r="D105" s="17">
        <v>0</v>
      </c>
      <c r="E105" s="15"/>
      <c r="F105" s="17">
        <v>0</v>
      </c>
      <c r="G105" s="15"/>
      <c r="H105" s="17">
        <v>0</v>
      </c>
      <c r="I105" s="17"/>
      <c r="J105" s="17">
        <f t="shared" si="10"/>
        <v>0</v>
      </c>
      <c r="K105" s="17"/>
      <c r="L105" s="17">
        <f t="shared" si="11"/>
        <v>0</v>
      </c>
      <c r="M105" s="29"/>
    </row>
    <row r="106" spans="1:13" x14ac:dyDescent="0.2">
      <c r="A106" s="22" t="s">
        <v>2856</v>
      </c>
      <c r="B106" s="17">
        <v>0</v>
      </c>
      <c r="C106" s="17"/>
      <c r="D106" s="17">
        <v>0</v>
      </c>
      <c r="E106" s="15"/>
      <c r="F106" s="17">
        <v>0</v>
      </c>
      <c r="G106" s="15"/>
      <c r="H106" s="17">
        <v>0</v>
      </c>
      <c r="I106" s="17"/>
      <c r="J106" s="17">
        <f t="shared" si="10"/>
        <v>0</v>
      </c>
      <c r="K106" s="17"/>
      <c r="L106" s="17">
        <f t="shared" si="11"/>
        <v>0</v>
      </c>
      <c r="M106" s="29"/>
    </row>
    <row r="107" spans="1:13" x14ac:dyDescent="0.2">
      <c r="A107" s="22" t="s">
        <v>2857</v>
      </c>
      <c r="B107" s="17">
        <v>-1.1641532182693481E-10</v>
      </c>
      <c r="C107" s="17"/>
      <c r="D107" s="17">
        <v>374481.09</v>
      </c>
      <c r="E107" s="15"/>
      <c r="F107" s="17">
        <v>0</v>
      </c>
      <c r="G107" s="15"/>
      <c r="H107" s="17">
        <v>0</v>
      </c>
      <c r="I107" s="17"/>
      <c r="J107" s="17">
        <f t="shared" si="10"/>
        <v>374481.09</v>
      </c>
      <c r="K107" s="17"/>
      <c r="L107" s="17">
        <f t="shared" si="11"/>
        <v>374481.08999999991</v>
      </c>
      <c r="M107" s="29"/>
    </row>
    <row r="108" spans="1:13" x14ac:dyDescent="0.2">
      <c r="A108" s="3" t="s">
        <v>2858</v>
      </c>
      <c r="B108" s="17">
        <v>436272.26</v>
      </c>
      <c r="C108" s="17"/>
      <c r="D108" s="17">
        <v>1201881.73</v>
      </c>
      <c r="E108" s="15"/>
      <c r="F108" s="17">
        <v>0</v>
      </c>
      <c r="G108" s="15"/>
      <c r="H108" s="17">
        <v>0</v>
      </c>
      <c r="I108" s="17"/>
      <c r="J108" s="17">
        <f t="shared" si="10"/>
        <v>1201881.73</v>
      </c>
      <c r="K108" s="17"/>
      <c r="L108" s="17">
        <f t="shared" si="11"/>
        <v>1638153.99</v>
      </c>
      <c r="M108" s="29"/>
    </row>
    <row r="109" spans="1:13" x14ac:dyDescent="0.2">
      <c r="A109" s="3" t="s">
        <v>2859</v>
      </c>
      <c r="B109" s="17">
        <v>608115.66999999806</v>
      </c>
      <c r="C109" s="17"/>
      <c r="D109" s="17">
        <v>7566901.3600000003</v>
      </c>
      <c r="E109" s="15"/>
      <c r="F109" s="17">
        <v>0</v>
      </c>
      <c r="G109" s="15"/>
      <c r="H109" s="17">
        <v>0</v>
      </c>
      <c r="I109" s="17"/>
      <c r="J109" s="17">
        <f t="shared" si="10"/>
        <v>7566901.3600000003</v>
      </c>
      <c r="K109" s="17"/>
      <c r="L109" s="17">
        <f t="shared" si="11"/>
        <v>8175017.0299999984</v>
      </c>
      <c r="M109" s="29"/>
    </row>
    <row r="110" spans="1:13" x14ac:dyDescent="0.2">
      <c r="A110" s="3" t="s">
        <v>2860</v>
      </c>
      <c r="B110" s="17">
        <v>0</v>
      </c>
      <c r="C110" s="17"/>
      <c r="D110" s="17">
        <v>989556.78</v>
      </c>
      <c r="E110" s="15"/>
      <c r="F110" s="17">
        <v>0</v>
      </c>
      <c r="G110" s="15"/>
      <c r="H110" s="17">
        <v>0</v>
      </c>
      <c r="I110" s="17"/>
      <c r="J110" s="17">
        <f t="shared" si="10"/>
        <v>989556.78</v>
      </c>
      <c r="K110" s="17"/>
      <c r="L110" s="17">
        <f t="shared" si="11"/>
        <v>989556.78</v>
      </c>
      <c r="M110" s="29"/>
    </row>
    <row r="111" spans="1:13" x14ac:dyDescent="0.2">
      <c r="A111" s="3" t="s">
        <v>2861</v>
      </c>
      <c r="B111" s="17">
        <v>3243882.4</v>
      </c>
      <c r="C111" s="17"/>
      <c r="D111" s="17">
        <v>-801167.52</v>
      </c>
      <c r="E111" s="15"/>
      <c r="F111" s="17">
        <v>0</v>
      </c>
      <c r="G111" s="15"/>
      <c r="H111" s="17">
        <v>0</v>
      </c>
      <c r="I111" s="17"/>
      <c r="J111" s="17">
        <f t="shared" si="10"/>
        <v>-801167.52</v>
      </c>
      <c r="K111" s="17"/>
      <c r="L111" s="17">
        <f t="shared" si="11"/>
        <v>2442714.88</v>
      </c>
      <c r="M111" s="29"/>
    </row>
    <row r="112" spans="1:13" x14ac:dyDescent="0.2">
      <c r="A112" s="3" t="s">
        <v>2862</v>
      </c>
      <c r="B112" s="16">
        <v>9095.14</v>
      </c>
      <c r="C112" s="17"/>
      <c r="D112" s="17">
        <v>278021.05</v>
      </c>
      <c r="E112" s="15"/>
      <c r="F112" s="17">
        <v>0</v>
      </c>
      <c r="G112" s="15"/>
      <c r="H112" s="17">
        <v>0</v>
      </c>
      <c r="I112" s="17"/>
      <c r="J112" s="16">
        <f t="shared" si="10"/>
        <v>278021.05</v>
      </c>
      <c r="K112" s="17"/>
      <c r="L112" s="16">
        <f t="shared" si="11"/>
        <v>287116.19</v>
      </c>
      <c r="M112" s="29"/>
    </row>
    <row r="113" spans="1:13" x14ac:dyDescent="0.2">
      <c r="B113" s="17">
        <f>SUM(B102:B112)</f>
        <v>4469434.7299999977</v>
      </c>
      <c r="C113" s="17"/>
      <c r="D113" s="20">
        <f>SUM(D102:D112)</f>
        <v>9989377.1900000013</v>
      </c>
      <c r="E113" s="17"/>
      <c r="F113" s="20">
        <f>SUM(F102:F112)</f>
        <v>0</v>
      </c>
      <c r="G113" s="17"/>
      <c r="H113" s="20">
        <f>SUM(H102:H112)</f>
        <v>0</v>
      </c>
      <c r="I113" s="17"/>
      <c r="J113" s="17">
        <f>SUM(J102:J112)</f>
        <v>9989377.1900000013</v>
      </c>
      <c r="K113" s="17"/>
      <c r="L113" s="17">
        <f>SUM(L102:L112)</f>
        <v>14458811.919999996</v>
      </c>
      <c r="M113" s="29"/>
    </row>
    <row r="114" spans="1:13" x14ac:dyDescent="0.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29"/>
    </row>
    <row r="115" spans="1:13" x14ac:dyDescent="0.2">
      <c r="A115" s="10" t="s">
        <v>31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29"/>
    </row>
    <row r="116" spans="1:13" x14ac:dyDescent="0.2">
      <c r="A116" s="133" t="s">
        <v>2863</v>
      </c>
      <c r="B116" s="16">
        <v>4015859.2299999995</v>
      </c>
      <c r="C116" s="17"/>
      <c r="D116" s="17">
        <v>1679741.45</v>
      </c>
      <c r="E116" s="15"/>
      <c r="F116" s="17">
        <v>0</v>
      </c>
      <c r="G116" s="15"/>
      <c r="H116" s="17">
        <v>0</v>
      </c>
      <c r="I116" s="17"/>
      <c r="J116" s="16">
        <f>H116+F116+D116</f>
        <v>1679741.45</v>
      </c>
      <c r="K116" s="17"/>
      <c r="L116" s="16">
        <f>J116+B116</f>
        <v>5695600.6799999997</v>
      </c>
      <c r="M116" s="29"/>
    </row>
    <row r="117" spans="1:13" x14ac:dyDescent="0.2">
      <c r="B117" s="17">
        <f>SUM(B116)</f>
        <v>4015859.2299999995</v>
      </c>
      <c r="C117" s="17"/>
      <c r="D117" s="20">
        <f>SUM(D116)</f>
        <v>1679741.45</v>
      </c>
      <c r="E117" s="17"/>
      <c r="F117" s="20">
        <f>SUM(F116)</f>
        <v>0</v>
      </c>
      <c r="G117" s="17"/>
      <c r="H117" s="20">
        <f>SUM(H116)</f>
        <v>0</v>
      </c>
      <c r="I117" s="17"/>
      <c r="J117" s="17">
        <f>SUM(J116)</f>
        <v>1679741.45</v>
      </c>
      <c r="K117" s="17"/>
      <c r="L117" s="17">
        <f>SUM(L116)</f>
        <v>5695600.6799999997</v>
      </c>
      <c r="M117" s="29"/>
    </row>
    <row r="118" spans="1:13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29"/>
    </row>
    <row r="119" spans="1:13" x14ac:dyDescent="0.2">
      <c r="B119" s="17"/>
      <c r="C119" s="15"/>
      <c r="D119" s="17"/>
      <c r="E119" s="15"/>
      <c r="F119" s="17"/>
      <c r="G119" s="15"/>
      <c r="H119" s="17"/>
      <c r="I119" s="15"/>
      <c r="J119" s="17"/>
      <c r="K119" s="15"/>
      <c r="L119" s="17"/>
      <c r="M119" s="29"/>
    </row>
    <row r="120" spans="1:13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29"/>
    </row>
    <row r="121" spans="1:13" x14ac:dyDescent="0.2">
      <c r="A121" s="10" t="s">
        <v>2864</v>
      </c>
      <c r="B121" s="21">
        <f>B113+B89+B99+B117</f>
        <v>54137815.540000007</v>
      </c>
      <c r="C121" s="17"/>
      <c r="D121" s="21">
        <f>D113+D89+D99+D117</f>
        <v>15884976.42</v>
      </c>
      <c r="E121" s="17"/>
      <c r="F121" s="21">
        <f>F113+F89+F99+F117</f>
        <v>0</v>
      </c>
      <c r="G121" s="17"/>
      <c r="H121" s="21">
        <f>H113+H89+H99+H117</f>
        <v>0</v>
      </c>
      <c r="I121" s="17"/>
      <c r="J121" s="21">
        <f>J113+J89+J99+J117</f>
        <v>15884976.42</v>
      </c>
      <c r="K121" s="17"/>
      <c r="L121" s="21">
        <f>L113+L89+L99+L117</f>
        <v>70022791.960000008</v>
      </c>
      <c r="M121" s="134"/>
    </row>
    <row r="122" spans="1:13" x14ac:dyDescent="0.2">
      <c r="B122" s="17"/>
      <c r="C122" s="15"/>
      <c r="D122" s="17"/>
      <c r="E122" s="15"/>
      <c r="F122" s="17"/>
      <c r="G122" s="15"/>
      <c r="H122" s="17"/>
      <c r="I122" s="15"/>
      <c r="J122" s="17"/>
      <c r="K122" s="15"/>
      <c r="L122" s="17"/>
      <c r="M122" s="29"/>
    </row>
    <row r="123" spans="1:13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29"/>
    </row>
    <row r="124" spans="1:13" ht="13.5" thickBot="1" x14ac:dyDescent="0.25">
      <c r="A124" s="10" t="s">
        <v>2865</v>
      </c>
      <c r="B124" s="41">
        <f>B121+B72</f>
        <v>1008210597.64</v>
      </c>
      <c r="C124" s="15"/>
      <c r="D124" s="41">
        <f>D121+D72</f>
        <v>96014584.430000007</v>
      </c>
      <c r="E124" s="15"/>
      <c r="F124" s="41">
        <f>F121+F72</f>
        <v>-9997705.8800000008</v>
      </c>
      <c r="G124" s="15"/>
      <c r="H124" s="41">
        <f>H121+H72</f>
        <v>2325533.2799999998</v>
      </c>
      <c r="I124" s="15"/>
      <c r="J124" s="41">
        <f>J121+J72</f>
        <v>88342411.830000013</v>
      </c>
      <c r="K124" s="15"/>
      <c r="L124" s="41">
        <f>L121+L72</f>
        <v>1096553009.47</v>
      </c>
      <c r="M124" s="29"/>
    </row>
    <row r="125" spans="1:13" ht="13.5" thickTop="1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29"/>
    </row>
    <row r="126" spans="1:13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29"/>
    </row>
    <row r="127" spans="1:13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9"/>
    </row>
    <row r="128" spans="1:13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x14ac:dyDescent="0.2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x14ac:dyDescent="0.2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x14ac:dyDescent="0.2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x14ac:dyDescent="0.2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x14ac:dyDescent="0.2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x14ac:dyDescent="0.2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x14ac:dyDescent="0.2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2:13" x14ac:dyDescent="0.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2:13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2:13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2:13" x14ac:dyDescent="0.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2:13" x14ac:dyDescent="0.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2:13" x14ac:dyDescent="0.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2:13" x14ac:dyDescent="0.2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2:13" x14ac:dyDescent="0.2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2:13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2:13" x14ac:dyDescent="0.2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2:13" x14ac:dyDescent="0.2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2:13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2:13" x14ac:dyDescent="0.2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2:13" x14ac:dyDescent="0.2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2:13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2:13" x14ac:dyDescent="0.2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2:13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2:13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2:13" x14ac:dyDescent="0.2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2:13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2:13" x14ac:dyDescent="0.2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2:13" x14ac:dyDescent="0.2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2:13" x14ac:dyDescent="0.2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2" manualBreakCount="2">
    <brk id="43" max="16383" man="1"/>
    <brk id="7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24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28515625" style="3" customWidth="1"/>
    <col min="14" max="14" width="13.5703125" style="3" bestFit="1" customWidth="1"/>
    <col min="15" max="15" width="1.85546875" style="3" customWidth="1"/>
    <col min="16" max="16" width="23.140625" style="3" bestFit="1" customWidth="1"/>
    <col min="17" max="16384" width="9.140625" style="3"/>
  </cols>
  <sheetData>
    <row r="1" spans="1:17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s="132" customFormat="1" ht="15.75" x14ac:dyDescent="0.25">
      <c r="A2" s="210" t="s">
        <v>2866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7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0" t="s">
        <v>2556</v>
      </c>
    </row>
    <row r="7" spans="1:17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7" x14ac:dyDescent="0.2">
      <c r="A8" s="10" t="s">
        <v>2560</v>
      </c>
      <c r="B8" s="18"/>
      <c r="D8" s="18"/>
      <c r="F8" s="18"/>
      <c r="H8" s="18"/>
      <c r="J8" s="18"/>
      <c r="L8" s="18"/>
    </row>
    <row r="9" spans="1:17" x14ac:dyDescent="0.2">
      <c r="A9" s="10" t="s">
        <v>2561</v>
      </c>
    </row>
    <row r="10" spans="1:17" x14ac:dyDescent="0.2">
      <c r="A10" s="10" t="s">
        <v>30</v>
      </c>
    </row>
    <row r="11" spans="1:17" x14ac:dyDescent="0.2">
      <c r="A11" s="3" t="s">
        <v>406</v>
      </c>
      <c r="B11" s="138">
        <f>'IN_Cost Plant Acct-Gas-P22(Reg)'!B11</f>
        <v>3363.5</v>
      </c>
      <c r="C11" s="138"/>
      <c r="D11" s="138">
        <f>'IN_Cost Plant Acct-Gas-P22(Reg)'!D11</f>
        <v>0</v>
      </c>
      <c r="E11" s="138"/>
      <c r="F11" s="138">
        <f>'IN_Cost Plant Acct-Gas-P22(Reg)'!F11</f>
        <v>0</v>
      </c>
      <c r="G11" s="138"/>
      <c r="H11" s="138">
        <f>'IN_Cost Plant Acct-Gas-P22(Reg)'!H11</f>
        <v>0</v>
      </c>
      <c r="I11" s="138">
        <v>0</v>
      </c>
      <c r="J11" s="138">
        <f t="shared" ref="J11:J17" si="0">D11+F11+H11</f>
        <v>0</v>
      </c>
      <c r="K11" s="138"/>
      <c r="L11" s="138">
        <f t="shared" ref="L11:L18" si="1">B11+J11</f>
        <v>3363.5</v>
      </c>
      <c r="N11" s="138">
        <v>0</v>
      </c>
      <c r="O11" s="145"/>
      <c r="P11" s="39">
        <f t="shared" ref="P11:P18" si="2">L11+N11</f>
        <v>3363.5</v>
      </c>
    </row>
    <row r="12" spans="1:17" x14ac:dyDescent="0.2">
      <c r="A12" s="3" t="s">
        <v>411</v>
      </c>
      <c r="B12" s="138">
        <f>'IN_Cost Plant Acct-Gas-P22(Reg)'!B12+'IN_Cost Plant Acct-Gas-P22(Reg)'!B26</f>
        <v>1502845.41</v>
      </c>
      <c r="C12" s="138"/>
      <c r="D12" s="138">
        <f>'IN_Cost Plant Acct-Gas-P22(Reg)'!D12+'IN_Cost Plant Acct-Gas-P22(Reg)'!D26</f>
        <v>0</v>
      </c>
      <c r="E12" s="138"/>
      <c r="F12" s="138">
        <f>'IN_Cost Plant Acct-Gas-P22(Reg)'!F12+'IN_Cost Plant Acct-Gas-P22(Reg)'!F26</f>
        <v>0</v>
      </c>
      <c r="G12" s="138"/>
      <c r="H12" s="138">
        <f>'IN_Cost Plant Acct-Gas-P22(Reg)'!H12+'IN_Cost Plant Acct-Gas-P22(Reg)'!H26</f>
        <v>0</v>
      </c>
      <c r="I12" s="138">
        <v>0</v>
      </c>
      <c r="J12" s="138">
        <f t="shared" si="0"/>
        <v>0</v>
      </c>
      <c r="K12" s="138"/>
      <c r="L12" s="138">
        <f>B12+J12</f>
        <v>1502845.41</v>
      </c>
      <c r="N12" s="39">
        <f>'IN_Res by Plant Acct-P30 (Reg)'!R29</f>
        <v>-162210.00999999998</v>
      </c>
      <c r="O12" s="145"/>
      <c r="P12" s="39">
        <f t="shared" si="2"/>
        <v>1340635.3999999999</v>
      </c>
    </row>
    <row r="13" spans="1:17" x14ac:dyDescent="0.2">
      <c r="A13" s="3" t="s">
        <v>413</v>
      </c>
      <c r="B13" s="138">
        <f>'IN_Cost Plant Acct-Gas-P22(Reg)'!B13+'IN_Cost Plant Acct-Gas-P22(Reg)'!B27</f>
        <v>2381820.5900000003</v>
      </c>
      <c r="C13" s="138"/>
      <c r="D13" s="138">
        <f>'IN_Cost Plant Acct-Gas-P22(Reg)'!D13+'IN_Cost Plant Acct-Gas-P22(Reg)'!D27</f>
        <v>0</v>
      </c>
      <c r="E13" s="138"/>
      <c r="F13" s="138">
        <f>'IN_Cost Plant Acct-Gas-P22(Reg)'!F13+'IN_Cost Plant Acct-Gas-P22(Reg)'!F27</f>
        <v>0</v>
      </c>
      <c r="G13" s="138"/>
      <c r="H13" s="138">
        <f>'IN_Cost Plant Acct-Gas-P22(Reg)'!H13+'IN_Cost Plant Acct-Gas-P22(Reg)'!H27</f>
        <v>0</v>
      </c>
      <c r="I13" s="138">
        <v>0</v>
      </c>
      <c r="J13" s="138">
        <f t="shared" si="0"/>
        <v>0</v>
      </c>
      <c r="K13" s="138"/>
      <c r="L13" s="138">
        <f t="shared" si="1"/>
        <v>2381820.5900000003</v>
      </c>
      <c r="N13" s="39">
        <f>'IN_Res by Plant Acct-P30 (Reg)'!R30</f>
        <v>-323673.01000000013</v>
      </c>
      <c r="O13" s="145"/>
      <c r="P13" s="39">
        <f t="shared" si="2"/>
        <v>2058147.58</v>
      </c>
    </row>
    <row r="14" spans="1:17" x14ac:dyDescent="0.2">
      <c r="A14" s="3" t="s">
        <v>2867</v>
      </c>
      <c r="B14" s="138">
        <f>'IN_Cost Plant Acct-Gas-P22(Reg)'!B14+'IN_Cost Plant Acct-Gas-P22(Reg)'!B28</f>
        <v>0</v>
      </c>
      <c r="C14" s="138"/>
      <c r="D14" s="138">
        <f>'IN_Cost Plant Acct-Gas-P22(Reg)'!D14+'IN_Cost Plant Acct-Gas-P22(Reg)'!D28</f>
        <v>0</v>
      </c>
      <c r="E14" s="138"/>
      <c r="F14" s="138">
        <f>'IN_Cost Plant Acct-Gas-P22(Reg)'!F14+'IN_Cost Plant Acct-Gas-P22(Reg)'!F28</f>
        <v>0</v>
      </c>
      <c r="G14" s="138"/>
      <c r="H14" s="138">
        <f>'IN_Cost Plant Acct-Gas-P22(Reg)'!H14+'IN_Cost Plant Acct-Gas-P22(Reg)'!H28</f>
        <v>0</v>
      </c>
      <c r="I14" s="138">
        <v>0</v>
      </c>
      <c r="J14" s="138">
        <f t="shared" si="0"/>
        <v>0</v>
      </c>
      <c r="K14" s="138"/>
      <c r="L14" s="138">
        <f t="shared" si="1"/>
        <v>0</v>
      </c>
      <c r="N14" s="39">
        <f>'IN_Res by Plant Acct-P30 (Reg)'!R31</f>
        <v>0</v>
      </c>
      <c r="O14" s="145"/>
      <c r="P14" s="39">
        <f t="shared" si="2"/>
        <v>0</v>
      </c>
    </row>
    <row r="15" spans="1:17" x14ac:dyDescent="0.2">
      <c r="A15" s="3" t="s">
        <v>415</v>
      </c>
      <c r="B15" s="138">
        <f>'IN_Cost Plant Acct-Gas-P22(Reg)'!B15+'IN_Cost Plant Acct-Gas-P22(Reg)'!B29</f>
        <v>2750076.96</v>
      </c>
      <c r="C15" s="138"/>
      <c r="D15" s="138">
        <f>'IN_Cost Plant Acct-Gas-P22(Reg)'!D15+'IN_Cost Plant Acct-Gas-P22(Reg)'!D29</f>
        <v>37426.69</v>
      </c>
      <c r="E15" s="138"/>
      <c r="F15" s="138">
        <f>'IN_Cost Plant Acct-Gas-P22(Reg)'!F15+'IN_Cost Plant Acct-Gas-P22(Reg)'!F29</f>
        <v>0</v>
      </c>
      <c r="G15" s="138"/>
      <c r="H15" s="138">
        <f>'IN_Cost Plant Acct-Gas-P22(Reg)'!H15+'IN_Cost Plant Acct-Gas-P22(Reg)'!H29</f>
        <v>0</v>
      </c>
      <c r="I15" s="138"/>
      <c r="J15" s="138">
        <f t="shared" si="0"/>
        <v>37426.69</v>
      </c>
      <c r="K15" s="138"/>
      <c r="L15" s="138">
        <f t="shared" si="1"/>
        <v>2787503.65</v>
      </c>
      <c r="N15" s="39">
        <f>'IN_Res by Plant Acct-P30 (Reg)'!R32</f>
        <v>-306532.18999999994</v>
      </c>
      <c r="O15" s="145"/>
      <c r="P15" s="39">
        <f t="shared" si="2"/>
        <v>2480971.46</v>
      </c>
    </row>
    <row r="16" spans="1:17" x14ac:dyDescent="0.2">
      <c r="A16" s="3" t="s">
        <v>420</v>
      </c>
      <c r="B16" s="138">
        <f>'IN_Cost Plant Acct-Gas-P22(Reg)'!B16+'IN_Cost Plant Acct-Gas-P22(Reg)'!B30</f>
        <v>4644200.68</v>
      </c>
      <c r="C16" s="138"/>
      <c r="D16" s="138">
        <f>'IN_Cost Plant Acct-Gas-P22(Reg)'!D16+'IN_Cost Plant Acct-Gas-P22(Reg)'!D30</f>
        <v>362782.75999999995</v>
      </c>
      <c r="E16" s="138"/>
      <c r="F16" s="138">
        <f>'IN_Cost Plant Acct-Gas-P22(Reg)'!F16+'IN_Cost Plant Acct-Gas-P22(Reg)'!F30</f>
        <v>-3610.57</v>
      </c>
      <c r="G16" s="138"/>
      <c r="H16" s="138">
        <f>'IN_Cost Plant Acct-Gas-P22(Reg)'!H16+'IN_Cost Plant Acct-Gas-P22(Reg)'!H30</f>
        <v>0</v>
      </c>
      <c r="I16" s="138">
        <v>0</v>
      </c>
      <c r="J16" s="138">
        <f t="shared" si="0"/>
        <v>359172.18999999994</v>
      </c>
      <c r="K16" s="138"/>
      <c r="L16" s="138">
        <f t="shared" si="1"/>
        <v>5003372.8699999992</v>
      </c>
      <c r="N16" s="39">
        <f>'IN_Res by Plant Acct-P30 (Reg)'!R33</f>
        <v>-797923.42999999993</v>
      </c>
      <c r="O16" s="145"/>
      <c r="P16" s="39">
        <f t="shared" si="2"/>
        <v>4205449.4399999995</v>
      </c>
    </row>
    <row r="17" spans="1:16" x14ac:dyDescent="0.2">
      <c r="A17" s="3" t="s">
        <v>2868</v>
      </c>
      <c r="B17" s="138">
        <f>'IN_Cost Plant Acct-Gas-P22(Reg)'!B17+'IN_Cost Plant Acct-Gas-P22(Reg)'!B31</f>
        <v>0</v>
      </c>
      <c r="C17" s="138"/>
      <c r="D17" s="138">
        <f>'IN_Cost Plant Acct-Gas-P22(Reg)'!D17+'IN_Cost Plant Acct-Gas-P22(Reg)'!D31</f>
        <v>0</v>
      </c>
      <c r="E17" s="138"/>
      <c r="F17" s="138">
        <f>'IN_Cost Plant Acct-Gas-P22(Reg)'!F17</f>
        <v>0</v>
      </c>
      <c r="G17" s="138"/>
      <c r="H17" s="138">
        <f>'IN_Cost Plant Acct-Gas-P22(Reg)'!H17</f>
        <v>0</v>
      </c>
      <c r="I17" s="138"/>
      <c r="J17" s="138">
        <f t="shared" si="0"/>
        <v>0</v>
      </c>
      <c r="K17" s="138"/>
      <c r="L17" s="138">
        <f t="shared" si="1"/>
        <v>0</v>
      </c>
      <c r="N17" s="39">
        <f>'IN_Res by Plant Acct-P30 (Reg)'!R34</f>
        <v>0</v>
      </c>
      <c r="O17" s="145"/>
      <c r="P17" s="39">
        <f t="shared" si="2"/>
        <v>0</v>
      </c>
    </row>
    <row r="18" spans="1:16" x14ac:dyDescent="0.2">
      <c r="A18" s="3" t="s">
        <v>424</v>
      </c>
      <c r="B18" s="149">
        <f>'IN_Cost Plant Acct-Gas-P22(Reg)'!B18+'IN_Cost Plant Acct-Gas-P22(Reg)'!B32</f>
        <v>1670172.9</v>
      </c>
      <c r="C18" s="135"/>
      <c r="D18" s="149">
        <f>'IN_Cost Plant Acct-Gas-P22(Reg)'!D18+'IN_Cost Plant Acct-Gas-P22(Reg)'!D32</f>
        <v>206857.37000000002</v>
      </c>
      <c r="E18" s="135"/>
      <c r="F18" s="149">
        <f>'IN_Cost Plant Acct-Gas-P22(Reg)'!F18+'IN_Cost Plant Acct-Gas-P22(Reg)'!F32</f>
        <v>0</v>
      </c>
      <c r="G18" s="135"/>
      <c r="H18" s="149">
        <f>'IN_Cost Plant Acct-Gas-P22(Reg)'!H18+'IN_Cost Plant Acct-Gas-P22(Reg)'!H32</f>
        <v>2817.36</v>
      </c>
      <c r="I18" s="135">
        <v>0</v>
      </c>
      <c r="J18" s="149">
        <f>'IN_Cost Plant Acct-Gas-P22(Reg)'!J18+'IN_Cost Plant Acct-Gas-P22(Reg)'!J32</f>
        <v>209674.73</v>
      </c>
      <c r="K18" s="135"/>
      <c r="L18" s="149">
        <f t="shared" si="1"/>
        <v>1879847.63</v>
      </c>
      <c r="M18" s="31"/>
      <c r="N18" s="136">
        <f>'IN_Res by Plant Acct-P30 (Reg)'!R35</f>
        <v>-95810.680000000008</v>
      </c>
      <c r="O18" s="145"/>
      <c r="P18" s="136">
        <f t="shared" si="2"/>
        <v>1784036.95</v>
      </c>
    </row>
    <row r="19" spans="1:16" x14ac:dyDescent="0.2">
      <c r="B19" s="135">
        <f>SUM(B11:B18)</f>
        <v>12952480.040000001</v>
      </c>
      <c r="C19" s="135"/>
      <c r="D19" s="135">
        <f>SUM(D11:D18)</f>
        <v>607066.81999999995</v>
      </c>
      <c r="E19" s="135"/>
      <c r="F19" s="135">
        <f>SUM(F11:F18)</f>
        <v>-3610.57</v>
      </c>
      <c r="G19" s="135"/>
      <c r="H19" s="135">
        <f>SUM(H11:H18)</f>
        <v>2817.36</v>
      </c>
      <c r="I19" s="135"/>
      <c r="J19" s="135">
        <f>SUM(J11:J18)</f>
        <v>606273.61</v>
      </c>
      <c r="K19" s="135"/>
      <c r="L19" s="135">
        <f>SUM(L11:L18)</f>
        <v>13558753.649999999</v>
      </c>
      <c r="M19" s="31"/>
      <c r="N19" s="135">
        <f>SUM(N11:N18)</f>
        <v>-1686149.32</v>
      </c>
      <c r="O19" s="145"/>
      <c r="P19" s="135">
        <f>SUM(P11:P18)</f>
        <v>11872604.329999998</v>
      </c>
    </row>
    <row r="20" spans="1:16" x14ac:dyDescent="0.2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31"/>
      <c r="O20" s="145"/>
    </row>
    <row r="21" spans="1:16" x14ac:dyDescent="0.2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O21" s="145"/>
    </row>
    <row r="22" spans="1:16" ht="13.5" thickBot="1" x14ac:dyDescent="0.25">
      <c r="A22" s="10" t="s">
        <v>2869</v>
      </c>
      <c r="B22" s="143">
        <f>B19</f>
        <v>12952480.040000001</v>
      </c>
      <c r="C22" s="138"/>
      <c r="D22" s="143">
        <f>D19</f>
        <v>607066.81999999995</v>
      </c>
      <c r="E22" s="138"/>
      <c r="F22" s="143">
        <f>F19</f>
        <v>-3610.57</v>
      </c>
      <c r="G22" s="138"/>
      <c r="H22" s="143">
        <f>H19</f>
        <v>2817.36</v>
      </c>
      <c r="I22" s="138"/>
      <c r="J22" s="143">
        <f>J19</f>
        <v>606273.61</v>
      </c>
      <c r="K22" s="138"/>
      <c r="L22" s="143">
        <f>L19</f>
        <v>13558753.649999999</v>
      </c>
      <c r="M22" s="145"/>
      <c r="N22" s="143">
        <f>N19</f>
        <v>-1686149.32</v>
      </c>
      <c r="O22" s="145"/>
      <c r="P22" s="143">
        <f>P19</f>
        <v>11872604.329999998</v>
      </c>
    </row>
    <row r="23" spans="1:16" ht="13.5" thickTop="1" x14ac:dyDescent="0.2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45"/>
      <c r="N23" s="145"/>
      <c r="O23" s="145"/>
    </row>
    <row r="24" spans="1:16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</sheetData>
  <mergeCells count="3">
    <mergeCell ref="A1:Q1"/>
    <mergeCell ref="A2:Q2"/>
    <mergeCell ref="A3:Q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33"/>
  </sheetPr>
  <dimension ref="A1:O36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5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5" s="132" customFormat="1" ht="15.75" x14ac:dyDescent="0.25">
      <c r="A2" s="210" t="s">
        <v>2870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5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5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5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5" x14ac:dyDescent="0.2">
      <c r="B8" s="18"/>
      <c r="D8" s="18"/>
      <c r="F8" s="18"/>
      <c r="H8" s="18"/>
      <c r="J8" s="18"/>
      <c r="L8" s="18"/>
    </row>
    <row r="9" spans="1:15" x14ac:dyDescent="0.2">
      <c r="A9" s="10" t="s">
        <v>2871</v>
      </c>
    </row>
    <row r="10" spans="1:15" x14ac:dyDescent="0.2">
      <c r="A10" s="10" t="s">
        <v>30</v>
      </c>
    </row>
    <row r="11" spans="1:15" x14ac:dyDescent="0.2">
      <c r="A11" s="3" t="s">
        <v>2812</v>
      </c>
      <c r="B11" s="15">
        <v>3363.5</v>
      </c>
      <c r="C11" s="15"/>
      <c r="D11" s="17">
        <v>0</v>
      </c>
      <c r="E11" s="15"/>
      <c r="F11" s="17">
        <v>0</v>
      </c>
      <c r="G11" s="15"/>
      <c r="H11" s="17">
        <v>0</v>
      </c>
      <c r="I11" s="15">
        <v>0</v>
      </c>
      <c r="J11" s="15">
        <f t="shared" ref="J11:J18" si="0">D11+F11+H11</f>
        <v>0</v>
      </c>
      <c r="K11" s="15"/>
      <c r="L11" s="15">
        <f t="shared" ref="L11:L18" si="1">B11+J11</f>
        <v>3363.5</v>
      </c>
      <c r="O11" s="29"/>
    </row>
    <row r="12" spans="1:15" x14ac:dyDescent="0.2">
      <c r="A12" s="3" t="s">
        <v>2816</v>
      </c>
      <c r="B12" s="15">
        <v>1502845.41</v>
      </c>
      <c r="C12" s="15"/>
      <c r="D12" s="17">
        <v>0</v>
      </c>
      <c r="E12" s="15"/>
      <c r="F12" s="17">
        <v>0</v>
      </c>
      <c r="G12" s="15"/>
      <c r="H12" s="17">
        <v>0</v>
      </c>
      <c r="I12" s="15">
        <v>0</v>
      </c>
      <c r="J12" s="15">
        <f t="shared" si="0"/>
        <v>0</v>
      </c>
      <c r="K12" s="15"/>
      <c r="L12" s="15">
        <f t="shared" si="1"/>
        <v>1502845.41</v>
      </c>
      <c r="O12" s="29"/>
    </row>
    <row r="13" spans="1:15" x14ac:dyDescent="0.2">
      <c r="A13" s="3" t="s">
        <v>2820</v>
      </c>
      <c r="B13" s="15">
        <v>2381820.5900000003</v>
      </c>
      <c r="C13" s="15"/>
      <c r="D13" s="17">
        <v>0</v>
      </c>
      <c r="E13" s="15"/>
      <c r="F13" s="17">
        <v>0</v>
      </c>
      <c r="G13" s="15"/>
      <c r="H13" s="17">
        <v>0</v>
      </c>
      <c r="I13" s="15">
        <v>0</v>
      </c>
      <c r="J13" s="15">
        <f t="shared" si="0"/>
        <v>0</v>
      </c>
      <c r="K13" s="15"/>
      <c r="L13" s="15">
        <f t="shared" si="1"/>
        <v>2381820.5900000003</v>
      </c>
      <c r="O13" s="29"/>
    </row>
    <row r="14" spans="1:15" x14ac:dyDescent="0.2">
      <c r="A14" s="133" t="s">
        <v>2821</v>
      </c>
      <c r="B14" s="15">
        <v>0</v>
      </c>
      <c r="C14" s="15"/>
      <c r="D14" s="17">
        <v>0</v>
      </c>
      <c r="E14" s="15"/>
      <c r="F14" s="17">
        <v>0</v>
      </c>
      <c r="G14" s="15"/>
      <c r="H14" s="17">
        <v>0</v>
      </c>
      <c r="I14" s="15">
        <v>0</v>
      </c>
      <c r="J14" s="15">
        <f t="shared" si="0"/>
        <v>0</v>
      </c>
      <c r="K14" s="15"/>
      <c r="L14" s="15">
        <f t="shared" si="1"/>
        <v>0</v>
      </c>
      <c r="O14" s="29"/>
    </row>
    <row r="15" spans="1:15" x14ac:dyDescent="0.2">
      <c r="A15" s="3" t="s">
        <v>2822</v>
      </c>
      <c r="B15" s="15">
        <v>2750076.96</v>
      </c>
      <c r="C15" s="15"/>
      <c r="D15" s="17">
        <v>0</v>
      </c>
      <c r="E15" s="15"/>
      <c r="F15" s="17">
        <v>0</v>
      </c>
      <c r="G15" s="15"/>
      <c r="H15" s="17">
        <v>0</v>
      </c>
      <c r="I15" s="15">
        <v>0</v>
      </c>
      <c r="J15" s="15">
        <f>D15+F15+H15</f>
        <v>0</v>
      </c>
      <c r="K15" s="15"/>
      <c r="L15" s="15">
        <f>B15+J15</f>
        <v>2750076.96</v>
      </c>
      <c r="O15" s="29"/>
    </row>
    <row r="16" spans="1:15" x14ac:dyDescent="0.2">
      <c r="A16" s="3" t="s">
        <v>2823</v>
      </c>
      <c r="B16" s="15">
        <v>4238492.8499999996</v>
      </c>
      <c r="C16" s="15"/>
      <c r="D16" s="17">
        <v>347154.04</v>
      </c>
      <c r="E16" s="15"/>
      <c r="F16" s="17">
        <v>-3610.57</v>
      </c>
      <c r="G16" s="15"/>
      <c r="H16" s="17">
        <v>0</v>
      </c>
      <c r="I16" s="15">
        <v>0</v>
      </c>
      <c r="J16" s="15">
        <f>D16+F16+H16</f>
        <v>343543.47</v>
      </c>
      <c r="K16" s="15"/>
      <c r="L16" s="15">
        <f t="shared" si="1"/>
        <v>4582036.3199999994</v>
      </c>
      <c r="O16" s="29"/>
    </row>
    <row r="17" spans="1:15" x14ac:dyDescent="0.2">
      <c r="A17" s="133" t="s">
        <v>2824</v>
      </c>
      <c r="B17" s="15">
        <v>0</v>
      </c>
      <c r="C17" s="15"/>
      <c r="D17" s="17">
        <v>0</v>
      </c>
      <c r="E17" s="15"/>
      <c r="F17" s="17">
        <v>0</v>
      </c>
      <c r="G17" s="15"/>
      <c r="H17" s="17">
        <v>0</v>
      </c>
      <c r="I17" s="15"/>
      <c r="J17" s="15">
        <f t="shared" si="0"/>
        <v>0</v>
      </c>
      <c r="K17" s="15"/>
      <c r="L17" s="15">
        <f t="shared" si="1"/>
        <v>0</v>
      </c>
      <c r="O17" s="29"/>
    </row>
    <row r="18" spans="1:15" x14ac:dyDescent="0.2">
      <c r="A18" s="3" t="s">
        <v>2827</v>
      </c>
      <c r="B18" s="16">
        <v>1670172.9</v>
      </c>
      <c r="C18" s="17"/>
      <c r="D18" s="17">
        <v>159341.14000000001</v>
      </c>
      <c r="E18" s="15"/>
      <c r="F18" s="17">
        <v>0</v>
      </c>
      <c r="G18" s="15"/>
      <c r="H18" s="17">
        <v>2817.36</v>
      </c>
      <c r="I18" s="17">
        <v>0</v>
      </c>
      <c r="J18" s="16">
        <f t="shared" si="0"/>
        <v>162158.5</v>
      </c>
      <c r="K18" s="17"/>
      <c r="L18" s="16">
        <f t="shared" si="1"/>
        <v>1832331.4</v>
      </c>
      <c r="M18" s="31"/>
      <c r="O18" s="29"/>
    </row>
    <row r="19" spans="1:15" x14ac:dyDescent="0.2">
      <c r="B19" s="17">
        <f>SUM(B11:B18)</f>
        <v>12546772.209999999</v>
      </c>
      <c r="C19" s="17"/>
      <c r="D19" s="20">
        <f>SUM(D11:D18)</f>
        <v>506495.18</v>
      </c>
      <c r="E19" s="17"/>
      <c r="F19" s="20">
        <f>SUM(F11:F18)</f>
        <v>-3610.57</v>
      </c>
      <c r="G19" s="17"/>
      <c r="H19" s="20">
        <f>SUM(H11:H18)</f>
        <v>2817.36</v>
      </c>
      <c r="I19" s="17"/>
      <c r="J19" s="17">
        <f>SUM(J11:J18)</f>
        <v>505701.97</v>
      </c>
      <c r="K19" s="17"/>
      <c r="L19" s="17">
        <f>SUM(L11:L18)</f>
        <v>13052474.18</v>
      </c>
      <c r="M19" s="31"/>
      <c r="O19" s="29"/>
    </row>
    <row r="20" spans="1:15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/>
      <c r="O20" s="29"/>
    </row>
    <row r="21" spans="1:15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O21" s="29"/>
    </row>
    <row r="22" spans="1:15" x14ac:dyDescent="0.2">
      <c r="A22" s="10" t="s">
        <v>2872</v>
      </c>
      <c r="B22" s="21">
        <f>B19</f>
        <v>12546772.209999999</v>
      </c>
      <c r="C22" s="15"/>
      <c r="D22" s="21">
        <f>D19</f>
        <v>506495.18</v>
      </c>
      <c r="E22" s="15"/>
      <c r="F22" s="21">
        <f>F19</f>
        <v>-3610.57</v>
      </c>
      <c r="G22" s="15"/>
      <c r="H22" s="21">
        <f>H19</f>
        <v>2817.36</v>
      </c>
      <c r="I22" s="15"/>
      <c r="J22" s="21">
        <f>J19</f>
        <v>505701.97</v>
      </c>
      <c r="K22" s="15"/>
      <c r="L22" s="21">
        <f>L19</f>
        <v>13052474.18</v>
      </c>
      <c r="M22" s="29"/>
      <c r="N22" s="29"/>
      <c r="O22" s="29"/>
    </row>
    <row r="23" spans="1:15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9"/>
      <c r="N23" s="29"/>
      <c r="O23" s="29"/>
    </row>
    <row r="24" spans="1:15" x14ac:dyDescent="0.2">
      <c r="A24" s="10" t="s">
        <v>2639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2">
      <c r="A25" s="10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">
      <c r="A26" s="22" t="s">
        <v>2854</v>
      </c>
      <c r="B26" s="17">
        <v>0</v>
      </c>
      <c r="C26" s="29"/>
      <c r="D26" s="17">
        <v>0</v>
      </c>
      <c r="E26" s="15"/>
      <c r="F26" s="17">
        <v>0</v>
      </c>
      <c r="G26" s="15"/>
      <c r="H26" s="17">
        <v>0</v>
      </c>
      <c r="I26" s="29"/>
      <c r="J26" s="17">
        <f t="shared" ref="J26:J32" si="2">H26+F26+D26</f>
        <v>0</v>
      </c>
      <c r="K26" s="29"/>
      <c r="L26" s="17">
        <f t="shared" ref="L26:L32" si="3">J26+B26</f>
        <v>0</v>
      </c>
      <c r="M26" s="29"/>
      <c r="N26" s="29"/>
      <c r="O26" s="29"/>
    </row>
    <row r="27" spans="1:15" x14ac:dyDescent="0.2">
      <c r="A27" s="22" t="s">
        <v>2855</v>
      </c>
      <c r="B27" s="17">
        <v>0</v>
      </c>
      <c r="C27" s="17"/>
      <c r="D27" s="17">
        <v>0</v>
      </c>
      <c r="E27" s="15"/>
      <c r="F27" s="17">
        <v>0</v>
      </c>
      <c r="G27" s="15"/>
      <c r="H27" s="17">
        <v>0</v>
      </c>
      <c r="I27" s="17"/>
      <c r="J27" s="17">
        <f t="shared" si="2"/>
        <v>0</v>
      </c>
      <c r="K27" s="17"/>
      <c r="L27" s="17">
        <f t="shared" si="3"/>
        <v>0</v>
      </c>
      <c r="M27" s="29"/>
    </row>
    <row r="28" spans="1:15" x14ac:dyDescent="0.2">
      <c r="A28" s="133" t="s">
        <v>2856</v>
      </c>
      <c r="B28" s="17">
        <v>0</v>
      </c>
      <c r="C28" s="17"/>
      <c r="D28" s="17">
        <v>0</v>
      </c>
      <c r="E28" s="15"/>
      <c r="F28" s="17">
        <v>0</v>
      </c>
      <c r="G28" s="15"/>
      <c r="H28" s="17">
        <v>0</v>
      </c>
      <c r="I28" s="17"/>
      <c r="J28" s="17">
        <f t="shared" si="2"/>
        <v>0</v>
      </c>
      <c r="K28" s="17"/>
      <c r="L28" s="17">
        <f t="shared" si="3"/>
        <v>0</v>
      </c>
      <c r="M28" s="29"/>
    </row>
    <row r="29" spans="1:15" x14ac:dyDescent="0.2">
      <c r="A29" s="22" t="s">
        <v>2857</v>
      </c>
      <c r="B29" s="17">
        <v>0</v>
      </c>
      <c r="C29" s="17"/>
      <c r="D29" s="17">
        <v>37426.69</v>
      </c>
      <c r="E29" s="15"/>
      <c r="F29" s="17">
        <v>0</v>
      </c>
      <c r="G29" s="15"/>
      <c r="H29" s="17">
        <v>0</v>
      </c>
      <c r="I29" s="17"/>
      <c r="J29" s="17">
        <f t="shared" si="2"/>
        <v>37426.69</v>
      </c>
      <c r="K29" s="17"/>
      <c r="L29" s="17">
        <f t="shared" si="3"/>
        <v>37426.69</v>
      </c>
      <c r="M29" s="29"/>
    </row>
    <row r="30" spans="1:15" x14ac:dyDescent="0.2">
      <c r="A30" s="22" t="s">
        <v>2858</v>
      </c>
      <c r="B30" s="17">
        <v>405707.83</v>
      </c>
      <c r="C30" s="17"/>
      <c r="D30" s="17">
        <v>15628.72</v>
      </c>
      <c r="E30" s="15"/>
      <c r="F30" s="17">
        <v>0</v>
      </c>
      <c r="G30" s="15"/>
      <c r="H30" s="17">
        <v>0</v>
      </c>
      <c r="I30" s="17"/>
      <c r="J30" s="17">
        <f t="shared" si="2"/>
        <v>15628.72</v>
      </c>
      <c r="K30" s="17"/>
      <c r="L30" s="17">
        <f t="shared" si="3"/>
        <v>421336.55</v>
      </c>
      <c r="M30" s="29"/>
    </row>
    <row r="31" spans="1:15" x14ac:dyDescent="0.2">
      <c r="A31" s="163" t="s">
        <v>2859</v>
      </c>
      <c r="B31" s="17">
        <v>0</v>
      </c>
      <c r="C31" s="17"/>
      <c r="D31" s="17">
        <v>0</v>
      </c>
      <c r="E31" s="15"/>
      <c r="F31" s="17">
        <v>0</v>
      </c>
      <c r="G31" s="15"/>
      <c r="H31" s="17">
        <v>0</v>
      </c>
      <c r="I31" s="17"/>
      <c r="J31" s="17">
        <f t="shared" si="2"/>
        <v>0</v>
      </c>
      <c r="K31" s="17"/>
      <c r="L31" s="17">
        <f t="shared" si="3"/>
        <v>0</v>
      </c>
      <c r="M31" s="29"/>
    </row>
    <row r="32" spans="1:15" x14ac:dyDescent="0.2">
      <c r="A32" s="22" t="s">
        <v>2862</v>
      </c>
      <c r="B32" s="17">
        <v>0</v>
      </c>
      <c r="C32" s="17"/>
      <c r="D32" s="17">
        <v>47516.23</v>
      </c>
      <c r="E32" s="15"/>
      <c r="F32" s="17">
        <v>0</v>
      </c>
      <c r="G32" s="15"/>
      <c r="H32" s="17">
        <v>0</v>
      </c>
      <c r="I32" s="17"/>
      <c r="J32" s="17">
        <f t="shared" si="2"/>
        <v>47516.23</v>
      </c>
      <c r="K32" s="17"/>
      <c r="L32" s="17">
        <f t="shared" si="3"/>
        <v>47516.23</v>
      </c>
      <c r="M32" s="29"/>
    </row>
    <row r="33" spans="1:15" x14ac:dyDescent="0.2">
      <c r="A33" s="10" t="s">
        <v>2873</v>
      </c>
      <c r="B33" s="21">
        <f>SUM(B26:B32)</f>
        <v>405707.83</v>
      </c>
      <c r="C33" s="15"/>
      <c r="D33" s="21">
        <f>SUM(D26:D32)</f>
        <v>100571.64000000001</v>
      </c>
      <c r="E33" s="15"/>
      <c r="F33" s="21">
        <f>SUM(F26:F32)</f>
        <v>0</v>
      </c>
      <c r="G33" s="15"/>
      <c r="H33" s="21">
        <f>SUM(H26:H32)</f>
        <v>0</v>
      </c>
      <c r="I33" s="15"/>
      <c r="J33" s="21">
        <f>SUM(J26:J32)</f>
        <v>100571.64000000001</v>
      </c>
      <c r="K33" s="15"/>
      <c r="L33" s="21">
        <f>SUM(L26:L32)</f>
        <v>506279.47</v>
      </c>
      <c r="M33" s="29"/>
      <c r="N33" s="29"/>
      <c r="O33" s="29"/>
    </row>
    <row r="35" spans="1:15" ht="13.5" thickBot="1" x14ac:dyDescent="0.25">
      <c r="A35" s="10" t="s">
        <v>2874</v>
      </c>
      <c r="B35" s="41">
        <f>B33+B22</f>
        <v>12952480.039999999</v>
      </c>
      <c r="C35" s="15"/>
      <c r="D35" s="41">
        <f>D33+D22</f>
        <v>607066.82000000007</v>
      </c>
      <c r="E35" s="15"/>
      <c r="F35" s="41">
        <f>F33+F22</f>
        <v>-3610.57</v>
      </c>
      <c r="G35" s="15"/>
      <c r="H35" s="41">
        <f>H33+H22</f>
        <v>2817.36</v>
      </c>
      <c r="I35" s="15"/>
      <c r="J35" s="41">
        <f>J33+J22</f>
        <v>606273.61</v>
      </c>
      <c r="K35" s="15"/>
      <c r="L35" s="41">
        <f>L33+L22</f>
        <v>13558753.65</v>
      </c>
      <c r="M35" s="29"/>
    </row>
    <row r="36" spans="1:15" ht="13.5" thickTop="1" x14ac:dyDescent="0.2"/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51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2875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A7" s="10"/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3" x14ac:dyDescent="0.2">
      <c r="A9" s="158" t="s">
        <v>2876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x14ac:dyDescent="0.2">
      <c r="A10" s="3" t="s">
        <v>2877</v>
      </c>
      <c r="B10" s="138">
        <v>1882661.68</v>
      </c>
      <c r="C10" s="138"/>
      <c r="D10" s="138">
        <v>0</v>
      </c>
      <c r="E10" s="138"/>
      <c r="F10" s="138">
        <v>0</v>
      </c>
      <c r="G10" s="138"/>
      <c r="H10" s="138">
        <v>0</v>
      </c>
      <c r="I10" s="138"/>
      <c r="J10" s="138">
        <v>0</v>
      </c>
      <c r="K10" s="138"/>
      <c r="L10" s="138">
        <v>1882661.68</v>
      </c>
      <c r="M10" s="145"/>
    </row>
    <row r="11" spans="1:13" ht="13.5" thickBot="1" x14ac:dyDescent="0.25">
      <c r="B11" s="143">
        <f>SUM(B10)</f>
        <v>1882661.68</v>
      </c>
      <c r="C11" s="138"/>
      <c r="D11" s="143">
        <f>SUM(D10)</f>
        <v>0</v>
      </c>
      <c r="E11" s="138"/>
      <c r="F11" s="143">
        <f>SUM(F10)</f>
        <v>0</v>
      </c>
      <c r="G11" s="138"/>
      <c r="H11" s="143">
        <f>SUM(H10)</f>
        <v>0</v>
      </c>
      <c r="I11" s="138"/>
      <c r="J11" s="143">
        <f>SUM(J10)</f>
        <v>0</v>
      </c>
      <c r="K11" s="138"/>
      <c r="L11" s="143">
        <f>SUM(L10)</f>
        <v>1882661.68</v>
      </c>
      <c r="M11" s="145"/>
    </row>
    <row r="12" spans="1:13" ht="13.5" thickTop="1" x14ac:dyDescent="0.2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x14ac:dyDescent="0.2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2:13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3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2:13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2:13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2:13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2:13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2:13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2:13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2:13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2:13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2:13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2:13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2:13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2:13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13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2:13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2:13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2:13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2:13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2:13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2:13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2:13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2:13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2:13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13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13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2:13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2:13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2:13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2:13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2:13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2:13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2:13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2:13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2:13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51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2878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3" x14ac:dyDescent="0.2">
      <c r="A9" s="158" t="s">
        <v>2876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x14ac:dyDescent="0.2">
      <c r="A10" s="3" t="s">
        <v>2877</v>
      </c>
      <c r="B10" s="15">
        <v>257328.32</v>
      </c>
      <c r="C10" s="138"/>
      <c r="D10" s="138">
        <v>0</v>
      </c>
      <c r="E10" s="138"/>
      <c r="F10" s="138">
        <v>0</v>
      </c>
      <c r="G10" s="138"/>
      <c r="H10" s="138">
        <v>0</v>
      </c>
      <c r="I10" s="138"/>
      <c r="J10" s="138">
        <f>D10+F10+H10</f>
        <v>0</v>
      </c>
      <c r="K10" s="138"/>
      <c r="L10" s="138">
        <f>B10+J10</f>
        <v>257328.32</v>
      </c>
      <c r="M10" s="145"/>
    </row>
    <row r="11" spans="1:13" ht="13.5" thickBot="1" x14ac:dyDescent="0.25">
      <c r="B11" s="143">
        <f>SUM(B10)</f>
        <v>257328.32</v>
      </c>
      <c r="C11" s="138"/>
      <c r="D11" s="143">
        <f>SUM(D10)</f>
        <v>0</v>
      </c>
      <c r="E11" s="138"/>
      <c r="F11" s="143">
        <f>SUM(F10)</f>
        <v>0</v>
      </c>
      <c r="G11" s="138"/>
      <c r="H11" s="143">
        <f>SUM(H10)</f>
        <v>0</v>
      </c>
      <c r="I11" s="138"/>
      <c r="J11" s="143">
        <f>SUM(J10)</f>
        <v>0</v>
      </c>
      <c r="K11" s="138"/>
      <c r="L11" s="143">
        <f>SUM(L10)</f>
        <v>257328.32</v>
      </c>
      <c r="M11" s="145"/>
    </row>
    <row r="12" spans="1:13" ht="13.5" thickTop="1" x14ac:dyDescent="0.2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x14ac:dyDescent="0.2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2:13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3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2:13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2:13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2:13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2:13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2:13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2:13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2:13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2:13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2:13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2:13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2:13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2:13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13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2:13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2:13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2:13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2:13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2:13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2:13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2:13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2:13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2:13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13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13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2:13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2:13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2:13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2:13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2:13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2:13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2:13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2:13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2:13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N125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4" s="132" customFormat="1" ht="15.75" x14ac:dyDescent="0.25">
      <c r="A2" s="212" t="s">
        <v>2879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6" spans="1:14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4" x14ac:dyDescent="0.2">
      <c r="A9" s="10" t="s">
        <v>2880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4" x14ac:dyDescent="0.2">
      <c r="A10" s="3" t="s">
        <v>2881</v>
      </c>
      <c r="B10" s="15">
        <v>0</v>
      </c>
      <c r="C10" s="138"/>
      <c r="D10" s="138">
        <v>0</v>
      </c>
      <c r="E10" s="138"/>
      <c r="F10" s="138">
        <v>0</v>
      </c>
      <c r="G10" s="138"/>
      <c r="H10" s="138">
        <v>0</v>
      </c>
      <c r="I10" s="138"/>
      <c r="J10" s="138">
        <f>D10+F10+H10</f>
        <v>0</v>
      </c>
      <c r="K10" s="138">
        <v>0</v>
      </c>
      <c r="L10" s="138">
        <f>J10+B10</f>
        <v>0</v>
      </c>
      <c r="M10" s="145"/>
      <c r="N10" s="145"/>
    </row>
    <row r="11" spans="1:14" ht="13.5" thickBot="1" x14ac:dyDescent="0.25">
      <c r="B11" s="143">
        <f>SUM(B10:B10)</f>
        <v>0</v>
      </c>
      <c r="C11" s="138"/>
      <c r="D11" s="143">
        <f>SUM(D10:D10)</f>
        <v>0</v>
      </c>
      <c r="E11" s="138"/>
      <c r="F11" s="143">
        <f>SUM(F10:F10)</f>
        <v>0</v>
      </c>
      <c r="G11" s="138"/>
      <c r="H11" s="143">
        <f>SUM(H10:H10)</f>
        <v>0</v>
      </c>
      <c r="I11" s="138"/>
      <c r="J11" s="143">
        <f>SUM(J10:J10)</f>
        <v>0</v>
      </c>
      <c r="K11" s="138"/>
      <c r="L11" s="143">
        <f>SUM(L10:L10)</f>
        <v>0</v>
      </c>
      <c r="M11" s="145"/>
      <c r="N11" s="145"/>
    </row>
    <row r="12" spans="1:14" ht="13.5" thickTop="1" x14ac:dyDescent="0.2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45"/>
      <c r="N12" s="145"/>
    </row>
    <row r="13" spans="1:14" x14ac:dyDescent="0.2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2:14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2:14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2:14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2:14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2:14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2:14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2:14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2:14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2:14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2:14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2:14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2:14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2:14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2:14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2:14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2:14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2:14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2:14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2:14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2:14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2:14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14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14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2:14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2:14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2:14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2:14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2:14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2:14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2:14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2:14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2:14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2:14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2:14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2:14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2:14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2:14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2:14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2:14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2:14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2:14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2:14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14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2:14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2:14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14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14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2:14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2:14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2:14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2:14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2:14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</row>
    <row r="70" spans="2:14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2:14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2:14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2:14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</row>
    <row r="74" spans="2:14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2:14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2:14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  <row r="77" spans="2:14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2:14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</row>
    <row r="79" spans="2:14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2:14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2:14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2:14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2:14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</row>
    <row r="84" spans="2:14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</row>
    <row r="85" spans="2:14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</row>
    <row r="86" spans="2:14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</row>
    <row r="87" spans="2:14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2:14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2:14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2:14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2:14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2:14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2:14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37"/>
  <sheetViews>
    <sheetView zoomScaleNormal="100" workbookViewId="0">
      <pane xSplit="2" ySplit="7" topLeftCell="C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2" width="9.140625" style="3"/>
    <col min="3" max="3" width="14" style="3" bestFit="1" customWidth="1"/>
    <col min="4" max="4" width="1.85546875" style="3" customWidth="1"/>
    <col min="5" max="5" width="9.140625" style="3"/>
    <col min="6" max="6" width="1.85546875" style="3" customWidth="1"/>
    <col min="7" max="7" width="13.140625" style="3" bestFit="1" customWidth="1"/>
    <col min="8" max="8" width="2" style="3" customWidth="1"/>
    <col min="9" max="9" width="13.28515625" style="3" customWidth="1"/>
    <col min="10" max="10" width="1.7109375" style="3" customWidth="1"/>
    <col min="11" max="11" width="13.28515625" style="3" customWidth="1"/>
    <col min="12" max="12" width="1.7109375" style="3" customWidth="1"/>
    <col min="13" max="13" width="15.5703125" style="3" bestFit="1" customWidth="1"/>
    <col min="14" max="14" width="2.140625" style="3" customWidth="1"/>
    <col min="15" max="15" width="14" style="3" bestFit="1" customWidth="1"/>
    <col min="16" max="16" width="2" style="3" customWidth="1"/>
    <col min="17" max="17" width="13.5703125" style="3" bestFit="1" customWidth="1"/>
    <col min="18" max="18" width="1.7109375" style="3" customWidth="1"/>
    <col min="19" max="19" width="13.5703125" style="3" bestFit="1" customWidth="1"/>
    <col min="20" max="20" width="1.7109375" style="3" customWidth="1"/>
    <col min="21" max="21" width="14" style="3" bestFit="1" customWidth="1"/>
    <col min="22" max="22" width="9.140625" style="3"/>
    <col min="23" max="23" width="14.5703125" style="3" bestFit="1" customWidth="1"/>
    <col min="24" max="24" width="9.140625" style="3"/>
    <col min="25" max="25" width="13.5703125" style="3" bestFit="1" customWidth="1"/>
    <col min="26" max="16384" width="9.140625" style="3"/>
  </cols>
  <sheetData>
    <row r="1" spans="1:25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5" x14ac:dyDescent="0.2">
      <c r="A2" s="200" t="s">
        <v>128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5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1:2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6" spans="1:25" x14ac:dyDescent="0.2">
      <c r="C6" s="8" t="s">
        <v>3</v>
      </c>
      <c r="E6" s="15"/>
      <c r="G6" s="15"/>
      <c r="I6" s="8" t="s">
        <v>4</v>
      </c>
      <c r="J6" s="8"/>
      <c r="K6" s="8" t="s">
        <v>66</v>
      </c>
      <c r="M6" s="8" t="s">
        <v>67</v>
      </c>
      <c r="O6" s="18" t="s">
        <v>68</v>
      </c>
      <c r="Q6" s="8"/>
      <c r="S6" s="8" t="s">
        <v>69</v>
      </c>
      <c r="U6" s="8" t="s">
        <v>5</v>
      </c>
    </row>
    <row r="7" spans="1:25" x14ac:dyDescent="0.2">
      <c r="C7" s="12" t="s">
        <v>7</v>
      </c>
      <c r="E7" s="12" t="s">
        <v>70</v>
      </c>
      <c r="G7" s="12" t="s">
        <v>9</v>
      </c>
      <c r="I7" s="12" t="s">
        <v>10</v>
      </c>
      <c r="J7" s="18"/>
      <c r="K7" s="12" t="s">
        <v>71</v>
      </c>
      <c r="M7" s="12" t="s">
        <v>72</v>
      </c>
      <c r="O7" s="12" t="s">
        <v>73</v>
      </c>
      <c r="Q7" s="12" t="s">
        <v>74</v>
      </c>
      <c r="S7" s="12" t="s">
        <v>75</v>
      </c>
      <c r="U7" s="12" t="s">
        <v>7</v>
      </c>
    </row>
    <row r="10" spans="1:25" x14ac:dyDescent="0.2">
      <c r="A10" s="10" t="s">
        <v>93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31"/>
      <c r="W10" s="31"/>
      <c r="X10" s="31"/>
      <c r="Y10" s="31"/>
    </row>
    <row r="11" spans="1:25" x14ac:dyDescent="0.2">
      <c r="B11" s="3" t="s">
        <v>13</v>
      </c>
      <c r="C11" s="15">
        <f>'Summary - Reserve - PG 2 (Reg)'!C74</f>
        <v>150607.13999999996</v>
      </c>
      <c r="D11" s="15"/>
      <c r="E11" s="15">
        <v>0</v>
      </c>
      <c r="F11" s="15"/>
      <c r="G11" s="15">
        <v>0</v>
      </c>
      <c r="H11" s="15"/>
      <c r="I11" s="15">
        <f>'Summary - Reserve - PG 2 (Reg)'!I74</f>
        <v>0</v>
      </c>
      <c r="J11" s="15"/>
      <c r="K11" s="15">
        <f>'Summary - Reserve - PG 2 (Reg)'!K74</f>
        <v>0</v>
      </c>
      <c r="L11" s="15"/>
      <c r="M11" s="15">
        <f>'Summary - Reserve - PG 2 (Reg)'!M74</f>
        <v>-149494.34</v>
      </c>
      <c r="N11" s="15"/>
      <c r="O11" s="15">
        <f>'Summary - Reserve - PG 2 (Reg)'!O74</f>
        <v>141067.25</v>
      </c>
      <c r="P11" s="15"/>
      <c r="Q11" s="15">
        <f>'Summary - Reserve - PG 2 (Reg)'!Q74</f>
        <v>-12650</v>
      </c>
      <c r="R11" s="15"/>
      <c r="S11" s="15">
        <f>'Summary - Reserve - PG 2 (Reg)'!S74</f>
        <v>189610.73</v>
      </c>
      <c r="T11" s="15"/>
      <c r="U11" s="15">
        <f>S11+Q11+O11+M11+I11+G11+E11+C11+K11</f>
        <v>319140.77999999991</v>
      </c>
      <c r="V11" s="36"/>
      <c r="W11" s="36"/>
      <c r="X11" s="31"/>
      <c r="Y11" s="31"/>
    </row>
    <row r="12" spans="1:25" x14ac:dyDescent="0.2">
      <c r="B12" s="3" t="s">
        <v>17</v>
      </c>
      <c r="C12" s="15">
        <f>'Summary - Reserve - PG 2 (Reg)'!C75</f>
        <v>39614101.059999995</v>
      </c>
      <c r="D12" s="15"/>
      <c r="E12" s="15">
        <v>0</v>
      </c>
      <c r="F12" s="15"/>
      <c r="G12" s="15">
        <v>0</v>
      </c>
      <c r="H12" s="15"/>
      <c r="I12" s="15">
        <f>'Summary - Reserve - PG 2 (Reg)'!I75</f>
        <v>9160.81</v>
      </c>
      <c r="J12" s="15"/>
      <c r="K12" s="15">
        <f>'Summary - Reserve - PG 2 (Reg)'!K75</f>
        <v>-863330.08</v>
      </c>
      <c r="L12" s="15"/>
      <c r="M12" s="15">
        <f>'Summary - Reserve - PG 2 (Reg)'!M75</f>
        <v>-10345435.219999997</v>
      </c>
      <c r="N12" s="15"/>
      <c r="O12" s="15">
        <f>'Summary - Reserve - PG 2 (Reg)'!O75</f>
        <v>27555886.109999999</v>
      </c>
      <c r="P12" s="15"/>
      <c r="Q12" s="15">
        <f>'Summary - Reserve - PG 2 (Reg)'!Q75</f>
        <v>-1781290.1199999999</v>
      </c>
      <c r="R12" s="15"/>
      <c r="S12" s="15">
        <f>'Summary - Reserve - PG 2 (Reg)'!S75</f>
        <v>-402172.62000000005</v>
      </c>
      <c r="T12" s="15"/>
      <c r="U12" s="15">
        <f>S12+Q12+O12+M12+I12+G12+E12+C12+K12</f>
        <v>53786919.939999998</v>
      </c>
      <c r="V12" s="36"/>
      <c r="W12" s="36"/>
      <c r="X12" s="31"/>
      <c r="Y12" s="31"/>
    </row>
    <row r="13" spans="1:25" x14ac:dyDescent="0.2">
      <c r="B13" s="3" t="s">
        <v>26</v>
      </c>
      <c r="C13" s="15">
        <f>'Summary - Reserve - PG 2 (Reg)'!C76</f>
        <v>3981749.2600000007</v>
      </c>
      <c r="D13" s="15"/>
      <c r="E13" s="15">
        <v>0</v>
      </c>
      <c r="F13" s="15"/>
      <c r="G13" s="15">
        <v>0</v>
      </c>
      <c r="H13" s="15"/>
      <c r="I13" s="15">
        <f>'Summary - Reserve - PG 2 (Reg)'!I76</f>
        <v>0</v>
      </c>
      <c r="J13" s="15"/>
      <c r="K13" s="15">
        <f>'Summary - Reserve - PG 2 (Reg)'!K76</f>
        <v>-2054147.46</v>
      </c>
      <c r="L13" s="15"/>
      <c r="M13" s="15">
        <f>'Summary - Reserve - PG 2 (Reg)'!M76</f>
        <v>-899038.49000000022</v>
      </c>
      <c r="N13" s="15"/>
      <c r="O13" s="15">
        <f>'Summary - Reserve - PG 2 (Reg)'!O76</f>
        <v>2918541.65</v>
      </c>
      <c r="P13" s="15"/>
      <c r="Q13" s="15">
        <f>'Summary - Reserve - PG 2 (Reg)'!Q76</f>
        <v>-7620.4399999999987</v>
      </c>
      <c r="R13" s="15"/>
      <c r="S13" s="15">
        <f>'Summary - Reserve - PG 2 (Reg)'!S76</f>
        <v>0</v>
      </c>
      <c r="T13" s="15"/>
      <c r="U13" s="15">
        <f>S13+Q13+O13+M13+I13+G13+E13+C13+K13</f>
        <v>3939484.5200000005</v>
      </c>
      <c r="V13" s="36"/>
      <c r="W13" s="36"/>
      <c r="X13" s="31"/>
      <c r="Y13" s="31"/>
    </row>
    <row r="14" spans="1:25" x14ac:dyDescent="0.2">
      <c r="B14" s="19"/>
      <c r="C14" s="21">
        <f>SUM(C11:C13)</f>
        <v>43746457.459999993</v>
      </c>
      <c r="D14" s="15"/>
      <c r="E14" s="21">
        <f>SUM(E11:E13)</f>
        <v>0</v>
      </c>
      <c r="F14" s="15"/>
      <c r="G14" s="21">
        <f>SUM(G11:G13)</f>
        <v>0</v>
      </c>
      <c r="H14" s="15"/>
      <c r="I14" s="21">
        <f>SUM(I11:I13)</f>
        <v>9160.81</v>
      </c>
      <c r="J14" s="17"/>
      <c r="K14" s="21">
        <f>SUM(K11:K13)</f>
        <v>-2917477.54</v>
      </c>
      <c r="L14" s="15"/>
      <c r="M14" s="21">
        <f>SUM(M11:M13)</f>
        <v>-11393968.049999997</v>
      </c>
      <c r="N14" s="15"/>
      <c r="O14" s="21">
        <f>SUM(O11:O13)</f>
        <v>30615495.009999998</v>
      </c>
      <c r="P14" s="15"/>
      <c r="Q14" s="21">
        <f>SUM(Q11:Q13)</f>
        <v>-1801560.5599999998</v>
      </c>
      <c r="R14" s="15"/>
      <c r="S14" s="21">
        <f>SUM(S11:S13)</f>
        <v>-212561.89000000004</v>
      </c>
      <c r="T14" s="15"/>
      <c r="U14" s="21">
        <f>SUM(U11:U13)</f>
        <v>58045545.240000002</v>
      </c>
      <c r="V14" s="36"/>
      <c r="W14" s="38"/>
      <c r="X14" s="31"/>
      <c r="Y14" s="31"/>
    </row>
    <row r="16" spans="1:25" x14ac:dyDescent="0.2">
      <c r="A16" s="10" t="s">
        <v>129</v>
      </c>
    </row>
    <row r="17" spans="1:25" x14ac:dyDescent="0.2">
      <c r="B17" s="3" t="s">
        <v>13</v>
      </c>
      <c r="C17" s="15">
        <v>0</v>
      </c>
      <c r="U17" s="15">
        <f>S17+Q17+O17+M17+I17+G17+E17+C17+K17</f>
        <v>0</v>
      </c>
    </row>
    <row r="18" spans="1:25" x14ac:dyDescent="0.2">
      <c r="B18" s="3" t="s">
        <v>17</v>
      </c>
      <c r="C18" s="15">
        <v>0</v>
      </c>
      <c r="U18" s="15">
        <f>S18+Q18+O18+M18+I18+G18+E18+C18+K18</f>
        <v>0</v>
      </c>
    </row>
    <row r="19" spans="1:25" x14ac:dyDescent="0.2">
      <c r="B19" s="3" t="s">
        <v>26</v>
      </c>
      <c r="C19" s="15">
        <v>0</v>
      </c>
      <c r="U19" s="15">
        <f>S19+Q19+O19+M19+I19+G19+E19+C19+K19</f>
        <v>0</v>
      </c>
    </row>
    <row r="20" spans="1:25" x14ac:dyDescent="0.2">
      <c r="C20" s="21">
        <f>SUM(C17:C19)</f>
        <v>0</v>
      </c>
      <c r="E20" s="21">
        <f>SUM(E17:E19)</f>
        <v>0</v>
      </c>
      <c r="G20" s="21">
        <f>SUM(G17:G19)</f>
        <v>0</v>
      </c>
      <c r="I20" s="21">
        <f>SUM(I17:I19)</f>
        <v>0</v>
      </c>
      <c r="J20" s="17"/>
      <c r="K20" s="21">
        <f>SUM(K17:K19)</f>
        <v>0</v>
      </c>
      <c r="M20" s="21">
        <f>SUM(M17:M19)</f>
        <v>0</v>
      </c>
      <c r="O20" s="21">
        <f>SUM(O17:O19)</f>
        <v>0</v>
      </c>
      <c r="Q20" s="21">
        <f>SUM(Q17:Q19)</f>
        <v>0</v>
      </c>
      <c r="S20" s="21">
        <f>SUM(S17:S19)</f>
        <v>0</v>
      </c>
      <c r="U20" s="21">
        <f>SUM(U17:U19)</f>
        <v>0</v>
      </c>
    </row>
    <row r="21" spans="1:25" x14ac:dyDescent="0.2">
      <c r="A21" s="10" t="s">
        <v>130</v>
      </c>
    </row>
    <row r="22" spans="1:25" x14ac:dyDescent="0.2">
      <c r="B22" s="3" t="s">
        <v>13</v>
      </c>
      <c r="C22" s="15">
        <v>0</v>
      </c>
      <c r="E22" s="15">
        <v>0</v>
      </c>
      <c r="G22" s="15">
        <v>0</v>
      </c>
      <c r="I22" s="15">
        <v>0</v>
      </c>
      <c r="J22" s="15"/>
      <c r="K22" s="37">
        <v>0</v>
      </c>
      <c r="M22" s="15">
        <v>0</v>
      </c>
      <c r="O22" s="37">
        <v>0</v>
      </c>
      <c r="Q22" s="15">
        <v>0</v>
      </c>
      <c r="S22" s="15">
        <v>0</v>
      </c>
      <c r="U22" s="15">
        <f>S22+Q22+O22+M22+I22+G22+E22+C22+K22</f>
        <v>0</v>
      </c>
    </row>
    <row r="23" spans="1:25" x14ac:dyDescent="0.2">
      <c r="B23" s="3" t="s">
        <v>17</v>
      </c>
      <c r="C23" s="15">
        <v>11275861.839999998</v>
      </c>
      <c r="E23" s="15">
        <v>0</v>
      </c>
      <c r="G23" s="15">
        <v>0</v>
      </c>
      <c r="I23" s="15">
        <v>0</v>
      </c>
      <c r="J23" s="15"/>
      <c r="K23" s="37">
        <f>-319284.6-544045.48</f>
        <v>-863330.08</v>
      </c>
      <c r="M23" s="15">
        <v>0</v>
      </c>
      <c r="O23" s="37">
        <f>146345.16+5422.58+5755.76+98727.34+597257.66+34113.75+6721.52+866843.9+1753567.82+0.04+2268.52+1153612.99+2493.23+1455.05+587336.81+562+11385.37+2152.74-1140371.84+3101.28-26478.82-163125.52+4514.29+2188.35+321281.34+449.08+1380599.18+7802.48+15000+3504512.27+900.03+5862.57</f>
        <v>9192256.9300000016</v>
      </c>
      <c r="Q23" s="15">
        <v>0</v>
      </c>
      <c r="S23" s="15">
        <v>0</v>
      </c>
      <c r="U23" s="15">
        <f>S23+Q23+O23+M23+I23+G23+E23+C23+K23</f>
        <v>19604788.690000001</v>
      </c>
    </row>
    <row r="24" spans="1:25" x14ac:dyDescent="0.2">
      <c r="B24" s="3" t="s">
        <v>26</v>
      </c>
      <c r="C24" s="15">
        <v>2992179.2399999993</v>
      </c>
      <c r="E24" s="15">
        <v>0</v>
      </c>
      <c r="G24" s="15">
        <v>0</v>
      </c>
      <c r="I24" s="15">
        <v>0</v>
      </c>
      <c r="J24" s="15"/>
      <c r="K24" s="37">
        <f>-143708.68+-9267.26-17115.58-1884055.94</f>
        <v>-2054147.46</v>
      </c>
      <c r="M24" s="15">
        <f>-323089.57+323089.57</f>
        <v>0</v>
      </c>
      <c r="O24" s="37">
        <f>58942.94+76633.79+11795.35+42801.31+55536.33+73571.84+5665.09+130955.49+165817.31+21589.74+124453.68+282570.69+24366.24+59464.6+350985.07+21085.35+108866.39+26478.82+22223.12+1359.02+92027.39+2817.16+10007.13+66544.55+60358.55+20757.92+53223.01+443.47+1110.22+176209.34</f>
        <v>2148660.9099999997</v>
      </c>
      <c r="Q24" s="15">
        <v>0</v>
      </c>
      <c r="S24" s="15">
        <v>0</v>
      </c>
      <c r="U24" s="15">
        <f>S24+Q24+O24+M24+I24+G24+E24+C24+K24</f>
        <v>3086692.6899999985</v>
      </c>
    </row>
    <row r="25" spans="1:25" x14ac:dyDescent="0.2">
      <c r="C25" s="21">
        <v>2905548.76</v>
      </c>
      <c r="E25" s="21">
        <f>SUM(E22:E24)</f>
        <v>0</v>
      </c>
      <c r="G25" s="21">
        <f>SUM(G22:G24)</f>
        <v>0</v>
      </c>
      <c r="I25" s="21">
        <f>SUM(I22:I24)</f>
        <v>0</v>
      </c>
      <c r="J25" s="17"/>
      <c r="K25" s="21">
        <f>SUM(K22:K24)</f>
        <v>-2917477.54</v>
      </c>
      <c r="M25" s="21">
        <f>SUM(M22:M24)</f>
        <v>0</v>
      </c>
      <c r="O25" s="21">
        <f>SUM(O22:O24)</f>
        <v>11340917.840000002</v>
      </c>
      <c r="Q25" s="21">
        <f>SUM(Q22:Q24)</f>
        <v>0</v>
      </c>
      <c r="S25" s="21">
        <f>SUM(S22:S24)</f>
        <v>0</v>
      </c>
      <c r="U25" s="21">
        <f>SUM(U22:U24)</f>
        <v>22691481.379999999</v>
      </c>
      <c r="V25" s="39"/>
      <c r="W25" s="15">
        <v>0</v>
      </c>
      <c r="Y25" s="39"/>
    </row>
    <row r="26" spans="1:25" x14ac:dyDescent="0.2">
      <c r="A26" s="10" t="s">
        <v>131</v>
      </c>
      <c r="W26" s="39"/>
    </row>
    <row r="27" spans="1:25" x14ac:dyDescent="0.2">
      <c r="B27" s="3" t="s">
        <v>13</v>
      </c>
      <c r="C27" s="15">
        <v>150607.1399999999</v>
      </c>
      <c r="E27" s="15">
        <v>0</v>
      </c>
      <c r="G27" s="15">
        <v>0</v>
      </c>
      <c r="I27" s="15">
        <v>0</v>
      </c>
      <c r="J27" s="15"/>
      <c r="K27" s="15">
        <v>0</v>
      </c>
      <c r="M27" s="37">
        <f>-34064.25-37435.93-10630.39-5075-3975-32139.02-5080.45+1397.96-776.97-21715.29</f>
        <v>-149494.34</v>
      </c>
      <c r="O27" s="37">
        <f>8584.91+2080.03+-744.79+7756.87+7090.87+39164.47+4999.83+8720.39+13073.87+10353.97+8689.99+31296.84</f>
        <v>141067.25</v>
      </c>
      <c r="Q27" s="37">
        <f>-10450-2200</f>
        <v>-12650</v>
      </c>
      <c r="S27" s="37">
        <f>3722.25-3722.25+189610.73</f>
        <v>189610.73</v>
      </c>
      <c r="U27" s="15">
        <f>S27+Q27+O27+M27+I27+G27+E27+C27+K27</f>
        <v>319140.77999999991</v>
      </c>
    </row>
    <row r="28" spans="1:25" x14ac:dyDescent="0.2">
      <c r="B28" s="3" t="s">
        <v>17</v>
      </c>
      <c r="C28" s="15">
        <v>28338239.220000003</v>
      </c>
      <c r="E28" s="15">
        <v>0</v>
      </c>
      <c r="G28" s="15">
        <v>0</v>
      </c>
      <c r="I28" s="15">
        <f>9160.81</f>
        <v>9160.81</v>
      </c>
      <c r="J28" s="15"/>
      <c r="K28" s="15">
        <v>0</v>
      </c>
      <c r="M28" s="37">
        <f>-57565.6+26900-1278473.5+15163.31-840021.46+90581.11-881097.19+194625.37+18797.05-1657912.24-1306760.26+46275.76+319284.6-1394879.77+6087.49-763694.32+10854.98-353537.41+1302.4-1649534.52+402848.82+544045.48-482323.54-1398901.78+42500</f>
        <v>-10345435.219999997</v>
      </c>
      <c r="O28" s="37">
        <f>2072276.76+774030.97+1551770.71+2307920.93+1126637.36+1466583.73+757883.86+1183483.36+2187121.15+2544970.16+1594745.55+796204.64</f>
        <v>18363629.18</v>
      </c>
      <c r="Q28" s="37">
        <f>-42627.28-29758.57-158556.64-333821.71-356795.5-441827.01-73079.8-45336.06-16084.42-31920.88-251482.25</f>
        <v>-1781290.1199999999</v>
      </c>
      <c r="S28" s="37">
        <f>4211.44-3730.37-30660.87-18847.38-33373.91-27394.66-37220.87-89927.78-34345.87-38795.71-23746.46-68340.18</f>
        <v>-402172.62000000005</v>
      </c>
      <c r="U28" s="15">
        <f>S28+Q28+O28+M28+I28+G28+E28+C28+K28</f>
        <v>34182131.250000007</v>
      </c>
      <c r="W28" s="39"/>
    </row>
    <row r="29" spans="1:25" x14ac:dyDescent="0.2">
      <c r="B29" s="3" t="s">
        <v>26</v>
      </c>
      <c r="C29" s="15">
        <v>989570.02000000025</v>
      </c>
      <c r="E29" s="15">
        <v>0</v>
      </c>
      <c r="G29" s="15">
        <v>0</v>
      </c>
      <c r="I29" s="15">
        <v>0</v>
      </c>
      <c r="J29" s="15"/>
      <c r="K29" s="15">
        <v>0</v>
      </c>
      <c r="M29" s="37">
        <f>143708.68-148677.77-497541.14+9267.26-66132.02-71233.56-26066.06+442.7+17115.58-1882487.54+1884055.94+45479.17-308286.78+1317.05</f>
        <v>-899038.49000000011</v>
      </c>
      <c r="O29" s="37">
        <f>-771.84+31213.83+12857.22+50582.29+75815.22+106768.7+57038.73+233355.65+22174.21+95919.8+37447.49+47479.44</f>
        <v>769880.74</v>
      </c>
      <c r="Q29" s="37">
        <f>11495-120-447.88-12720-1445.3+28988-16000-17370.26</f>
        <v>-7620.4399999999987</v>
      </c>
      <c r="S29" s="37">
        <v>0</v>
      </c>
      <c r="U29" s="15">
        <f>S29+Q29+O29+M29+I29+G29+E29+C29+K29</f>
        <v>852791.83000000019</v>
      </c>
    </row>
    <row r="30" spans="1:25" x14ac:dyDescent="0.2">
      <c r="C30" s="21">
        <v>9564212.0900000017</v>
      </c>
      <c r="E30" s="21">
        <f>SUM(E27:E29)</f>
        <v>0</v>
      </c>
      <c r="G30" s="21">
        <f>SUM(G27:G29)</f>
        <v>0</v>
      </c>
      <c r="I30" s="21">
        <f>SUM(I27:I29)</f>
        <v>9160.81</v>
      </c>
      <c r="J30" s="17"/>
      <c r="K30" s="21">
        <f>SUM(K27:K29)</f>
        <v>0</v>
      </c>
      <c r="M30" s="21">
        <f>SUM(M27:M29)</f>
        <v>-11393968.049999997</v>
      </c>
      <c r="O30" s="21">
        <f>SUM(O27:O29)</f>
        <v>19274577.169999998</v>
      </c>
      <c r="Q30" s="21">
        <f>SUM(Q27:Q29)</f>
        <v>-1801560.5599999998</v>
      </c>
      <c r="S30" s="21">
        <f>SUM(S27:S29)</f>
        <v>-212561.89000000004</v>
      </c>
      <c r="U30" s="21">
        <f>SUM(U27:U29)</f>
        <v>35354063.860000007</v>
      </c>
      <c r="W30" s="15">
        <v>0</v>
      </c>
    </row>
    <row r="31" spans="1:25" x14ac:dyDescent="0.2">
      <c r="A31" s="10" t="s">
        <v>132</v>
      </c>
    </row>
    <row r="32" spans="1:25" x14ac:dyDescent="0.2">
      <c r="B32" s="3" t="s">
        <v>13</v>
      </c>
      <c r="C32" s="15">
        <f>+C17+C22+C27</f>
        <v>150607.1399999999</v>
      </c>
      <c r="E32" s="15">
        <f>+E17+E22+E27</f>
        <v>0</v>
      </c>
      <c r="F32" s="15"/>
      <c r="G32" s="15">
        <f>+G17+G22+G27</f>
        <v>0</v>
      </c>
      <c r="H32" s="15"/>
      <c r="I32" s="15">
        <f>+I17+I22+I27</f>
        <v>0</v>
      </c>
      <c r="J32" s="15"/>
      <c r="K32" s="15">
        <f>+K17+K22+K27</f>
        <v>0</v>
      </c>
      <c r="L32" s="15"/>
      <c r="M32" s="15">
        <f>+M17+M22+M27</f>
        <v>-149494.34</v>
      </c>
      <c r="N32" s="15"/>
      <c r="O32" s="15">
        <f>+O17+O22+O27</f>
        <v>141067.25</v>
      </c>
      <c r="P32" s="15"/>
      <c r="Q32" s="15">
        <f>+Q17+Q22+Q27</f>
        <v>-12650</v>
      </c>
      <c r="R32" s="15"/>
      <c r="S32" s="15">
        <f>+S17+S22+S27</f>
        <v>189610.73</v>
      </c>
      <c r="U32" s="15">
        <f>+U17+U22+U27</f>
        <v>319140.77999999991</v>
      </c>
      <c r="W32" s="39">
        <f>+U32-'Summary - Reserve - PG 2 (Reg)'!U74</f>
        <v>0</v>
      </c>
    </row>
    <row r="33" spans="2:23" x14ac:dyDescent="0.2">
      <c r="B33" s="3" t="s">
        <v>17</v>
      </c>
      <c r="C33" s="15">
        <f>+C18+C23+C28</f>
        <v>39614101.060000002</v>
      </c>
      <c r="E33" s="15">
        <f>+E18+E23+E28</f>
        <v>0</v>
      </c>
      <c r="F33" s="15"/>
      <c r="G33" s="15">
        <f>+G18+G23+G28</f>
        <v>0</v>
      </c>
      <c r="H33" s="15"/>
      <c r="I33" s="15">
        <f>+I18+I23+I28</f>
        <v>9160.81</v>
      </c>
      <c r="J33" s="15"/>
      <c r="K33" s="15">
        <f>+K18+K23+K28</f>
        <v>-863330.08</v>
      </c>
      <c r="L33" s="15"/>
      <c r="M33" s="15">
        <f>+M18+M23+M28</f>
        <v>-10345435.219999997</v>
      </c>
      <c r="N33" s="15"/>
      <c r="O33" s="15">
        <f>+O18+O23+O28</f>
        <v>27555886.109999999</v>
      </c>
      <c r="P33" s="15"/>
      <c r="Q33" s="15">
        <f>+Q18+Q23+Q28</f>
        <v>-1781290.1199999999</v>
      </c>
      <c r="R33" s="15"/>
      <c r="S33" s="15">
        <f>+S18+S23+S28</f>
        <v>-402172.62000000005</v>
      </c>
      <c r="U33" s="15">
        <f>+U18+U23+U28</f>
        <v>53786919.940000013</v>
      </c>
      <c r="W33" s="39">
        <f>+U33-'Summary - Reserve - PG 2 (Reg)'!U75</f>
        <v>0</v>
      </c>
    </row>
    <row r="34" spans="2:23" x14ac:dyDescent="0.2">
      <c r="B34" s="3" t="s">
        <v>26</v>
      </c>
      <c r="C34" s="15">
        <f>+C19+C24+C29</f>
        <v>3981749.26</v>
      </c>
      <c r="E34" s="15">
        <f>+E19+E24+E29</f>
        <v>0</v>
      </c>
      <c r="F34" s="15"/>
      <c r="G34" s="15">
        <f>+G19+G24+G29</f>
        <v>0</v>
      </c>
      <c r="H34" s="15"/>
      <c r="I34" s="15">
        <f>+I19+I24+I29</f>
        <v>0</v>
      </c>
      <c r="J34" s="15"/>
      <c r="K34" s="15">
        <f>+K19+K24+K29</f>
        <v>-2054147.46</v>
      </c>
      <c r="L34" s="15"/>
      <c r="M34" s="15">
        <f>+M19+M24+M29</f>
        <v>-899038.49000000011</v>
      </c>
      <c r="N34" s="15"/>
      <c r="O34" s="15">
        <f>+O19+O24+O29</f>
        <v>2918541.6499999994</v>
      </c>
      <c r="P34" s="15"/>
      <c r="Q34" s="15">
        <f>+Q19+Q24+Q29</f>
        <v>-7620.4399999999987</v>
      </c>
      <c r="R34" s="15"/>
      <c r="S34" s="15">
        <f>+S19+S24+S29</f>
        <v>0</v>
      </c>
      <c r="U34" s="15">
        <f>S34+Q34+O34+M34+I34+G34+E34+C34+K34</f>
        <v>3939484.5199999986</v>
      </c>
      <c r="W34" s="39">
        <f>+U34-'Summary - Reserve - PG 2 (Reg)'!U76</f>
        <v>0</v>
      </c>
    </row>
    <row r="35" spans="2:23" x14ac:dyDescent="0.2">
      <c r="C35" s="21">
        <f>SUM(C32:C34)</f>
        <v>43746457.460000001</v>
      </c>
      <c r="E35" s="21">
        <f>SUM(E32:E34)</f>
        <v>0</v>
      </c>
      <c r="G35" s="21">
        <f>SUM(G32:G34)</f>
        <v>0</v>
      </c>
      <c r="I35" s="21">
        <f>SUM(I32:I34)</f>
        <v>9160.81</v>
      </c>
      <c r="J35" s="17"/>
      <c r="K35" s="21">
        <f>SUM(K32:K34)</f>
        <v>-2917477.54</v>
      </c>
      <c r="M35" s="21">
        <f>SUM(M32:M34)</f>
        <v>-11393968.049999997</v>
      </c>
      <c r="O35" s="21">
        <f>SUM(O32:O34)</f>
        <v>30615495.009999998</v>
      </c>
      <c r="Q35" s="21">
        <f>SUM(Q32:Q34)</f>
        <v>-1801560.5599999998</v>
      </c>
      <c r="S35" s="21">
        <f>SUM(S32:S34)</f>
        <v>-212561.89000000004</v>
      </c>
      <c r="U35" s="21">
        <f>SUM(U32:U34)</f>
        <v>58045545.24000001</v>
      </c>
    </row>
    <row r="37" spans="2:23" x14ac:dyDescent="0.2">
      <c r="G37" s="3" t="s">
        <v>133</v>
      </c>
      <c r="I37" s="39">
        <f>I14-I35</f>
        <v>0</v>
      </c>
      <c r="K37" s="39">
        <f>K14-K35</f>
        <v>0</v>
      </c>
      <c r="M37" s="39">
        <f>M14-M35</f>
        <v>0</v>
      </c>
      <c r="O37" s="39">
        <f>O14-O35</f>
        <v>0</v>
      </c>
      <c r="Q37" s="39">
        <f>Q14-Q35</f>
        <v>0</v>
      </c>
      <c r="S37" s="39">
        <f>S14-S35</f>
        <v>0</v>
      </c>
      <c r="U37" s="39">
        <f>U14-U35</f>
        <v>0</v>
      </c>
    </row>
  </sheetData>
  <mergeCells count="3">
    <mergeCell ref="A1:U1"/>
    <mergeCell ref="A2:U2"/>
    <mergeCell ref="A3:U3"/>
  </mergeCells>
  <conditionalFormatting sqref="I37 K37 M37 O37 Q37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S37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N140"/>
  <sheetViews>
    <sheetView zoomScale="90" zoomScaleNormal="90" workbookViewId="0">
      <pane xSplit="1" ySplit="8" topLeftCell="B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2" customFormat="1" ht="15.75" x14ac:dyDescent="0.25">
      <c r="A2" s="210" t="s">
        <v>2882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4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4" x14ac:dyDescent="0.2">
      <c r="B8" s="18"/>
      <c r="D8" s="18"/>
      <c r="F8" s="18"/>
      <c r="H8" s="18"/>
      <c r="J8" s="18"/>
      <c r="L8" s="18"/>
    </row>
    <row r="9" spans="1:14" x14ac:dyDescent="0.2">
      <c r="A9" s="10" t="s">
        <v>2883</v>
      </c>
    </row>
    <row r="10" spans="1:14" x14ac:dyDescent="0.2">
      <c r="A10" s="10" t="s">
        <v>276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4" x14ac:dyDescent="0.2">
      <c r="A11" s="3" t="s">
        <v>2884</v>
      </c>
      <c r="B11" s="15">
        <v>1512938.21</v>
      </c>
      <c r="C11" s="15"/>
      <c r="D11" s="15">
        <v>0</v>
      </c>
      <c r="E11" s="15"/>
      <c r="F11" s="15">
        <v>0</v>
      </c>
      <c r="G11" s="15"/>
      <c r="H11" s="15">
        <v>871644.37</v>
      </c>
      <c r="I11" s="15"/>
      <c r="J11" s="15">
        <f>D11+F11+H11</f>
        <v>871644.37</v>
      </c>
      <c r="K11" s="15">
        <v>0</v>
      </c>
      <c r="L11" s="15">
        <f>J11+B11</f>
        <v>2384582.58</v>
      </c>
      <c r="M11" s="145"/>
      <c r="N11" s="145"/>
    </row>
    <row r="12" spans="1:14" x14ac:dyDescent="0.2">
      <c r="A12" s="3" t="s">
        <v>2885</v>
      </c>
      <c r="B12" s="16">
        <v>11748.710000000001</v>
      </c>
      <c r="C12" s="17"/>
      <c r="D12" s="16">
        <v>0</v>
      </c>
      <c r="E12" s="17"/>
      <c r="F12" s="16">
        <v>0</v>
      </c>
      <c r="G12" s="17"/>
      <c r="H12" s="16">
        <v>0</v>
      </c>
      <c r="I12" s="17"/>
      <c r="J12" s="16">
        <f>D12+F12+H12</f>
        <v>0</v>
      </c>
      <c r="K12" s="17">
        <v>0</v>
      </c>
      <c r="L12" s="16">
        <f>J12+B12</f>
        <v>11748.710000000001</v>
      </c>
      <c r="M12" s="146"/>
      <c r="N12" s="145"/>
    </row>
    <row r="13" spans="1:14" x14ac:dyDescent="0.2">
      <c r="B13" s="135">
        <f>SUM(B11:B12)</f>
        <v>1524686.92</v>
      </c>
      <c r="C13" s="135"/>
      <c r="D13" s="135">
        <f>SUM(D11:D12)</f>
        <v>0</v>
      </c>
      <c r="E13" s="135"/>
      <c r="F13" s="135">
        <f>SUM(F11:F12)</f>
        <v>0</v>
      </c>
      <c r="G13" s="135"/>
      <c r="H13" s="135">
        <f>SUM(H11:H12)</f>
        <v>871644.37</v>
      </c>
      <c r="I13" s="135"/>
      <c r="J13" s="135">
        <f>SUM(J11:J12)</f>
        <v>871644.37</v>
      </c>
      <c r="K13" s="135"/>
      <c r="L13" s="135">
        <f>SUM(L11:L12)</f>
        <v>2396331.29</v>
      </c>
      <c r="M13" s="146"/>
      <c r="N13" s="145"/>
    </row>
    <row r="14" spans="1:14" x14ac:dyDescent="0.2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46"/>
      <c r="N14" s="145"/>
    </row>
    <row r="15" spans="1:14" x14ac:dyDescent="0.2">
      <c r="A15" s="10" t="s">
        <v>22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46"/>
      <c r="N15" s="145"/>
    </row>
    <row r="16" spans="1:14" x14ac:dyDescent="0.2">
      <c r="A16" s="22" t="s">
        <v>2886</v>
      </c>
      <c r="B16" s="135">
        <v>211409.5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5">
        <f>J16+B16</f>
        <v>211409.5</v>
      </c>
      <c r="M16" s="146"/>
      <c r="N16" s="145"/>
    </row>
    <row r="17" spans="1:14" x14ac:dyDescent="0.2">
      <c r="B17" s="148">
        <f>SUM(B16)</f>
        <v>211409.5</v>
      </c>
      <c r="C17" s="135"/>
      <c r="D17" s="148">
        <f>SUM(D16)</f>
        <v>0</v>
      </c>
      <c r="E17" s="135"/>
      <c r="F17" s="148">
        <f>SUM(F16)</f>
        <v>0</v>
      </c>
      <c r="G17" s="135"/>
      <c r="H17" s="148">
        <f>SUM(H16)</f>
        <v>0</v>
      </c>
      <c r="I17" s="135"/>
      <c r="J17" s="148">
        <f>SUM(J16)</f>
        <v>0</v>
      </c>
      <c r="K17" s="135"/>
      <c r="L17" s="148">
        <f>SUM(L16)</f>
        <v>211409.5</v>
      </c>
      <c r="M17" s="146"/>
      <c r="N17" s="145"/>
    </row>
    <row r="18" spans="1:14" x14ac:dyDescent="0.2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46"/>
      <c r="N18" s="145"/>
    </row>
    <row r="19" spans="1:14" x14ac:dyDescent="0.2">
      <c r="A19" s="10" t="s">
        <v>337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46"/>
      <c r="N19" s="145"/>
    </row>
    <row r="20" spans="1:14" x14ac:dyDescent="0.2">
      <c r="A20" s="3" t="s">
        <v>2887</v>
      </c>
      <c r="B20" s="17">
        <v>839535.3</v>
      </c>
      <c r="C20" s="135"/>
      <c r="D20" s="135">
        <v>0</v>
      </c>
      <c r="E20" s="135"/>
      <c r="F20" s="135">
        <v>0</v>
      </c>
      <c r="G20" s="135"/>
      <c r="H20" s="135">
        <v>-839535.3</v>
      </c>
      <c r="I20" s="135"/>
      <c r="J20" s="17">
        <f t="shared" ref="J20:J25" si="0">D20+F20+H20</f>
        <v>-839535.3</v>
      </c>
      <c r="K20" s="135"/>
      <c r="L20" s="17">
        <f t="shared" ref="L20:L25" si="1">J20+B20</f>
        <v>0</v>
      </c>
      <c r="M20" s="146"/>
      <c r="N20" s="145"/>
    </row>
    <row r="21" spans="1:14" x14ac:dyDescent="0.2">
      <c r="A21" s="3" t="s">
        <v>342</v>
      </c>
      <c r="B21" s="17">
        <v>0</v>
      </c>
      <c r="C21" s="135"/>
      <c r="D21" s="135">
        <v>0</v>
      </c>
      <c r="E21" s="135"/>
      <c r="F21" s="135">
        <v>0</v>
      </c>
      <c r="G21" s="135"/>
      <c r="H21" s="135">
        <v>0</v>
      </c>
      <c r="I21" s="135"/>
      <c r="J21" s="17">
        <f t="shared" si="0"/>
        <v>0</v>
      </c>
      <c r="K21" s="135"/>
      <c r="L21" s="17">
        <f t="shared" si="1"/>
        <v>0</v>
      </c>
      <c r="M21" s="146"/>
      <c r="N21" s="145"/>
    </row>
    <row r="22" spans="1:14" x14ac:dyDescent="0.2">
      <c r="A22" s="3" t="s">
        <v>2888</v>
      </c>
      <c r="B22" s="17">
        <v>2772653.37</v>
      </c>
      <c r="C22" s="135"/>
      <c r="D22" s="135">
        <v>0</v>
      </c>
      <c r="E22" s="135"/>
      <c r="F22" s="135">
        <v>0</v>
      </c>
      <c r="G22" s="135"/>
      <c r="H22" s="135">
        <v>-2772653.37</v>
      </c>
      <c r="I22" s="135"/>
      <c r="J22" s="17">
        <f t="shared" si="0"/>
        <v>-2772653.37</v>
      </c>
      <c r="K22" s="135"/>
      <c r="L22" s="17">
        <f t="shared" si="1"/>
        <v>0</v>
      </c>
      <c r="M22" s="146"/>
      <c r="N22" s="145"/>
    </row>
    <row r="23" spans="1:14" x14ac:dyDescent="0.2">
      <c r="A23" s="3" t="s">
        <v>345</v>
      </c>
      <c r="B23" s="17">
        <v>0</v>
      </c>
      <c r="C23" s="135"/>
      <c r="D23" s="135">
        <v>0</v>
      </c>
      <c r="E23" s="135"/>
      <c r="F23" s="135">
        <v>0</v>
      </c>
      <c r="G23" s="135"/>
      <c r="H23" s="135">
        <v>0</v>
      </c>
      <c r="I23" s="135"/>
      <c r="J23" s="17">
        <f t="shared" si="0"/>
        <v>0</v>
      </c>
      <c r="K23" s="135"/>
      <c r="L23" s="17">
        <f t="shared" si="1"/>
        <v>0</v>
      </c>
      <c r="M23" s="146"/>
      <c r="N23" s="145"/>
    </row>
    <row r="24" spans="1:14" x14ac:dyDescent="0.2">
      <c r="A24" s="3" t="s">
        <v>348</v>
      </c>
      <c r="B24" s="17">
        <v>0</v>
      </c>
      <c r="C24" s="135"/>
      <c r="D24" s="135">
        <v>0</v>
      </c>
      <c r="E24" s="135"/>
      <c r="F24" s="135">
        <v>0</v>
      </c>
      <c r="G24" s="135"/>
      <c r="H24" s="135">
        <v>0</v>
      </c>
      <c r="I24" s="135"/>
      <c r="J24" s="17">
        <f t="shared" si="0"/>
        <v>0</v>
      </c>
      <c r="K24" s="135"/>
      <c r="L24" s="17">
        <f t="shared" si="1"/>
        <v>0</v>
      </c>
      <c r="M24" s="146"/>
      <c r="N24" s="145"/>
    </row>
    <row r="25" spans="1:14" x14ac:dyDescent="0.2">
      <c r="A25" s="3" t="s">
        <v>2889</v>
      </c>
      <c r="B25" s="16">
        <v>0</v>
      </c>
      <c r="C25" s="135"/>
      <c r="D25" s="149">
        <v>0</v>
      </c>
      <c r="E25" s="135"/>
      <c r="F25" s="149">
        <v>0</v>
      </c>
      <c r="G25" s="135"/>
      <c r="H25" s="149">
        <v>0</v>
      </c>
      <c r="I25" s="135"/>
      <c r="J25" s="16">
        <f t="shared" si="0"/>
        <v>0</v>
      </c>
      <c r="K25" s="135"/>
      <c r="L25" s="16">
        <f t="shared" si="1"/>
        <v>0</v>
      </c>
      <c r="M25" s="146"/>
      <c r="N25" s="145"/>
    </row>
    <row r="26" spans="1:14" x14ac:dyDescent="0.2">
      <c r="B26" s="135">
        <f>SUM(B20:B25)</f>
        <v>3612188.67</v>
      </c>
      <c r="C26" s="135"/>
      <c r="D26" s="135">
        <f>SUM(D20:D25)</f>
        <v>0</v>
      </c>
      <c r="E26" s="135"/>
      <c r="F26" s="135">
        <f>SUM(F20:F25)</f>
        <v>0</v>
      </c>
      <c r="G26" s="135"/>
      <c r="H26" s="135">
        <f>SUM(H20:H25)</f>
        <v>-3612188.67</v>
      </c>
      <c r="I26" s="135"/>
      <c r="J26" s="135">
        <f>SUM(J20:J25)</f>
        <v>-3612188.67</v>
      </c>
      <c r="K26" s="135"/>
      <c r="L26" s="135">
        <f>SUM(L20:L25)</f>
        <v>0</v>
      </c>
      <c r="M26" s="146"/>
      <c r="N26" s="145"/>
    </row>
    <row r="27" spans="1:14" x14ac:dyDescent="0.2">
      <c r="B27" s="135"/>
      <c r="C27" s="138"/>
      <c r="D27" s="135"/>
      <c r="E27" s="138"/>
      <c r="F27" s="135"/>
      <c r="G27" s="138"/>
      <c r="H27" s="135"/>
      <c r="I27" s="138"/>
      <c r="J27" s="135"/>
      <c r="K27" s="138"/>
      <c r="L27" s="135"/>
      <c r="M27" s="145"/>
      <c r="N27" s="145"/>
    </row>
    <row r="28" spans="1:14" x14ac:dyDescent="0.2">
      <c r="A28" s="10" t="s">
        <v>2890</v>
      </c>
    </row>
    <row r="29" spans="1:14" x14ac:dyDescent="0.2">
      <c r="A29" s="10" t="s">
        <v>276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4" x14ac:dyDescent="0.2">
      <c r="A30" s="3" t="s">
        <v>277</v>
      </c>
      <c r="B30" s="15">
        <v>519009.11</v>
      </c>
      <c r="C30" s="15"/>
      <c r="D30" s="15">
        <v>0</v>
      </c>
      <c r="E30" s="15"/>
      <c r="F30" s="15">
        <v>0</v>
      </c>
      <c r="G30" s="15"/>
      <c r="H30" s="15">
        <v>0</v>
      </c>
      <c r="I30" s="15"/>
      <c r="J30" s="15">
        <f>D30+F30+H30</f>
        <v>0</v>
      </c>
      <c r="K30" s="15">
        <v>0</v>
      </c>
      <c r="L30" s="15">
        <f>J30+B30</f>
        <v>519009.11</v>
      </c>
      <c r="M30" s="145"/>
      <c r="N30" s="145"/>
    </row>
    <row r="31" spans="1:14" x14ac:dyDescent="0.2">
      <c r="B31" s="148">
        <f>SUM(B30:B30)</f>
        <v>519009.11</v>
      </c>
      <c r="C31" s="135"/>
      <c r="D31" s="148">
        <f>SUM(D30:D30)</f>
        <v>0</v>
      </c>
      <c r="E31" s="135"/>
      <c r="F31" s="148">
        <f>SUM(F30:F30)</f>
        <v>0</v>
      </c>
      <c r="G31" s="135"/>
      <c r="H31" s="148">
        <f>SUM(H30:H30)</f>
        <v>0</v>
      </c>
      <c r="I31" s="135"/>
      <c r="J31" s="148">
        <f>SUM(J30:J30)</f>
        <v>0</v>
      </c>
      <c r="K31" s="135"/>
      <c r="L31" s="148">
        <f>SUM(L30:L30)</f>
        <v>519009.11</v>
      </c>
      <c r="M31" s="146"/>
      <c r="N31" s="145"/>
    </row>
    <row r="32" spans="1:14" x14ac:dyDescent="0.2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45"/>
      <c r="N32" s="145"/>
    </row>
    <row r="33" spans="1:14" ht="13.5" thickBot="1" x14ac:dyDescent="0.25">
      <c r="A33" s="10" t="s">
        <v>2891</v>
      </c>
      <c r="B33" s="143">
        <f>B26+B13+B31+B17</f>
        <v>5867294.2000000002</v>
      </c>
      <c r="C33" s="138"/>
      <c r="D33" s="143">
        <f>D26+D13+D31+D17</f>
        <v>0</v>
      </c>
      <c r="E33" s="138"/>
      <c r="F33" s="143">
        <f>F26+F13+F31+F17</f>
        <v>0</v>
      </c>
      <c r="G33" s="138"/>
      <c r="H33" s="143">
        <f>H26+H13+H31+H17</f>
        <v>-2740544.3</v>
      </c>
      <c r="I33" s="138"/>
      <c r="J33" s="143">
        <f>J26+J13+J31+J17</f>
        <v>-2740544.3</v>
      </c>
      <c r="K33" s="138"/>
      <c r="L33" s="143">
        <f>L26+L13+L31+L17</f>
        <v>3126749.9</v>
      </c>
      <c r="M33" s="145"/>
      <c r="N33" s="145"/>
    </row>
    <row r="34" spans="1:14" ht="13.5" thickTop="1" x14ac:dyDescent="0.2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45"/>
      <c r="N34" s="145"/>
    </row>
    <row r="35" spans="1:14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1:14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14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14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14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1:14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4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14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2:14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2:14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2:14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2:14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2:14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2:14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2:14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2:14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2:14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2:14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2:14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14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2:14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2:14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14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14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2:14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2:14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2:14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2:14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2:14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</row>
    <row r="70" spans="2:14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2:14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2:14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2:14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</row>
    <row r="74" spans="2:14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2:14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2:14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  <row r="77" spans="2:14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2:14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</row>
    <row r="79" spans="2:14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2:14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2:14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2:14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2:14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</row>
    <row r="84" spans="2:14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</row>
    <row r="85" spans="2:14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</row>
    <row r="86" spans="2:14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</row>
    <row r="87" spans="2:14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2:14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2:14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2:14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2:14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2:14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2:14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2:14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2:14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2:14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</row>
    <row r="129" spans="2:14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2:14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</row>
    <row r="131" spans="2:14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</row>
    <row r="132" spans="2:14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</row>
    <row r="133" spans="2:14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</row>
    <row r="134" spans="2:14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</row>
    <row r="135" spans="2:14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</row>
    <row r="136" spans="2:14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</row>
    <row r="137" spans="2:14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2:14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</row>
    <row r="139" spans="2:14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2:14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130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2" customFormat="1" ht="15.75" x14ac:dyDescent="0.25">
      <c r="A2" s="210" t="s">
        <v>2892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4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4" x14ac:dyDescent="0.2">
      <c r="A9" s="10" t="s">
        <v>2893</v>
      </c>
    </row>
    <row r="10" spans="1:14" x14ac:dyDescent="0.2">
      <c r="A10" s="3" t="s">
        <v>2894</v>
      </c>
      <c r="B10" s="138">
        <v>690.05</v>
      </c>
      <c r="C10" s="138"/>
      <c r="D10" s="138">
        <v>0</v>
      </c>
      <c r="E10" s="138"/>
      <c r="F10" s="138">
        <v>0</v>
      </c>
      <c r="G10" s="138"/>
      <c r="H10" s="138">
        <v>0</v>
      </c>
      <c r="I10" s="138"/>
      <c r="J10" s="138">
        <f>D10+F10+H10</f>
        <v>0</v>
      </c>
      <c r="K10" s="138"/>
      <c r="L10" s="138">
        <f>B10+J10</f>
        <v>690.05</v>
      </c>
      <c r="M10" s="145"/>
      <c r="N10" s="145"/>
    </row>
    <row r="11" spans="1:14" x14ac:dyDescent="0.2">
      <c r="A11" s="3" t="s">
        <v>2895</v>
      </c>
      <c r="B11" s="138">
        <v>63110.43</v>
      </c>
      <c r="C11" s="138"/>
      <c r="D11" s="138">
        <v>0</v>
      </c>
      <c r="E11" s="138"/>
      <c r="F11" s="138">
        <v>0</v>
      </c>
      <c r="G11" s="138"/>
      <c r="H11" s="138">
        <v>0</v>
      </c>
      <c r="I11" s="138"/>
      <c r="J11" s="138">
        <f>D11+F11+H11</f>
        <v>0</v>
      </c>
      <c r="K11" s="138"/>
      <c r="L11" s="138">
        <f>B11+J11</f>
        <v>63110.43</v>
      </c>
      <c r="M11" s="145"/>
      <c r="N11" s="145"/>
    </row>
    <row r="12" spans="1:14" x14ac:dyDescent="0.2">
      <c r="A12" s="3" t="s">
        <v>2896</v>
      </c>
      <c r="B12" s="138">
        <v>249.93</v>
      </c>
      <c r="C12" s="138"/>
      <c r="D12" s="138">
        <v>0</v>
      </c>
      <c r="E12" s="138"/>
      <c r="F12" s="138">
        <v>0</v>
      </c>
      <c r="G12" s="138"/>
      <c r="H12" s="138">
        <v>0</v>
      </c>
      <c r="I12" s="138"/>
      <c r="J12" s="138">
        <f>D12+F12+H12</f>
        <v>0</v>
      </c>
      <c r="K12" s="138"/>
      <c r="L12" s="138">
        <f>B12+J12</f>
        <v>249.93</v>
      </c>
      <c r="M12" s="145"/>
      <c r="N12" s="145"/>
    </row>
    <row r="13" spans="1:14" x14ac:dyDescent="0.2">
      <c r="A13" s="3" t="s">
        <v>2897</v>
      </c>
      <c r="B13" s="138">
        <v>566846.57000000007</v>
      </c>
      <c r="C13" s="138"/>
      <c r="D13" s="138">
        <v>0</v>
      </c>
      <c r="E13" s="138"/>
      <c r="F13" s="138">
        <v>0</v>
      </c>
      <c r="G13" s="138"/>
      <c r="H13" s="138">
        <v>0</v>
      </c>
      <c r="I13" s="138"/>
      <c r="J13" s="138">
        <f>D13+F13+H13</f>
        <v>0</v>
      </c>
      <c r="K13" s="138"/>
      <c r="L13" s="138">
        <f>B13+J13</f>
        <v>566846.57000000007</v>
      </c>
      <c r="M13" s="145"/>
      <c r="N13" s="145"/>
    </row>
    <row r="14" spans="1:14" x14ac:dyDescent="0.2">
      <c r="A14" s="22" t="s">
        <v>2898</v>
      </c>
      <c r="B14" s="138">
        <v>0</v>
      </c>
      <c r="C14" s="138"/>
      <c r="D14" s="138">
        <v>0</v>
      </c>
      <c r="E14" s="138"/>
      <c r="F14" s="138">
        <v>0</v>
      </c>
      <c r="G14" s="138"/>
      <c r="H14" s="138">
        <v>0</v>
      </c>
      <c r="I14" s="138"/>
      <c r="J14" s="138">
        <f>D14+F14+H14</f>
        <v>0</v>
      </c>
      <c r="K14" s="138"/>
      <c r="L14" s="138">
        <f>B14+J14</f>
        <v>0</v>
      </c>
      <c r="M14" s="145"/>
      <c r="N14" s="145"/>
    </row>
    <row r="15" spans="1:14" ht="13.5" thickBot="1" x14ac:dyDescent="0.25">
      <c r="B15" s="143">
        <f>SUM(B10:B14)</f>
        <v>630896.9800000001</v>
      </c>
      <c r="C15" s="138"/>
      <c r="D15" s="143">
        <f>SUM(D10:D14)</f>
        <v>0</v>
      </c>
      <c r="E15" s="138"/>
      <c r="F15" s="143">
        <f>SUM(F10:F14)</f>
        <v>0</v>
      </c>
      <c r="G15" s="138"/>
      <c r="H15" s="143">
        <f>SUM(H10:H14)</f>
        <v>0</v>
      </c>
      <c r="I15" s="138"/>
      <c r="J15" s="143">
        <f>SUM(J10:J14)</f>
        <v>0</v>
      </c>
      <c r="K15" s="138"/>
      <c r="L15" s="143">
        <f>SUM(L10:L14)</f>
        <v>630896.9800000001</v>
      </c>
      <c r="M15" s="145"/>
      <c r="N15" s="145"/>
    </row>
    <row r="16" spans="1:14" ht="13.5" thickTop="1" x14ac:dyDescent="0.2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45"/>
      <c r="N16" s="145"/>
    </row>
    <row r="17" spans="2:14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2:14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2:14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2:14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2:14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2:14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2:14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2:14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2:14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2:14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2:14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2:14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2:14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2:14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2:14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2:14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2:14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2:14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2:14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2:14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2:14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14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14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2:14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2:14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2:14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2:14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2:14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2:14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2:14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2:14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2:14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2:14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2:14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2:14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2:14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2:14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2:14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2:14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2:14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2:14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2:14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14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2:14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2:14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14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14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2:14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2:14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2:14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2:14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2:14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</row>
    <row r="70" spans="2:14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2:14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2:14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2:14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</row>
    <row r="74" spans="2:14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2:14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2:14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  <row r="77" spans="2:14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2:14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</row>
    <row r="79" spans="2:14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2:14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2:14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2:14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2:14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</row>
    <row r="84" spans="2:14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</row>
    <row r="85" spans="2:14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</row>
    <row r="86" spans="2:14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</row>
    <row r="87" spans="2:14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2:14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2:14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2:14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2:14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2:14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2:14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2:14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2:14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2:14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</row>
    <row r="129" spans="2:14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2:14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27"/>
  <sheetViews>
    <sheetView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2" customFormat="1" ht="15.75" x14ac:dyDescent="0.25">
      <c r="A2" s="210" t="s">
        <v>2899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4" x14ac:dyDescent="0.2">
      <c r="B6" s="8" t="s">
        <v>3</v>
      </c>
      <c r="D6" s="138"/>
      <c r="F6" s="138"/>
      <c r="H6" s="8" t="s">
        <v>4</v>
      </c>
      <c r="J6" s="138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4" x14ac:dyDescent="0.2">
      <c r="A9" s="10" t="s">
        <v>2900</v>
      </c>
    </row>
    <row r="10" spans="1:14" x14ac:dyDescent="0.2">
      <c r="A10" s="10"/>
    </row>
    <row r="11" spans="1:14" x14ac:dyDescent="0.2">
      <c r="A11" s="124"/>
      <c r="B11" s="138">
        <v>0</v>
      </c>
      <c r="C11" s="138"/>
      <c r="D11" s="138">
        <f>-74076.28+74076.28</f>
        <v>0</v>
      </c>
      <c r="E11" s="138"/>
      <c r="F11" s="138">
        <v>0</v>
      </c>
      <c r="G11" s="138"/>
      <c r="H11" s="138">
        <f>200871.91-200871.91</f>
        <v>0</v>
      </c>
      <c r="I11" s="138"/>
      <c r="J11" s="138">
        <f>H11+F11+D11</f>
        <v>0</v>
      </c>
      <c r="K11" s="138"/>
      <c r="L11" s="138">
        <f>J11+B11</f>
        <v>0</v>
      </c>
      <c r="M11" s="145"/>
      <c r="N11" s="145"/>
    </row>
    <row r="12" spans="1:14" ht="13.5" thickBot="1" x14ac:dyDescent="0.25">
      <c r="B12" s="143">
        <f>SUM(B11:B11)</f>
        <v>0</v>
      </c>
      <c r="C12" s="138"/>
      <c r="D12" s="143">
        <f>SUM(D11:D11)</f>
        <v>0</v>
      </c>
      <c r="E12" s="138"/>
      <c r="F12" s="143">
        <f>SUM(F11:F11)</f>
        <v>0</v>
      </c>
      <c r="G12" s="138"/>
      <c r="H12" s="143">
        <f>SUM(H11:H11)</f>
        <v>0</v>
      </c>
      <c r="I12" s="138"/>
      <c r="J12" s="143">
        <f>SUM(J11:J11)</f>
        <v>0</v>
      </c>
      <c r="K12" s="138"/>
      <c r="L12" s="143">
        <f>SUM(L11:L11)</f>
        <v>0</v>
      </c>
      <c r="M12" s="145"/>
      <c r="N12" s="145"/>
    </row>
    <row r="13" spans="1:14" ht="13.5" thickTop="1" x14ac:dyDescent="0.2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45"/>
      <c r="N13" s="145"/>
    </row>
    <row r="14" spans="1:14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2:14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2:14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2:14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2:14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2:14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2:14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2:14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2:14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2:14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2:14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2:14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2:14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2:14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2:14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2:14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2:14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2:14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2:14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2:14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2:14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2:14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14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14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2:14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2:14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2:14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2:14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2:14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2:14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2:14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2:14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2:14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2:14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2:14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2:14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2:14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2:14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2:14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2:14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2:14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2:14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2:14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14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2:14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2:14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14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14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2:14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2:14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2:14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2:14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2:14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</row>
    <row r="70" spans="2:14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2:14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2:14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2:14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</row>
    <row r="74" spans="2:14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2:14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2:14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  <row r="77" spans="2:14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2:14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</row>
    <row r="79" spans="2:14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2:14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2:14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2:14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2:14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</row>
    <row r="84" spans="2:14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</row>
    <row r="85" spans="2:14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</row>
    <row r="86" spans="2:14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</row>
    <row r="87" spans="2:14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2:14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2:14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2:14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2:14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2:14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2:14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2:14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2:14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50"/>
  </sheetPr>
  <dimension ref="A1:AA518"/>
  <sheetViews>
    <sheetView zoomScale="85" zoomScaleNormal="85" workbookViewId="0">
      <pane xSplit="3" ySplit="8" topLeftCell="D6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47.5703125" style="3" bestFit="1" customWidth="1"/>
    <col min="2" max="2" width="19" style="3" bestFit="1" customWidth="1"/>
    <col min="3" max="3" width="1.7109375" style="31" customWidth="1"/>
    <col min="4" max="4" width="17.7109375" style="3" customWidth="1"/>
    <col min="5" max="5" width="1.7109375" style="31" customWidth="1"/>
    <col min="6" max="6" width="17.7109375" style="3" customWidth="1"/>
    <col min="7" max="7" width="1.7109375" style="31" customWidth="1"/>
    <col min="8" max="8" width="17.7109375" style="3" customWidth="1"/>
    <col min="9" max="9" width="1.7109375" style="31" customWidth="1"/>
    <col min="10" max="10" width="17.7109375" style="3" customWidth="1"/>
    <col min="11" max="11" width="1.7109375" style="31" customWidth="1"/>
    <col min="12" max="12" width="17.7109375" style="3" customWidth="1"/>
    <col min="13" max="13" width="1.7109375" style="31" customWidth="1"/>
    <col min="14" max="14" width="17.7109375" style="3" customWidth="1"/>
    <col min="15" max="15" width="1.7109375" style="31" customWidth="1"/>
    <col min="16" max="16" width="17.7109375" style="3" customWidth="1"/>
    <col min="17" max="17" width="1.7109375" style="31" customWidth="1"/>
    <col min="18" max="18" width="19.7109375" style="3" bestFit="1" customWidth="1"/>
    <col min="19" max="19" width="12.85546875" style="3" bestFit="1" customWidth="1"/>
    <col min="20" max="20" width="17.28515625" style="3" bestFit="1" customWidth="1"/>
    <col min="21" max="21" width="9.140625" style="3"/>
    <col min="22" max="22" width="13.5703125" style="3" bestFit="1" customWidth="1"/>
    <col min="23" max="16384" width="9.140625" style="3"/>
  </cols>
  <sheetData>
    <row r="1" spans="1:27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W1" s="137"/>
    </row>
    <row r="2" spans="1:27" s="132" customFormat="1" ht="15.75" x14ac:dyDescent="0.25">
      <c r="A2" s="210" t="s">
        <v>2901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W2" s="137"/>
    </row>
    <row r="3" spans="1:27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07"/>
      <c r="T3" s="107"/>
      <c r="U3" s="107"/>
      <c r="V3" s="107"/>
      <c r="W3" s="107"/>
      <c r="X3" s="107"/>
      <c r="Y3" s="107"/>
      <c r="Z3" s="107"/>
      <c r="AA3" s="107"/>
    </row>
    <row r="4" spans="1:27" x14ac:dyDescent="0.2">
      <c r="A4" s="5"/>
      <c r="B4" s="5"/>
      <c r="C4" s="116"/>
      <c r="D4" s="8"/>
      <c r="E4" s="116"/>
      <c r="F4" s="5"/>
      <c r="G4" s="116"/>
      <c r="H4" s="5"/>
      <c r="I4" s="116"/>
      <c r="J4" s="5"/>
      <c r="K4" s="116"/>
      <c r="L4" s="5"/>
      <c r="M4" s="116"/>
      <c r="N4" s="5"/>
      <c r="O4" s="116"/>
      <c r="P4" s="5"/>
      <c r="Q4" s="116"/>
      <c r="R4" s="5"/>
      <c r="S4" s="107"/>
      <c r="T4" s="107"/>
      <c r="U4" s="107"/>
      <c r="V4" s="107"/>
      <c r="W4" s="107"/>
      <c r="X4" s="107"/>
      <c r="Y4" s="107"/>
      <c r="Z4" s="107"/>
      <c r="AA4" s="107"/>
    </row>
    <row r="6" spans="1:27" x14ac:dyDescent="0.2">
      <c r="B6" s="8" t="s">
        <v>3</v>
      </c>
      <c r="D6" s="15"/>
      <c r="F6" s="15"/>
      <c r="H6" s="8" t="s">
        <v>4</v>
      </c>
      <c r="I6" s="18"/>
      <c r="J6" s="8" t="s">
        <v>67</v>
      </c>
      <c r="K6" s="18"/>
      <c r="L6" s="18" t="s">
        <v>68</v>
      </c>
      <c r="P6" s="8" t="s">
        <v>69</v>
      </c>
      <c r="Q6" s="18"/>
      <c r="R6" s="8" t="s">
        <v>5</v>
      </c>
      <c r="S6" s="8"/>
      <c r="U6" s="8"/>
    </row>
    <row r="7" spans="1:27" x14ac:dyDescent="0.2">
      <c r="B7" s="12" t="s">
        <v>7</v>
      </c>
      <c r="D7" s="12" t="s">
        <v>70</v>
      </c>
      <c r="F7" s="12" t="s">
        <v>9</v>
      </c>
      <c r="H7" s="12" t="s">
        <v>10</v>
      </c>
      <c r="I7" s="18"/>
      <c r="J7" s="12" t="s">
        <v>72</v>
      </c>
      <c r="K7" s="18"/>
      <c r="L7" s="12" t="s">
        <v>73</v>
      </c>
      <c r="M7" s="18"/>
      <c r="N7" s="12" t="s">
        <v>74</v>
      </c>
      <c r="O7" s="18"/>
      <c r="P7" s="12" t="s">
        <v>75</v>
      </c>
      <c r="Q7" s="18"/>
      <c r="R7" s="12" t="s">
        <v>7</v>
      </c>
    </row>
    <row r="9" spans="1:27" x14ac:dyDescent="0.2">
      <c r="A9" s="10" t="s">
        <v>18</v>
      </c>
      <c r="B9" s="145"/>
      <c r="C9" s="146"/>
      <c r="D9" s="145"/>
      <c r="E9" s="146"/>
      <c r="F9" s="145"/>
      <c r="G9" s="146"/>
      <c r="H9" s="145"/>
      <c r="I9" s="146"/>
      <c r="J9" s="145"/>
      <c r="K9" s="146"/>
      <c r="L9" s="145"/>
      <c r="M9" s="146"/>
      <c r="N9" s="145"/>
      <c r="O9" s="146"/>
      <c r="P9" s="145"/>
      <c r="Q9" s="146"/>
      <c r="R9" s="145"/>
    </row>
    <row r="10" spans="1:27" x14ac:dyDescent="0.2">
      <c r="A10" s="3" t="s">
        <v>2902</v>
      </c>
      <c r="B10" s="138">
        <v>0</v>
      </c>
      <c r="C10" s="135"/>
      <c r="D10" s="138">
        <v>0</v>
      </c>
      <c r="E10" s="135"/>
      <c r="F10" s="138">
        <v>0</v>
      </c>
      <c r="G10" s="135"/>
      <c r="H10" s="138">
        <v>0</v>
      </c>
      <c r="I10" s="135"/>
      <c r="J10" s="138">
        <v>0</v>
      </c>
      <c r="K10" s="135"/>
      <c r="L10" s="138">
        <v>0</v>
      </c>
      <c r="M10" s="135"/>
      <c r="N10" s="138">
        <v>0</v>
      </c>
      <c r="O10" s="135"/>
      <c r="P10" s="138">
        <v>0</v>
      </c>
      <c r="Q10" s="135"/>
      <c r="R10" s="138">
        <f>SUM(B10:P10)</f>
        <v>0</v>
      </c>
      <c r="S10" s="15"/>
      <c r="T10" s="15"/>
      <c r="U10" s="15"/>
    </row>
    <row r="11" spans="1:27" x14ac:dyDescent="0.2">
      <c r="A11" s="3" t="s">
        <v>2903</v>
      </c>
      <c r="B11" s="138">
        <v>-31.340000000000003</v>
      </c>
      <c r="C11" s="135"/>
      <c r="D11" s="138">
        <v>0</v>
      </c>
      <c r="E11" s="135"/>
      <c r="F11" s="138">
        <v>0</v>
      </c>
      <c r="G11" s="135"/>
      <c r="H11" s="138">
        <v>31.34</v>
      </c>
      <c r="I11" s="135"/>
      <c r="J11" s="138">
        <v>0</v>
      </c>
      <c r="K11" s="135"/>
      <c r="L11" s="138">
        <v>0</v>
      </c>
      <c r="M11" s="135"/>
      <c r="N11" s="138">
        <v>0</v>
      </c>
      <c r="O11" s="135"/>
      <c r="P11" s="138">
        <v>0</v>
      </c>
      <c r="Q11" s="135"/>
      <c r="R11" s="138">
        <f t="shared" ref="R11:R26" si="0">SUM(B11:P11)</f>
        <v>-3.5527136788005009E-15</v>
      </c>
      <c r="S11" s="15"/>
      <c r="T11" s="15"/>
      <c r="U11" s="15"/>
    </row>
    <row r="12" spans="1:27" x14ac:dyDescent="0.2">
      <c r="A12" s="3" t="s">
        <v>2904</v>
      </c>
      <c r="B12" s="138">
        <v>-2161463.36</v>
      </c>
      <c r="C12" s="135"/>
      <c r="D12" s="138">
        <v>-118332.09</v>
      </c>
      <c r="E12" s="135"/>
      <c r="F12" s="138">
        <v>25028.79</v>
      </c>
      <c r="G12" s="135"/>
      <c r="H12" s="138">
        <v>0</v>
      </c>
      <c r="I12" s="135"/>
      <c r="J12" s="138">
        <v>0</v>
      </c>
      <c r="K12" s="135"/>
      <c r="L12" s="138">
        <v>3096.17</v>
      </c>
      <c r="M12" s="135"/>
      <c r="N12" s="138">
        <v>-753.03</v>
      </c>
      <c r="O12" s="135"/>
      <c r="P12" s="138">
        <v>0</v>
      </c>
      <c r="Q12" s="135"/>
      <c r="R12" s="138">
        <f>SUM(B12:P12)</f>
        <v>-2252423.5199999996</v>
      </c>
      <c r="S12" s="15"/>
      <c r="T12" s="15"/>
      <c r="U12" s="15"/>
    </row>
    <row r="13" spans="1:27" x14ac:dyDescent="0.2">
      <c r="A13" s="3" t="s">
        <v>2905</v>
      </c>
      <c r="B13" s="138">
        <v>-41811130.000000007</v>
      </c>
      <c r="C13" s="135"/>
      <c r="D13" s="138">
        <v>-2743572.26</v>
      </c>
      <c r="E13" s="135"/>
      <c r="F13" s="138">
        <v>595619.43000000005</v>
      </c>
      <c r="G13" s="135"/>
      <c r="H13" s="138">
        <v>139716.01</v>
      </c>
      <c r="I13" s="135"/>
      <c r="J13" s="138">
        <v>0</v>
      </c>
      <c r="K13" s="135"/>
      <c r="L13" s="138">
        <v>140160.75</v>
      </c>
      <c r="M13" s="135"/>
      <c r="N13" s="138">
        <v>-9.19</v>
      </c>
      <c r="O13" s="135"/>
      <c r="P13" s="138">
        <v>0</v>
      </c>
      <c r="Q13" s="135"/>
      <c r="R13" s="138">
        <f t="shared" si="0"/>
        <v>-43679215.260000005</v>
      </c>
      <c r="S13" s="15"/>
      <c r="T13" s="15"/>
      <c r="U13" s="15"/>
    </row>
    <row r="14" spans="1:27" x14ac:dyDescent="0.2">
      <c r="A14" s="3" t="s">
        <v>2906</v>
      </c>
      <c r="B14" s="138">
        <v>-9.889999999999997</v>
      </c>
      <c r="C14" s="135"/>
      <c r="D14" s="138">
        <v>0</v>
      </c>
      <c r="E14" s="135"/>
      <c r="F14" s="138">
        <v>0</v>
      </c>
      <c r="G14" s="135"/>
      <c r="H14" s="138">
        <v>0</v>
      </c>
      <c r="I14" s="135"/>
      <c r="J14" s="138">
        <v>0</v>
      </c>
      <c r="K14" s="135"/>
      <c r="L14" s="138">
        <v>0</v>
      </c>
      <c r="M14" s="135"/>
      <c r="N14" s="138">
        <v>0</v>
      </c>
      <c r="O14" s="135"/>
      <c r="P14" s="138">
        <v>0</v>
      </c>
      <c r="Q14" s="135"/>
      <c r="R14" s="138">
        <f t="shared" si="0"/>
        <v>-9.889999999999997</v>
      </c>
      <c r="S14" s="15"/>
      <c r="T14" s="15"/>
      <c r="U14" s="15"/>
    </row>
    <row r="15" spans="1:27" x14ac:dyDescent="0.2">
      <c r="A15" s="3" t="s">
        <v>2907</v>
      </c>
      <c r="B15" s="138">
        <v>-76980979.760000005</v>
      </c>
      <c r="C15" s="135"/>
      <c r="D15" s="138">
        <v>-6357584.7000000002</v>
      </c>
      <c r="E15" s="135"/>
      <c r="F15" s="138">
        <v>1437598.99</v>
      </c>
      <c r="G15" s="135"/>
      <c r="H15" s="138">
        <v>0</v>
      </c>
      <c r="I15" s="135"/>
      <c r="J15" s="138">
        <v>0</v>
      </c>
      <c r="K15" s="135"/>
      <c r="L15" s="138">
        <v>1678986.3099999998</v>
      </c>
      <c r="M15" s="135"/>
      <c r="N15" s="138">
        <v>-18342.91</v>
      </c>
      <c r="O15" s="135"/>
      <c r="P15" s="138">
        <v>-115869.65999999999</v>
      </c>
      <c r="Q15" s="135"/>
      <c r="R15" s="138">
        <f t="shared" si="0"/>
        <v>-80356191.730000004</v>
      </c>
      <c r="S15" s="15"/>
      <c r="T15" s="15"/>
      <c r="U15" s="15"/>
    </row>
    <row r="16" spans="1:27" x14ac:dyDescent="0.2">
      <c r="A16" s="3" t="s">
        <v>2908</v>
      </c>
      <c r="B16" s="138">
        <v>-112310961.35999997</v>
      </c>
      <c r="C16" s="135"/>
      <c r="D16" s="138">
        <v>-9040994.1500000004</v>
      </c>
      <c r="E16" s="135"/>
      <c r="F16" s="138">
        <v>2273790.48</v>
      </c>
      <c r="G16" s="135"/>
      <c r="H16" s="138">
        <v>0</v>
      </c>
      <c r="I16" s="135"/>
      <c r="J16" s="138">
        <v>0</v>
      </c>
      <c r="K16" s="135"/>
      <c r="L16" s="138">
        <v>2584747.44</v>
      </c>
      <c r="M16" s="135"/>
      <c r="N16" s="138">
        <v>-42437.62</v>
      </c>
      <c r="O16" s="135"/>
      <c r="P16" s="138">
        <v>-361772.38</v>
      </c>
      <c r="Q16" s="135"/>
      <c r="R16" s="138">
        <f t="shared" si="0"/>
        <v>-116897627.58999997</v>
      </c>
      <c r="S16" s="15"/>
      <c r="T16" s="15"/>
      <c r="U16" s="15"/>
    </row>
    <row r="17" spans="1:21" x14ac:dyDescent="0.2">
      <c r="A17" s="3" t="s">
        <v>2909</v>
      </c>
      <c r="B17" s="138">
        <v>-30229423.609999996</v>
      </c>
      <c r="C17" s="135"/>
      <c r="D17" s="138">
        <v>-1229193.99</v>
      </c>
      <c r="E17" s="135"/>
      <c r="F17" s="138">
        <v>188472.62</v>
      </c>
      <c r="G17" s="135"/>
      <c r="H17" s="138">
        <v>-67348.25</v>
      </c>
      <c r="I17" s="135"/>
      <c r="J17" s="138">
        <v>0</v>
      </c>
      <c r="K17" s="135"/>
      <c r="L17" s="138">
        <v>32393.439999999999</v>
      </c>
      <c r="M17" s="135"/>
      <c r="N17" s="138">
        <v>-1152.98</v>
      </c>
      <c r="O17" s="135"/>
      <c r="P17" s="138">
        <v>-606.82000000000005</v>
      </c>
      <c r="Q17" s="135"/>
      <c r="R17" s="138">
        <f t="shared" si="0"/>
        <v>-31306859.589999992</v>
      </c>
      <c r="S17" s="15"/>
      <c r="T17" s="15"/>
      <c r="U17" s="15"/>
    </row>
    <row r="18" spans="1:21" x14ac:dyDescent="0.2">
      <c r="A18" s="3" t="s">
        <v>2910</v>
      </c>
      <c r="B18" s="138">
        <v>-57425952.250000022</v>
      </c>
      <c r="C18" s="135"/>
      <c r="D18" s="138">
        <v>-4046760.71</v>
      </c>
      <c r="E18" s="135"/>
      <c r="F18" s="138">
        <v>1261866.46</v>
      </c>
      <c r="G18" s="135"/>
      <c r="H18" s="138">
        <v>0</v>
      </c>
      <c r="I18" s="135"/>
      <c r="J18" s="138">
        <v>0</v>
      </c>
      <c r="K18" s="135"/>
      <c r="L18" s="138">
        <v>1399917.97</v>
      </c>
      <c r="M18" s="135"/>
      <c r="N18" s="138">
        <v>-67518.899999999994</v>
      </c>
      <c r="O18" s="135"/>
      <c r="P18" s="138">
        <v>-202968.67</v>
      </c>
      <c r="Q18" s="135"/>
      <c r="R18" s="138">
        <f t="shared" si="0"/>
        <v>-59081416.100000024</v>
      </c>
      <c r="S18" s="15"/>
      <c r="T18" s="15"/>
      <c r="U18" s="15"/>
    </row>
    <row r="19" spans="1:21" x14ac:dyDescent="0.2">
      <c r="A19" s="3" t="s">
        <v>2911</v>
      </c>
      <c r="B19" s="138">
        <v>-73969647.299999997</v>
      </c>
      <c r="C19" s="135"/>
      <c r="D19" s="138">
        <v>-3824016</v>
      </c>
      <c r="E19" s="135"/>
      <c r="F19" s="138">
        <v>334282.64</v>
      </c>
      <c r="G19" s="135"/>
      <c r="H19" s="138">
        <v>0</v>
      </c>
      <c r="I19" s="135"/>
      <c r="J19" s="138">
        <v>0</v>
      </c>
      <c r="K19" s="135"/>
      <c r="L19" s="138">
        <v>273457.21000000002</v>
      </c>
      <c r="M19" s="135"/>
      <c r="N19" s="138">
        <v>-27688.01</v>
      </c>
      <c r="O19" s="135"/>
      <c r="P19" s="138">
        <v>-31209.420000000002</v>
      </c>
      <c r="Q19" s="135"/>
      <c r="R19" s="138">
        <f t="shared" si="0"/>
        <v>-77244820.88000001</v>
      </c>
      <c r="S19" s="15"/>
      <c r="T19" s="15"/>
      <c r="U19" s="15"/>
    </row>
    <row r="20" spans="1:21" x14ac:dyDescent="0.2">
      <c r="A20" s="3" t="s">
        <v>2912</v>
      </c>
      <c r="B20" s="138">
        <v>-1632318.6599999995</v>
      </c>
      <c r="C20" s="135"/>
      <c r="D20" s="138">
        <v>-275476.23</v>
      </c>
      <c r="E20" s="135"/>
      <c r="F20" s="138">
        <v>26404.25</v>
      </c>
      <c r="G20" s="135"/>
      <c r="H20" s="138">
        <v>0</v>
      </c>
      <c r="I20" s="135"/>
      <c r="J20" s="138">
        <v>0</v>
      </c>
      <c r="K20" s="135"/>
      <c r="L20" s="138">
        <v>199096.65</v>
      </c>
      <c r="M20" s="135"/>
      <c r="N20" s="138">
        <v>0</v>
      </c>
      <c r="O20" s="135"/>
      <c r="P20" s="138">
        <v>0</v>
      </c>
      <c r="Q20" s="135"/>
      <c r="R20" s="138">
        <f t="shared" si="0"/>
        <v>-1682293.9899999995</v>
      </c>
      <c r="S20" s="15"/>
      <c r="T20" s="15"/>
      <c r="U20" s="15"/>
    </row>
    <row r="21" spans="1:21" x14ac:dyDescent="0.2">
      <c r="A21" s="3" t="s">
        <v>2913</v>
      </c>
      <c r="B21" s="138">
        <v>-22883144.760000005</v>
      </c>
      <c r="C21" s="135"/>
      <c r="D21" s="138">
        <v>-821541.58</v>
      </c>
      <c r="E21" s="135"/>
      <c r="F21" s="138">
        <v>112759.03</v>
      </c>
      <c r="G21" s="135"/>
      <c r="H21" s="138">
        <v>0</v>
      </c>
      <c r="I21" s="135"/>
      <c r="J21" s="138">
        <v>0</v>
      </c>
      <c r="K21" s="135"/>
      <c r="L21" s="138">
        <v>135824.59</v>
      </c>
      <c r="M21" s="135"/>
      <c r="N21" s="138">
        <v>0</v>
      </c>
      <c r="O21" s="135"/>
      <c r="P21" s="138">
        <v>0</v>
      </c>
      <c r="Q21" s="135"/>
      <c r="R21" s="138">
        <f t="shared" si="0"/>
        <v>-23456102.720000003</v>
      </c>
      <c r="S21" s="15"/>
      <c r="T21" s="15"/>
      <c r="U21" s="15"/>
    </row>
    <row r="22" spans="1:21" x14ac:dyDescent="0.2">
      <c r="A22" s="3" t="s">
        <v>2914</v>
      </c>
      <c r="B22" s="138">
        <v>-24397749.299999997</v>
      </c>
      <c r="C22" s="135"/>
      <c r="D22" s="138">
        <v>-1229823.69</v>
      </c>
      <c r="E22" s="135"/>
      <c r="F22" s="138">
        <v>523208.86</v>
      </c>
      <c r="G22" s="135"/>
      <c r="H22" s="138">
        <v>0</v>
      </c>
      <c r="I22" s="135"/>
      <c r="J22" s="138">
        <v>0</v>
      </c>
      <c r="K22" s="135"/>
      <c r="L22" s="138">
        <v>0</v>
      </c>
      <c r="M22" s="135"/>
      <c r="N22" s="138">
        <v>-5209.87</v>
      </c>
      <c r="O22" s="135"/>
      <c r="P22" s="138">
        <v>0</v>
      </c>
      <c r="Q22" s="135"/>
      <c r="R22" s="138">
        <f t="shared" si="0"/>
        <v>-25109574</v>
      </c>
      <c r="S22" s="15"/>
      <c r="T22" s="15"/>
      <c r="U22" s="15"/>
    </row>
    <row r="23" spans="1:21" x14ac:dyDescent="0.2">
      <c r="A23" s="3" t="s">
        <v>2915</v>
      </c>
      <c r="B23" s="138">
        <v>-8470.5300000000007</v>
      </c>
      <c r="C23" s="135"/>
      <c r="D23" s="138">
        <v>-46707.51</v>
      </c>
      <c r="E23" s="135"/>
      <c r="F23" s="138">
        <v>0</v>
      </c>
      <c r="G23" s="135"/>
      <c r="H23" s="138">
        <v>0</v>
      </c>
      <c r="I23" s="135"/>
      <c r="J23" s="138">
        <v>0</v>
      </c>
      <c r="K23" s="135"/>
      <c r="L23" s="138">
        <v>0</v>
      </c>
      <c r="M23" s="135"/>
      <c r="N23" s="138">
        <v>0</v>
      </c>
      <c r="O23" s="135"/>
      <c r="P23" s="138">
        <v>0</v>
      </c>
      <c r="Q23" s="135"/>
      <c r="R23" s="138">
        <f t="shared" si="0"/>
        <v>-55178.04</v>
      </c>
      <c r="S23" s="15"/>
      <c r="T23" s="15"/>
      <c r="U23" s="15"/>
    </row>
    <row r="24" spans="1:21" x14ac:dyDescent="0.2">
      <c r="A24" s="3" t="s">
        <v>2916</v>
      </c>
      <c r="B24" s="138"/>
      <c r="C24" s="135"/>
      <c r="D24" s="138"/>
      <c r="E24" s="135"/>
      <c r="F24" s="138"/>
      <c r="G24" s="135"/>
      <c r="H24" s="138"/>
      <c r="I24" s="135"/>
      <c r="J24" s="138"/>
      <c r="K24" s="135"/>
      <c r="L24" s="138"/>
      <c r="M24" s="135"/>
      <c r="N24" s="138"/>
      <c r="O24" s="135"/>
      <c r="P24" s="138"/>
      <c r="Q24" s="135"/>
      <c r="R24" s="138"/>
      <c r="S24" s="15"/>
      <c r="T24" s="15"/>
      <c r="U24" s="15"/>
    </row>
    <row r="25" spans="1:21" x14ac:dyDescent="0.2">
      <c r="A25" s="3" t="s">
        <v>2917</v>
      </c>
      <c r="B25" s="138">
        <v>-12097349.300000001</v>
      </c>
      <c r="C25" s="135"/>
      <c r="D25" s="138">
        <v>-1693396.39</v>
      </c>
      <c r="E25" s="135"/>
      <c r="F25" s="138">
        <v>1823106.25</v>
      </c>
      <c r="G25" s="135"/>
      <c r="H25" s="138">
        <v>0</v>
      </c>
      <c r="I25" s="135"/>
      <c r="J25" s="138">
        <v>0</v>
      </c>
      <c r="K25" s="135"/>
      <c r="L25" s="138">
        <v>943964.46</v>
      </c>
      <c r="M25" s="135"/>
      <c r="N25" s="138">
        <v>-6820.6</v>
      </c>
      <c r="O25" s="135"/>
      <c r="P25" s="138">
        <v>-986.33</v>
      </c>
      <c r="Q25" s="135"/>
      <c r="R25" s="138">
        <f t="shared" si="0"/>
        <v>-11031481.91</v>
      </c>
      <c r="S25" s="15"/>
      <c r="T25" s="15"/>
      <c r="U25" s="15"/>
    </row>
    <row r="26" spans="1:21" x14ac:dyDescent="0.2">
      <c r="A26" s="3" t="s">
        <v>2918</v>
      </c>
      <c r="B26" s="138">
        <v>-25998412.140000004</v>
      </c>
      <c r="C26" s="135"/>
      <c r="D26" s="138">
        <v>-2000503.03</v>
      </c>
      <c r="E26" s="135"/>
      <c r="F26" s="138">
        <v>1600511.42</v>
      </c>
      <c r="G26" s="135"/>
      <c r="H26" s="138">
        <v>0</v>
      </c>
      <c r="I26" s="135"/>
      <c r="J26" s="138">
        <v>0</v>
      </c>
      <c r="K26" s="135"/>
      <c r="L26" s="138">
        <v>188926.18</v>
      </c>
      <c r="M26" s="135"/>
      <c r="N26" s="138">
        <v>-4139.47</v>
      </c>
      <c r="O26" s="135"/>
      <c r="P26" s="138">
        <v>-18.07</v>
      </c>
      <c r="Q26" s="135"/>
      <c r="R26" s="138">
        <f t="shared" si="0"/>
        <v>-26213635.110000007</v>
      </c>
      <c r="S26" s="15"/>
      <c r="T26" s="15"/>
      <c r="U26" s="15"/>
    </row>
    <row r="27" spans="1:21" x14ac:dyDescent="0.2">
      <c r="A27" s="3" t="s">
        <v>2919</v>
      </c>
      <c r="B27" s="138">
        <v>0</v>
      </c>
      <c r="C27" s="135"/>
      <c r="D27" s="138">
        <v>0</v>
      </c>
      <c r="E27" s="135"/>
      <c r="F27" s="138">
        <v>0</v>
      </c>
      <c r="G27" s="135"/>
      <c r="H27" s="138">
        <v>0</v>
      </c>
      <c r="I27" s="135"/>
      <c r="J27" s="138">
        <v>0</v>
      </c>
      <c r="K27" s="135"/>
      <c r="L27" s="138">
        <v>0</v>
      </c>
      <c r="M27" s="135"/>
      <c r="N27" s="138">
        <v>0</v>
      </c>
      <c r="O27" s="135"/>
      <c r="P27" s="138">
        <v>0</v>
      </c>
      <c r="Q27" s="135"/>
      <c r="R27" s="138">
        <f>SUM(B27:P27)</f>
        <v>0</v>
      </c>
      <c r="S27" s="15"/>
      <c r="T27" s="15"/>
      <c r="U27" s="15"/>
    </row>
    <row r="28" spans="1:21" x14ac:dyDescent="0.2">
      <c r="A28" s="3" t="s">
        <v>2920</v>
      </c>
      <c r="B28" s="138">
        <v>-29529.090000000066</v>
      </c>
      <c r="C28" s="135"/>
      <c r="D28" s="138">
        <v>-4962.3900000000003</v>
      </c>
      <c r="E28" s="135"/>
      <c r="F28" s="138">
        <v>0</v>
      </c>
      <c r="G28" s="135"/>
      <c r="H28" s="138">
        <v>0</v>
      </c>
      <c r="I28" s="135"/>
      <c r="J28" s="138">
        <v>0</v>
      </c>
      <c r="K28" s="135"/>
      <c r="L28" s="138">
        <v>0</v>
      </c>
      <c r="M28" s="135"/>
      <c r="N28" s="138">
        <v>0</v>
      </c>
      <c r="O28" s="135"/>
      <c r="P28" s="138">
        <v>0</v>
      </c>
      <c r="Q28" s="135"/>
      <c r="R28" s="138">
        <f>SUM(B28:P28)</f>
        <v>-34491.480000000069</v>
      </c>
      <c r="S28" s="15"/>
      <c r="T28" s="15"/>
      <c r="U28" s="15"/>
    </row>
    <row r="29" spans="1:21" x14ac:dyDescent="0.2">
      <c r="A29" s="124" t="s">
        <v>2921</v>
      </c>
      <c r="B29" s="149">
        <v>-13039.559999999998</v>
      </c>
      <c r="C29" s="135"/>
      <c r="D29" s="138">
        <v>-2497.67</v>
      </c>
      <c r="E29" s="135"/>
      <c r="F29" s="138">
        <v>0</v>
      </c>
      <c r="G29" s="135"/>
      <c r="H29" s="138">
        <v>0</v>
      </c>
      <c r="I29" s="135"/>
      <c r="J29" s="135">
        <v>0</v>
      </c>
      <c r="K29" s="135"/>
      <c r="L29" s="138">
        <v>0</v>
      </c>
      <c r="M29" s="135"/>
      <c r="N29" s="138">
        <v>0</v>
      </c>
      <c r="O29" s="135"/>
      <c r="P29" s="138">
        <v>0</v>
      </c>
      <c r="Q29" s="135"/>
      <c r="R29" s="149">
        <f>SUM(B29:P29)</f>
        <v>-15537.229999999998</v>
      </c>
      <c r="S29" s="15"/>
      <c r="T29" s="15"/>
      <c r="U29" s="15"/>
    </row>
    <row r="30" spans="1:21" x14ac:dyDescent="0.2">
      <c r="B30" s="135">
        <f>SUM(B10:B29)</f>
        <v>-481949612.20999998</v>
      </c>
      <c r="C30" s="135"/>
      <c r="D30" s="148">
        <f>SUM(D10:D29)</f>
        <v>-33435362.390000008</v>
      </c>
      <c r="E30" s="135"/>
      <c r="F30" s="148">
        <f>SUM(F10:F29)</f>
        <v>10202649.220000001</v>
      </c>
      <c r="G30" s="135"/>
      <c r="H30" s="148">
        <f>SUM(H10:H29)</f>
        <v>72399.100000000006</v>
      </c>
      <c r="I30" s="135"/>
      <c r="J30" s="148">
        <f>SUM(J10:J29)</f>
        <v>0</v>
      </c>
      <c r="K30" s="135"/>
      <c r="L30" s="148">
        <f>SUM(L10:L29)</f>
        <v>7580571.1699999999</v>
      </c>
      <c r="M30" s="135"/>
      <c r="N30" s="148">
        <f>SUM(N10:N29)</f>
        <v>-174072.58000000002</v>
      </c>
      <c r="O30" s="135"/>
      <c r="P30" s="148">
        <f>SUM(P10:P29)</f>
        <v>-713431.35</v>
      </c>
      <c r="Q30" s="135"/>
      <c r="R30" s="135">
        <f>SUM(R10:R29)</f>
        <v>-498416859.04000014</v>
      </c>
      <c r="S30" s="15"/>
      <c r="T30" s="15"/>
      <c r="U30" s="15"/>
    </row>
    <row r="31" spans="1:21" x14ac:dyDescent="0.2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5"/>
      <c r="T31" s="15"/>
      <c r="U31" s="15"/>
    </row>
    <row r="32" spans="1:21" x14ac:dyDescent="0.2">
      <c r="A32" s="10" t="s">
        <v>19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5"/>
      <c r="T32" s="15"/>
      <c r="U32" s="15"/>
    </row>
    <row r="33" spans="1:21" x14ac:dyDescent="0.2">
      <c r="A33" s="3" t="s">
        <v>2922</v>
      </c>
      <c r="B33" s="135">
        <v>-406577.13</v>
      </c>
      <c r="C33" s="135"/>
      <c r="D33" s="138">
        <v>-117422.95</v>
      </c>
      <c r="E33" s="135"/>
      <c r="F33" s="138">
        <v>27381.54</v>
      </c>
      <c r="G33" s="135"/>
      <c r="H33" s="138">
        <v>-7734.69</v>
      </c>
      <c r="I33" s="135"/>
      <c r="J33" s="135">
        <v>0</v>
      </c>
      <c r="K33" s="135"/>
      <c r="L33" s="138">
        <v>0</v>
      </c>
      <c r="M33" s="135"/>
      <c r="N33" s="138">
        <v>0</v>
      </c>
      <c r="O33" s="135"/>
      <c r="P33" s="138">
        <v>0</v>
      </c>
      <c r="Q33" s="135"/>
      <c r="R33" s="135">
        <f>SUM(B33:P33)</f>
        <v>-504353.23000000004</v>
      </c>
      <c r="S33" s="15"/>
      <c r="T33" s="15"/>
      <c r="U33" s="15"/>
    </row>
    <row r="34" spans="1:21" x14ac:dyDescent="0.2">
      <c r="A34" s="3" t="s">
        <v>2923</v>
      </c>
      <c r="B34" s="135">
        <v>-1676043.2500000019</v>
      </c>
      <c r="C34" s="135"/>
      <c r="D34" s="138">
        <v>-480515.78</v>
      </c>
      <c r="E34" s="135"/>
      <c r="F34" s="138">
        <v>48978.5</v>
      </c>
      <c r="G34" s="135"/>
      <c r="H34" s="138">
        <v>-8920.2100000000009</v>
      </c>
      <c r="I34" s="135"/>
      <c r="J34" s="135">
        <v>0</v>
      </c>
      <c r="K34" s="135"/>
      <c r="L34" s="138">
        <v>0</v>
      </c>
      <c r="M34" s="135"/>
      <c r="N34" s="138">
        <v>4.5474735088646412E-13</v>
      </c>
      <c r="O34" s="135"/>
      <c r="P34" s="138">
        <v>0</v>
      </c>
      <c r="Q34" s="135"/>
      <c r="R34" s="135">
        <f t="shared" ref="R34:R40" si="1">SUM(B34:P34)</f>
        <v>-2116500.7400000021</v>
      </c>
      <c r="S34" s="15"/>
      <c r="T34" s="15"/>
      <c r="U34" s="15"/>
    </row>
    <row r="35" spans="1:21" x14ac:dyDescent="0.2">
      <c r="A35" s="3" t="s">
        <v>2924</v>
      </c>
      <c r="B35" s="135">
        <v>-117081.45000000001</v>
      </c>
      <c r="C35" s="135"/>
      <c r="D35" s="138">
        <v>-31243.64</v>
      </c>
      <c r="E35" s="135"/>
      <c r="F35" s="138">
        <v>0</v>
      </c>
      <c r="G35" s="135"/>
      <c r="H35" s="138">
        <v>0</v>
      </c>
      <c r="I35" s="135"/>
      <c r="J35" s="135">
        <v>0</v>
      </c>
      <c r="K35" s="135"/>
      <c r="L35" s="138">
        <v>0</v>
      </c>
      <c r="M35" s="135"/>
      <c r="N35" s="138">
        <v>0</v>
      </c>
      <c r="O35" s="135"/>
      <c r="P35" s="138">
        <v>0</v>
      </c>
      <c r="Q35" s="135"/>
      <c r="R35" s="135">
        <f t="shared" si="1"/>
        <v>-148325.09000000003</v>
      </c>
      <c r="S35" s="15"/>
      <c r="T35" s="15"/>
      <c r="U35" s="15"/>
    </row>
    <row r="36" spans="1:21" x14ac:dyDescent="0.2">
      <c r="A36" s="3" t="s">
        <v>2925</v>
      </c>
      <c r="B36" s="135">
        <v>-2319428.7199999997</v>
      </c>
      <c r="C36" s="135"/>
      <c r="D36" s="138">
        <v>-289996.28999999998</v>
      </c>
      <c r="E36" s="135"/>
      <c r="F36" s="138">
        <v>92166.14</v>
      </c>
      <c r="G36" s="135"/>
      <c r="H36" s="138">
        <v>-41.54</v>
      </c>
      <c r="I36" s="135"/>
      <c r="J36" s="135">
        <v>0</v>
      </c>
      <c r="K36" s="135"/>
      <c r="L36" s="138">
        <v>0</v>
      </c>
      <c r="M36" s="135"/>
      <c r="N36" s="138">
        <v>0</v>
      </c>
      <c r="O36" s="135"/>
      <c r="P36" s="138">
        <v>0</v>
      </c>
      <c r="Q36" s="135"/>
      <c r="R36" s="135">
        <f t="shared" si="1"/>
        <v>-2517300.4099999997</v>
      </c>
      <c r="S36" s="15"/>
      <c r="T36" s="15"/>
      <c r="U36" s="15"/>
    </row>
    <row r="37" spans="1:21" x14ac:dyDescent="0.2">
      <c r="A37" s="3" t="s">
        <v>2926</v>
      </c>
      <c r="B37" s="135">
        <v>-41.539999999869032</v>
      </c>
      <c r="C37" s="135"/>
      <c r="D37" s="138">
        <v>0</v>
      </c>
      <c r="E37" s="135"/>
      <c r="F37" s="138">
        <v>0</v>
      </c>
      <c r="G37" s="135"/>
      <c r="H37" s="138">
        <v>41.54</v>
      </c>
      <c r="I37" s="135"/>
      <c r="J37" s="135">
        <v>0</v>
      </c>
      <c r="K37" s="135"/>
      <c r="L37" s="138">
        <v>0</v>
      </c>
      <c r="M37" s="135"/>
      <c r="N37" s="138">
        <v>0</v>
      </c>
      <c r="O37" s="135"/>
      <c r="P37" s="138">
        <v>0</v>
      </c>
      <c r="Q37" s="135"/>
      <c r="R37" s="135">
        <f t="shared" si="1"/>
        <v>1.3096723705530167E-10</v>
      </c>
      <c r="S37" s="15"/>
      <c r="T37" s="15"/>
      <c r="U37" s="15"/>
    </row>
    <row r="38" spans="1:21" x14ac:dyDescent="0.2">
      <c r="A38" s="133" t="s">
        <v>2927</v>
      </c>
      <c r="B38" s="135">
        <v>-1760647.8400000005</v>
      </c>
      <c r="C38" s="135"/>
      <c r="D38" s="138">
        <v>-56841.67</v>
      </c>
      <c r="E38" s="135"/>
      <c r="F38" s="138">
        <v>0</v>
      </c>
      <c r="G38" s="135"/>
      <c r="H38" s="138">
        <v>0</v>
      </c>
      <c r="I38" s="135"/>
      <c r="J38" s="135">
        <v>0</v>
      </c>
      <c r="K38" s="135"/>
      <c r="L38" s="138">
        <v>0</v>
      </c>
      <c r="M38" s="135"/>
      <c r="N38" s="138">
        <v>0</v>
      </c>
      <c r="O38" s="135"/>
      <c r="P38" s="138">
        <v>0</v>
      </c>
      <c r="Q38" s="135"/>
      <c r="R38" s="135">
        <f t="shared" si="1"/>
        <v>-1817489.5100000005</v>
      </c>
      <c r="S38" s="15"/>
      <c r="T38" s="15"/>
      <c r="U38" s="15"/>
    </row>
    <row r="39" spans="1:21" x14ac:dyDescent="0.2">
      <c r="A39" s="3" t="s">
        <v>2928</v>
      </c>
      <c r="B39" s="135">
        <v>-79506.8</v>
      </c>
      <c r="C39" s="135"/>
      <c r="D39" s="138">
        <v>-14941.07</v>
      </c>
      <c r="E39" s="135"/>
      <c r="F39" s="138">
        <v>0</v>
      </c>
      <c r="G39" s="135"/>
      <c r="H39" s="138">
        <v>0</v>
      </c>
      <c r="I39" s="135"/>
      <c r="J39" s="135">
        <v>0</v>
      </c>
      <c r="K39" s="135"/>
      <c r="L39" s="138">
        <v>0</v>
      </c>
      <c r="M39" s="135"/>
      <c r="N39" s="138">
        <v>0</v>
      </c>
      <c r="O39" s="135"/>
      <c r="P39" s="138">
        <v>0</v>
      </c>
      <c r="Q39" s="135"/>
      <c r="R39" s="135">
        <f t="shared" si="1"/>
        <v>-94447.87</v>
      </c>
      <c r="S39" s="15"/>
      <c r="T39" s="15"/>
      <c r="U39" s="15"/>
    </row>
    <row r="40" spans="1:21" x14ac:dyDescent="0.2">
      <c r="A40" s="133" t="s">
        <v>2929</v>
      </c>
      <c r="B40" s="135">
        <v>-997917.00000000012</v>
      </c>
      <c r="C40" s="135"/>
      <c r="D40" s="138">
        <v>-742769.69</v>
      </c>
      <c r="E40" s="135"/>
      <c r="F40" s="138">
        <v>407012.05</v>
      </c>
      <c r="G40" s="135"/>
      <c r="H40" s="138">
        <v>-353540</v>
      </c>
      <c r="I40" s="135"/>
      <c r="J40" s="135">
        <v>0</v>
      </c>
      <c r="K40" s="135"/>
      <c r="L40" s="138">
        <v>0</v>
      </c>
      <c r="M40" s="135"/>
      <c r="N40" s="138">
        <v>0</v>
      </c>
      <c r="O40" s="135"/>
      <c r="P40" s="138">
        <v>0</v>
      </c>
      <c r="Q40" s="135"/>
      <c r="R40" s="135">
        <f t="shared" si="1"/>
        <v>-1687214.64</v>
      </c>
      <c r="S40" s="15"/>
      <c r="T40" s="15"/>
      <c r="U40" s="15"/>
    </row>
    <row r="41" spans="1:21" x14ac:dyDescent="0.2">
      <c r="B41" s="148">
        <f>SUM(B33:B40)</f>
        <v>-7357243.7300000023</v>
      </c>
      <c r="C41" s="135"/>
      <c r="D41" s="148">
        <f>SUM(D33:D40)</f>
        <v>-1733731.0899999999</v>
      </c>
      <c r="E41" s="135"/>
      <c r="F41" s="148">
        <f>SUM(F33:F40)</f>
        <v>575538.23</v>
      </c>
      <c r="G41" s="135"/>
      <c r="H41" s="148">
        <f>SUM(H33:H40)</f>
        <v>-370194.9</v>
      </c>
      <c r="I41" s="135"/>
      <c r="J41" s="148">
        <f>SUM(J33:J40)</f>
        <v>0</v>
      </c>
      <c r="K41" s="135"/>
      <c r="L41" s="148">
        <f>SUM(L33:L40)</f>
        <v>0</v>
      </c>
      <c r="M41" s="135"/>
      <c r="N41" s="148">
        <f>SUM(N33:N40)</f>
        <v>4.5474735088646412E-13</v>
      </c>
      <c r="O41" s="135"/>
      <c r="P41" s="148">
        <f>SUM(P33:P40)</f>
        <v>0</v>
      </c>
      <c r="Q41" s="135"/>
      <c r="R41" s="148">
        <f>SUM(R33:R40)</f>
        <v>-8885631.4900000021</v>
      </c>
      <c r="S41" s="15"/>
      <c r="T41" s="15"/>
      <c r="U41" s="15"/>
    </row>
    <row r="42" spans="1:21" x14ac:dyDescent="0.2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5"/>
      <c r="T42" s="15"/>
      <c r="U42" s="15"/>
    </row>
    <row r="43" spans="1:21" x14ac:dyDescent="0.2">
      <c r="A43" s="10" t="s">
        <v>20</v>
      </c>
      <c r="B43" s="138"/>
      <c r="C43" s="135"/>
      <c r="D43" s="138"/>
      <c r="E43" s="135"/>
      <c r="F43" s="138"/>
      <c r="G43" s="135"/>
      <c r="H43" s="138"/>
      <c r="I43" s="135"/>
      <c r="J43" s="138"/>
      <c r="K43" s="135"/>
      <c r="L43" s="138"/>
      <c r="M43" s="135"/>
      <c r="N43" s="138"/>
      <c r="O43" s="135"/>
      <c r="P43" s="138"/>
      <c r="Q43" s="135"/>
      <c r="R43" s="138"/>
      <c r="S43" s="15"/>
      <c r="T43" s="15"/>
      <c r="U43" s="15"/>
    </row>
    <row r="44" spans="1:21" x14ac:dyDescent="0.2">
      <c r="A44" s="3" t="s">
        <v>2930</v>
      </c>
      <c r="B44" s="138">
        <v>0</v>
      </c>
      <c r="C44" s="135"/>
      <c r="D44" s="138">
        <v>0</v>
      </c>
      <c r="E44" s="135"/>
      <c r="F44" s="138">
        <v>0</v>
      </c>
      <c r="G44" s="135"/>
      <c r="H44" s="138">
        <v>0</v>
      </c>
      <c r="I44" s="135"/>
      <c r="J44" s="138">
        <v>0</v>
      </c>
      <c r="K44" s="135"/>
      <c r="L44" s="138">
        <v>0</v>
      </c>
      <c r="M44" s="135"/>
      <c r="N44" s="138">
        <v>0</v>
      </c>
      <c r="O44" s="135"/>
      <c r="P44" s="138">
        <v>0</v>
      </c>
      <c r="Q44" s="135"/>
      <c r="R44" s="138">
        <f t="shared" ref="R44:R55" si="2">SUM(B44:P44)</f>
        <v>0</v>
      </c>
      <c r="S44" s="15"/>
      <c r="T44" s="15"/>
      <c r="U44" s="15"/>
    </row>
    <row r="45" spans="1:21" x14ac:dyDescent="0.2">
      <c r="A45" s="3" t="s">
        <v>2931</v>
      </c>
      <c r="B45" s="138">
        <v>0</v>
      </c>
      <c r="C45" s="135"/>
      <c r="D45" s="138">
        <v>0</v>
      </c>
      <c r="E45" s="135"/>
      <c r="F45" s="138">
        <v>0</v>
      </c>
      <c r="G45" s="135"/>
      <c r="H45" s="138">
        <v>0</v>
      </c>
      <c r="I45" s="135"/>
      <c r="J45" s="138">
        <v>0</v>
      </c>
      <c r="K45" s="135"/>
      <c r="L45" s="138">
        <v>0</v>
      </c>
      <c r="M45" s="135"/>
      <c r="N45" s="138">
        <v>0</v>
      </c>
      <c r="O45" s="135"/>
      <c r="P45" s="138">
        <v>0</v>
      </c>
      <c r="Q45" s="135"/>
      <c r="R45" s="138">
        <f t="shared" si="2"/>
        <v>0</v>
      </c>
      <c r="S45" s="15"/>
      <c r="T45" s="15"/>
      <c r="U45" s="15"/>
    </row>
    <row r="46" spans="1:21" x14ac:dyDescent="0.2">
      <c r="A46" s="3" t="s">
        <v>2932</v>
      </c>
      <c r="B46" s="138">
        <v>-42097.95</v>
      </c>
      <c r="C46" s="135"/>
      <c r="D46" s="138">
        <v>-960.6</v>
      </c>
      <c r="E46" s="135"/>
      <c r="F46" s="138">
        <v>0</v>
      </c>
      <c r="G46" s="135"/>
      <c r="H46" s="138">
        <v>0</v>
      </c>
      <c r="I46" s="135"/>
      <c r="J46" s="138">
        <v>0</v>
      </c>
      <c r="K46" s="135"/>
      <c r="L46" s="138">
        <v>0</v>
      </c>
      <c r="M46" s="135"/>
      <c r="N46" s="138">
        <v>0</v>
      </c>
      <c r="O46" s="135"/>
      <c r="P46" s="138">
        <v>0</v>
      </c>
      <c r="Q46" s="135"/>
      <c r="R46" s="138">
        <f t="shared" si="2"/>
        <v>-43058.549999999996</v>
      </c>
      <c r="S46" s="15"/>
      <c r="T46" s="15"/>
      <c r="U46" s="15"/>
    </row>
    <row r="47" spans="1:21" x14ac:dyDescent="0.2">
      <c r="A47" s="3" t="s">
        <v>2933</v>
      </c>
      <c r="B47" s="138">
        <v>-4275423.5100000007</v>
      </c>
      <c r="C47" s="135"/>
      <c r="D47" s="138">
        <v>-44047.64</v>
      </c>
      <c r="E47" s="135"/>
      <c r="F47" s="138">
        <v>3671.55</v>
      </c>
      <c r="G47" s="135"/>
      <c r="H47" s="138">
        <v>0</v>
      </c>
      <c r="I47" s="135"/>
      <c r="J47" s="138">
        <v>0</v>
      </c>
      <c r="K47" s="135"/>
      <c r="L47" s="138">
        <v>10232.700000000001</v>
      </c>
      <c r="M47" s="135"/>
      <c r="N47" s="138">
        <v>0</v>
      </c>
      <c r="O47" s="135"/>
      <c r="P47" s="138">
        <v>0</v>
      </c>
      <c r="Q47" s="135"/>
      <c r="R47" s="138">
        <f t="shared" si="2"/>
        <v>-4305566.9000000004</v>
      </c>
      <c r="S47" s="15"/>
      <c r="T47" s="15"/>
      <c r="U47" s="15"/>
    </row>
    <row r="48" spans="1:21" x14ac:dyDescent="0.2">
      <c r="A48" s="3" t="s">
        <v>2934</v>
      </c>
      <c r="B48" s="138">
        <v>-2954320.54</v>
      </c>
      <c r="C48" s="135"/>
      <c r="D48" s="138">
        <v>-507354.41</v>
      </c>
      <c r="E48" s="135"/>
      <c r="F48" s="138">
        <v>73001.94</v>
      </c>
      <c r="G48" s="135"/>
      <c r="H48" s="138">
        <v>0</v>
      </c>
      <c r="I48" s="135"/>
      <c r="J48" s="138">
        <v>0</v>
      </c>
      <c r="K48" s="135"/>
      <c r="L48" s="138">
        <v>5116.3500000000004</v>
      </c>
      <c r="M48" s="135"/>
      <c r="N48" s="138">
        <v>0</v>
      </c>
      <c r="O48" s="135"/>
      <c r="P48" s="138">
        <v>0</v>
      </c>
      <c r="Q48" s="135"/>
      <c r="R48" s="138">
        <f t="shared" si="2"/>
        <v>-3383556.66</v>
      </c>
      <c r="S48" s="15"/>
      <c r="T48" s="15"/>
      <c r="U48" s="15"/>
    </row>
    <row r="49" spans="1:21" x14ac:dyDescent="0.2">
      <c r="A49" s="3" t="s">
        <v>2935</v>
      </c>
      <c r="B49" s="138">
        <v>-3775861.7699999996</v>
      </c>
      <c r="C49" s="135"/>
      <c r="D49" s="138">
        <v>-2120159.2799999998</v>
      </c>
      <c r="E49" s="135"/>
      <c r="F49" s="138">
        <v>57217.4</v>
      </c>
      <c r="G49" s="135"/>
      <c r="H49" s="138">
        <v>0</v>
      </c>
      <c r="I49" s="135"/>
      <c r="J49" s="138">
        <v>0</v>
      </c>
      <c r="K49" s="135"/>
      <c r="L49" s="138">
        <v>637.41</v>
      </c>
      <c r="M49" s="135"/>
      <c r="N49" s="138">
        <v>0</v>
      </c>
      <c r="O49" s="135"/>
      <c r="P49" s="138">
        <v>0</v>
      </c>
      <c r="Q49" s="135"/>
      <c r="R49" s="138">
        <f t="shared" si="2"/>
        <v>-5838166.2399999984</v>
      </c>
      <c r="S49" s="15"/>
      <c r="T49" s="15"/>
      <c r="U49" s="15"/>
    </row>
    <row r="50" spans="1:21" x14ac:dyDescent="0.2">
      <c r="A50" s="3" t="s">
        <v>2936</v>
      </c>
      <c r="B50" s="138">
        <v>-2561842.42</v>
      </c>
      <c r="C50" s="135"/>
      <c r="D50" s="138">
        <v>-196789.33</v>
      </c>
      <c r="E50" s="135"/>
      <c r="F50" s="138">
        <v>0</v>
      </c>
      <c r="G50" s="135"/>
      <c r="H50" s="138">
        <v>0</v>
      </c>
      <c r="I50" s="135"/>
      <c r="J50" s="138">
        <v>0</v>
      </c>
      <c r="K50" s="135"/>
      <c r="L50" s="138">
        <v>0</v>
      </c>
      <c r="M50" s="135"/>
      <c r="N50" s="138">
        <v>0</v>
      </c>
      <c r="O50" s="135"/>
      <c r="P50" s="138">
        <v>0</v>
      </c>
      <c r="Q50" s="135"/>
      <c r="R50" s="138">
        <f t="shared" si="2"/>
        <v>-2758631.75</v>
      </c>
      <c r="S50" s="15"/>
      <c r="T50" s="15"/>
      <c r="U50" s="15"/>
    </row>
    <row r="51" spans="1:21" x14ac:dyDescent="0.2">
      <c r="A51" s="3" t="s">
        <v>2937</v>
      </c>
      <c r="B51" s="138">
        <v>-6273.08</v>
      </c>
      <c r="C51" s="135"/>
      <c r="D51" s="138">
        <v>-715.44</v>
      </c>
      <c r="E51" s="135"/>
      <c r="F51" s="138">
        <v>0</v>
      </c>
      <c r="G51" s="135"/>
      <c r="H51" s="138">
        <v>0</v>
      </c>
      <c r="I51" s="135"/>
      <c r="J51" s="138">
        <v>0</v>
      </c>
      <c r="K51" s="135"/>
      <c r="L51" s="138">
        <v>0</v>
      </c>
      <c r="M51" s="135"/>
      <c r="N51" s="138">
        <v>0</v>
      </c>
      <c r="O51" s="135"/>
      <c r="P51" s="138">
        <v>0</v>
      </c>
      <c r="Q51" s="135"/>
      <c r="R51" s="138">
        <f t="shared" si="2"/>
        <v>-6988.52</v>
      </c>
      <c r="S51" s="15"/>
      <c r="T51" s="15"/>
      <c r="U51" s="15"/>
    </row>
    <row r="52" spans="1:21" x14ac:dyDescent="0.2">
      <c r="A52" s="3" t="s">
        <v>2938</v>
      </c>
      <c r="B52" s="138">
        <v>-137220.54999999999</v>
      </c>
      <c r="C52" s="135"/>
      <c r="D52" s="138">
        <v>-50996.94</v>
      </c>
      <c r="E52" s="135"/>
      <c r="F52" s="138">
        <v>1539</v>
      </c>
      <c r="G52" s="135"/>
      <c r="H52" s="138">
        <v>0</v>
      </c>
      <c r="I52" s="135"/>
      <c r="J52" s="138">
        <v>0</v>
      </c>
      <c r="K52" s="135"/>
      <c r="L52" s="138">
        <v>-0.59</v>
      </c>
      <c r="M52" s="135"/>
      <c r="N52" s="138">
        <v>-110.96</v>
      </c>
      <c r="O52" s="135"/>
      <c r="P52" s="138">
        <v>0</v>
      </c>
      <c r="Q52" s="135"/>
      <c r="R52" s="138">
        <f t="shared" si="2"/>
        <v>-186790.03999999998</v>
      </c>
      <c r="S52" s="15"/>
      <c r="T52" s="15"/>
      <c r="U52" s="15"/>
    </row>
    <row r="53" spans="1:21" x14ac:dyDescent="0.2">
      <c r="A53" s="3" t="s">
        <v>2939</v>
      </c>
      <c r="B53" s="138">
        <v>-872.13</v>
      </c>
      <c r="C53" s="135"/>
      <c r="D53" s="138">
        <v>0</v>
      </c>
      <c r="E53" s="135"/>
      <c r="F53" s="138">
        <v>0</v>
      </c>
      <c r="G53" s="135"/>
      <c r="H53" s="138">
        <v>0</v>
      </c>
      <c r="I53" s="135"/>
      <c r="J53" s="138">
        <v>0</v>
      </c>
      <c r="K53" s="135"/>
      <c r="L53" s="138">
        <v>0</v>
      </c>
      <c r="M53" s="135"/>
      <c r="N53" s="138">
        <v>0</v>
      </c>
      <c r="O53" s="135"/>
      <c r="P53" s="138">
        <v>0</v>
      </c>
      <c r="Q53" s="135"/>
      <c r="R53" s="138">
        <f t="shared" si="2"/>
        <v>-872.13</v>
      </c>
      <c r="S53" s="15"/>
      <c r="T53" s="15"/>
      <c r="U53" s="15"/>
    </row>
    <row r="54" spans="1:21" x14ac:dyDescent="0.2">
      <c r="A54" s="3" t="s">
        <v>2940</v>
      </c>
      <c r="B54" s="138">
        <v>-18886.359999999997</v>
      </c>
      <c r="C54" s="135"/>
      <c r="D54" s="138">
        <v>-650.76</v>
      </c>
      <c r="E54" s="135"/>
      <c r="F54" s="138">
        <v>0</v>
      </c>
      <c r="G54" s="135"/>
      <c r="H54" s="138">
        <v>0</v>
      </c>
      <c r="I54" s="135"/>
      <c r="J54" s="138">
        <v>0</v>
      </c>
      <c r="K54" s="135"/>
      <c r="L54" s="138">
        <v>0</v>
      </c>
      <c r="M54" s="135"/>
      <c r="N54" s="138">
        <v>0</v>
      </c>
      <c r="O54" s="135"/>
      <c r="P54" s="138">
        <v>0</v>
      </c>
      <c r="Q54" s="135"/>
      <c r="R54" s="138">
        <f t="shared" si="2"/>
        <v>-19537.119999999995</v>
      </c>
      <c r="S54" s="15"/>
      <c r="T54" s="15"/>
      <c r="U54" s="15"/>
    </row>
    <row r="55" spans="1:21" x14ac:dyDescent="0.2">
      <c r="A55" s="3" t="s">
        <v>2941</v>
      </c>
      <c r="B55" s="149">
        <v>-5910.2300000000105</v>
      </c>
      <c r="C55" s="135"/>
      <c r="D55" s="149">
        <v>-4728.41</v>
      </c>
      <c r="E55" s="135"/>
      <c r="F55" s="149">
        <v>0</v>
      </c>
      <c r="G55" s="135"/>
      <c r="H55" s="149">
        <v>0</v>
      </c>
      <c r="I55" s="135"/>
      <c r="J55" s="149">
        <v>0</v>
      </c>
      <c r="K55" s="135"/>
      <c r="L55" s="138">
        <v>0</v>
      </c>
      <c r="M55" s="135"/>
      <c r="N55" s="149">
        <v>0</v>
      </c>
      <c r="O55" s="135"/>
      <c r="P55" s="138">
        <v>0</v>
      </c>
      <c r="Q55" s="135"/>
      <c r="R55" s="149">
        <f t="shared" si="2"/>
        <v>-10638.64000000001</v>
      </c>
      <c r="S55" s="17"/>
      <c r="T55" s="15"/>
      <c r="U55" s="15"/>
    </row>
    <row r="56" spans="1:21" x14ac:dyDescent="0.2">
      <c r="B56" s="135">
        <f>SUM(B44:B55)</f>
        <v>-13778708.540000001</v>
      </c>
      <c r="C56" s="135"/>
      <c r="D56" s="135">
        <f t="shared" ref="D56:R56" si="3">SUM(D44:D55)</f>
        <v>-2926402.8099999996</v>
      </c>
      <c r="E56" s="135"/>
      <c r="F56" s="135">
        <f t="shared" si="3"/>
        <v>135429.89000000001</v>
      </c>
      <c r="G56" s="135"/>
      <c r="H56" s="135">
        <f t="shared" si="3"/>
        <v>0</v>
      </c>
      <c r="I56" s="135"/>
      <c r="J56" s="135">
        <f t="shared" si="3"/>
        <v>0</v>
      </c>
      <c r="K56" s="135"/>
      <c r="L56" s="148">
        <f t="shared" si="3"/>
        <v>15985.87</v>
      </c>
      <c r="M56" s="135"/>
      <c r="N56" s="135">
        <f t="shared" si="3"/>
        <v>-110.96</v>
      </c>
      <c r="O56" s="135"/>
      <c r="P56" s="148">
        <f t="shared" si="3"/>
        <v>0</v>
      </c>
      <c r="Q56" s="135"/>
      <c r="R56" s="135">
        <f t="shared" si="3"/>
        <v>-16553806.549999997</v>
      </c>
      <c r="S56" s="17"/>
      <c r="T56" s="15"/>
      <c r="U56" s="15"/>
    </row>
    <row r="57" spans="1:21" x14ac:dyDescent="0.2">
      <c r="B57" s="138"/>
      <c r="C57" s="135"/>
      <c r="D57" s="138"/>
      <c r="E57" s="135"/>
      <c r="F57" s="138"/>
      <c r="G57" s="135"/>
      <c r="H57" s="138"/>
      <c r="I57" s="135"/>
      <c r="J57" s="138"/>
      <c r="K57" s="135"/>
      <c r="L57" s="138"/>
      <c r="M57" s="135"/>
      <c r="N57" s="138"/>
      <c r="O57" s="135"/>
      <c r="P57" s="138"/>
      <c r="Q57" s="135"/>
      <c r="R57" s="138"/>
      <c r="S57" s="15"/>
      <c r="T57" s="15"/>
      <c r="U57" s="15"/>
    </row>
    <row r="58" spans="1:21" x14ac:dyDescent="0.2">
      <c r="A58" s="10" t="s">
        <v>22</v>
      </c>
      <c r="B58" s="138"/>
      <c r="C58" s="135"/>
      <c r="D58" s="138"/>
      <c r="E58" s="135"/>
      <c r="F58" s="138"/>
      <c r="G58" s="135"/>
      <c r="H58" s="138"/>
      <c r="I58" s="135"/>
      <c r="J58" s="138"/>
      <c r="K58" s="135"/>
      <c r="L58" s="138"/>
      <c r="M58" s="135"/>
      <c r="N58" s="138"/>
      <c r="O58" s="135"/>
      <c r="P58" s="138"/>
      <c r="Q58" s="135"/>
      <c r="R58" s="138"/>
      <c r="S58" s="15"/>
      <c r="T58" s="15"/>
      <c r="U58" s="15"/>
    </row>
    <row r="59" spans="1:21" x14ac:dyDescent="0.2">
      <c r="A59" s="3" t="s">
        <v>2942</v>
      </c>
      <c r="B59" s="138">
        <v>0</v>
      </c>
      <c r="C59" s="135"/>
      <c r="D59" s="138">
        <v>0</v>
      </c>
      <c r="E59" s="135"/>
      <c r="F59" s="138">
        <v>0</v>
      </c>
      <c r="G59" s="135"/>
      <c r="H59" s="138">
        <v>0</v>
      </c>
      <c r="I59" s="135"/>
      <c r="J59" s="138">
        <v>0</v>
      </c>
      <c r="K59" s="135"/>
      <c r="L59" s="138">
        <v>0</v>
      </c>
      <c r="M59" s="135"/>
      <c r="N59" s="138">
        <v>0</v>
      </c>
      <c r="O59" s="135"/>
      <c r="P59" s="138">
        <v>0</v>
      </c>
      <c r="Q59" s="135"/>
      <c r="R59" s="138">
        <f t="shared" ref="R59:R136" si="4">SUM(B59:P59)</f>
        <v>0</v>
      </c>
      <c r="S59" s="15"/>
      <c r="T59" s="15"/>
      <c r="U59" s="15"/>
    </row>
    <row r="60" spans="1:21" x14ac:dyDescent="0.2">
      <c r="A60" s="3" t="s">
        <v>2943</v>
      </c>
      <c r="B60" s="138">
        <v>0</v>
      </c>
      <c r="C60" s="135"/>
      <c r="D60" s="138">
        <v>0</v>
      </c>
      <c r="E60" s="135"/>
      <c r="F60" s="138">
        <v>0</v>
      </c>
      <c r="G60" s="135"/>
      <c r="H60" s="138">
        <v>0</v>
      </c>
      <c r="I60" s="135"/>
      <c r="J60" s="138">
        <v>0</v>
      </c>
      <c r="K60" s="135"/>
      <c r="L60" s="138">
        <v>0</v>
      </c>
      <c r="M60" s="135"/>
      <c r="N60" s="138">
        <v>0</v>
      </c>
      <c r="O60" s="135"/>
      <c r="P60" s="138">
        <v>0</v>
      </c>
      <c r="Q60" s="135"/>
      <c r="R60" s="138">
        <f t="shared" si="4"/>
        <v>0</v>
      </c>
      <c r="S60" s="15"/>
      <c r="T60" s="15"/>
      <c r="U60" s="15"/>
    </row>
    <row r="61" spans="1:21" x14ac:dyDescent="0.2">
      <c r="A61" s="14" t="s">
        <v>2944</v>
      </c>
      <c r="B61" s="138">
        <v>0</v>
      </c>
      <c r="C61" s="135"/>
      <c r="D61" s="138">
        <v>0</v>
      </c>
      <c r="E61" s="135"/>
      <c r="F61" s="138">
        <v>0</v>
      </c>
      <c r="G61" s="135"/>
      <c r="H61" s="138">
        <v>0</v>
      </c>
      <c r="I61" s="135"/>
      <c r="J61" s="138">
        <v>0</v>
      </c>
      <c r="K61" s="135"/>
      <c r="L61" s="138">
        <v>0</v>
      </c>
      <c r="M61" s="135"/>
      <c r="N61" s="138">
        <v>0</v>
      </c>
      <c r="O61" s="135"/>
      <c r="P61" s="138">
        <v>0</v>
      </c>
      <c r="Q61" s="135"/>
      <c r="R61" s="138">
        <f t="shared" si="4"/>
        <v>0</v>
      </c>
      <c r="S61" s="15"/>
      <c r="T61" s="15"/>
      <c r="U61" s="15"/>
    </row>
    <row r="62" spans="1:21" ht="12.75" customHeight="1" outlineLevel="1" x14ac:dyDescent="0.2">
      <c r="A62" s="3" t="s">
        <v>2945</v>
      </c>
      <c r="B62" s="138">
        <v>-116268.96</v>
      </c>
      <c r="C62" s="135"/>
      <c r="D62" s="138">
        <v>-29950.15</v>
      </c>
      <c r="E62" s="135"/>
      <c r="F62" s="138">
        <v>766.92</v>
      </c>
      <c r="G62" s="135"/>
      <c r="H62" s="138">
        <v>0</v>
      </c>
      <c r="I62" s="135"/>
      <c r="J62" s="138">
        <v>0</v>
      </c>
      <c r="K62" s="135"/>
      <c r="L62" s="138">
        <v>-0.3</v>
      </c>
      <c r="M62" s="135"/>
      <c r="N62" s="138">
        <v>-55.29</v>
      </c>
      <c r="O62" s="135"/>
      <c r="P62" s="138">
        <v>0</v>
      </c>
      <c r="Q62" s="135"/>
      <c r="R62" s="138">
        <f t="shared" si="4"/>
        <v>-145507.78</v>
      </c>
      <c r="S62" s="15"/>
      <c r="T62" s="15"/>
      <c r="U62" s="15"/>
    </row>
    <row r="63" spans="1:21" ht="12.75" customHeight="1" outlineLevel="1" x14ac:dyDescent="0.2">
      <c r="A63" s="3" t="s">
        <v>2946</v>
      </c>
      <c r="B63" s="138">
        <v>-4003388.57</v>
      </c>
      <c r="C63" s="135"/>
      <c r="D63" s="138">
        <v>-439337.07</v>
      </c>
      <c r="E63" s="135"/>
      <c r="F63" s="138">
        <v>37565.78</v>
      </c>
      <c r="G63" s="135"/>
      <c r="H63" s="138">
        <v>0</v>
      </c>
      <c r="I63" s="135"/>
      <c r="J63" s="138">
        <v>0</v>
      </c>
      <c r="K63" s="135"/>
      <c r="L63" s="138">
        <v>29425.16</v>
      </c>
      <c r="M63" s="135"/>
      <c r="N63" s="138">
        <v>-1355.32</v>
      </c>
      <c r="O63" s="135"/>
      <c r="P63" s="138">
        <v>0</v>
      </c>
      <c r="Q63" s="135"/>
      <c r="R63" s="138">
        <f t="shared" si="4"/>
        <v>-4377090.0199999996</v>
      </c>
      <c r="S63" s="15"/>
      <c r="T63" s="15"/>
      <c r="U63" s="15"/>
    </row>
    <row r="64" spans="1:21" ht="12.75" customHeight="1" outlineLevel="1" x14ac:dyDescent="0.2">
      <c r="A64" s="3" t="s">
        <v>2947</v>
      </c>
      <c r="B64" s="138">
        <v>-418308.20999999996</v>
      </c>
      <c r="C64" s="135"/>
      <c r="D64" s="138">
        <v>-39836.720000000001</v>
      </c>
      <c r="E64" s="135"/>
      <c r="F64" s="138">
        <v>90454.98</v>
      </c>
      <c r="G64" s="135"/>
      <c r="H64" s="138">
        <v>0</v>
      </c>
      <c r="I64" s="135"/>
      <c r="J64" s="138">
        <v>0</v>
      </c>
      <c r="K64" s="135"/>
      <c r="L64" s="138">
        <v>8224.35</v>
      </c>
      <c r="M64" s="135"/>
      <c r="N64" s="138">
        <v>0</v>
      </c>
      <c r="O64" s="135"/>
      <c r="P64" s="138">
        <v>0</v>
      </c>
      <c r="Q64" s="135"/>
      <c r="R64" s="138">
        <f t="shared" si="4"/>
        <v>-359465.6</v>
      </c>
      <c r="S64" s="15"/>
      <c r="T64" s="15"/>
      <c r="U64" s="15"/>
    </row>
    <row r="65" spans="1:21" ht="12.75" customHeight="1" outlineLevel="1" x14ac:dyDescent="0.2">
      <c r="A65" s="3" t="s">
        <v>2948</v>
      </c>
      <c r="B65" s="138">
        <v>-50956.849999999991</v>
      </c>
      <c r="C65" s="135"/>
      <c r="D65" s="138">
        <v>-4334.5200000000004</v>
      </c>
      <c r="E65" s="135"/>
      <c r="F65" s="138">
        <v>0</v>
      </c>
      <c r="G65" s="135"/>
      <c r="H65" s="138">
        <v>0</v>
      </c>
      <c r="I65" s="135"/>
      <c r="J65" s="138">
        <v>0</v>
      </c>
      <c r="K65" s="135"/>
      <c r="L65" s="138">
        <v>0</v>
      </c>
      <c r="M65" s="135"/>
      <c r="N65" s="138">
        <v>0</v>
      </c>
      <c r="O65" s="135"/>
      <c r="P65" s="138">
        <v>0</v>
      </c>
      <c r="Q65" s="135"/>
      <c r="R65" s="138">
        <f t="shared" si="4"/>
        <v>-55291.369999999995</v>
      </c>
      <c r="S65" s="15"/>
      <c r="T65" s="15"/>
      <c r="U65" s="15"/>
    </row>
    <row r="66" spans="1:21" ht="12.75" customHeight="1" outlineLevel="1" x14ac:dyDescent="0.2">
      <c r="A66" s="3" t="s">
        <v>2949</v>
      </c>
      <c r="B66" s="138">
        <v>-69649.239999999991</v>
      </c>
      <c r="C66" s="135"/>
      <c r="D66" s="138">
        <v>-5889.84</v>
      </c>
      <c r="E66" s="135"/>
      <c r="F66" s="138">
        <v>0</v>
      </c>
      <c r="G66" s="135"/>
      <c r="H66" s="138">
        <v>0</v>
      </c>
      <c r="I66" s="135"/>
      <c r="J66" s="138">
        <v>0</v>
      </c>
      <c r="K66" s="135"/>
      <c r="L66" s="138">
        <v>0</v>
      </c>
      <c r="M66" s="135"/>
      <c r="N66" s="138">
        <v>0</v>
      </c>
      <c r="O66" s="135"/>
      <c r="P66" s="138">
        <v>0</v>
      </c>
      <c r="Q66" s="135"/>
      <c r="R66" s="138">
        <f t="shared" si="4"/>
        <v>-75539.079999999987</v>
      </c>
      <c r="S66" s="15"/>
      <c r="T66" s="15"/>
      <c r="U66" s="15"/>
    </row>
    <row r="67" spans="1:21" ht="12.75" customHeight="1" outlineLevel="1" x14ac:dyDescent="0.2">
      <c r="A67" s="3" t="s">
        <v>2950</v>
      </c>
      <c r="B67" s="138">
        <v>0</v>
      </c>
      <c r="C67" s="135"/>
      <c r="D67" s="138">
        <v>-29415.33</v>
      </c>
      <c r="E67" s="135"/>
      <c r="F67" s="138">
        <v>0</v>
      </c>
      <c r="G67" s="135"/>
      <c r="H67" s="138">
        <v>16569.66</v>
      </c>
      <c r="I67" s="135"/>
      <c r="J67" s="138">
        <v>0</v>
      </c>
      <c r="K67" s="135"/>
      <c r="L67" s="138">
        <v>0</v>
      </c>
      <c r="M67" s="135"/>
      <c r="N67" s="138">
        <v>0</v>
      </c>
      <c r="O67" s="135"/>
      <c r="P67" s="138">
        <v>0</v>
      </c>
      <c r="Q67" s="135"/>
      <c r="R67" s="138">
        <f>SUM(B67:P67)</f>
        <v>-12845.670000000002</v>
      </c>
      <c r="S67" s="15"/>
      <c r="T67" s="15"/>
      <c r="U67" s="15"/>
    </row>
    <row r="68" spans="1:21" ht="12.75" customHeight="1" outlineLevel="1" x14ac:dyDescent="0.2">
      <c r="A68" s="3" t="s">
        <v>2951</v>
      </c>
      <c r="B68" s="138">
        <v>-59182.759999999995</v>
      </c>
      <c r="C68" s="135"/>
      <c r="D68" s="138">
        <v>-2070.84</v>
      </c>
      <c r="E68" s="135"/>
      <c r="F68" s="138">
        <v>0</v>
      </c>
      <c r="G68" s="135"/>
      <c r="H68" s="138">
        <v>0</v>
      </c>
      <c r="I68" s="135"/>
      <c r="J68" s="138">
        <v>0</v>
      </c>
      <c r="K68" s="135"/>
      <c r="L68" s="138">
        <v>0</v>
      </c>
      <c r="M68" s="135"/>
      <c r="N68" s="138">
        <v>0</v>
      </c>
      <c r="O68" s="135"/>
      <c r="P68" s="138">
        <v>0</v>
      </c>
      <c r="Q68" s="135"/>
      <c r="R68" s="138">
        <f t="shared" si="4"/>
        <v>-61253.599999999991</v>
      </c>
      <c r="S68" s="15"/>
      <c r="T68" s="15"/>
      <c r="U68" s="15"/>
    </row>
    <row r="69" spans="1:21" ht="12.75" customHeight="1" outlineLevel="1" x14ac:dyDescent="0.2">
      <c r="A69" s="3" t="s">
        <v>2952</v>
      </c>
      <c r="B69" s="138">
        <v>-1052043.1700000002</v>
      </c>
      <c r="C69" s="135"/>
      <c r="D69" s="138">
        <v>-86239</v>
      </c>
      <c r="E69" s="135"/>
      <c r="F69" s="138">
        <v>4535.59</v>
      </c>
      <c r="G69" s="135"/>
      <c r="H69" s="138">
        <v>0</v>
      </c>
      <c r="I69" s="135"/>
      <c r="J69" s="138">
        <v>0</v>
      </c>
      <c r="K69" s="135"/>
      <c r="L69" s="138">
        <v>287.43</v>
      </c>
      <c r="M69" s="135"/>
      <c r="N69" s="138">
        <v>0</v>
      </c>
      <c r="O69" s="135"/>
      <c r="P69" s="138">
        <v>0</v>
      </c>
      <c r="Q69" s="135"/>
      <c r="R69" s="138">
        <f t="shared" si="4"/>
        <v>-1133459.1500000001</v>
      </c>
      <c r="S69" s="15"/>
      <c r="T69" s="15"/>
      <c r="U69" s="15"/>
    </row>
    <row r="70" spans="1:21" ht="12.75" customHeight="1" outlineLevel="1" x14ac:dyDescent="0.2">
      <c r="A70" s="3" t="s">
        <v>2953</v>
      </c>
      <c r="B70" s="138">
        <v>-837110.88000000012</v>
      </c>
      <c r="C70" s="135"/>
      <c r="D70" s="138">
        <v>-75287.399999999994</v>
      </c>
      <c r="E70" s="135"/>
      <c r="F70" s="138">
        <v>0</v>
      </c>
      <c r="G70" s="135"/>
      <c r="H70" s="138">
        <v>0</v>
      </c>
      <c r="I70" s="135"/>
      <c r="J70" s="138">
        <v>0</v>
      </c>
      <c r="K70" s="135"/>
      <c r="L70" s="138">
        <v>0</v>
      </c>
      <c r="M70" s="135"/>
      <c r="N70" s="138">
        <v>0</v>
      </c>
      <c r="O70" s="135"/>
      <c r="P70" s="138">
        <v>0</v>
      </c>
      <c r="Q70" s="135"/>
      <c r="R70" s="138">
        <f t="shared" si="4"/>
        <v>-912398.28000000014</v>
      </c>
      <c r="S70" s="15"/>
      <c r="T70" s="15"/>
      <c r="U70" s="15"/>
    </row>
    <row r="71" spans="1:21" ht="12.75" customHeight="1" outlineLevel="1" x14ac:dyDescent="0.2">
      <c r="A71" s="3" t="s">
        <v>2954</v>
      </c>
      <c r="B71" s="138">
        <v>-702618.75999999989</v>
      </c>
      <c r="C71" s="135"/>
      <c r="D71" s="138">
        <v>-55692.480000000003</v>
      </c>
      <c r="E71" s="135"/>
      <c r="F71" s="138">
        <v>0</v>
      </c>
      <c r="G71" s="135"/>
      <c r="H71" s="138">
        <v>0</v>
      </c>
      <c r="I71" s="135"/>
      <c r="J71" s="138">
        <v>0</v>
      </c>
      <c r="K71" s="135"/>
      <c r="L71" s="138">
        <v>0</v>
      </c>
      <c r="M71" s="135"/>
      <c r="N71" s="138">
        <v>0</v>
      </c>
      <c r="O71" s="135"/>
      <c r="P71" s="138">
        <v>0</v>
      </c>
      <c r="Q71" s="135"/>
      <c r="R71" s="138">
        <f t="shared" si="4"/>
        <v>-758311.23999999987</v>
      </c>
      <c r="S71" s="15"/>
      <c r="T71" s="15"/>
      <c r="U71" s="15"/>
    </row>
    <row r="72" spans="1:21" ht="12.75" customHeight="1" outlineLevel="1" x14ac:dyDescent="0.2">
      <c r="A72" s="3" t="s">
        <v>2955</v>
      </c>
      <c r="B72" s="138">
        <v>-666525.94999999995</v>
      </c>
      <c r="C72" s="135"/>
      <c r="D72" s="138">
        <v>-52404.959999999999</v>
      </c>
      <c r="E72" s="135"/>
      <c r="F72" s="138">
        <v>0</v>
      </c>
      <c r="G72" s="135"/>
      <c r="H72" s="138">
        <v>0</v>
      </c>
      <c r="I72" s="135"/>
      <c r="J72" s="138">
        <v>0</v>
      </c>
      <c r="K72" s="135"/>
      <c r="L72" s="138">
        <v>0</v>
      </c>
      <c r="M72" s="135"/>
      <c r="N72" s="138">
        <v>0</v>
      </c>
      <c r="O72" s="135"/>
      <c r="P72" s="138">
        <v>0</v>
      </c>
      <c r="Q72" s="135"/>
      <c r="R72" s="138">
        <f t="shared" si="4"/>
        <v>-718930.90999999992</v>
      </c>
      <c r="S72" s="15"/>
      <c r="T72" s="15"/>
      <c r="U72" s="15"/>
    </row>
    <row r="73" spans="1:21" ht="12.75" customHeight="1" outlineLevel="1" x14ac:dyDescent="0.2">
      <c r="A73" s="3" t="s">
        <v>2956</v>
      </c>
      <c r="B73" s="138">
        <v>-823173.54</v>
      </c>
      <c r="C73" s="135"/>
      <c r="D73" s="138">
        <v>-73346.16</v>
      </c>
      <c r="E73" s="135"/>
      <c r="F73" s="138">
        <v>0</v>
      </c>
      <c r="G73" s="135"/>
      <c r="H73" s="138">
        <v>0</v>
      </c>
      <c r="I73" s="135"/>
      <c r="J73" s="138">
        <v>0</v>
      </c>
      <c r="K73" s="135"/>
      <c r="L73" s="138">
        <v>0</v>
      </c>
      <c r="M73" s="135"/>
      <c r="N73" s="138">
        <v>0</v>
      </c>
      <c r="O73" s="135"/>
      <c r="P73" s="138">
        <v>0</v>
      </c>
      <c r="Q73" s="135"/>
      <c r="R73" s="138">
        <f t="shared" si="4"/>
        <v>-896519.70000000007</v>
      </c>
      <c r="S73" s="15"/>
      <c r="T73" s="15"/>
      <c r="U73" s="15"/>
    </row>
    <row r="74" spans="1:21" ht="12.75" customHeight="1" outlineLevel="1" x14ac:dyDescent="0.2">
      <c r="A74" s="3" t="s">
        <v>2957</v>
      </c>
      <c r="B74" s="138">
        <v>-819945.44</v>
      </c>
      <c r="C74" s="135"/>
      <c r="D74" s="138">
        <v>-73058.52</v>
      </c>
      <c r="E74" s="135"/>
      <c r="F74" s="138">
        <v>0</v>
      </c>
      <c r="G74" s="135"/>
      <c r="H74" s="138">
        <v>0</v>
      </c>
      <c r="I74" s="135"/>
      <c r="J74" s="138">
        <v>0</v>
      </c>
      <c r="K74" s="135"/>
      <c r="L74" s="138">
        <v>0</v>
      </c>
      <c r="M74" s="135"/>
      <c r="N74" s="138">
        <v>0</v>
      </c>
      <c r="O74" s="135"/>
      <c r="P74" s="138">
        <v>0</v>
      </c>
      <c r="Q74" s="135"/>
      <c r="R74" s="138">
        <f t="shared" si="4"/>
        <v>-893003.96</v>
      </c>
      <c r="S74" s="15"/>
      <c r="T74" s="15"/>
      <c r="U74" s="15"/>
    </row>
    <row r="75" spans="1:21" ht="12.75" customHeight="1" outlineLevel="1" x14ac:dyDescent="0.2">
      <c r="A75" s="3" t="s">
        <v>2958</v>
      </c>
      <c r="B75" s="138">
        <v>-838921.61999999988</v>
      </c>
      <c r="C75" s="135"/>
      <c r="D75" s="138">
        <v>-75450.36</v>
      </c>
      <c r="E75" s="135"/>
      <c r="F75" s="138">
        <v>0</v>
      </c>
      <c r="G75" s="135"/>
      <c r="H75" s="138">
        <v>0</v>
      </c>
      <c r="I75" s="135"/>
      <c r="J75" s="138">
        <v>0</v>
      </c>
      <c r="K75" s="135"/>
      <c r="L75" s="138">
        <v>0</v>
      </c>
      <c r="M75" s="135"/>
      <c r="N75" s="138">
        <v>0</v>
      </c>
      <c r="O75" s="135"/>
      <c r="P75" s="138">
        <v>0</v>
      </c>
      <c r="Q75" s="135"/>
      <c r="R75" s="138">
        <f t="shared" si="4"/>
        <v>-914371.97999999986</v>
      </c>
      <c r="S75" s="15"/>
      <c r="T75" s="15"/>
      <c r="U75" s="15"/>
    </row>
    <row r="76" spans="1:21" ht="12.75" customHeight="1" outlineLevel="1" x14ac:dyDescent="0.2">
      <c r="A76" s="3" t="s">
        <v>2959</v>
      </c>
      <c r="B76" s="138">
        <v>0</v>
      </c>
      <c r="C76" s="135"/>
      <c r="D76" s="138">
        <v>0</v>
      </c>
      <c r="E76" s="135"/>
      <c r="F76" s="138">
        <v>0</v>
      </c>
      <c r="G76" s="135"/>
      <c r="H76" s="138">
        <v>0</v>
      </c>
      <c r="I76" s="135"/>
      <c r="J76" s="138">
        <v>0</v>
      </c>
      <c r="K76" s="135"/>
      <c r="L76" s="138">
        <v>0</v>
      </c>
      <c r="M76" s="135"/>
      <c r="N76" s="138">
        <v>0</v>
      </c>
      <c r="O76" s="135"/>
      <c r="P76" s="138">
        <v>0</v>
      </c>
      <c r="Q76" s="135"/>
      <c r="R76" s="138">
        <f t="shared" si="4"/>
        <v>0</v>
      </c>
      <c r="S76" s="15"/>
      <c r="T76" s="15"/>
      <c r="U76" s="15"/>
    </row>
    <row r="77" spans="1:21" ht="12.75" customHeight="1" outlineLevel="1" x14ac:dyDescent="0.2">
      <c r="A77" s="3" t="s">
        <v>2960</v>
      </c>
      <c r="B77" s="138">
        <v>-10028.300000000001</v>
      </c>
      <c r="C77" s="135"/>
      <c r="D77" s="138">
        <v>0</v>
      </c>
      <c r="E77" s="135"/>
      <c r="F77" s="138">
        <v>0</v>
      </c>
      <c r="G77" s="135"/>
      <c r="H77" s="138">
        <v>0</v>
      </c>
      <c r="I77" s="135"/>
      <c r="J77" s="138">
        <v>0</v>
      </c>
      <c r="K77" s="135"/>
      <c r="L77" s="138">
        <v>0</v>
      </c>
      <c r="M77" s="135"/>
      <c r="N77" s="138">
        <v>0</v>
      </c>
      <c r="O77" s="135"/>
      <c r="P77" s="138">
        <v>0</v>
      </c>
      <c r="Q77" s="135"/>
      <c r="R77" s="138">
        <f t="shared" si="4"/>
        <v>-10028.300000000001</v>
      </c>
      <c r="S77" s="15"/>
      <c r="T77" s="15"/>
      <c r="U77" s="15"/>
    </row>
    <row r="78" spans="1:21" x14ac:dyDescent="0.2">
      <c r="A78" s="3" t="s">
        <v>2961</v>
      </c>
      <c r="B78" s="138">
        <f>SUM(B62:B77)</f>
        <v>-10468122.25</v>
      </c>
      <c r="C78" s="135"/>
      <c r="D78" s="138">
        <f>SUM(D62:D77)</f>
        <v>-1042313.3500000001</v>
      </c>
      <c r="E78" s="135"/>
      <c r="F78" s="138">
        <f t="shared" ref="F78:P78" si="5">SUM(F62:F77)</f>
        <v>133323.26999999999</v>
      </c>
      <c r="G78" s="135"/>
      <c r="H78" s="138">
        <f t="shared" si="5"/>
        <v>16569.66</v>
      </c>
      <c r="I78" s="135"/>
      <c r="J78" s="138">
        <f t="shared" si="5"/>
        <v>0</v>
      </c>
      <c r="K78" s="135"/>
      <c r="L78" s="138">
        <f t="shared" si="5"/>
        <v>37936.639999999999</v>
      </c>
      <c r="M78" s="135"/>
      <c r="N78" s="138">
        <f t="shared" si="5"/>
        <v>-1410.61</v>
      </c>
      <c r="O78" s="135"/>
      <c r="P78" s="138">
        <f t="shared" si="5"/>
        <v>0</v>
      </c>
      <c r="Q78" s="135"/>
      <c r="R78" s="138">
        <f>SUM(R62:R77)</f>
        <v>-11324016.640000001</v>
      </c>
      <c r="S78" s="15"/>
      <c r="T78" s="15"/>
      <c r="U78" s="15"/>
    </row>
    <row r="79" spans="1:21" ht="12.75" customHeight="1" outlineLevel="1" x14ac:dyDescent="0.2">
      <c r="A79" s="3" t="s">
        <v>2962</v>
      </c>
      <c r="B79" s="138">
        <v>-174257.28000000003</v>
      </c>
      <c r="C79" s="135"/>
      <c r="D79" s="138">
        <v>-45240.12</v>
      </c>
      <c r="E79" s="135"/>
      <c r="F79" s="138">
        <v>0</v>
      </c>
      <c r="G79" s="135"/>
      <c r="H79" s="138">
        <v>0</v>
      </c>
      <c r="I79" s="135"/>
      <c r="J79" s="138">
        <v>0</v>
      </c>
      <c r="K79" s="135"/>
      <c r="L79" s="138">
        <v>0</v>
      </c>
      <c r="M79" s="135"/>
      <c r="N79" s="138">
        <v>0</v>
      </c>
      <c r="O79" s="135"/>
      <c r="P79" s="138">
        <v>0</v>
      </c>
      <c r="Q79" s="135"/>
      <c r="R79" s="138">
        <f t="shared" si="4"/>
        <v>-219497.40000000002</v>
      </c>
      <c r="S79" s="15"/>
      <c r="T79" s="15"/>
      <c r="U79" s="15"/>
    </row>
    <row r="80" spans="1:21" ht="12.75" customHeight="1" outlineLevel="1" x14ac:dyDescent="0.2">
      <c r="A80" s="22" t="s">
        <v>2963</v>
      </c>
      <c r="B80" s="138">
        <v>-459681.94</v>
      </c>
      <c r="C80" s="135"/>
      <c r="D80" s="138">
        <v>-483846.48</v>
      </c>
      <c r="E80" s="135"/>
      <c r="F80" s="138">
        <v>0</v>
      </c>
      <c r="G80" s="135"/>
      <c r="H80" s="138">
        <v>0</v>
      </c>
      <c r="I80" s="135"/>
      <c r="J80" s="138">
        <v>0</v>
      </c>
      <c r="K80" s="135"/>
      <c r="L80" s="138">
        <v>0</v>
      </c>
      <c r="M80" s="135"/>
      <c r="N80" s="138">
        <v>0</v>
      </c>
      <c r="O80" s="135"/>
      <c r="P80" s="138">
        <v>0</v>
      </c>
      <c r="Q80" s="135"/>
      <c r="R80" s="138">
        <f t="shared" si="4"/>
        <v>-943528.41999999993</v>
      </c>
      <c r="S80" s="15"/>
      <c r="T80" s="15"/>
      <c r="U80" s="15"/>
    </row>
    <row r="81" spans="1:21" ht="12.75" customHeight="1" outlineLevel="1" x14ac:dyDescent="0.2">
      <c r="A81" s="3" t="s">
        <v>2964</v>
      </c>
      <c r="B81" s="138">
        <v>-97338.68</v>
      </c>
      <c r="C81" s="135"/>
      <c r="D81" s="138">
        <v>-180197.3</v>
      </c>
      <c r="E81" s="135"/>
      <c r="F81" s="138">
        <v>0</v>
      </c>
      <c r="G81" s="135"/>
      <c r="H81" s="138">
        <v>0</v>
      </c>
      <c r="I81" s="135"/>
      <c r="J81" s="138">
        <v>0</v>
      </c>
      <c r="K81" s="135"/>
      <c r="L81" s="138">
        <v>0</v>
      </c>
      <c r="M81" s="135"/>
      <c r="N81" s="138">
        <v>0</v>
      </c>
      <c r="O81" s="135"/>
      <c r="P81" s="138">
        <v>0</v>
      </c>
      <c r="Q81" s="135"/>
      <c r="R81" s="138">
        <f t="shared" si="4"/>
        <v>-277535.98</v>
      </c>
      <c r="S81" s="15"/>
      <c r="T81" s="15"/>
      <c r="U81" s="15"/>
    </row>
    <row r="82" spans="1:21" ht="12.75" customHeight="1" outlineLevel="1" x14ac:dyDescent="0.2">
      <c r="A82" s="3" t="s">
        <v>2965</v>
      </c>
      <c r="B82" s="138">
        <v>-358747.54999999993</v>
      </c>
      <c r="C82" s="135"/>
      <c r="D82" s="138">
        <v>-34807.800000000003</v>
      </c>
      <c r="E82" s="135"/>
      <c r="F82" s="138">
        <v>0</v>
      </c>
      <c r="G82" s="135"/>
      <c r="H82" s="138">
        <v>0</v>
      </c>
      <c r="I82" s="135"/>
      <c r="J82" s="138">
        <v>0</v>
      </c>
      <c r="K82" s="135"/>
      <c r="L82" s="138">
        <v>0</v>
      </c>
      <c r="M82" s="135"/>
      <c r="N82" s="138">
        <v>0</v>
      </c>
      <c r="O82" s="135"/>
      <c r="P82" s="138">
        <v>0</v>
      </c>
      <c r="Q82" s="135"/>
      <c r="R82" s="138">
        <f t="shared" si="4"/>
        <v>-393555.34999999992</v>
      </c>
      <c r="S82" s="15"/>
      <c r="T82" s="15"/>
      <c r="U82" s="15"/>
    </row>
    <row r="83" spans="1:21" ht="12.75" customHeight="1" outlineLevel="1" x14ac:dyDescent="0.2">
      <c r="A83" s="3" t="s">
        <v>2966</v>
      </c>
      <c r="B83" s="138">
        <v>-146491.28</v>
      </c>
      <c r="C83" s="135"/>
      <c r="D83" s="138">
        <v>-40243.08</v>
      </c>
      <c r="E83" s="135"/>
      <c r="F83" s="138">
        <v>0</v>
      </c>
      <c r="G83" s="135"/>
      <c r="H83" s="138">
        <v>0</v>
      </c>
      <c r="I83" s="135"/>
      <c r="J83" s="138">
        <v>0</v>
      </c>
      <c r="K83" s="135"/>
      <c r="L83" s="138">
        <v>0</v>
      </c>
      <c r="M83" s="135"/>
      <c r="N83" s="138">
        <v>0</v>
      </c>
      <c r="O83" s="135"/>
      <c r="P83" s="138">
        <v>0</v>
      </c>
      <c r="Q83" s="135"/>
      <c r="R83" s="138">
        <f t="shared" si="4"/>
        <v>-186734.36</v>
      </c>
      <c r="S83" s="15"/>
      <c r="T83" s="15"/>
      <c r="U83" s="15"/>
    </row>
    <row r="84" spans="1:21" ht="12.75" customHeight="1" outlineLevel="1" x14ac:dyDescent="0.2">
      <c r="A84" s="3" t="s">
        <v>2967</v>
      </c>
      <c r="B84" s="138">
        <v>-19025.399999999998</v>
      </c>
      <c r="C84" s="135"/>
      <c r="D84" s="138">
        <v>-39022.080000000002</v>
      </c>
      <c r="E84" s="135"/>
      <c r="F84" s="138">
        <v>0</v>
      </c>
      <c r="G84" s="135"/>
      <c r="H84" s="138">
        <v>0</v>
      </c>
      <c r="I84" s="135"/>
      <c r="J84" s="138">
        <v>0</v>
      </c>
      <c r="K84" s="135"/>
      <c r="L84" s="138">
        <v>0</v>
      </c>
      <c r="M84" s="135"/>
      <c r="N84" s="138">
        <v>0</v>
      </c>
      <c r="O84" s="135"/>
      <c r="P84" s="138">
        <v>0</v>
      </c>
      <c r="Q84" s="135"/>
      <c r="R84" s="138">
        <f t="shared" si="4"/>
        <v>-58047.479999999996</v>
      </c>
      <c r="S84" s="15"/>
      <c r="T84" s="15"/>
      <c r="U84" s="15"/>
    </row>
    <row r="85" spans="1:21" ht="12.75" customHeight="1" outlineLevel="1" x14ac:dyDescent="0.2">
      <c r="A85" s="3" t="s">
        <v>2968</v>
      </c>
      <c r="B85" s="138">
        <v>-11244.2</v>
      </c>
      <c r="C85" s="135"/>
      <c r="D85" s="138">
        <v>0</v>
      </c>
      <c r="E85" s="135"/>
      <c r="F85" s="138">
        <v>0</v>
      </c>
      <c r="G85" s="135"/>
      <c r="H85" s="138">
        <v>0</v>
      </c>
      <c r="I85" s="135"/>
      <c r="J85" s="138">
        <v>0</v>
      </c>
      <c r="K85" s="135"/>
      <c r="L85" s="138">
        <v>0</v>
      </c>
      <c r="M85" s="135"/>
      <c r="N85" s="138">
        <v>0</v>
      </c>
      <c r="O85" s="135"/>
      <c r="P85" s="138">
        <v>0</v>
      </c>
      <c r="Q85" s="135"/>
      <c r="R85" s="138">
        <f t="shared" si="4"/>
        <v>-11244.2</v>
      </c>
      <c r="S85" s="15"/>
      <c r="T85" s="15"/>
      <c r="U85" s="15"/>
    </row>
    <row r="86" spans="1:21" ht="12.75" customHeight="1" outlineLevel="1" x14ac:dyDescent="0.2">
      <c r="A86" s="3" t="s">
        <v>2969</v>
      </c>
      <c r="B86" s="138">
        <v>-17306.43</v>
      </c>
      <c r="C86" s="135"/>
      <c r="D86" s="138">
        <v>-1068.24</v>
      </c>
      <c r="E86" s="135"/>
      <c r="F86" s="138">
        <v>0</v>
      </c>
      <c r="G86" s="135"/>
      <c r="H86" s="138">
        <v>0</v>
      </c>
      <c r="I86" s="135"/>
      <c r="J86" s="138">
        <v>0</v>
      </c>
      <c r="K86" s="135"/>
      <c r="L86" s="138">
        <v>0</v>
      </c>
      <c r="M86" s="135"/>
      <c r="N86" s="138">
        <v>0</v>
      </c>
      <c r="O86" s="135"/>
      <c r="P86" s="138">
        <v>0</v>
      </c>
      <c r="Q86" s="135"/>
      <c r="R86" s="138">
        <f t="shared" si="4"/>
        <v>-18374.670000000002</v>
      </c>
      <c r="S86" s="15"/>
      <c r="T86" s="15"/>
      <c r="U86" s="15"/>
    </row>
    <row r="87" spans="1:21" ht="12.75" customHeight="1" outlineLevel="1" x14ac:dyDescent="0.2">
      <c r="A87" s="3" t="s">
        <v>2970</v>
      </c>
      <c r="B87" s="138">
        <v>-1104941.4100000001</v>
      </c>
      <c r="C87" s="135"/>
      <c r="D87" s="138">
        <v>-118061.11</v>
      </c>
      <c r="E87" s="135"/>
      <c r="F87" s="138">
        <v>0</v>
      </c>
      <c r="G87" s="135"/>
      <c r="H87" s="138">
        <v>0</v>
      </c>
      <c r="I87" s="135"/>
      <c r="J87" s="138">
        <v>0</v>
      </c>
      <c r="K87" s="135"/>
      <c r="L87" s="138">
        <v>0</v>
      </c>
      <c r="M87" s="135"/>
      <c r="N87" s="138">
        <v>0</v>
      </c>
      <c r="O87" s="135"/>
      <c r="P87" s="138">
        <v>0</v>
      </c>
      <c r="Q87" s="135"/>
      <c r="R87" s="138">
        <f t="shared" si="4"/>
        <v>-1223002.5200000003</v>
      </c>
      <c r="S87" s="15"/>
      <c r="T87" s="15"/>
      <c r="U87" s="15"/>
    </row>
    <row r="88" spans="1:21" ht="12.75" customHeight="1" outlineLevel="1" x14ac:dyDescent="0.2">
      <c r="A88" s="3" t="s">
        <v>2971</v>
      </c>
      <c r="B88" s="138">
        <v>-142662.16</v>
      </c>
      <c r="C88" s="135"/>
      <c r="D88" s="138">
        <v>-13244.04</v>
      </c>
      <c r="E88" s="135"/>
      <c r="F88" s="138">
        <v>0</v>
      </c>
      <c r="G88" s="135"/>
      <c r="H88" s="138">
        <v>0</v>
      </c>
      <c r="I88" s="135"/>
      <c r="J88" s="138">
        <v>0</v>
      </c>
      <c r="K88" s="135"/>
      <c r="L88" s="138">
        <v>0</v>
      </c>
      <c r="M88" s="135"/>
      <c r="N88" s="138">
        <v>0</v>
      </c>
      <c r="O88" s="135"/>
      <c r="P88" s="138">
        <v>0</v>
      </c>
      <c r="Q88" s="135"/>
      <c r="R88" s="138">
        <f t="shared" si="4"/>
        <v>-155906.20000000001</v>
      </c>
      <c r="S88" s="15"/>
      <c r="T88" s="15"/>
      <c r="U88" s="15"/>
    </row>
    <row r="89" spans="1:21" ht="12.75" customHeight="1" outlineLevel="1" x14ac:dyDescent="0.2">
      <c r="A89" s="3" t="s">
        <v>2972</v>
      </c>
      <c r="B89" s="138">
        <v>-44930.429999999993</v>
      </c>
      <c r="C89" s="135"/>
      <c r="D89" s="138">
        <v>-3606.24</v>
      </c>
      <c r="E89" s="135"/>
      <c r="F89" s="138">
        <v>0</v>
      </c>
      <c r="G89" s="135"/>
      <c r="H89" s="138">
        <v>0</v>
      </c>
      <c r="I89" s="135"/>
      <c r="J89" s="138">
        <v>0</v>
      </c>
      <c r="K89" s="135"/>
      <c r="L89" s="138">
        <v>0</v>
      </c>
      <c r="M89" s="135"/>
      <c r="N89" s="138">
        <v>0</v>
      </c>
      <c r="O89" s="135"/>
      <c r="P89" s="138">
        <v>0</v>
      </c>
      <c r="Q89" s="135"/>
      <c r="R89" s="138">
        <f t="shared" si="4"/>
        <v>-48536.669999999991</v>
      </c>
      <c r="S89" s="15"/>
      <c r="T89" s="15"/>
      <c r="U89" s="15"/>
    </row>
    <row r="90" spans="1:21" ht="12.75" customHeight="1" outlineLevel="1" x14ac:dyDescent="0.2">
      <c r="A90" s="3" t="s">
        <v>2973</v>
      </c>
      <c r="B90" s="138">
        <v>-44873.06</v>
      </c>
      <c r="C90" s="135"/>
      <c r="D90" s="138">
        <v>-3601.32</v>
      </c>
      <c r="E90" s="135"/>
      <c r="F90" s="138">
        <v>0</v>
      </c>
      <c r="G90" s="135"/>
      <c r="H90" s="138">
        <v>0</v>
      </c>
      <c r="I90" s="135"/>
      <c r="J90" s="138">
        <v>0</v>
      </c>
      <c r="K90" s="135"/>
      <c r="L90" s="138">
        <v>0</v>
      </c>
      <c r="M90" s="135"/>
      <c r="N90" s="138">
        <v>0</v>
      </c>
      <c r="O90" s="135"/>
      <c r="P90" s="138">
        <v>0</v>
      </c>
      <c r="Q90" s="135"/>
      <c r="R90" s="138">
        <f t="shared" si="4"/>
        <v>-48474.38</v>
      </c>
      <c r="S90" s="15"/>
      <c r="T90" s="15"/>
      <c r="U90" s="15"/>
    </row>
    <row r="91" spans="1:21" ht="12.75" customHeight="1" outlineLevel="1" x14ac:dyDescent="0.2">
      <c r="A91" s="3" t="s">
        <v>2974</v>
      </c>
      <c r="B91" s="138">
        <v>-135077.35</v>
      </c>
      <c r="C91" s="135"/>
      <c r="D91" s="138">
        <v>-12284.76</v>
      </c>
      <c r="E91" s="135"/>
      <c r="F91" s="138">
        <v>0</v>
      </c>
      <c r="G91" s="135"/>
      <c r="H91" s="138">
        <v>0</v>
      </c>
      <c r="I91" s="135"/>
      <c r="J91" s="138">
        <v>0</v>
      </c>
      <c r="K91" s="135"/>
      <c r="L91" s="138">
        <v>0</v>
      </c>
      <c r="M91" s="135"/>
      <c r="N91" s="138">
        <v>0</v>
      </c>
      <c r="O91" s="135"/>
      <c r="P91" s="138">
        <v>0</v>
      </c>
      <c r="Q91" s="135"/>
      <c r="R91" s="138">
        <f t="shared" si="4"/>
        <v>-147362.11000000002</v>
      </c>
      <c r="S91" s="15"/>
      <c r="T91" s="15"/>
      <c r="U91" s="15"/>
    </row>
    <row r="92" spans="1:21" ht="12.75" customHeight="1" outlineLevel="1" x14ac:dyDescent="0.2">
      <c r="A92" s="3" t="s">
        <v>2975</v>
      </c>
      <c r="B92" s="138">
        <v>-134547.72999999998</v>
      </c>
      <c r="C92" s="135"/>
      <c r="D92" s="138">
        <v>-12236.64</v>
      </c>
      <c r="E92" s="135"/>
      <c r="F92" s="138">
        <v>0</v>
      </c>
      <c r="G92" s="135"/>
      <c r="H92" s="138">
        <v>0</v>
      </c>
      <c r="I92" s="135"/>
      <c r="J92" s="138">
        <v>0</v>
      </c>
      <c r="K92" s="135"/>
      <c r="L92" s="138">
        <v>0</v>
      </c>
      <c r="M92" s="135"/>
      <c r="N92" s="138">
        <v>0</v>
      </c>
      <c r="O92" s="135"/>
      <c r="P92" s="138">
        <v>0</v>
      </c>
      <c r="Q92" s="135"/>
      <c r="R92" s="138">
        <f t="shared" si="4"/>
        <v>-146784.37</v>
      </c>
      <c r="S92" s="15"/>
      <c r="T92" s="15"/>
      <c r="U92" s="15"/>
    </row>
    <row r="93" spans="1:21" ht="12.75" customHeight="1" outlineLevel="1" x14ac:dyDescent="0.2">
      <c r="A93" s="3" t="s">
        <v>2976</v>
      </c>
      <c r="B93" s="138">
        <v>-137775.03999999998</v>
      </c>
      <c r="C93" s="135"/>
      <c r="D93" s="138">
        <v>-12670.8</v>
      </c>
      <c r="E93" s="135"/>
      <c r="F93" s="138">
        <v>0</v>
      </c>
      <c r="G93" s="135"/>
      <c r="H93" s="138">
        <v>0</v>
      </c>
      <c r="I93" s="135"/>
      <c r="J93" s="138">
        <v>0</v>
      </c>
      <c r="K93" s="135"/>
      <c r="L93" s="138">
        <v>0</v>
      </c>
      <c r="M93" s="135"/>
      <c r="N93" s="138">
        <v>0</v>
      </c>
      <c r="O93" s="135"/>
      <c r="P93" s="138">
        <v>0</v>
      </c>
      <c r="Q93" s="135"/>
      <c r="R93" s="138">
        <f t="shared" si="4"/>
        <v>-150445.83999999997</v>
      </c>
      <c r="S93" s="15"/>
      <c r="T93" s="15"/>
      <c r="U93" s="15"/>
    </row>
    <row r="94" spans="1:21" ht="12.75" customHeight="1" outlineLevel="1" x14ac:dyDescent="0.2">
      <c r="A94" s="3" t="s">
        <v>2977</v>
      </c>
      <c r="B94" s="138">
        <v>-910510.49</v>
      </c>
      <c r="C94" s="135"/>
      <c r="D94" s="138">
        <v>-67026.600000000006</v>
      </c>
      <c r="E94" s="135"/>
      <c r="F94" s="138">
        <v>0</v>
      </c>
      <c r="G94" s="135"/>
      <c r="H94" s="138">
        <v>0</v>
      </c>
      <c r="I94" s="135"/>
      <c r="J94" s="138">
        <v>0</v>
      </c>
      <c r="K94" s="135"/>
      <c r="L94" s="138">
        <v>0</v>
      </c>
      <c r="M94" s="135"/>
      <c r="N94" s="138">
        <v>0</v>
      </c>
      <c r="O94" s="135"/>
      <c r="P94" s="138">
        <v>0</v>
      </c>
      <c r="Q94" s="135"/>
      <c r="R94" s="138">
        <f t="shared" si="4"/>
        <v>-977537.09</v>
      </c>
      <c r="S94" s="15"/>
      <c r="T94" s="15"/>
      <c r="U94" s="15"/>
    </row>
    <row r="95" spans="1:21" ht="12.75" customHeight="1" outlineLevel="1" x14ac:dyDescent="0.2">
      <c r="A95" s="3" t="s">
        <v>2978</v>
      </c>
      <c r="B95" s="138">
        <v>0</v>
      </c>
      <c r="C95" s="135"/>
      <c r="D95" s="138">
        <v>0</v>
      </c>
      <c r="E95" s="135"/>
      <c r="F95" s="138">
        <v>0</v>
      </c>
      <c r="G95" s="135"/>
      <c r="H95" s="138">
        <v>0</v>
      </c>
      <c r="I95" s="135"/>
      <c r="J95" s="138">
        <v>0</v>
      </c>
      <c r="K95" s="135"/>
      <c r="L95" s="138">
        <v>0</v>
      </c>
      <c r="M95" s="135"/>
      <c r="N95" s="138">
        <v>0</v>
      </c>
      <c r="O95" s="135"/>
      <c r="P95" s="138">
        <v>0</v>
      </c>
      <c r="Q95" s="135"/>
      <c r="R95" s="138">
        <f t="shared" si="4"/>
        <v>0</v>
      </c>
      <c r="S95" s="15"/>
      <c r="T95" s="15"/>
      <c r="U95" s="15"/>
    </row>
    <row r="96" spans="1:21" ht="12.75" customHeight="1" outlineLevel="1" x14ac:dyDescent="0.2">
      <c r="A96" s="3" t="s">
        <v>2979</v>
      </c>
      <c r="B96" s="138">
        <v>-15657.759999999997</v>
      </c>
      <c r="C96" s="135"/>
      <c r="D96" s="138">
        <v>-899.88</v>
      </c>
      <c r="E96" s="135"/>
      <c r="F96" s="138">
        <v>0</v>
      </c>
      <c r="G96" s="135"/>
      <c r="H96" s="138">
        <v>0</v>
      </c>
      <c r="I96" s="135"/>
      <c r="J96" s="138">
        <v>0</v>
      </c>
      <c r="K96" s="135"/>
      <c r="L96" s="138">
        <v>0</v>
      </c>
      <c r="M96" s="135"/>
      <c r="N96" s="138">
        <v>0</v>
      </c>
      <c r="O96" s="135"/>
      <c r="P96" s="138">
        <v>0</v>
      </c>
      <c r="Q96" s="135"/>
      <c r="R96" s="138">
        <f t="shared" si="4"/>
        <v>-16557.639999999996</v>
      </c>
      <c r="S96" s="15"/>
      <c r="T96" s="15"/>
      <c r="U96" s="15"/>
    </row>
    <row r="97" spans="1:21" x14ac:dyDescent="0.2">
      <c r="A97" s="3" t="s">
        <v>2980</v>
      </c>
      <c r="B97" s="138">
        <f>SUM(B79:B96)</f>
        <v>-3955068.1900000004</v>
      </c>
      <c r="C97" s="135"/>
      <c r="D97" s="138">
        <f>SUM(D79:D96)</f>
        <v>-1068056.4899999998</v>
      </c>
      <c r="E97" s="135"/>
      <c r="F97" s="138">
        <f>SUM(F79:F96)</f>
        <v>0</v>
      </c>
      <c r="G97" s="135"/>
      <c r="H97" s="138">
        <f t="shared" ref="H97:R97" si="6">SUM(H79:H96)</f>
        <v>0</v>
      </c>
      <c r="I97" s="135"/>
      <c r="J97" s="138">
        <f t="shared" si="6"/>
        <v>0</v>
      </c>
      <c r="K97" s="135"/>
      <c r="L97" s="138">
        <f t="shared" si="6"/>
        <v>0</v>
      </c>
      <c r="M97" s="135"/>
      <c r="N97" s="138">
        <f t="shared" si="6"/>
        <v>0</v>
      </c>
      <c r="O97" s="135"/>
      <c r="P97" s="138">
        <f t="shared" si="6"/>
        <v>0</v>
      </c>
      <c r="Q97" s="135"/>
      <c r="R97" s="138">
        <f t="shared" si="6"/>
        <v>-5023124.68</v>
      </c>
      <c r="S97" s="15"/>
      <c r="T97" s="15"/>
      <c r="U97" s="15"/>
    </row>
    <row r="98" spans="1:21" ht="12.75" customHeight="1" outlineLevel="1" x14ac:dyDescent="0.2">
      <c r="A98" s="3" t="s">
        <v>2981</v>
      </c>
      <c r="B98" s="138">
        <v>-378544.17</v>
      </c>
      <c r="C98" s="135"/>
      <c r="D98" s="138">
        <v>-1290233.1000000001</v>
      </c>
      <c r="E98" s="135"/>
      <c r="F98" s="138">
        <v>0</v>
      </c>
      <c r="G98" s="135"/>
      <c r="H98" s="138">
        <v>0</v>
      </c>
      <c r="I98" s="135"/>
      <c r="J98" s="138">
        <v>0</v>
      </c>
      <c r="K98" s="135"/>
      <c r="L98" s="138">
        <v>0</v>
      </c>
      <c r="M98" s="135"/>
      <c r="N98" s="138">
        <v>0</v>
      </c>
      <c r="O98" s="135"/>
      <c r="P98" s="138">
        <v>0</v>
      </c>
      <c r="Q98" s="135"/>
      <c r="R98" s="138">
        <f t="shared" si="4"/>
        <v>-1668777.27</v>
      </c>
      <c r="S98" s="15"/>
      <c r="T98" s="15"/>
      <c r="U98" s="15"/>
    </row>
    <row r="99" spans="1:21" ht="12.75" customHeight="1" outlineLevel="1" x14ac:dyDescent="0.2">
      <c r="A99" s="3" t="s">
        <v>2982</v>
      </c>
      <c r="B99" s="138">
        <v>-7632280.4000000004</v>
      </c>
      <c r="C99" s="135"/>
      <c r="D99" s="138">
        <v>-688779.48</v>
      </c>
      <c r="E99" s="135"/>
      <c r="F99" s="138">
        <v>0</v>
      </c>
      <c r="G99" s="135"/>
      <c r="H99" s="138">
        <v>0</v>
      </c>
      <c r="I99" s="135"/>
      <c r="J99" s="138">
        <v>0</v>
      </c>
      <c r="K99" s="135"/>
      <c r="L99" s="138">
        <v>0</v>
      </c>
      <c r="M99" s="135"/>
      <c r="N99" s="138">
        <v>0</v>
      </c>
      <c r="O99" s="135"/>
      <c r="P99" s="138">
        <v>0</v>
      </c>
      <c r="Q99" s="135"/>
      <c r="R99" s="138">
        <f t="shared" si="4"/>
        <v>-8321059.8800000008</v>
      </c>
      <c r="S99" s="15"/>
      <c r="T99" s="15"/>
      <c r="U99" s="15"/>
    </row>
    <row r="100" spans="1:21" ht="12.75" customHeight="1" outlineLevel="1" x14ac:dyDescent="0.2">
      <c r="A100" s="22" t="s">
        <v>2983</v>
      </c>
      <c r="B100" s="138">
        <v>-6603730.3599999994</v>
      </c>
      <c r="C100" s="135"/>
      <c r="D100" s="138">
        <v>-1209605.5</v>
      </c>
      <c r="E100" s="135"/>
      <c r="F100" s="138">
        <v>13536.14</v>
      </c>
      <c r="G100" s="135"/>
      <c r="H100" s="138">
        <v>0</v>
      </c>
      <c r="I100" s="135"/>
      <c r="J100" s="138">
        <v>0</v>
      </c>
      <c r="K100" s="135"/>
      <c r="L100" s="138">
        <v>589.66999999999996</v>
      </c>
      <c r="M100" s="135"/>
      <c r="N100" s="138">
        <v>0</v>
      </c>
      <c r="O100" s="135"/>
      <c r="P100" s="138">
        <v>0</v>
      </c>
      <c r="Q100" s="135"/>
      <c r="R100" s="138">
        <f t="shared" si="4"/>
        <v>-7799210.0499999998</v>
      </c>
      <c r="S100" s="15"/>
      <c r="T100" s="15"/>
      <c r="U100" s="15"/>
    </row>
    <row r="101" spans="1:21" ht="12.75" customHeight="1" outlineLevel="1" x14ac:dyDescent="0.2">
      <c r="A101" s="3" t="s">
        <v>2984</v>
      </c>
      <c r="B101" s="138">
        <v>-8268374.8899999997</v>
      </c>
      <c r="C101" s="135"/>
      <c r="D101" s="138">
        <v>-927798.68</v>
      </c>
      <c r="E101" s="135"/>
      <c r="F101" s="138">
        <v>13536.14</v>
      </c>
      <c r="G101" s="135"/>
      <c r="H101" s="138">
        <v>0</v>
      </c>
      <c r="I101" s="135"/>
      <c r="J101" s="138">
        <v>0</v>
      </c>
      <c r="K101" s="135"/>
      <c r="L101" s="138">
        <v>589.66999999999996</v>
      </c>
      <c r="M101" s="135"/>
      <c r="N101" s="138">
        <v>0</v>
      </c>
      <c r="O101" s="135"/>
      <c r="P101" s="138">
        <v>0</v>
      </c>
      <c r="Q101" s="135"/>
      <c r="R101" s="138">
        <f t="shared" si="4"/>
        <v>-9182047.7599999998</v>
      </c>
      <c r="S101" s="15"/>
      <c r="T101" s="15"/>
      <c r="U101" s="15"/>
    </row>
    <row r="102" spans="1:21" ht="12.75" customHeight="1" outlineLevel="1" x14ac:dyDescent="0.2">
      <c r="A102" s="3" t="s">
        <v>2985</v>
      </c>
      <c r="B102" s="138">
        <v>-6701016.5600000015</v>
      </c>
      <c r="C102" s="135"/>
      <c r="D102" s="138">
        <v>-1009549.8</v>
      </c>
      <c r="E102" s="135"/>
      <c r="F102" s="138">
        <v>0</v>
      </c>
      <c r="G102" s="135"/>
      <c r="H102" s="138">
        <v>0</v>
      </c>
      <c r="I102" s="135"/>
      <c r="J102" s="138">
        <v>0</v>
      </c>
      <c r="K102" s="135"/>
      <c r="L102" s="138">
        <v>0</v>
      </c>
      <c r="M102" s="135"/>
      <c r="N102" s="138">
        <v>0</v>
      </c>
      <c r="O102" s="135"/>
      <c r="P102" s="138">
        <v>0</v>
      </c>
      <c r="Q102" s="135"/>
      <c r="R102" s="138">
        <f t="shared" si="4"/>
        <v>-7710566.3600000013</v>
      </c>
      <c r="S102" s="15"/>
      <c r="T102" s="15"/>
      <c r="U102" s="15"/>
    </row>
    <row r="103" spans="1:21" ht="12.75" customHeight="1" outlineLevel="1" x14ac:dyDescent="0.2">
      <c r="A103" s="3" t="s">
        <v>2986</v>
      </c>
      <c r="B103" s="138">
        <v>-4932353.6300000008</v>
      </c>
      <c r="C103" s="135"/>
      <c r="D103" s="138">
        <v>-591035.16</v>
      </c>
      <c r="E103" s="135"/>
      <c r="F103" s="138">
        <v>0</v>
      </c>
      <c r="G103" s="135"/>
      <c r="H103" s="138">
        <v>0</v>
      </c>
      <c r="I103" s="135"/>
      <c r="J103" s="138">
        <v>0</v>
      </c>
      <c r="K103" s="135"/>
      <c r="L103" s="138">
        <v>0</v>
      </c>
      <c r="M103" s="135"/>
      <c r="N103" s="138">
        <v>0</v>
      </c>
      <c r="O103" s="135"/>
      <c r="P103" s="138">
        <v>0</v>
      </c>
      <c r="Q103" s="135"/>
      <c r="R103" s="138">
        <f t="shared" si="4"/>
        <v>-5523388.790000001</v>
      </c>
      <c r="S103" s="15"/>
      <c r="T103" s="15"/>
      <c r="U103" s="15"/>
    </row>
    <row r="104" spans="1:21" ht="12.75" customHeight="1" outlineLevel="1" x14ac:dyDescent="0.2">
      <c r="A104" s="3" t="s">
        <v>2987</v>
      </c>
      <c r="B104" s="138">
        <v>-5680100.1100000013</v>
      </c>
      <c r="C104" s="135"/>
      <c r="D104" s="138">
        <v>-593529.37</v>
      </c>
      <c r="E104" s="135"/>
      <c r="F104" s="138">
        <v>0</v>
      </c>
      <c r="G104" s="135"/>
      <c r="H104" s="138">
        <v>0</v>
      </c>
      <c r="I104" s="135"/>
      <c r="J104" s="138">
        <v>0</v>
      </c>
      <c r="K104" s="135"/>
      <c r="L104" s="138">
        <v>0</v>
      </c>
      <c r="M104" s="135"/>
      <c r="N104" s="138">
        <v>0</v>
      </c>
      <c r="O104" s="135"/>
      <c r="P104" s="138">
        <v>0</v>
      </c>
      <c r="Q104" s="135"/>
      <c r="R104" s="138">
        <f t="shared" si="4"/>
        <v>-6273629.4800000014</v>
      </c>
      <c r="S104" s="15"/>
      <c r="T104" s="15"/>
      <c r="U104" s="15"/>
    </row>
    <row r="105" spans="1:21" ht="12.75" customHeight="1" outlineLevel="1" x14ac:dyDescent="0.2">
      <c r="A105" s="3" t="s">
        <v>2988</v>
      </c>
      <c r="B105" s="138">
        <v>-5621688.7600000007</v>
      </c>
      <c r="C105" s="135"/>
      <c r="D105" s="138">
        <v>-608478.32999999996</v>
      </c>
      <c r="E105" s="135"/>
      <c r="F105" s="138">
        <v>0</v>
      </c>
      <c r="G105" s="135"/>
      <c r="H105" s="138">
        <v>0</v>
      </c>
      <c r="I105" s="135"/>
      <c r="J105" s="138">
        <v>0</v>
      </c>
      <c r="K105" s="135"/>
      <c r="L105" s="138">
        <v>0</v>
      </c>
      <c r="M105" s="135"/>
      <c r="N105" s="138">
        <v>0</v>
      </c>
      <c r="O105" s="135"/>
      <c r="P105" s="138">
        <v>0</v>
      </c>
      <c r="Q105" s="135"/>
      <c r="R105" s="138">
        <f t="shared" si="4"/>
        <v>-6230167.0900000008</v>
      </c>
      <c r="S105" s="15"/>
      <c r="T105" s="15"/>
      <c r="U105" s="15"/>
    </row>
    <row r="106" spans="1:21" ht="12.75" customHeight="1" outlineLevel="1" x14ac:dyDescent="0.2">
      <c r="A106" s="3" t="s">
        <v>2989</v>
      </c>
      <c r="B106" s="138">
        <v>-5163653.79</v>
      </c>
      <c r="C106" s="135"/>
      <c r="D106" s="138">
        <v>-620925.12</v>
      </c>
      <c r="E106" s="135"/>
      <c r="F106" s="138">
        <v>0</v>
      </c>
      <c r="G106" s="135"/>
      <c r="H106" s="138">
        <v>0</v>
      </c>
      <c r="I106" s="135"/>
      <c r="J106" s="138">
        <v>0</v>
      </c>
      <c r="K106" s="135"/>
      <c r="L106" s="138">
        <v>0</v>
      </c>
      <c r="M106" s="135"/>
      <c r="N106" s="138">
        <v>0</v>
      </c>
      <c r="O106" s="135"/>
      <c r="P106" s="138">
        <v>0</v>
      </c>
      <c r="Q106" s="135"/>
      <c r="R106" s="138">
        <f t="shared" si="4"/>
        <v>-5784578.9100000001</v>
      </c>
      <c r="S106" s="15"/>
      <c r="T106" s="15"/>
      <c r="U106" s="15"/>
    </row>
    <row r="107" spans="1:21" ht="12.75" customHeight="1" outlineLevel="1" x14ac:dyDescent="0.2">
      <c r="A107" s="3" t="s">
        <v>2990</v>
      </c>
      <c r="B107" s="138">
        <v>-4838616.6600000011</v>
      </c>
      <c r="C107" s="135"/>
      <c r="D107" s="138">
        <v>-594231.36</v>
      </c>
      <c r="E107" s="135"/>
      <c r="F107" s="138">
        <v>0</v>
      </c>
      <c r="G107" s="135"/>
      <c r="H107" s="138">
        <v>0</v>
      </c>
      <c r="I107" s="135"/>
      <c r="J107" s="138">
        <v>0</v>
      </c>
      <c r="K107" s="135"/>
      <c r="L107" s="138">
        <v>0</v>
      </c>
      <c r="M107" s="135"/>
      <c r="N107" s="138">
        <v>0</v>
      </c>
      <c r="O107" s="135"/>
      <c r="P107" s="138">
        <v>0</v>
      </c>
      <c r="Q107" s="135"/>
      <c r="R107" s="138">
        <f t="shared" si="4"/>
        <v>-5432848.0200000014</v>
      </c>
      <c r="S107" s="15"/>
      <c r="T107" s="15"/>
      <c r="U107" s="15"/>
    </row>
    <row r="108" spans="1:21" ht="12.75" customHeight="1" outlineLevel="1" x14ac:dyDescent="0.2">
      <c r="A108" s="3" t="s">
        <v>2991</v>
      </c>
      <c r="B108" s="138">
        <v>-4969810.7200000007</v>
      </c>
      <c r="C108" s="135"/>
      <c r="D108" s="138">
        <v>-592831.80000000005</v>
      </c>
      <c r="E108" s="135"/>
      <c r="F108" s="138">
        <v>0</v>
      </c>
      <c r="G108" s="135"/>
      <c r="H108" s="138">
        <v>0</v>
      </c>
      <c r="I108" s="135"/>
      <c r="J108" s="138">
        <v>0</v>
      </c>
      <c r="K108" s="135"/>
      <c r="L108" s="138">
        <v>0</v>
      </c>
      <c r="M108" s="135"/>
      <c r="N108" s="138">
        <v>0</v>
      </c>
      <c r="O108" s="135"/>
      <c r="P108" s="138">
        <v>0</v>
      </c>
      <c r="Q108" s="135"/>
      <c r="R108" s="138">
        <f t="shared" si="4"/>
        <v>-5562642.5200000005</v>
      </c>
      <c r="S108" s="15"/>
      <c r="T108" s="15"/>
      <c r="U108" s="15"/>
    </row>
    <row r="109" spans="1:21" ht="12.75" customHeight="1" outlineLevel="1" x14ac:dyDescent="0.2">
      <c r="A109" s="3" t="s">
        <v>2992</v>
      </c>
      <c r="B109" s="138">
        <v>0</v>
      </c>
      <c r="C109" s="135"/>
      <c r="D109" s="138">
        <v>0</v>
      </c>
      <c r="E109" s="135"/>
      <c r="F109" s="138">
        <v>0</v>
      </c>
      <c r="G109" s="135"/>
      <c r="H109" s="138">
        <v>0</v>
      </c>
      <c r="I109" s="135"/>
      <c r="J109" s="138">
        <v>0</v>
      </c>
      <c r="K109" s="135"/>
      <c r="L109" s="138">
        <v>0</v>
      </c>
      <c r="M109" s="135"/>
      <c r="N109" s="138">
        <v>0</v>
      </c>
      <c r="O109" s="135"/>
      <c r="P109" s="138">
        <v>0</v>
      </c>
      <c r="Q109" s="135"/>
      <c r="R109" s="138">
        <f t="shared" si="4"/>
        <v>0</v>
      </c>
      <c r="S109" s="15"/>
      <c r="T109" s="15"/>
      <c r="U109" s="15"/>
    </row>
    <row r="110" spans="1:21" x14ac:dyDescent="0.2">
      <c r="A110" s="3" t="s">
        <v>2993</v>
      </c>
      <c r="B110" s="138">
        <f>SUM(B98:B109)</f>
        <v>-60790170.050000004</v>
      </c>
      <c r="C110" s="135"/>
      <c r="D110" s="138">
        <f>SUM(D98:D109)</f>
        <v>-8726997.7000000011</v>
      </c>
      <c r="E110" s="135"/>
      <c r="F110" s="138">
        <f>SUM(F98:F109)</f>
        <v>27072.28</v>
      </c>
      <c r="G110" s="135"/>
      <c r="H110" s="138">
        <f>SUM(H98:H109)</f>
        <v>0</v>
      </c>
      <c r="I110" s="135"/>
      <c r="J110" s="138">
        <f>SUM(J98:J109)</f>
        <v>0</v>
      </c>
      <c r="K110" s="135"/>
      <c r="L110" s="138">
        <f>SUM(L98:L109)</f>
        <v>1179.3399999999999</v>
      </c>
      <c r="M110" s="135"/>
      <c r="N110" s="138">
        <f>SUM(N98:N109)</f>
        <v>0</v>
      </c>
      <c r="O110" s="135"/>
      <c r="P110" s="138">
        <f>SUM(P98:P109)</f>
        <v>0</v>
      </c>
      <c r="Q110" s="135"/>
      <c r="R110" s="138">
        <f>SUM(R98:R109)</f>
        <v>-69488916.13000001</v>
      </c>
      <c r="S110" s="15"/>
      <c r="T110" s="15"/>
      <c r="U110" s="15"/>
    </row>
    <row r="111" spans="1:21" ht="12.75" customHeight="1" outlineLevel="1" x14ac:dyDescent="0.2">
      <c r="A111" s="3" t="s">
        <v>2994</v>
      </c>
      <c r="B111" s="138">
        <v>-2616010.0199999996</v>
      </c>
      <c r="C111" s="135"/>
      <c r="D111" s="138">
        <v>-138521.76</v>
      </c>
      <c r="E111" s="135"/>
      <c r="F111" s="138">
        <v>0</v>
      </c>
      <c r="G111" s="135"/>
      <c r="H111" s="138">
        <v>0</v>
      </c>
      <c r="I111" s="135"/>
      <c r="J111" s="138">
        <v>0</v>
      </c>
      <c r="K111" s="135"/>
      <c r="L111" s="138">
        <v>0</v>
      </c>
      <c r="M111" s="135"/>
      <c r="N111" s="138">
        <v>0</v>
      </c>
      <c r="O111" s="135"/>
      <c r="P111" s="138">
        <v>0</v>
      </c>
      <c r="Q111" s="135"/>
      <c r="R111" s="138">
        <f t="shared" si="4"/>
        <v>-2754531.7799999993</v>
      </c>
      <c r="S111" s="15"/>
      <c r="T111" s="15"/>
      <c r="U111" s="15"/>
    </row>
    <row r="112" spans="1:21" ht="12.75" customHeight="1" outlineLevel="1" x14ac:dyDescent="0.2">
      <c r="A112" s="3" t="s">
        <v>2995</v>
      </c>
      <c r="B112" s="138">
        <v>-532374.72</v>
      </c>
      <c r="C112" s="135"/>
      <c r="D112" s="138">
        <v>-764719.9</v>
      </c>
      <c r="E112" s="135"/>
      <c r="F112" s="138">
        <v>0</v>
      </c>
      <c r="G112" s="135"/>
      <c r="H112" s="138">
        <v>0</v>
      </c>
      <c r="I112" s="135"/>
      <c r="J112" s="138">
        <v>0</v>
      </c>
      <c r="K112" s="135"/>
      <c r="L112" s="138">
        <v>0</v>
      </c>
      <c r="M112" s="135"/>
      <c r="N112" s="138">
        <v>0</v>
      </c>
      <c r="O112" s="135"/>
      <c r="P112" s="138">
        <v>0</v>
      </c>
      <c r="Q112" s="135"/>
      <c r="R112" s="138">
        <f t="shared" si="4"/>
        <v>-1297094.6200000001</v>
      </c>
      <c r="S112" s="15"/>
      <c r="T112" s="15"/>
      <c r="U112" s="15"/>
    </row>
    <row r="113" spans="1:21" ht="12.75" customHeight="1" outlineLevel="1" x14ac:dyDescent="0.2">
      <c r="A113" s="3" t="s">
        <v>2996</v>
      </c>
      <c r="B113" s="138">
        <v>-1522393.2999999998</v>
      </c>
      <c r="C113" s="135"/>
      <c r="D113" s="138">
        <v>-118125.84</v>
      </c>
      <c r="E113" s="135"/>
      <c r="F113" s="138">
        <v>0</v>
      </c>
      <c r="G113" s="135"/>
      <c r="H113" s="138">
        <v>0</v>
      </c>
      <c r="I113" s="135"/>
      <c r="J113" s="138">
        <v>0</v>
      </c>
      <c r="K113" s="135"/>
      <c r="L113" s="138">
        <v>0</v>
      </c>
      <c r="M113" s="135"/>
      <c r="N113" s="138">
        <v>0</v>
      </c>
      <c r="O113" s="135"/>
      <c r="P113" s="138">
        <v>0</v>
      </c>
      <c r="Q113" s="135"/>
      <c r="R113" s="138">
        <f t="shared" si="4"/>
        <v>-1640519.14</v>
      </c>
      <c r="S113" s="15"/>
      <c r="T113" s="15"/>
      <c r="U113" s="15"/>
    </row>
    <row r="114" spans="1:21" ht="12.75" customHeight="1" outlineLevel="1" x14ac:dyDescent="0.2">
      <c r="A114" s="3" t="s">
        <v>2997</v>
      </c>
      <c r="B114" s="138">
        <v>-1241240.5900000001</v>
      </c>
      <c r="C114" s="135"/>
      <c r="D114" s="138">
        <v>-92506.92</v>
      </c>
      <c r="E114" s="135"/>
      <c r="F114" s="138">
        <v>0</v>
      </c>
      <c r="G114" s="135"/>
      <c r="H114" s="138">
        <v>0</v>
      </c>
      <c r="I114" s="135"/>
      <c r="J114" s="138">
        <v>0</v>
      </c>
      <c r="K114" s="135"/>
      <c r="L114" s="138">
        <v>0</v>
      </c>
      <c r="M114" s="135"/>
      <c r="N114" s="138">
        <v>0</v>
      </c>
      <c r="O114" s="135"/>
      <c r="P114" s="138">
        <v>0</v>
      </c>
      <c r="Q114" s="135"/>
      <c r="R114" s="138">
        <f t="shared" si="4"/>
        <v>-1333747.51</v>
      </c>
      <c r="S114" s="15"/>
      <c r="T114" s="15"/>
      <c r="U114" s="15"/>
    </row>
    <row r="115" spans="1:21" ht="12.75" customHeight="1" outlineLevel="1" x14ac:dyDescent="0.2">
      <c r="A115" s="3" t="s">
        <v>2998</v>
      </c>
      <c r="B115" s="138">
        <v>-1223482.2000000002</v>
      </c>
      <c r="C115" s="135"/>
      <c r="D115" s="138">
        <v>-93845.88</v>
      </c>
      <c r="E115" s="135"/>
      <c r="F115" s="138">
        <v>0</v>
      </c>
      <c r="G115" s="135"/>
      <c r="H115" s="138">
        <v>0</v>
      </c>
      <c r="I115" s="135"/>
      <c r="J115" s="138">
        <v>0</v>
      </c>
      <c r="K115" s="135"/>
      <c r="L115" s="138">
        <v>0</v>
      </c>
      <c r="M115" s="135"/>
      <c r="N115" s="138">
        <v>0</v>
      </c>
      <c r="O115" s="135"/>
      <c r="P115" s="138">
        <v>0</v>
      </c>
      <c r="Q115" s="135"/>
      <c r="R115" s="138">
        <f t="shared" si="4"/>
        <v>-1317328.08</v>
      </c>
      <c r="S115" s="15"/>
      <c r="T115" s="15"/>
      <c r="U115" s="15"/>
    </row>
    <row r="116" spans="1:21" ht="12.75" customHeight="1" outlineLevel="1" x14ac:dyDescent="0.2">
      <c r="A116" s="3" t="s">
        <v>2999</v>
      </c>
      <c r="B116" s="138">
        <v>0</v>
      </c>
      <c r="C116" s="135"/>
      <c r="D116" s="138">
        <v>-200914.11</v>
      </c>
      <c r="E116" s="135"/>
      <c r="F116" s="138">
        <v>0</v>
      </c>
      <c r="G116" s="135"/>
      <c r="H116" s="138">
        <v>-8284.83</v>
      </c>
      <c r="I116" s="135"/>
      <c r="J116" s="138">
        <v>0</v>
      </c>
      <c r="K116" s="135"/>
      <c r="L116" s="138">
        <v>0</v>
      </c>
      <c r="M116" s="135"/>
      <c r="N116" s="138">
        <v>0</v>
      </c>
      <c r="O116" s="135"/>
      <c r="P116" s="138">
        <v>0</v>
      </c>
      <c r="Q116" s="135"/>
      <c r="R116" s="138">
        <f t="shared" si="4"/>
        <v>-209198.93999999997</v>
      </c>
      <c r="S116" s="15"/>
      <c r="T116" s="15"/>
      <c r="U116" s="15"/>
    </row>
    <row r="117" spans="1:21" ht="12.75" customHeight="1" outlineLevel="1" x14ac:dyDescent="0.2">
      <c r="A117" s="3" t="s">
        <v>3000</v>
      </c>
      <c r="B117" s="138">
        <v>-1694423.0200000003</v>
      </c>
      <c r="C117" s="135"/>
      <c r="D117" s="138">
        <v>0</v>
      </c>
      <c r="E117" s="135"/>
      <c r="F117" s="138">
        <v>0</v>
      </c>
      <c r="G117" s="135"/>
      <c r="H117" s="138">
        <v>0</v>
      </c>
      <c r="I117" s="135"/>
      <c r="J117" s="138">
        <v>0</v>
      </c>
      <c r="K117" s="135"/>
      <c r="L117" s="138">
        <v>0</v>
      </c>
      <c r="M117" s="135"/>
      <c r="N117" s="138">
        <v>0</v>
      </c>
      <c r="O117" s="135"/>
      <c r="P117" s="138">
        <v>0</v>
      </c>
      <c r="Q117" s="135"/>
      <c r="R117" s="138">
        <f t="shared" si="4"/>
        <v>-1694423.0200000003</v>
      </c>
      <c r="S117" s="15"/>
      <c r="T117" s="15"/>
      <c r="U117" s="15"/>
    </row>
    <row r="118" spans="1:21" ht="12.75" customHeight="1" outlineLevel="1" x14ac:dyDescent="0.2">
      <c r="A118" s="3" t="s">
        <v>3001</v>
      </c>
      <c r="B118" s="138">
        <v>-3424975.0799999996</v>
      </c>
      <c r="C118" s="135"/>
      <c r="D118" s="138">
        <v>0</v>
      </c>
      <c r="E118" s="135"/>
      <c r="F118" s="138">
        <v>0</v>
      </c>
      <c r="G118" s="135"/>
      <c r="H118" s="138">
        <v>0</v>
      </c>
      <c r="I118" s="135"/>
      <c r="J118" s="138">
        <v>0</v>
      </c>
      <c r="K118" s="135"/>
      <c r="L118" s="138">
        <v>0</v>
      </c>
      <c r="M118" s="135"/>
      <c r="N118" s="138">
        <v>0</v>
      </c>
      <c r="O118" s="135"/>
      <c r="P118" s="138">
        <v>0</v>
      </c>
      <c r="Q118" s="135"/>
      <c r="R118" s="138">
        <f t="shared" si="4"/>
        <v>-3424975.0799999996</v>
      </c>
      <c r="S118" s="15"/>
      <c r="T118" s="15"/>
      <c r="U118" s="15"/>
    </row>
    <row r="119" spans="1:21" ht="12.75" customHeight="1" outlineLevel="1" x14ac:dyDescent="0.2">
      <c r="A119" s="3" t="s">
        <v>3002</v>
      </c>
      <c r="B119" s="138">
        <v>-2557436.0500000003</v>
      </c>
      <c r="C119" s="135"/>
      <c r="D119" s="138">
        <v>-200304</v>
      </c>
      <c r="E119" s="135"/>
      <c r="F119" s="138">
        <v>0</v>
      </c>
      <c r="G119" s="135"/>
      <c r="H119" s="138">
        <v>0</v>
      </c>
      <c r="I119" s="135"/>
      <c r="J119" s="138">
        <v>0</v>
      </c>
      <c r="K119" s="135"/>
      <c r="L119" s="138">
        <v>0</v>
      </c>
      <c r="M119" s="135"/>
      <c r="N119" s="138">
        <v>0</v>
      </c>
      <c r="O119" s="135"/>
      <c r="P119" s="138">
        <v>0</v>
      </c>
      <c r="Q119" s="135"/>
      <c r="R119" s="138">
        <f t="shared" si="4"/>
        <v>-2757740.0500000003</v>
      </c>
      <c r="S119" s="15"/>
      <c r="T119" s="15"/>
      <c r="U119" s="15"/>
    </row>
    <row r="120" spans="1:21" ht="12.75" customHeight="1" outlineLevel="1" x14ac:dyDescent="0.2">
      <c r="A120" s="3" t="s">
        <v>3003</v>
      </c>
      <c r="B120" s="138">
        <v>-671327.59000000008</v>
      </c>
      <c r="C120" s="135"/>
      <c r="D120" s="138">
        <v>-60386.879999999997</v>
      </c>
      <c r="E120" s="135"/>
      <c r="F120" s="138">
        <v>0</v>
      </c>
      <c r="G120" s="135"/>
      <c r="H120" s="138">
        <v>0</v>
      </c>
      <c r="I120" s="135"/>
      <c r="J120" s="138">
        <v>0</v>
      </c>
      <c r="K120" s="135"/>
      <c r="L120" s="138">
        <v>0</v>
      </c>
      <c r="M120" s="135"/>
      <c r="N120" s="138">
        <v>0</v>
      </c>
      <c r="O120" s="135"/>
      <c r="P120" s="138">
        <v>0</v>
      </c>
      <c r="Q120" s="135"/>
      <c r="R120" s="138">
        <f t="shared" si="4"/>
        <v>-731714.47000000009</v>
      </c>
      <c r="S120" s="15"/>
      <c r="T120" s="15"/>
      <c r="U120" s="15"/>
    </row>
    <row r="121" spans="1:21" ht="12.75" customHeight="1" outlineLevel="1" x14ac:dyDescent="0.2">
      <c r="A121" s="3" t="s">
        <v>3004</v>
      </c>
      <c r="B121" s="138">
        <v>-694347.87999999989</v>
      </c>
      <c r="C121" s="135"/>
      <c r="D121" s="138">
        <v>-54462.51</v>
      </c>
      <c r="E121" s="135"/>
      <c r="F121" s="138">
        <v>0</v>
      </c>
      <c r="G121" s="135"/>
      <c r="H121" s="138">
        <v>0</v>
      </c>
      <c r="I121" s="135"/>
      <c r="J121" s="138">
        <v>0</v>
      </c>
      <c r="K121" s="135"/>
      <c r="L121" s="138">
        <v>0</v>
      </c>
      <c r="M121" s="135"/>
      <c r="N121" s="138">
        <v>0</v>
      </c>
      <c r="O121" s="135"/>
      <c r="P121" s="138">
        <v>0</v>
      </c>
      <c r="Q121" s="135"/>
      <c r="R121" s="138">
        <f t="shared" si="4"/>
        <v>-748810.3899999999</v>
      </c>
      <c r="S121" s="15"/>
      <c r="T121" s="15"/>
      <c r="U121" s="15"/>
    </row>
    <row r="122" spans="1:21" ht="12.75" customHeight="1" outlineLevel="1" x14ac:dyDescent="0.2">
      <c r="A122" s="3" t="s">
        <v>3005</v>
      </c>
      <c r="B122" s="138">
        <v>-693467.07000000007</v>
      </c>
      <c r="C122" s="135"/>
      <c r="D122" s="138">
        <v>-54382.84</v>
      </c>
      <c r="E122" s="135"/>
      <c r="F122" s="138">
        <v>0</v>
      </c>
      <c r="G122" s="135"/>
      <c r="H122" s="138">
        <v>0</v>
      </c>
      <c r="I122" s="135"/>
      <c r="J122" s="138">
        <v>0</v>
      </c>
      <c r="K122" s="135"/>
      <c r="L122" s="138">
        <v>0</v>
      </c>
      <c r="M122" s="135"/>
      <c r="N122" s="138">
        <v>0</v>
      </c>
      <c r="O122" s="135"/>
      <c r="P122" s="138">
        <v>0</v>
      </c>
      <c r="Q122" s="135"/>
      <c r="R122" s="138">
        <f t="shared" si="4"/>
        <v>-747849.91</v>
      </c>
      <c r="S122" s="15"/>
      <c r="T122" s="15"/>
      <c r="U122" s="15"/>
    </row>
    <row r="123" spans="1:21" ht="12.75" customHeight="1" outlineLevel="1" x14ac:dyDescent="0.2">
      <c r="A123" s="3" t="s">
        <v>3006</v>
      </c>
      <c r="B123" s="138">
        <v>-677221.47</v>
      </c>
      <c r="C123" s="135"/>
      <c r="D123" s="138">
        <v>-60356.4</v>
      </c>
      <c r="E123" s="135"/>
      <c r="F123" s="138">
        <v>0</v>
      </c>
      <c r="G123" s="135"/>
      <c r="H123" s="138">
        <v>0</v>
      </c>
      <c r="I123" s="135"/>
      <c r="J123" s="138">
        <v>0</v>
      </c>
      <c r="K123" s="135"/>
      <c r="L123" s="138">
        <v>0</v>
      </c>
      <c r="M123" s="135"/>
      <c r="N123" s="138">
        <v>0</v>
      </c>
      <c r="O123" s="135"/>
      <c r="P123" s="138">
        <v>0</v>
      </c>
      <c r="Q123" s="135"/>
      <c r="R123" s="138">
        <f t="shared" si="4"/>
        <v>-737577.87</v>
      </c>
      <c r="S123" s="15"/>
      <c r="T123" s="15"/>
      <c r="U123" s="15"/>
    </row>
    <row r="124" spans="1:21" ht="12.75" customHeight="1" outlineLevel="1" x14ac:dyDescent="0.2">
      <c r="A124" s="3" t="s">
        <v>3007</v>
      </c>
      <c r="B124" s="138">
        <v>-673489.52</v>
      </c>
      <c r="C124" s="135"/>
      <c r="D124" s="138">
        <v>-60026.04</v>
      </c>
      <c r="E124" s="135"/>
      <c r="F124" s="138">
        <v>0</v>
      </c>
      <c r="G124" s="135"/>
      <c r="H124" s="138">
        <v>0</v>
      </c>
      <c r="I124" s="135"/>
      <c r="J124" s="138">
        <v>0</v>
      </c>
      <c r="K124" s="135"/>
      <c r="L124" s="138">
        <v>0</v>
      </c>
      <c r="M124" s="135"/>
      <c r="N124" s="138">
        <v>0</v>
      </c>
      <c r="O124" s="135"/>
      <c r="P124" s="138">
        <v>0</v>
      </c>
      <c r="Q124" s="135"/>
      <c r="R124" s="138">
        <f t="shared" si="4"/>
        <v>-733515.56</v>
      </c>
      <c r="S124" s="15"/>
      <c r="T124" s="15"/>
      <c r="U124" s="15"/>
    </row>
    <row r="125" spans="1:21" ht="12.75" customHeight="1" outlineLevel="1" x14ac:dyDescent="0.2">
      <c r="A125" s="3" t="s">
        <v>3008</v>
      </c>
      <c r="B125" s="138">
        <v>-673269.56</v>
      </c>
      <c r="C125" s="135"/>
      <c r="D125" s="138">
        <v>-68678.78</v>
      </c>
      <c r="E125" s="135"/>
      <c r="F125" s="138">
        <v>36542.69</v>
      </c>
      <c r="G125" s="135"/>
      <c r="H125" s="138">
        <v>0</v>
      </c>
      <c r="I125" s="135"/>
      <c r="J125" s="138">
        <v>0</v>
      </c>
      <c r="K125" s="135"/>
      <c r="L125" s="138">
        <v>0</v>
      </c>
      <c r="M125" s="135"/>
      <c r="N125" s="138">
        <v>0</v>
      </c>
      <c r="O125" s="135"/>
      <c r="P125" s="138">
        <v>0</v>
      </c>
      <c r="Q125" s="135"/>
      <c r="R125" s="138">
        <f t="shared" si="4"/>
        <v>-705405.65000000014</v>
      </c>
      <c r="S125" s="15"/>
      <c r="T125" s="15"/>
      <c r="U125" s="15"/>
    </row>
    <row r="126" spans="1:21" ht="12.75" customHeight="1" outlineLevel="1" x14ac:dyDescent="0.2">
      <c r="A126" s="3" t="s">
        <v>3009</v>
      </c>
      <c r="B126" s="138">
        <v>0</v>
      </c>
      <c r="C126" s="135"/>
      <c r="D126" s="138">
        <v>0</v>
      </c>
      <c r="E126" s="135"/>
      <c r="F126" s="138">
        <v>0</v>
      </c>
      <c r="G126" s="135"/>
      <c r="H126" s="138">
        <v>0</v>
      </c>
      <c r="I126" s="135"/>
      <c r="J126" s="138">
        <v>0</v>
      </c>
      <c r="K126" s="135"/>
      <c r="L126" s="138">
        <v>0</v>
      </c>
      <c r="M126" s="135"/>
      <c r="N126" s="138">
        <v>0</v>
      </c>
      <c r="O126" s="135"/>
      <c r="P126" s="138">
        <v>0</v>
      </c>
      <c r="Q126" s="135"/>
      <c r="R126" s="138">
        <f t="shared" si="4"/>
        <v>0</v>
      </c>
      <c r="S126" s="15"/>
      <c r="T126" s="15"/>
      <c r="U126" s="15"/>
    </row>
    <row r="127" spans="1:21" ht="12.75" customHeight="1" outlineLevel="1" x14ac:dyDescent="0.2">
      <c r="A127" s="3" t="s">
        <v>3010</v>
      </c>
      <c r="B127" s="138">
        <v>-2011678.3499999999</v>
      </c>
      <c r="C127" s="135"/>
      <c r="D127" s="138">
        <v>0</v>
      </c>
      <c r="E127" s="135"/>
      <c r="F127" s="138">
        <v>4266.3</v>
      </c>
      <c r="G127" s="135"/>
      <c r="H127" s="138">
        <v>0</v>
      </c>
      <c r="I127" s="135"/>
      <c r="J127" s="138">
        <v>0</v>
      </c>
      <c r="K127" s="135"/>
      <c r="L127" s="138">
        <v>-0.01</v>
      </c>
      <c r="M127" s="135"/>
      <c r="N127" s="138">
        <v>-1.48</v>
      </c>
      <c r="O127" s="135"/>
      <c r="P127" s="138">
        <v>0</v>
      </c>
      <c r="Q127" s="135"/>
      <c r="R127" s="138">
        <f t="shared" si="4"/>
        <v>-2007413.5399999998</v>
      </c>
      <c r="S127" s="15"/>
      <c r="T127" s="15"/>
      <c r="U127" s="15"/>
    </row>
    <row r="128" spans="1:21" x14ac:dyDescent="0.2">
      <c r="A128" s="3" t="s">
        <v>3011</v>
      </c>
      <c r="B128" s="138">
        <f>SUM(B111:B127)</f>
        <v>-20907136.419999998</v>
      </c>
      <c r="C128" s="135"/>
      <c r="D128" s="138">
        <f>SUM(D111:D127)</f>
        <v>-1967231.8599999996</v>
      </c>
      <c r="E128" s="135"/>
      <c r="F128" s="138">
        <f>SUM(F111:F127)</f>
        <v>40808.990000000005</v>
      </c>
      <c r="G128" s="135"/>
      <c r="H128" s="138">
        <f>SUM(H111:H127)</f>
        <v>-8284.83</v>
      </c>
      <c r="I128" s="135"/>
      <c r="J128" s="138">
        <f>SUM(J111:J127)</f>
        <v>0</v>
      </c>
      <c r="K128" s="135"/>
      <c r="L128" s="138">
        <f>SUM(L111:L127)</f>
        <v>-0.01</v>
      </c>
      <c r="M128" s="135"/>
      <c r="N128" s="138">
        <f>SUM(N111:N127)</f>
        <v>-1.48</v>
      </c>
      <c r="O128" s="138"/>
      <c r="P128" s="138">
        <f>SUM(P111:P127)</f>
        <v>0</v>
      </c>
      <c r="Q128" s="135"/>
      <c r="R128" s="138">
        <f>SUM(R111:R127)</f>
        <v>-22841845.609999996</v>
      </c>
      <c r="S128" s="15"/>
      <c r="T128" s="15"/>
      <c r="U128" s="15"/>
    </row>
    <row r="129" spans="1:21" ht="12.75" customHeight="1" outlineLevel="1" x14ac:dyDescent="0.2">
      <c r="A129" s="3" t="s">
        <v>3012</v>
      </c>
      <c r="B129" s="138">
        <v>-130386.07</v>
      </c>
      <c r="C129" s="135"/>
      <c r="D129" s="138">
        <v>0</v>
      </c>
      <c r="E129" s="135"/>
      <c r="F129" s="138">
        <v>0</v>
      </c>
      <c r="G129" s="135"/>
      <c r="H129" s="138">
        <v>0</v>
      </c>
      <c r="I129" s="135"/>
      <c r="J129" s="138">
        <v>0</v>
      </c>
      <c r="K129" s="135"/>
      <c r="L129" s="138">
        <v>0</v>
      </c>
      <c r="M129" s="135"/>
      <c r="N129" s="138">
        <v>0</v>
      </c>
      <c r="O129" s="135"/>
      <c r="P129" s="138">
        <v>0</v>
      </c>
      <c r="Q129" s="135"/>
      <c r="R129" s="138">
        <f t="shared" si="4"/>
        <v>-130386.07</v>
      </c>
      <c r="S129" s="15"/>
      <c r="T129" s="15"/>
      <c r="U129" s="15"/>
    </row>
    <row r="130" spans="1:21" ht="12.75" customHeight="1" outlineLevel="1" x14ac:dyDescent="0.2">
      <c r="A130" s="3" t="s">
        <v>3013</v>
      </c>
      <c r="B130" s="138">
        <v>-117860.93</v>
      </c>
      <c r="C130" s="135"/>
      <c r="D130" s="138">
        <v>-187225.41</v>
      </c>
      <c r="E130" s="135"/>
      <c r="F130" s="138">
        <v>0</v>
      </c>
      <c r="G130" s="135"/>
      <c r="H130" s="138">
        <v>0</v>
      </c>
      <c r="I130" s="135"/>
      <c r="J130" s="138">
        <v>0</v>
      </c>
      <c r="K130" s="135"/>
      <c r="L130" s="138">
        <v>0</v>
      </c>
      <c r="M130" s="135"/>
      <c r="N130" s="138">
        <v>0</v>
      </c>
      <c r="O130" s="135"/>
      <c r="P130" s="138">
        <v>0</v>
      </c>
      <c r="Q130" s="135"/>
      <c r="R130" s="138">
        <f t="shared" si="4"/>
        <v>-305086.33999999997</v>
      </c>
      <c r="S130" s="15"/>
      <c r="T130" s="15"/>
      <c r="U130" s="15"/>
    </row>
    <row r="131" spans="1:21" ht="12.75" customHeight="1" outlineLevel="1" x14ac:dyDescent="0.2">
      <c r="A131" s="3" t="s">
        <v>3014</v>
      </c>
      <c r="B131" s="138">
        <v>-1277246.7999999998</v>
      </c>
      <c r="C131" s="135"/>
      <c r="D131" s="138">
        <v>-93685.440000000002</v>
      </c>
      <c r="E131" s="135"/>
      <c r="F131" s="138">
        <v>0</v>
      </c>
      <c r="G131" s="135"/>
      <c r="H131" s="138">
        <v>0</v>
      </c>
      <c r="I131" s="135"/>
      <c r="J131" s="138">
        <v>0</v>
      </c>
      <c r="K131" s="135"/>
      <c r="L131" s="138">
        <v>0</v>
      </c>
      <c r="M131" s="135"/>
      <c r="N131" s="138">
        <v>0</v>
      </c>
      <c r="O131" s="135"/>
      <c r="P131" s="138">
        <v>0</v>
      </c>
      <c r="Q131" s="135"/>
      <c r="R131" s="138">
        <f t="shared" si="4"/>
        <v>-1370932.2399999998</v>
      </c>
      <c r="S131" s="15"/>
      <c r="T131" s="15"/>
      <c r="U131" s="15"/>
    </row>
    <row r="132" spans="1:21" ht="12.75" customHeight="1" outlineLevel="1" x14ac:dyDescent="0.2">
      <c r="A132" s="3" t="s">
        <v>3015</v>
      </c>
      <c r="B132" s="138">
        <v>-494081.62</v>
      </c>
      <c r="C132" s="135"/>
      <c r="D132" s="138">
        <v>-38303.760000000002</v>
      </c>
      <c r="E132" s="135"/>
      <c r="F132" s="138">
        <v>0</v>
      </c>
      <c r="G132" s="135"/>
      <c r="H132" s="138">
        <v>0</v>
      </c>
      <c r="I132" s="135"/>
      <c r="J132" s="138">
        <v>0</v>
      </c>
      <c r="K132" s="135"/>
      <c r="L132" s="138">
        <v>0</v>
      </c>
      <c r="M132" s="135"/>
      <c r="N132" s="138">
        <v>0</v>
      </c>
      <c r="O132" s="135"/>
      <c r="P132" s="138">
        <v>0</v>
      </c>
      <c r="Q132" s="135"/>
      <c r="R132" s="138">
        <f t="shared" si="4"/>
        <v>-532385.38</v>
      </c>
      <c r="S132" s="15"/>
      <c r="T132" s="15"/>
      <c r="U132" s="15"/>
    </row>
    <row r="133" spans="1:21" ht="12.75" customHeight="1" outlineLevel="1" x14ac:dyDescent="0.2">
      <c r="A133" s="3" t="s">
        <v>3016</v>
      </c>
      <c r="B133" s="138">
        <v>-482945.6</v>
      </c>
      <c r="C133" s="135"/>
      <c r="D133" s="138">
        <v>-37928.28</v>
      </c>
      <c r="E133" s="135"/>
      <c r="F133" s="138">
        <v>0</v>
      </c>
      <c r="G133" s="135"/>
      <c r="H133" s="138">
        <v>0</v>
      </c>
      <c r="I133" s="135"/>
      <c r="J133" s="138">
        <v>0</v>
      </c>
      <c r="K133" s="135"/>
      <c r="L133" s="138">
        <v>0</v>
      </c>
      <c r="M133" s="135"/>
      <c r="N133" s="138">
        <v>0</v>
      </c>
      <c r="O133" s="135"/>
      <c r="P133" s="138">
        <v>0</v>
      </c>
      <c r="Q133" s="135"/>
      <c r="R133" s="138">
        <f t="shared" si="4"/>
        <v>-520873.88</v>
      </c>
      <c r="S133" s="15"/>
      <c r="T133" s="15"/>
      <c r="U133" s="15"/>
    </row>
    <row r="134" spans="1:21" ht="12.75" customHeight="1" outlineLevel="1" x14ac:dyDescent="0.2">
      <c r="A134" s="3" t="s">
        <v>3017</v>
      </c>
      <c r="B134" s="138">
        <v>0</v>
      </c>
      <c r="C134" s="135"/>
      <c r="D134" s="138">
        <v>-1933.96</v>
      </c>
      <c r="E134" s="135"/>
      <c r="F134" s="138">
        <v>0</v>
      </c>
      <c r="G134" s="135"/>
      <c r="H134" s="138">
        <v>-8284.83</v>
      </c>
      <c r="I134" s="135"/>
      <c r="J134" s="138">
        <v>0</v>
      </c>
      <c r="K134" s="135"/>
      <c r="L134" s="138">
        <v>0</v>
      </c>
      <c r="M134" s="135"/>
      <c r="N134" s="138">
        <v>0</v>
      </c>
      <c r="O134" s="135"/>
      <c r="P134" s="138">
        <v>0</v>
      </c>
      <c r="Q134" s="135"/>
      <c r="R134" s="138">
        <f t="shared" si="4"/>
        <v>-10218.790000000001</v>
      </c>
      <c r="S134" s="15"/>
      <c r="T134" s="15"/>
      <c r="U134" s="15"/>
    </row>
    <row r="135" spans="1:21" ht="12.75" customHeight="1" outlineLevel="1" x14ac:dyDescent="0.2">
      <c r="A135" s="3" t="s">
        <v>3018</v>
      </c>
      <c r="B135" s="138">
        <v>-48021.000000000015</v>
      </c>
      <c r="C135" s="135"/>
      <c r="D135" s="138">
        <v>0</v>
      </c>
      <c r="E135" s="135"/>
      <c r="F135" s="138">
        <v>107.47</v>
      </c>
      <c r="G135" s="135"/>
      <c r="H135" s="138">
        <v>0</v>
      </c>
      <c r="I135" s="135"/>
      <c r="J135" s="138">
        <v>0</v>
      </c>
      <c r="K135" s="135"/>
      <c r="L135" s="138">
        <v>-0.04</v>
      </c>
      <c r="M135" s="135"/>
      <c r="N135" s="138">
        <v>-7.75</v>
      </c>
      <c r="O135" s="135"/>
      <c r="P135" s="138">
        <v>0</v>
      </c>
      <c r="Q135" s="135"/>
      <c r="R135" s="138">
        <f t="shared" si="4"/>
        <v>-47921.320000000014</v>
      </c>
      <c r="S135" s="15"/>
      <c r="T135" s="15"/>
      <c r="U135" s="15"/>
    </row>
    <row r="136" spans="1:21" ht="12.75" customHeight="1" outlineLevel="1" x14ac:dyDescent="0.2">
      <c r="A136" s="3" t="s">
        <v>3019</v>
      </c>
      <c r="B136" s="138">
        <v>-486528.80000000005</v>
      </c>
      <c r="C136" s="135"/>
      <c r="D136" s="138">
        <v>-123131.16</v>
      </c>
      <c r="E136" s="135"/>
      <c r="F136" s="138">
        <v>194.16</v>
      </c>
      <c r="G136" s="135"/>
      <c r="H136" s="138">
        <v>0</v>
      </c>
      <c r="I136" s="135"/>
      <c r="J136" s="138">
        <v>0</v>
      </c>
      <c r="K136" s="135"/>
      <c r="L136" s="138">
        <v>-0.08</v>
      </c>
      <c r="M136" s="135"/>
      <c r="N136" s="138">
        <v>-14</v>
      </c>
      <c r="O136" s="135"/>
      <c r="P136" s="138">
        <v>0</v>
      </c>
      <c r="Q136" s="135"/>
      <c r="R136" s="138">
        <f t="shared" si="4"/>
        <v>-609479.88</v>
      </c>
      <c r="S136" s="15"/>
      <c r="T136" s="15"/>
      <c r="U136" s="15"/>
    </row>
    <row r="137" spans="1:21" ht="12.75" customHeight="1" outlineLevel="1" x14ac:dyDescent="0.2">
      <c r="A137" s="3" t="s">
        <v>3020</v>
      </c>
      <c r="B137" s="138">
        <v>-1359313.4799999997</v>
      </c>
      <c r="C137" s="135"/>
      <c r="D137" s="138">
        <v>-102342.48</v>
      </c>
      <c r="E137" s="135"/>
      <c r="F137" s="138">
        <v>0</v>
      </c>
      <c r="G137" s="135"/>
      <c r="H137" s="138">
        <v>0</v>
      </c>
      <c r="I137" s="135"/>
      <c r="J137" s="138">
        <v>0</v>
      </c>
      <c r="K137" s="135"/>
      <c r="L137" s="138">
        <v>0</v>
      </c>
      <c r="M137" s="135"/>
      <c r="N137" s="138">
        <v>0</v>
      </c>
      <c r="O137" s="135"/>
      <c r="P137" s="138">
        <v>0</v>
      </c>
      <c r="Q137" s="135"/>
      <c r="R137" s="138">
        <f t="shared" ref="R137:R164" si="7">SUM(B137:P137)</f>
        <v>-1461655.9599999997</v>
      </c>
      <c r="S137" s="15"/>
      <c r="T137" s="15"/>
      <c r="U137" s="15"/>
    </row>
    <row r="138" spans="1:21" ht="12.75" customHeight="1" outlineLevel="1" x14ac:dyDescent="0.2">
      <c r="A138" s="3" t="s">
        <v>3021</v>
      </c>
      <c r="B138" s="138">
        <v>-1626976.46</v>
      </c>
      <c r="C138" s="135"/>
      <c r="D138" s="138">
        <v>-167903.21</v>
      </c>
      <c r="E138" s="135"/>
      <c r="F138" s="138">
        <v>0</v>
      </c>
      <c r="G138" s="135"/>
      <c r="H138" s="138">
        <v>0</v>
      </c>
      <c r="I138" s="135"/>
      <c r="J138" s="138">
        <v>0</v>
      </c>
      <c r="K138" s="135"/>
      <c r="L138" s="138">
        <v>0</v>
      </c>
      <c r="M138" s="135"/>
      <c r="N138" s="138">
        <v>0</v>
      </c>
      <c r="O138" s="135"/>
      <c r="P138" s="138">
        <v>0</v>
      </c>
      <c r="Q138" s="135"/>
      <c r="R138" s="138">
        <f t="shared" si="7"/>
        <v>-1794879.67</v>
      </c>
      <c r="S138" s="15"/>
      <c r="T138" s="15"/>
      <c r="U138" s="15"/>
    </row>
    <row r="139" spans="1:21" ht="12.75" customHeight="1" outlineLevel="1" x14ac:dyDescent="0.2">
      <c r="A139" s="3" t="s">
        <v>3022</v>
      </c>
      <c r="B139" s="138">
        <v>-317768.23</v>
      </c>
      <c r="C139" s="135"/>
      <c r="D139" s="138">
        <v>-29691.89</v>
      </c>
      <c r="E139" s="135"/>
      <c r="F139" s="138">
        <v>26855.84</v>
      </c>
      <c r="G139" s="135"/>
      <c r="H139" s="138">
        <v>0</v>
      </c>
      <c r="I139" s="135"/>
      <c r="J139" s="138">
        <v>0</v>
      </c>
      <c r="K139" s="135"/>
      <c r="L139" s="138">
        <v>0</v>
      </c>
      <c r="M139" s="135"/>
      <c r="N139" s="138">
        <v>0</v>
      </c>
      <c r="O139" s="135"/>
      <c r="P139" s="138">
        <v>0</v>
      </c>
      <c r="Q139" s="135"/>
      <c r="R139" s="138">
        <f t="shared" si="7"/>
        <v>-320604.27999999997</v>
      </c>
      <c r="S139" s="15"/>
      <c r="T139" s="15"/>
      <c r="U139" s="15"/>
    </row>
    <row r="140" spans="1:21" ht="12.75" customHeight="1" outlineLevel="1" x14ac:dyDescent="0.2">
      <c r="A140" s="3" t="s">
        <v>3023</v>
      </c>
      <c r="B140" s="138">
        <v>-684009.79999999993</v>
      </c>
      <c r="C140" s="135"/>
      <c r="D140" s="138">
        <v>-63862.14</v>
      </c>
      <c r="E140" s="135"/>
      <c r="F140" s="138">
        <v>26855.84</v>
      </c>
      <c r="G140" s="135"/>
      <c r="H140" s="138">
        <v>0</v>
      </c>
      <c r="I140" s="135"/>
      <c r="J140" s="138">
        <v>0</v>
      </c>
      <c r="K140" s="135"/>
      <c r="L140" s="138">
        <v>0</v>
      </c>
      <c r="M140" s="135"/>
      <c r="N140" s="138">
        <v>0</v>
      </c>
      <c r="O140" s="135"/>
      <c r="P140" s="138">
        <v>0</v>
      </c>
      <c r="Q140" s="135"/>
      <c r="R140" s="138">
        <f t="shared" si="7"/>
        <v>-721016.1</v>
      </c>
      <c r="S140" s="15"/>
      <c r="T140" s="15"/>
      <c r="U140" s="15"/>
    </row>
    <row r="141" spans="1:21" ht="12.75" customHeight="1" outlineLevel="1" x14ac:dyDescent="0.2">
      <c r="A141" s="3" t="s">
        <v>3024</v>
      </c>
      <c r="B141" s="138">
        <v>-756223.15000000014</v>
      </c>
      <c r="C141" s="135"/>
      <c r="D141" s="138">
        <v>-80051.28</v>
      </c>
      <c r="E141" s="135"/>
      <c r="F141" s="138">
        <v>35012.839999999997</v>
      </c>
      <c r="G141" s="135"/>
      <c r="H141" s="138">
        <v>0</v>
      </c>
      <c r="I141" s="135"/>
      <c r="J141" s="138">
        <v>0</v>
      </c>
      <c r="K141" s="135"/>
      <c r="L141" s="138">
        <v>0</v>
      </c>
      <c r="M141" s="135"/>
      <c r="N141" s="138">
        <v>0</v>
      </c>
      <c r="O141" s="135"/>
      <c r="P141" s="138">
        <v>0</v>
      </c>
      <c r="Q141" s="135"/>
      <c r="R141" s="138">
        <f t="shared" si="7"/>
        <v>-801261.5900000002</v>
      </c>
      <c r="S141" s="15"/>
      <c r="T141" s="15"/>
      <c r="U141" s="15"/>
    </row>
    <row r="142" spans="1:21" ht="12.75" customHeight="1" outlineLevel="1" x14ac:dyDescent="0.2">
      <c r="A142" s="3" t="s">
        <v>3025</v>
      </c>
      <c r="B142" s="138">
        <v>-740829.79999999993</v>
      </c>
      <c r="C142" s="135"/>
      <c r="D142" s="138">
        <v>-67490.2</v>
      </c>
      <c r="E142" s="135"/>
      <c r="F142" s="138">
        <v>0</v>
      </c>
      <c r="G142" s="135"/>
      <c r="H142" s="138">
        <v>0</v>
      </c>
      <c r="I142" s="135"/>
      <c r="J142" s="138">
        <v>0</v>
      </c>
      <c r="K142" s="135"/>
      <c r="L142" s="138">
        <v>0</v>
      </c>
      <c r="M142" s="135"/>
      <c r="N142" s="138">
        <v>0</v>
      </c>
      <c r="O142" s="135"/>
      <c r="P142" s="138">
        <v>0</v>
      </c>
      <c r="Q142" s="135"/>
      <c r="R142" s="138">
        <f t="shared" si="7"/>
        <v>-808319.99999999988</v>
      </c>
      <c r="S142" s="15"/>
      <c r="T142" s="15"/>
      <c r="U142" s="15"/>
    </row>
    <row r="143" spans="1:21" ht="12.75" customHeight="1" outlineLevel="1" x14ac:dyDescent="0.2">
      <c r="A143" s="3" t="s">
        <v>3026</v>
      </c>
      <c r="B143" s="138">
        <v>-758945.55999999994</v>
      </c>
      <c r="C143" s="135"/>
      <c r="D143" s="138">
        <v>-70343.3</v>
      </c>
      <c r="E143" s="135"/>
      <c r="F143" s="138">
        <v>0</v>
      </c>
      <c r="G143" s="135"/>
      <c r="H143" s="138">
        <v>0</v>
      </c>
      <c r="I143" s="135"/>
      <c r="J143" s="138">
        <v>0</v>
      </c>
      <c r="K143" s="135"/>
      <c r="L143" s="138">
        <v>0</v>
      </c>
      <c r="M143" s="135"/>
      <c r="N143" s="138">
        <v>0</v>
      </c>
      <c r="O143" s="135"/>
      <c r="P143" s="138">
        <v>0</v>
      </c>
      <c r="Q143" s="135"/>
      <c r="R143" s="138">
        <f t="shared" si="7"/>
        <v>-829288.86</v>
      </c>
      <c r="S143" s="15"/>
      <c r="T143" s="15"/>
      <c r="U143" s="15"/>
    </row>
    <row r="144" spans="1:21" ht="12.75" customHeight="1" outlineLevel="1" x14ac:dyDescent="0.2">
      <c r="A144" s="3" t="s">
        <v>3027</v>
      </c>
      <c r="B144" s="138">
        <v>0</v>
      </c>
      <c r="C144" s="135"/>
      <c r="D144" s="138">
        <v>0</v>
      </c>
      <c r="E144" s="135"/>
      <c r="F144" s="138">
        <v>0</v>
      </c>
      <c r="G144" s="135"/>
      <c r="H144" s="138">
        <v>0</v>
      </c>
      <c r="I144" s="135"/>
      <c r="J144" s="138">
        <v>0</v>
      </c>
      <c r="K144" s="135"/>
      <c r="L144" s="138">
        <v>0</v>
      </c>
      <c r="M144" s="135"/>
      <c r="N144" s="138">
        <v>0</v>
      </c>
      <c r="O144" s="135"/>
      <c r="P144" s="138">
        <v>0</v>
      </c>
      <c r="Q144" s="135"/>
      <c r="R144" s="138">
        <f t="shared" si="7"/>
        <v>0</v>
      </c>
      <c r="S144" s="15"/>
      <c r="T144" s="15"/>
      <c r="U144" s="15"/>
    </row>
    <row r="145" spans="1:21" ht="12.75" customHeight="1" outlineLevel="1" x14ac:dyDescent="0.2">
      <c r="A145" s="3" t="s">
        <v>3028</v>
      </c>
      <c r="B145" s="138">
        <v>-51945.78</v>
      </c>
      <c r="C145" s="135"/>
      <c r="D145" s="138">
        <v>0</v>
      </c>
      <c r="E145" s="135"/>
      <c r="F145" s="138">
        <v>0</v>
      </c>
      <c r="G145" s="135"/>
      <c r="H145" s="138">
        <v>0</v>
      </c>
      <c r="I145" s="135"/>
      <c r="J145" s="138">
        <v>0</v>
      </c>
      <c r="K145" s="135"/>
      <c r="L145" s="138">
        <v>0</v>
      </c>
      <c r="M145" s="135"/>
      <c r="N145" s="138">
        <v>0</v>
      </c>
      <c r="O145" s="135"/>
      <c r="P145" s="138">
        <v>0</v>
      </c>
      <c r="Q145" s="135"/>
      <c r="R145" s="138">
        <f t="shared" si="7"/>
        <v>-51945.78</v>
      </c>
      <c r="S145" s="15"/>
      <c r="T145" s="15"/>
      <c r="U145" s="15"/>
    </row>
    <row r="146" spans="1:21" x14ac:dyDescent="0.2">
      <c r="A146" s="3" t="s">
        <v>3029</v>
      </c>
      <c r="B146" s="138">
        <f>SUM(B129:B145)</f>
        <v>-9333083.0800000001</v>
      </c>
      <c r="C146" s="135"/>
      <c r="D146" s="138">
        <f>SUM(D129:D145)</f>
        <v>-1063892.51</v>
      </c>
      <c r="E146" s="135"/>
      <c r="F146" s="138">
        <f>SUM(F129:F145)</f>
        <v>89026.15</v>
      </c>
      <c r="G146" s="135"/>
      <c r="H146" s="138">
        <f>SUM(H129:H145)</f>
        <v>-8284.83</v>
      </c>
      <c r="I146" s="135"/>
      <c r="J146" s="138">
        <f>SUM(J129:J145)</f>
        <v>0</v>
      </c>
      <c r="K146" s="138"/>
      <c r="L146" s="138">
        <f>SUM(L129:L145)</f>
        <v>-0.12</v>
      </c>
      <c r="M146" s="135"/>
      <c r="N146" s="138">
        <f>SUM(N129:N145)</f>
        <v>-21.75</v>
      </c>
      <c r="O146" s="135"/>
      <c r="P146" s="138">
        <f>SUM(P129:P145)</f>
        <v>0</v>
      </c>
      <c r="Q146" s="135"/>
      <c r="R146" s="138">
        <f>SUM(R129:R145)</f>
        <v>-10316256.139999999</v>
      </c>
      <c r="S146" s="15"/>
      <c r="T146" s="15"/>
      <c r="U146" s="15"/>
    </row>
    <row r="147" spans="1:21" ht="12.75" customHeight="1" outlineLevel="1" x14ac:dyDescent="0.2">
      <c r="A147" s="3" t="s">
        <v>3030</v>
      </c>
      <c r="B147" s="138">
        <v>-4.17</v>
      </c>
      <c r="C147" s="135"/>
      <c r="D147" s="138">
        <v>-11444.03</v>
      </c>
      <c r="E147" s="135"/>
      <c r="F147" s="138">
        <v>0</v>
      </c>
      <c r="G147" s="135"/>
      <c r="H147" s="138">
        <v>0</v>
      </c>
      <c r="I147" s="135"/>
      <c r="J147" s="138">
        <v>0</v>
      </c>
      <c r="K147" s="135"/>
      <c r="L147" s="138">
        <v>0</v>
      </c>
      <c r="M147" s="135"/>
      <c r="N147" s="138">
        <v>0</v>
      </c>
      <c r="O147" s="135"/>
      <c r="P147" s="138">
        <v>0</v>
      </c>
      <c r="Q147" s="135"/>
      <c r="R147" s="138">
        <f t="shared" si="7"/>
        <v>-11448.2</v>
      </c>
      <c r="S147" s="15"/>
      <c r="T147" s="15"/>
      <c r="U147" s="15"/>
    </row>
    <row r="148" spans="1:21" ht="12.75" customHeight="1" outlineLevel="1" x14ac:dyDescent="0.2">
      <c r="A148" s="3" t="s">
        <v>3031</v>
      </c>
      <c r="B148" s="138">
        <v>-1140284.29</v>
      </c>
      <c r="C148" s="135"/>
      <c r="D148" s="138">
        <v>-85894.05</v>
      </c>
      <c r="E148" s="135"/>
      <c r="F148" s="138">
        <v>0</v>
      </c>
      <c r="G148" s="135"/>
      <c r="H148" s="138">
        <v>0</v>
      </c>
      <c r="I148" s="135"/>
      <c r="J148" s="138">
        <v>0</v>
      </c>
      <c r="K148" s="135"/>
      <c r="L148" s="138">
        <v>0</v>
      </c>
      <c r="M148" s="135"/>
      <c r="N148" s="138">
        <v>0</v>
      </c>
      <c r="O148" s="135"/>
      <c r="P148" s="138">
        <v>0</v>
      </c>
      <c r="Q148" s="135"/>
      <c r="R148" s="138">
        <f t="shared" si="7"/>
        <v>-1226178.3400000001</v>
      </c>
      <c r="S148" s="15"/>
      <c r="T148" s="15"/>
      <c r="U148" s="15"/>
    </row>
    <row r="149" spans="1:21" ht="12.75" customHeight="1" outlineLevel="1" x14ac:dyDescent="0.2">
      <c r="A149" s="3" t="s">
        <v>3032</v>
      </c>
      <c r="B149" s="138">
        <v>-11378.46</v>
      </c>
      <c r="C149" s="135"/>
      <c r="D149" s="138">
        <v>-862.32</v>
      </c>
      <c r="E149" s="135"/>
      <c r="F149" s="138">
        <v>0</v>
      </c>
      <c r="G149" s="135"/>
      <c r="H149" s="138">
        <v>0</v>
      </c>
      <c r="I149" s="135"/>
      <c r="J149" s="138">
        <v>0</v>
      </c>
      <c r="K149" s="135"/>
      <c r="L149" s="138">
        <v>0</v>
      </c>
      <c r="M149" s="135"/>
      <c r="N149" s="138">
        <v>0</v>
      </c>
      <c r="O149" s="135"/>
      <c r="P149" s="138">
        <v>0</v>
      </c>
      <c r="Q149" s="135"/>
      <c r="R149" s="138">
        <f t="shared" si="7"/>
        <v>-12240.779999999999</v>
      </c>
      <c r="S149" s="15"/>
      <c r="T149" s="15"/>
      <c r="U149" s="15"/>
    </row>
    <row r="150" spans="1:21" ht="12.75" customHeight="1" outlineLevel="1" x14ac:dyDescent="0.2">
      <c r="A150" s="3" t="s">
        <v>3033</v>
      </c>
      <c r="B150" s="138">
        <v>-11497.599999999999</v>
      </c>
      <c r="C150" s="135"/>
      <c r="D150" s="138">
        <v>-898.8</v>
      </c>
      <c r="E150" s="135"/>
      <c r="F150" s="138">
        <v>0</v>
      </c>
      <c r="G150" s="135"/>
      <c r="H150" s="138">
        <v>0</v>
      </c>
      <c r="I150" s="135"/>
      <c r="J150" s="138">
        <v>0</v>
      </c>
      <c r="K150" s="135"/>
      <c r="L150" s="138">
        <v>0</v>
      </c>
      <c r="M150" s="135"/>
      <c r="N150" s="138">
        <v>0</v>
      </c>
      <c r="O150" s="135"/>
      <c r="P150" s="138">
        <v>0</v>
      </c>
      <c r="Q150" s="135"/>
      <c r="R150" s="138">
        <f t="shared" si="7"/>
        <v>-12396.399999999998</v>
      </c>
      <c r="S150" s="15"/>
      <c r="T150" s="15"/>
      <c r="U150" s="15"/>
    </row>
    <row r="151" spans="1:21" ht="12.75" customHeight="1" outlineLevel="1" x14ac:dyDescent="0.2">
      <c r="A151" s="3" t="s">
        <v>3034</v>
      </c>
      <c r="B151" s="138">
        <v>0</v>
      </c>
      <c r="C151" s="135"/>
      <c r="D151" s="138">
        <v>-4072.86</v>
      </c>
      <c r="E151" s="135"/>
      <c r="F151" s="138">
        <v>0</v>
      </c>
      <c r="G151" s="135"/>
      <c r="H151" s="138">
        <v>0</v>
      </c>
      <c r="I151" s="135"/>
      <c r="J151" s="138">
        <v>0</v>
      </c>
      <c r="K151" s="135"/>
      <c r="L151" s="138">
        <v>0</v>
      </c>
      <c r="M151" s="135"/>
      <c r="N151" s="138">
        <v>0</v>
      </c>
      <c r="O151" s="135"/>
      <c r="P151" s="138">
        <v>0</v>
      </c>
      <c r="Q151" s="135"/>
      <c r="R151" s="138">
        <f t="shared" si="7"/>
        <v>-4072.86</v>
      </c>
      <c r="S151" s="15"/>
      <c r="T151" s="15"/>
      <c r="U151" s="15"/>
    </row>
    <row r="152" spans="1:21" ht="12.75" customHeight="1" outlineLevel="1" x14ac:dyDescent="0.2">
      <c r="A152" s="3" t="s">
        <v>3035</v>
      </c>
      <c r="B152" s="138">
        <v>-4714.75</v>
      </c>
      <c r="C152" s="135"/>
      <c r="D152" s="138">
        <v>-1446.96</v>
      </c>
      <c r="E152" s="135"/>
      <c r="F152" s="138">
        <v>0</v>
      </c>
      <c r="G152" s="135"/>
      <c r="H152" s="138">
        <v>0</v>
      </c>
      <c r="I152" s="135"/>
      <c r="J152" s="138">
        <v>0</v>
      </c>
      <c r="K152" s="135"/>
      <c r="L152" s="138">
        <v>0</v>
      </c>
      <c r="M152" s="135"/>
      <c r="N152" s="138">
        <v>0</v>
      </c>
      <c r="O152" s="135"/>
      <c r="P152" s="138">
        <v>0</v>
      </c>
      <c r="Q152" s="135"/>
      <c r="R152" s="138">
        <f t="shared" si="7"/>
        <v>-6161.71</v>
      </c>
      <c r="S152" s="15"/>
      <c r="T152" s="15"/>
      <c r="U152" s="15"/>
    </row>
    <row r="153" spans="1:21" ht="12.75" customHeight="1" outlineLevel="1" x14ac:dyDescent="0.2">
      <c r="A153" s="3" t="s">
        <v>3036</v>
      </c>
      <c r="B153" s="138">
        <v>0</v>
      </c>
      <c r="C153" s="135"/>
      <c r="D153" s="138">
        <v>0</v>
      </c>
      <c r="E153" s="135"/>
      <c r="F153" s="138">
        <v>0</v>
      </c>
      <c r="G153" s="135"/>
      <c r="H153" s="138">
        <v>0</v>
      </c>
      <c r="I153" s="135"/>
      <c r="J153" s="138">
        <v>0</v>
      </c>
      <c r="K153" s="135"/>
      <c r="L153" s="138">
        <v>0</v>
      </c>
      <c r="M153" s="135"/>
      <c r="N153" s="138">
        <v>0</v>
      </c>
      <c r="O153" s="135"/>
      <c r="P153" s="138">
        <v>0</v>
      </c>
      <c r="Q153" s="135"/>
      <c r="R153" s="138">
        <f t="shared" si="7"/>
        <v>0</v>
      </c>
      <c r="S153" s="15"/>
      <c r="T153" s="15"/>
      <c r="U153" s="15"/>
    </row>
    <row r="154" spans="1:21" ht="12.75" customHeight="1" outlineLevel="1" x14ac:dyDescent="0.2">
      <c r="A154" s="3" t="s">
        <v>3037</v>
      </c>
      <c r="B154" s="138">
        <v>-613583.22000000009</v>
      </c>
      <c r="C154" s="135"/>
      <c r="D154" s="138">
        <v>-47818.86</v>
      </c>
      <c r="E154" s="135"/>
      <c r="F154" s="138">
        <v>0</v>
      </c>
      <c r="G154" s="135"/>
      <c r="H154" s="138">
        <v>0</v>
      </c>
      <c r="I154" s="135"/>
      <c r="J154" s="138">
        <v>0</v>
      </c>
      <c r="K154" s="135"/>
      <c r="L154" s="138">
        <v>0</v>
      </c>
      <c r="M154" s="135"/>
      <c r="N154" s="138">
        <v>0</v>
      </c>
      <c r="O154" s="135"/>
      <c r="P154" s="138">
        <v>0</v>
      </c>
      <c r="Q154" s="135"/>
      <c r="R154" s="138">
        <f t="shared" si="7"/>
        <v>-661402.08000000007</v>
      </c>
      <c r="S154" s="15"/>
      <c r="T154" s="15"/>
      <c r="U154" s="15"/>
    </row>
    <row r="155" spans="1:21" ht="12.75" customHeight="1" outlineLevel="1" x14ac:dyDescent="0.2">
      <c r="A155" s="3" t="s">
        <v>3038</v>
      </c>
      <c r="B155" s="138">
        <v>-6364.16</v>
      </c>
      <c r="C155" s="135"/>
      <c r="D155" s="138">
        <v>-1056.3599999999999</v>
      </c>
      <c r="E155" s="135"/>
      <c r="F155" s="138">
        <v>0</v>
      </c>
      <c r="G155" s="135"/>
      <c r="H155" s="138">
        <v>0</v>
      </c>
      <c r="I155" s="135"/>
      <c r="J155" s="138">
        <v>0</v>
      </c>
      <c r="K155" s="135"/>
      <c r="L155" s="138">
        <v>0</v>
      </c>
      <c r="M155" s="135"/>
      <c r="N155" s="138">
        <v>0</v>
      </c>
      <c r="O155" s="135"/>
      <c r="P155" s="138">
        <v>0</v>
      </c>
      <c r="Q155" s="135"/>
      <c r="R155" s="138">
        <f t="shared" si="7"/>
        <v>-7420.5199999999995</v>
      </c>
      <c r="S155" s="15"/>
      <c r="T155" s="15"/>
      <c r="U155" s="15"/>
    </row>
    <row r="156" spans="1:21" ht="12.75" customHeight="1" outlineLevel="1" x14ac:dyDescent="0.2">
      <c r="A156" s="3" t="s">
        <v>3039</v>
      </c>
      <c r="B156" s="138">
        <v>-6024.130000000001</v>
      </c>
      <c r="C156" s="135"/>
      <c r="D156" s="138">
        <v>-540.48</v>
      </c>
      <c r="E156" s="135"/>
      <c r="F156" s="138">
        <v>0</v>
      </c>
      <c r="G156" s="135"/>
      <c r="H156" s="138">
        <v>0</v>
      </c>
      <c r="I156" s="135"/>
      <c r="J156" s="138">
        <v>0</v>
      </c>
      <c r="K156" s="135"/>
      <c r="L156" s="138">
        <v>0</v>
      </c>
      <c r="M156" s="135"/>
      <c r="N156" s="138">
        <v>0</v>
      </c>
      <c r="O156" s="135"/>
      <c r="P156" s="138">
        <v>0</v>
      </c>
      <c r="Q156" s="135"/>
      <c r="R156" s="138">
        <f t="shared" si="7"/>
        <v>-6564.6100000000006</v>
      </c>
      <c r="S156" s="15"/>
      <c r="T156" s="15"/>
      <c r="U156" s="15"/>
    </row>
    <row r="157" spans="1:21" ht="12.75" customHeight="1" outlineLevel="1" x14ac:dyDescent="0.2">
      <c r="A157" s="3" t="s">
        <v>3040</v>
      </c>
      <c r="B157" s="138">
        <v>-2006.3500000000006</v>
      </c>
      <c r="C157" s="135"/>
      <c r="D157" s="138">
        <v>-182.16</v>
      </c>
      <c r="E157" s="135"/>
      <c r="F157" s="138">
        <v>0</v>
      </c>
      <c r="G157" s="135"/>
      <c r="H157" s="138">
        <v>0</v>
      </c>
      <c r="I157" s="135"/>
      <c r="J157" s="138">
        <v>0</v>
      </c>
      <c r="K157" s="135"/>
      <c r="L157" s="138">
        <v>0</v>
      </c>
      <c r="M157" s="135"/>
      <c r="N157" s="138">
        <v>0</v>
      </c>
      <c r="O157" s="135"/>
      <c r="P157" s="138">
        <v>0</v>
      </c>
      <c r="Q157" s="135"/>
      <c r="R157" s="138">
        <f t="shared" si="7"/>
        <v>-2188.5100000000007</v>
      </c>
      <c r="S157" s="15"/>
      <c r="T157" s="15"/>
      <c r="U157" s="15"/>
    </row>
    <row r="158" spans="1:21" ht="12.75" customHeight="1" outlineLevel="1" x14ac:dyDescent="0.2">
      <c r="A158" s="3" t="s">
        <v>3041</v>
      </c>
      <c r="B158" s="138">
        <v>-1998.9300000000005</v>
      </c>
      <c r="C158" s="135"/>
      <c r="D158" s="138">
        <v>-181.92</v>
      </c>
      <c r="E158" s="135"/>
      <c r="F158" s="138">
        <v>0</v>
      </c>
      <c r="G158" s="135"/>
      <c r="H158" s="138">
        <v>0</v>
      </c>
      <c r="I158" s="135"/>
      <c r="J158" s="138">
        <v>0</v>
      </c>
      <c r="K158" s="135"/>
      <c r="L158" s="138">
        <v>0</v>
      </c>
      <c r="M158" s="135"/>
      <c r="N158" s="138">
        <v>0</v>
      </c>
      <c r="O158" s="135"/>
      <c r="P158" s="138">
        <v>0</v>
      </c>
      <c r="Q158" s="135"/>
      <c r="R158" s="138">
        <f t="shared" si="7"/>
        <v>-2180.8500000000004</v>
      </c>
      <c r="S158" s="15"/>
      <c r="T158" s="15"/>
      <c r="U158" s="15"/>
    </row>
    <row r="159" spans="1:21" ht="12.75" customHeight="1" outlineLevel="1" x14ac:dyDescent="0.2">
      <c r="A159" s="3" t="s">
        <v>3042</v>
      </c>
      <c r="B159" s="138">
        <v>-2041.8700000000001</v>
      </c>
      <c r="C159" s="135"/>
      <c r="D159" s="138">
        <v>-186.96</v>
      </c>
      <c r="E159" s="135"/>
      <c r="F159" s="138">
        <v>0</v>
      </c>
      <c r="G159" s="135"/>
      <c r="H159" s="138">
        <v>0</v>
      </c>
      <c r="I159" s="135"/>
      <c r="J159" s="138">
        <v>0</v>
      </c>
      <c r="K159" s="135"/>
      <c r="L159" s="138">
        <v>0</v>
      </c>
      <c r="M159" s="135"/>
      <c r="N159" s="138">
        <v>0</v>
      </c>
      <c r="O159" s="135"/>
      <c r="P159" s="138">
        <v>0</v>
      </c>
      <c r="Q159" s="135"/>
      <c r="R159" s="138">
        <f t="shared" si="7"/>
        <v>-2228.83</v>
      </c>
      <c r="S159" s="15"/>
      <c r="T159" s="15"/>
      <c r="U159" s="15"/>
    </row>
    <row r="160" spans="1:21" ht="12.75" customHeight="1" outlineLevel="1" x14ac:dyDescent="0.2">
      <c r="A160" s="3" t="s">
        <v>3043</v>
      </c>
      <c r="B160" s="138">
        <v>0</v>
      </c>
      <c r="C160" s="135"/>
      <c r="D160" s="138">
        <v>0</v>
      </c>
      <c r="E160" s="135"/>
      <c r="F160" s="138">
        <v>0</v>
      </c>
      <c r="G160" s="135"/>
      <c r="H160" s="138">
        <v>0</v>
      </c>
      <c r="I160" s="135"/>
      <c r="J160" s="138">
        <v>0</v>
      </c>
      <c r="K160" s="135"/>
      <c r="L160" s="138">
        <v>0</v>
      </c>
      <c r="M160" s="135"/>
      <c r="N160" s="138">
        <v>0</v>
      </c>
      <c r="O160" s="135"/>
      <c r="P160" s="138">
        <v>0</v>
      </c>
      <c r="Q160" s="135"/>
      <c r="R160" s="138">
        <f t="shared" si="7"/>
        <v>0</v>
      </c>
      <c r="S160" s="15"/>
      <c r="T160" s="15"/>
      <c r="U160" s="15"/>
    </row>
    <row r="161" spans="1:21" ht="12.75" customHeight="1" outlineLevel="1" x14ac:dyDescent="0.2">
      <c r="A161" s="3" t="s">
        <v>3044</v>
      </c>
      <c r="B161" s="138">
        <v>-4130.58</v>
      </c>
      <c r="C161" s="135"/>
      <c r="D161" s="138">
        <v>-1254.3599999999999</v>
      </c>
      <c r="E161" s="135"/>
      <c r="F161" s="138">
        <v>0</v>
      </c>
      <c r="G161" s="135"/>
      <c r="H161" s="138">
        <v>0</v>
      </c>
      <c r="I161" s="135"/>
      <c r="J161" s="138">
        <v>0</v>
      </c>
      <c r="K161" s="135"/>
      <c r="L161" s="138">
        <v>0</v>
      </c>
      <c r="M161" s="135"/>
      <c r="N161" s="138">
        <v>0</v>
      </c>
      <c r="O161" s="135"/>
      <c r="P161" s="138">
        <v>0</v>
      </c>
      <c r="Q161" s="135"/>
      <c r="R161" s="138">
        <f t="shared" si="7"/>
        <v>-5384.94</v>
      </c>
      <c r="S161" s="15"/>
      <c r="T161" s="15"/>
      <c r="U161" s="15"/>
    </row>
    <row r="162" spans="1:21" x14ac:dyDescent="0.2">
      <c r="A162" s="3" t="s">
        <v>3045</v>
      </c>
      <c r="B162" s="138">
        <f>SUM(B147:B161)</f>
        <v>-1804028.5100000002</v>
      </c>
      <c r="C162" s="135"/>
      <c r="D162" s="138">
        <f>SUM(D147:D161)</f>
        <v>-155840.12</v>
      </c>
      <c r="E162" s="135"/>
      <c r="F162" s="138">
        <f>SUM(F147:F161)</f>
        <v>0</v>
      </c>
      <c r="G162" s="135"/>
      <c r="H162" s="138">
        <f>SUM(H147:H161)</f>
        <v>0</v>
      </c>
      <c r="I162" s="135"/>
      <c r="J162" s="138">
        <f>SUM(J147:J161)</f>
        <v>0</v>
      </c>
      <c r="K162" s="135"/>
      <c r="L162" s="138">
        <f>SUM(L147:L161)</f>
        <v>0</v>
      </c>
      <c r="M162" s="135"/>
      <c r="N162" s="138">
        <f>SUM(N147:N161)</f>
        <v>0</v>
      </c>
      <c r="O162" s="135"/>
      <c r="P162" s="138">
        <f>SUM(P147:P161)</f>
        <v>0</v>
      </c>
      <c r="Q162" s="135"/>
      <c r="R162" s="138">
        <f>SUM(R147:R161)</f>
        <v>-1959868.6300000004</v>
      </c>
      <c r="S162" s="15"/>
      <c r="T162" s="15"/>
      <c r="U162" s="15"/>
    </row>
    <row r="163" spans="1:21" x14ac:dyDescent="0.2">
      <c r="A163" s="3" t="s">
        <v>3046</v>
      </c>
      <c r="B163" s="138">
        <v>-4293.5499999999975</v>
      </c>
      <c r="C163" s="135"/>
      <c r="D163" s="138">
        <v>-488.45</v>
      </c>
      <c r="E163" s="135"/>
      <c r="F163" s="138">
        <v>0</v>
      </c>
      <c r="G163" s="135"/>
      <c r="H163" s="138">
        <v>0</v>
      </c>
      <c r="I163" s="135"/>
      <c r="J163" s="138">
        <v>0</v>
      </c>
      <c r="K163" s="135"/>
      <c r="L163" s="138">
        <v>0</v>
      </c>
      <c r="M163" s="135"/>
      <c r="N163" s="138">
        <v>0</v>
      </c>
      <c r="O163" s="135"/>
      <c r="P163" s="138">
        <v>0</v>
      </c>
      <c r="Q163" s="135"/>
      <c r="R163" s="138">
        <f t="shared" si="7"/>
        <v>-4781.9999999999973</v>
      </c>
      <c r="S163" s="15"/>
      <c r="T163" s="15"/>
      <c r="U163" s="15"/>
    </row>
    <row r="164" spans="1:21" x14ac:dyDescent="0.2">
      <c r="A164" s="3" t="s">
        <v>3047</v>
      </c>
      <c r="B164" s="149">
        <v>-1545.53</v>
      </c>
      <c r="C164" s="135"/>
      <c r="D164" s="149">
        <v>-2649.48</v>
      </c>
      <c r="E164" s="135"/>
      <c r="F164" s="149">
        <v>0</v>
      </c>
      <c r="G164" s="135"/>
      <c r="H164" s="149">
        <v>0</v>
      </c>
      <c r="I164" s="135"/>
      <c r="J164" s="149">
        <v>0</v>
      </c>
      <c r="K164" s="135"/>
      <c r="L164" s="138">
        <v>0</v>
      </c>
      <c r="M164" s="135"/>
      <c r="N164" s="149">
        <v>0</v>
      </c>
      <c r="O164" s="135"/>
      <c r="P164" s="138">
        <v>0</v>
      </c>
      <c r="Q164" s="135"/>
      <c r="R164" s="149">
        <f t="shared" si="7"/>
        <v>-4195.01</v>
      </c>
      <c r="S164" s="17"/>
      <c r="T164" s="15"/>
      <c r="U164" s="15"/>
    </row>
    <row r="165" spans="1:21" x14ac:dyDescent="0.2">
      <c r="B165" s="135">
        <f>B164+B163+B162+B146+B128+B110+B97+B78+B61+B59</f>
        <v>-107263447.58</v>
      </c>
      <c r="C165" s="135"/>
      <c r="D165" s="135">
        <f>D164+D163+D162+D146+D128+D110+D97+D78+D61+D59</f>
        <v>-14027469.960000001</v>
      </c>
      <c r="E165" s="135"/>
      <c r="F165" s="135">
        <f>F164+F163+F162+F146+F128+F110+F97+F78+F61+F59</f>
        <v>290230.68999999994</v>
      </c>
      <c r="G165" s="135"/>
      <c r="H165" s="135">
        <f>H164+H163+H162+H146+H128+H110+H97+H78+H61+H59</f>
        <v>0</v>
      </c>
      <c r="I165" s="135"/>
      <c r="J165" s="135">
        <f>J164+J163+J162+J146+J128+J110+J97+J78+J61+J59</f>
        <v>0</v>
      </c>
      <c r="K165" s="135"/>
      <c r="L165" s="148">
        <f>L164+L163+L162+L146+L128+L110+L97+L78+L61+L59</f>
        <v>39115.85</v>
      </c>
      <c r="M165" s="135"/>
      <c r="N165" s="135">
        <f>N164+N163+N162+N146+N128+N110+N97+N78+N61+N59</f>
        <v>-1433.84</v>
      </c>
      <c r="O165" s="135"/>
      <c r="P165" s="148">
        <f>P164+P163+P162+P146+P128+P110+P97+P78+P61+P59</f>
        <v>0</v>
      </c>
      <c r="Q165" s="135"/>
      <c r="R165" s="135">
        <f>R164+R163+R162+R146+R128+R110+R97+R78+R61+R59</f>
        <v>-120963004.84000002</v>
      </c>
      <c r="S165" s="17"/>
      <c r="T165" s="15"/>
      <c r="U165" s="15"/>
    </row>
    <row r="166" spans="1:21" ht="6" customHeight="1" x14ac:dyDescent="0.2"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7"/>
      <c r="T166" s="15"/>
      <c r="U166" s="15"/>
    </row>
    <row r="167" spans="1:21" x14ac:dyDescent="0.2">
      <c r="A167" s="10" t="s">
        <v>23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7"/>
      <c r="T167" s="15"/>
      <c r="U167" s="15"/>
    </row>
    <row r="168" spans="1:21" ht="12.75" customHeight="1" outlineLevel="1" x14ac:dyDescent="0.2">
      <c r="A168" s="3" t="s">
        <v>3048</v>
      </c>
      <c r="B168" s="135">
        <v>0</v>
      </c>
      <c r="C168" s="135"/>
      <c r="D168" s="138">
        <v>0</v>
      </c>
      <c r="E168" s="135"/>
      <c r="F168" s="138">
        <v>0</v>
      </c>
      <c r="G168" s="135"/>
      <c r="H168" s="138">
        <v>0</v>
      </c>
      <c r="I168" s="135"/>
      <c r="J168" s="135">
        <v>0</v>
      </c>
      <c r="K168" s="135"/>
      <c r="L168" s="138">
        <v>0</v>
      </c>
      <c r="M168" s="135"/>
      <c r="N168" s="138">
        <v>0</v>
      </c>
      <c r="O168" s="135"/>
      <c r="P168" s="138">
        <v>0</v>
      </c>
      <c r="Q168" s="135"/>
      <c r="R168" s="135">
        <f>SUM(B168:P168)</f>
        <v>0</v>
      </c>
      <c r="S168" s="17"/>
      <c r="T168" s="15"/>
      <c r="U168" s="15"/>
    </row>
    <row r="169" spans="1:21" ht="12.75" customHeight="1" outlineLevel="1" x14ac:dyDescent="0.2">
      <c r="A169" s="3" t="s">
        <v>3049</v>
      </c>
      <c r="B169" s="135">
        <v>0</v>
      </c>
      <c r="C169" s="135"/>
      <c r="D169" s="138">
        <v>0</v>
      </c>
      <c r="E169" s="135"/>
      <c r="F169" s="138">
        <v>0</v>
      </c>
      <c r="G169" s="135"/>
      <c r="H169" s="138">
        <v>0</v>
      </c>
      <c r="I169" s="135"/>
      <c r="J169" s="135">
        <v>0</v>
      </c>
      <c r="K169" s="135"/>
      <c r="L169" s="138">
        <v>0</v>
      </c>
      <c r="M169" s="135"/>
      <c r="N169" s="138">
        <v>0</v>
      </c>
      <c r="O169" s="135"/>
      <c r="P169" s="138">
        <v>0</v>
      </c>
      <c r="Q169" s="135"/>
      <c r="R169" s="135">
        <f>SUM(B169:P169)</f>
        <v>0</v>
      </c>
      <c r="S169" s="17"/>
      <c r="T169" s="15"/>
      <c r="U169" s="15"/>
    </row>
    <row r="170" spans="1:21" x14ac:dyDescent="0.2">
      <c r="A170" s="3" t="s">
        <v>3050</v>
      </c>
      <c r="B170" s="135">
        <f>SUM(B168:B169)</f>
        <v>0</v>
      </c>
      <c r="C170" s="135"/>
      <c r="D170" s="135">
        <f>SUM(D168:D169)</f>
        <v>0</v>
      </c>
      <c r="E170" s="135"/>
      <c r="F170" s="135">
        <f>SUM(F168:F169)</f>
        <v>0</v>
      </c>
      <c r="G170" s="135"/>
      <c r="H170" s="135">
        <f>SUM(H168:H169)</f>
        <v>0</v>
      </c>
      <c r="I170" s="135"/>
      <c r="J170" s="135">
        <f>SUM(J168:J169)</f>
        <v>0</v>
      </c>
      <c r="K170" s="135"/>
      <c r="L170" s="135">
        <f>SUM(L168:L169)</f>
        <v>0</v>
      </c>
      <c r="M170" s="135"/>
      <c r="N170" s="135">
        <f>SUM(N168:N169)</f>
        <v>0</v>
      </c>
      <c r="O170" s="135"/>
      <c r="P170" s="135">
        <f>SUM(P168:P169)</f>
        <v>0</v>
      </c>
      <c r="Q170" s="135"/>
      <c r="R170" s="135">
        <f>SUM(R168:R169)</f>
        <v>0</v>
      </c>
      <c r="S170" s="17"/>
      <c r="T170" s="15"/>
      <c r="U170" s="15"/>
    </row>
    <row r="171" spans="1:21" ht="12.75" customHeight="1" outlineLevel="1" x14ac:dyDescent="0.2">
      <c r="A171" s="3" t="s">
        <v>3051</v>
      </c>
      <c r="B171" s="135">
        <v>-2326955.8200000003</v>
      </c>
      <c r="C171" s="135"/>
      <c r="D171" s="138">
        <v>0</v>
      </c>
      <c r="E171" s="135"/>
      <c r="F171" s="138">
        <v>0</v>
      </c>
      <c r="G171" s="135"/>
      <c r="H171" s="138">
        <v>0</v>
      </c>
      <c r="I171" s="135"/>
      <c r="J171" s="135">
        <v>0</v>
      </c>
      <c r="K171" s="135"/>
      <c r="L171" s="138">
        <v>0</v>
      </c>
      <c r="M171" s="135"/>
      <c r="N171" s="138">
        <v>0</v>
      </c>
      <c r="O171" s="135"/>
      <c r="P171" s="138">
        <v>0</v>
      </c>
      <c r="Q171" s="135"/>
      <c r="R171" s="135">
        <f t="shared" ref="R171:R206" si="8">SUM(B171:P171)</f>
        <v>-2326955.8200000003</v>
      </c>
      <c r="S171" s="17"/>
      <c r="T171" s="15"/>
      <c r="U171" s="15"/>
    </row>
    <row r="172" spans="1:21" ht="12.75" customHeight="1" outlineLevel="1" x14ac:dyDescent="0.2">
      <c r="A172" s="3" t="s">
        <v>3052</v>
      </c>
      <c r="B172" s="135">
        <v>-1331745.3999999999</v>
      </c>
      <c r="C172" s="135"/>
      <c r="D172" s="138">
        <v>0</v>
      </c>
      <c r="E172" s="135"/>
      <c r="F172" s="138">
        <v>0</v>
      </c>
      <c r="G172" s="135"/>
      <c r="H172" s="138">
        <v>0</v>
      </c>
      <c r="I172" s="135"/>
      <c r="J172" s="135">
        <v>0</v>
      </c>
      <c r="K172" s="135"/>
      <c r="L172" s="138">
        <v>0</v>
      </c>
      <c r="M172" s="135"/>
      <c r="N172" s="138">
        <v>0</v>
      </c>
      <c r="O172" s="135"/>
      <c r="P172" s="138">
        <v>0</v>
      </c>
      <c r="Q172" s="135"/>
      <c r="R172" s="135">
        <f t="shared" si="8"/>
        <v>-1331745.3999999999</v>
      </c>
      <c r="S172" s="17"/>
      <c r="T172" s="15"/>
      <c r="U172" s="15"/>
    </row>
    <row r="173" spans="1:21" ht="12.75" customHeight="1" outlineLevel="1" x14ac:dyDescent="0.2">
      <c r="A173" s="3" t="s">
        <v>3053</v>
      </c>
      <c r="B173" s="135">
        <v>-2300122.89</v>
      </c>
      <c r="C173" s="135"/>
      <c r="D173" s="138">
        <v>0</v>
      </c>
      <c r="E173" s="135"/>
      <c r="F173" s="138">
        <v>0</v>
      </c>
      <c r="G173" s="135"/>
      <c r="H173" s="138">
        <v>0</v>
      </c>
      <c r="I173" s="135"/>
      <c r="J173" s="135">
        <v>0</v>
      </c>
      <c r="K173" s="135"/>
      <c r="L173" s="138">
        <v>0</v>
      </c>
      <c r="M173" s="135"/>
      <c r="N173" s="138">
        <v>0</v>
      </c>
      <c r="O173" s="135"/>
      <c r="P173" s="138">
        <v>0</v>
      </c>
      <c r="Q173" s="135"/>
      <c r="R173" s="135">
        <f t="shared" si="8"/>
        <v>-2300122.89</v>
      </c>
      <c r="S173" s="17"/>
      <c r="T173" s="15"/>
      <c r="U173" s="15"/>
    </row>
    <row r="174" spans="1:21" ht="12.75" customHeight="1" outlineLevel="1" x14ac:dyDescent="0.2">
      <c r="A174" s="3" t="s">
        <v>3054</v>
      </c>
      <c r="B174" s="135">
        <v>-62890.009999999886</v>
      </c>
      <c r="C174" s="135"/>
      <c r="D174" s="138">
        <v>0</v>
      </c>
      <c r="E174" s="135"/>
      <c r="F174" s="138">
        <v>0</v>
      </c>
      <c r="G174" s="135"/>
      <c r="H174" s="138">
        <v>0</v>
      </c>
      <c r="I174" s="135"/>
      <c r="J174" s="135">
        <v>0</v>
      </c>
      <c r="K174" s="135"/>
      <c r="L174" s="138">
        <v>0</v>
      </c>
      <c r="M174" s="135"/>
      <c r="N174" s="138">
        <v>0</v>
      </c>
      <c r="O174" s="135"/>
      <c r="P174" s="138">
        <v>0</v>
      </c>
      <c r="Q174" s="135"/>
      <c r="R174" s="135">
        <f t="shared" si="8"/>
        <v>-62890.009999999886</v>
      </c>
      <c r="S174" s="17"/>
      <c r="T174" s="15"/>
      <c r="U174" s="15"/>
    </row>
    <row r="175" spans="1:21" ht="12.75" customHeight="1" outlineLevel="1" x14ac:dyDescent="0.2">
      <c r="A175" s="3" t="s">
        <v>3055</v>
      </c>
      <c r="B175" s="135">
        <v>-2128830.3500000015</v>
      </c>
      <c r="C175" s="135"/>
      <c r="D175" s="138">
        <v>0</v>
      </c>
      <c r="E175" s="135"/>
      <c r="F175" s="138">
        <v>0</v>
      </c>
      <c r="G175" s="139"/>
      <c r="H175" s="138">
        <v>0</v>
      </c>
      <c r="I175" s="139"/>
      <c r="J175" s="135">
        <v>0</v>
      </c>
      <c r="K175" s="139"/>
      <c r="L175" s="138">
        <v>0</v>
      </c>
      <c r="M175" s="135"/>
      <c r="N175" s="138">
        <v>0</v>
      </c>
      <c r="O175" s="135"/>
      <c r="P175" s="138">
        <v>0</v>
      </c>
      <c r="Q175" s="135"/>
      <c r="R175" s="135">
        <f t="shared" si="8"/>
        <v>-2128830.3500000015</v>
      </c>
      <c r="S175" s="17"/>
      <c r="T175" s="15"/>
      <c r="U175" s="15"/>
    </row>
    <row r="176" spans="1:21" ht="12.75" customHeight="1" outlineLevel="1" x14ac:dyDescent="0.2">
      <c r="A176" s="3" t="s">
        <v>3056</v>
      </c>
      <c r="B176" s="135">
        <v>-174556.22999999975</v>
      </c>
      <c r="C176" s="135"/>
      <c r="D176" s="138">
        <v>0</v>
      </c>
      <c r="E176" s="135"/>
      <c r="F176" s="138">
        <v>0</v>
      </c>
      <c r="G176" s="139"/>
      <c r="H176" s="138">
        <v>0</v>
      </c>
      <c r="I176" s="139"/>
      <c r="J176" s="135">
        <v>0</v>
      </c>
      <c r="K176" s="139"/>
      <c r="L176" s="138">
        <v>0</v>
      </c>
      <c r="M176" s="135"/>
      <c r="N176" s="138">
        <v>0</v>
      </c>
      <c r="O176" s="135"/>
      <c r="P176" s="138">
        <v>0</v>
      </c>
      <c r="Q176" s="135"/>
      <c r="R176" s="135">
        <f t="shared" si="8"/>
        <v>-174556.22999999975</v>
      </c>
      <c r="S176" s="17"/>
      <c r="T176" s="15"/>
      <c r="U176" s="15"/>
    </row>
    <row r="177" spans="1:21" ht="12.75" customHeight="1" outlineLevel="1" x14ac:dyDescent="0.2">
      <c r="A177" s="3" t="s">
        <v>3057</v>
      </c>
      <c r="B177" s="135">
        <v>-3527279.9500000011</v>
      </c>
      <c r="C177" s="135"/>
      <c r="D177" s="138">
        <v>-13325.04</v>
      </c>
      <c r="E177" s="135"/>
      <c r="F177" s="138">
        <v>0</v>
      </c>
      <c r="G177" s="139"/>
      <c r="H177" s="138">
        <v>0</v>
      </c>
      <c r="I177" s="139"/>
      <c r="J177" s="135">
        <v>0</v>
      </c>
      <c r="K177" s="139"/>
      <c r="L177" s="138">
        <v>0</v>
      </c>
      <c r="M177" s="135"/>
      <c r="N177" s="138">
        <v>0</v>
      </c>
      <c r="O177" s="135"/>
      <c r="P177" s="138">
        <v>0</v>
      </c>
      <c r="Q177" s="135"/>
      <c r="R177" s="135">
        <f t="shared" si="8"/>
        <v>-3540604.9900000012</v>
      </c>
      <c r="S177" s="17"/>
      <c r="T177" s="15"/>
      <c r="U177" s="15"/>
    </row>
    <row r="178" spans="1:21" ht="12.75" customHeight="1" outlineLevel="1" x14ac:dyDescent="0.2">
      <c r="A178" s="3" t="s">
        <v>3058</v>
      </c>
      <c r="B178" s="135">
        <v>-134572.90999999968</v>
      </c>
      <c r="C178" s="135"/>
      <c r="D178" s="138">
        <v>0</v>
      </c>
      <c r="E178" s="135"/>
      <c r="F178" s="138">
        <v>0</v>
      </c>
      <c r="G178" s="139"/>
      <c r="H178" s="138">
        <v>0</v>
      </c>
      <c r="I178" s="139"/>
      <c r="J178" s="135">
        <v>0</v>
      </c>
      <c r="K178" s="139"/>
      <c r="L178" s="138">
        <v>0</v>
      </c>
      <c r="M178" s="135"/>
      <c r="N178" s="138">
        <v>0</v>
      </c>
      <c r="O178" s="135"/>
      <c r="P178" s="138">
        <v>0</v>
      </c>
      <c r="Q178" s="135"/>
      <c r="R178" s="135">
        <f t="shared" si="8"/>
        <v>-134572.90999999968</v>
      </c>
      <c r="S178" s="17"/>
      <c r="T178" s="15"/>
      <c r="U178" s="15"/>
    </row>
    <row r="179" spans="1:21" ht="12.75" customHeight="1" outlineLevel="1" x14ac:dyDescent="0.2">
      <c r="A179" s="3" t="s">
        <v>3059</v>
      </c>
      <c r="B179" s="135">
        <v>-8077306.9900000012</v>
      </c>
      <c r="C179" s="135"/>
      <c r="D179" s="138">
        <v>-495512.1</v>
      </c>
      <c r="E179" s="135"/>
      <c r="F179" s="138">
        <v>0</v>
      </c>
      <c r="G179" s="139"/>
      <c r="H179" s="138">
        <v>107078.71</v>
      </c>
      <c r="I179" s="139"/>
      <c r="J179" s="135">
        <v>0</v>
      </c>
      <c r="K179" s="139"/>
      <c r="L179" s="138">
        <v>0</v>
      </c>
      <c r="M179" s="135"/>
      <c r="N179" s="138">
        <v>0</v>
      </c>
      <c r="O179" s="135"/>
      <c r="P179" s="138">
        <v>0</v>
      </c>
      <c r="Q179" s="135"/>
      <c r="R179" s="135">
        <f t="shared" si="8"/>
        <v>-8465740.3800000008</v>
      </c>
      <c r="S179" s="17"/>
      <c r="T179" s="15"/>
      <c r="U179" s="15"/>
    </row>
    <row r="180" spans="1:21" ht="12.75" customHeight="1" outlineLevel="1" x14ac:dyDescent="0.2">
      <c r="A180" s="3" t="s">
        <v>3060</v>
      </c>
      <c r="B180" s="135">
        <v>-1.4551915228366852E-11</v>
      </c>
      <c r="C180" s="135"/>
      <c r="D180" s="138">
        <v>0</v>
      </c>
      <c r="E180" s="135"/>
      <c r="F180" s="138">
        <v>0</v>
      </c>
      <c r="G180" s="139"/>
      <c r="H180" s="138">
        <v>0</v>
      </c>
      <c r="I180" s="139"/>
      <c r="J180" s="135">
        <v>0</v>
      </c>
      <c r="K180" s="139"/>
      <c r="L180" s="138">
        <v>0</v>
      </c>
      <c r="M180" s="135"/>
      <c r="N180" s="138">
        <v>0</v>
      </c>
      <c r="O180" s="135"/>
      <c r="P180" s="138">
        <v>0</v>
      </c>
      <c r="Q180" s="135"/>
      <c r="R180" s="135">
        <f t="shared" si="8"/>
        <v>-1.4551915228366852E-11</v>
      </c>
      <c r="S180" s="17"/>
      <c r="T180" s="15"/>
      <c r="U180" s="15"/>
    </row>
    <row r="181" spans="1:21" ht="12.75" customHeight="1" outlineLevel="1" x14ac:dyDescent="0.2">
      <c r="A181" s="3" t="s">
        <v>3061</v>
      </c>
      <c r="B181" s="135">
        <v>-105107.39</v>
      </c>
      <c r="C181" s="135"/>
      <c r="D181" s="138">
        <v>-38783.160000000003</v>
      </c>
      <c r="E181" s="135"/>
      <c r="F181" s="138">
        <v>0</v>
      </c>
      <c r="G181" s="139"/>
      <c r="H181" s="138">
        <v>0</v>
      </c>
      <c r="I181" s="139"/>
      <c r="J181" s="135">
        <v>0</v>
      </c>
      <c r="K181" s="139"/>
      <c r="L181" s="138">
        <v>0</v>
      </c>
      <c r="M181" s="135"/>
      <c r="N181" s="138">
        <v>0</v>
      </c>
      <c r="O181" s="135"/>
      <c r="P181" s="138">
        <v>0</v>
      </c>
      <c r="Q181" s="135"/>
      <c r="R181" s="135">
        <f t="shared" si="8"/>
        <v>-143890.54999999999</v>
      </c>
      <c r="S181" s="17"/>
      <c r="T181" s="15"/>
      <c r="U181" s="15"/>
    </row>
    <row r="182" spans="1:21" ht="12.75" customHeight="1" outlineLevel="1" x14ac:dyDescent="0.2">
      <c r="A182" s="3" t="s">
        <v>3062</v>
      </c>
      <c r="B182" s="135">
        <v>-1513.96</v>
      </c>
      <c r="C182" s="135"/>
      <c r="D182" s="138">
        <v>-26968.560000000001</v>
      </c>
      <c r="E182" s="135"/>
      <c r="F182" s="138">
        <v>0</v>
      </c>
      <c r="G182" s="139"/>
      <c r="H182" s="138">
        <v>-142153.10999999999</v>
      </c>
      <c r="I182" s="139"/>
      <c r="J182" s="135">
        <v>0</v>
      </c>
      <c r="K182" s="139"/>
      <c r="L182" s="138">
        <v>0</v>
      </c>
      <c r="M182" s="135"/>
      <c r="N182" s="138">
        <v>0</v>
      </c>
      <c r="O182" s="135"/>
      <c r="P182" s="138">
        <v>0</v>
      </c>
      <c r="Q182" s="135"/>
      <c r="R182" s="135">
        <f t="shared" si="8"/>
        <v>-170635.62999999998</v>
      </c>
      <c r="S182" s="17"/>
      <c r="T182" s="15"/>
      <c r="U182" s="15"/>
    </row>
    <row r="183" spans="1:21" ht="12.75" customHeight="1" outlineLevel="1" x14ac:dyDescent="0.2">
      <c r="A183" s="3" t="s">
        <v>3063</v>
      </c>
      <c r="B183" s="135">
        <v>-12551.43</v>
      </c>
      <c r="C183" s="135"/>
      <c r="D183" s="138">
        <v>-20631.27</v>
      </c>
      <c r="E183" s="135"/>
      <c r="F183" s="138">
        <v>0</v>
      </c>
      <c r="G183" s="139"/>
      <c r="H183" s="138">
        <v>0</v>
      </c>
      <c r="I183" s="139"/>
      <c r="J183" s="135">
        <v>0</v>
      </c>
      <c r="K183" s="139"/>
      <c r="L183" s="138">
        <v>0</v>
      </c>
      <c r="M183" s="135"/>
      <c r="N183" s="138">
        <v>0</v>
      </c>
      <c r="O183" s="135"/>
      <c r="P183" s="138">
        <v>0</v>
      </c>
      <c r="Q183" s="135"/>
      <c r="R183" s="135">
        <f>SUM(B183:P183)</f>
        <v>-33182.699999999997</v>
      </c>
      <c r="S183" s="17"/>
      <c r="T183" s="15"/>
      <c r="U183" s="15"/>
    </row>
    <row r="184" spans="1:21" ht="12.75" customHeight="1" outlineLevel="1" x14ac:dyDescent="0.2">
      <c r="A184" s="3" t="s">
        <v>3064</v>
      </c>
      <c r="B184" s="135">
        <v>0</v>
      </c>
      <c r="C184" s="135"/>
      <c r="D184" s="138">
        <v>0</v>
      </c>
      <c r="E184" s="135"/>
      <c r="F184" s="138">
        <v>0</v>
      </c>
      <c r="G184" s="139"/>
      <c r="H184" s="138">
        <v>0</v>
      </c>
      <c r="I184" s="139"/>
      <c r="J184" s="135">
        <v>0</v>
      </c>
      <c r="K184" s="139"/>
      <c r="L184" s="138">
        <v>0</v>
      </c>
      <c r="M184" s="135"/>
      <c r="N184" s="138">
        <v>0</v>
      </c>
      <c r="O184" s="135"/>
      <c r="P184" s="138">
        <v>0</v>
      </c>
      <c r="Q184" s="135"/>
      <c r="R184" s="135">
        <f>SUM(B184:P184)</f>
        <v>0</v>
      </c>
      <c r="S184" s="17"/>
      <c r="T184" s="15"/>
      <c r="U184" s="15"/>
    </row>
    <row r="185" spans="1:21" ht="12.75" customHeight="1" outlineLevel="1" x14ac:dyDescent="0.2">
      <c r="A185" s="3" t="s">
        <v>3065</v>
      </c>
      <c r="B185" s="135">
        <v>-14161.91</v>
      </c>
      <c r="C185" s="135"/>
      <c r="D185" s="138">
        <v>-23278.48</v>
      </c>
      <c r="E185" s="135"/>
      <c r="F185" s="138">
        <v>0</v>
      </c>
      <c r="G185" s="139"/>
      <c r="H185" s="138">
        <v>0</v>
      </c>
      <c r="I185" s="139"/>
      <c r="J185" s="135">
        <v>0</v>
      </c>
      <c r="K185" s="139"/>
      <c r="L185" s="138">
        <v>0</v>
      </c>
      <c r="M185" s="135"/>
      <c r="N185" s="138">
        <v>0</v>
      </c>
      <c r="O185" s="135"/>
      <c r="P185" s="138">
        <v>0</v>
      </c>
      <c r="Q185" s="135"/>
      <c r="R185" s="135">
        <f>SUM(B185:P185)</f>
        <v>-37440.39</v>
      </c>
      <c r="S185" s="17"/>
      <c r="T185" s="15"/>
      <c r="U185" s="15"/>
    </row>
    <row r="186" spans="1:21" ht="12.75" customHeight="1" outlineLevel="1" x14ac:dyDescent="0.2">
      <c r="A186" s="22" t="s">
        <v>3066</v>
      </c>
      <c r="B186" s="135">
        <v>-39717236.269999988</v>
      </c>
      <c r="C186" s="135"/>
      <c r="D186" s="138">
        <v>-1091839.3700000001</v>
      </c>
      <c r="E186" s="135"/>
      <c r="F186" s="138">
        <v>162069.14000000001</v>
      </c>
      <c r="G186" s="139"/>
      <c r="H186" s="138">
        <v>0</v>
      </c>
      <c r="I186" s="139"/>
      <c r="J186" s="135">
        <v>0</v>
      </c>
      <c r="K186" s="139"/>
      <c r="L186" s="138">
        <v>31924.67</v>
      </c>
      <c r="M186" s="135"/>
      <c r="N186" s="138">
        <v>0</v>
      </c>
      <c r="O186" s="135"/>
      <c r="P186" s="138">
        <v>0</v>
      </c>
      <c r="Q186" s="135"/>
      <c r="R186" s="135">
        <f t="shared" si="8"/>
        <v>-40615081.829999983</v>
      </c>
      <c r="S186" s="17"/>
      <c r="T186" s="15"/>
      <c r="U186" s="15"/>
    </row>
    <row r="187" spans="1:21" ht="12.75" customHeight="1" outlineLevel="1" x14ac:dyDescent="0.2">
      <c r="A187" s="22" t="s">
        <v>3067</v>
      </c>
      <c r="B187" s="135">
        <v>0</v>
      </c>
      <c r="C187" s="135"/>
      <c r="D187" s="138">
        <v>0</v>
      </c>
      <c r="E187" s="135"/>
      <c r="F187" s="138">
        <v>0</v>
      </c>
      <c r="G187" s="139"/>
      <c r="H187" s="138">
        <v>0</v>
      </c>
      <c r="I187" s="139"/>
      <c r="J187" s="135">
        <v>0</v>
      </c>
      <c r="K187" s="139"/>
      <c r="L187" s="138">
        <v>0</v>
      </c>
      <c r="M187" s="135"/>
      <c r="N187" s="138">
        <v>0</v>
      </c>
      <c r="O187" s="135"/>
      <c r="P187" s="138">
        <v>0</v>
      </c>
      <c r="Q187" s="135"/>
      <c r="R187" s="135">
        <f t="shared" si="8"/>
        <v>0</v>
      </c>
      <c r="S187" s="17"/>
      <c r="T187" s="15"/>
      <c r="U187" s="15"/>
    </row>
    <row r="188" spans="1:21" ht="12.75" customHeight="1" outlineLevel="1" x14ac:dyDescent="0.2">
      <c r="A188" s="124" t="s">
        <v>3068</v>
      </c>
      <c r="B188" s="135">
        <v>-89358.15</v>
      </c>
      <c r="C188" s="135"/>
      <c r="D188" s="138">
        <v>-85139.04</v>
      </c>
      <c r="E188" s="135"/>
      <c r="F188" s="138">
        <v>0</v>
      </c>
      <c r="G188" s="139"/>
      <c r="H188" s="138">
        <v>0</v>
      </c>
      <c r="I188" s="139"/>
      <c r="J188" s="135">
        <v>0</v>
      </c>
      <c r="K188" s="139"/>
      <c r="L188" s="138">
        <v>0</v>
      </c>
      <c r="M188" s="135"/>
      <c r="N188" s="138">
        <v>0</v>
      </c>
      <c r="O188" s="135"/>
      <c r="P188" s="138">
        <v>0</v>
      </c>
      <c r="Q188" s="135"/>
      <c r="R188" s="135">
        <f t="shared" si="8"/>
        <v>-174497.19</v>
      </c>
      <c r="S188" s="17"/>
      <c r="T188" s="15"/>
      <c r="U188" s="15"/>
    </row>
    <row r="189" spans="1:21" ht="12.75" customHeight="1" outlineLevel="1" x14ac:dyDescent="0.2">
      <c r="A189" s="124" t="s">
        <v>3069</v>
      </c>
      <c r="B189" s="135">
        <v>0</v>
      </c>
      <c r="C189" s="135"/>
      <c r="D189" s="138">
        <v>-32583.78</v>
      </c>
      <c r="E189" s="135"/>
      <c r="F189" s="138">
        <v>0</v>
      </c>
      <c r="G189" s="139"/>
      <c r="H189" s="138">
        <v>0</v>
      </c>
      <c r="I189" s="139"/>
      <c r="J189" s="135">
        <v>0</v>
      </c>
      <c r="K189" s="139"/>
      <c r="L189" s="138">
        <v>0</v>
      </c>
      <c r="M189" s="135"/>
      <c r="N189" s="138">
        <v>0</v>
      </c>
      <c r="O189" s="135"/>
      <c r="P189" s="138">
        <v>0</v>
      </c>
      <c r="Q189" s="135"/>
      <c r="R189" s="135">
        <f>SUM(B189:P189)</f>
        <v>-32583.78</v>
      </c>
      <c r="S189" s="17"/>
      <c r="T189" s="15"/>
      <c r="U189" s="15"/>
    </row>
    <row r="190" spans="1:21" ht="12.75" customHeight="1" outlineLevel="1" x14ac:dyDescent="0.2">
      <c r="A190" s="3" t="s">
        <v>3070</v>
      </c>
      <c r="B190" s="135">
        <v>-122980.1799999997</v>
      </c>
      <c r="C190" s="135"/>
      <c r="D190" s="138">
        <v>0</v>
      </c>
      <c r="E190" s="135"/>
      <c r="F190" s="138">
        <v>0</v>
      </c>
      <c r="G190" s="139"/>
      <c r="H190" s="138">
        <v>0</v>
      </c>
      <c r="I190" s="139"/>
      <c r="J190" s="135">
        <v>0</v>
      </c>
      <c r="K190" s="139"/>
      <c r="L190" s="138">
        <v>0</v>
      </c>
      <c r="M190" s="135"/>
      <c r="N190" s="138">
        <v>0</v>
      </c>
      <c r="O190" s="135"/>
      <c r="P190" s="138">
        <v>0</v>
      </c>
      <c r="Q190" s="135"/>
      <c r="R190" s="135">
        <f t="shared" si="8"/>
        <v>-122980.1799999997</v>
      </c>
      <c r="S190" s="17"/>
      <c r="T190" s="15"/>
      <c r="U190" s="15"/>
    </row>
    <row r="191" spans="1:21" ht="12.75" customHeight="1" outlineLevel="1" x14ac:dyDescent="0.2">
      <c r="A191" s="3" t="s">
        <v>3071</v>
      </c>
      <c r="B191" s="135">
        <v>-18013349.66</v>
      </c>
      <c r="C191" s="135"/>
      <c r="D191" s="138">
        <v>-186497.95</v>
      </c>
      <c r="E191" s="135"/>
      <c r="F191" s="138">
        <v>96908.42</v>
      </c>
      <c r="G191" s="139"/>
      <c r="H191" s="138">
        <v>381379.1</v>
      </c>
      <c r="I191" s="139"/>
      <c r="J191" s="135">
        <v>0</v>
      </c>
      <c r="K191" s="139"/>
      <c r="L191" s="138">
        <v>17804.900000000001</v>
      </c>
      <c r="M191" s="135"/>
      <c r="N191" s="138">
        <v>0</v>
      </c>
      <c r="O191" s="135"/>
      <c r="P191" s="138">
        <v>0</v>
      </c>
      <c r="Q191" s="135"/>
      <c r="R191" s="135">
        <f t="shared" si="8"/>
        <v>-17703755.189999998</v>
      </c>
      <c r="S191" s="17"/>
      <c r="T191" s="15"/>
      <c r="U191" s="15"/>
    </row>
    <row r="192" spans="1:21" ht="12.75" customHeight="1" outlineLevel="1" x14ac:dyDescent="0.2">
      <c r="A192" s="3" t="s">
        <v>3072</v>
      </c>
      <c r="B192" s="135">
        <v>-908753.60999999987</v>
      </c>
      <c r="C192" s="135"/>
      <c r="D192" s="138">
        <v>0</v>
      </c>
      <c r="E192" s="135"/>
      <c r="F192" s="138">
        <v>0</v>
      </c>
      <c r="G192" s="139"/>
      <c r="H192" s="138">
        <v>0</v>
      </c>
      <c r="I192" s="139"/>
      <c r="J192" s="135">
        <v>0</v>
      </c>
      <c r="K192" s="139"/>
      <c r="L192" s="138">
        <v>0</v>
      </c>
      <c r="M192" s="135"/>
      <c r="N192" s="138">
        <v>0</v>
      </c>
      <c r="O192" s="135"/>
      <c r="P192" s="138">
        <v>0</v>
      </c>
      <c r="Q192" s="135"/>
      <c r="R192" s="135">
        <f t="shared" si="8"/>
        <v>-908753.60999999987</v>
      </c>
      <c r="S192" s="17"/>
      <c r="T192" s="15"/>
      <c r="U192" s="15"/>
    </row>
    <row r="193" spans="1:21" ht="12.75" customHeight="1" outlineLevel="1" x14ac:dyDescent="0.2">
      <c r="A193" s="3" t="s">
        <v>3073</v>
      </c>
      <c r="B193" s="135">
        <v>-10036755.84</v>
      </c>
      <c r="C193" s="135"/>
      <c r="D193" s="138">
        <v>-113380.5</v>
      </c>
      <c r="E193" s="135"/>
      <c r="F193" s="138">
        <v>2522.1</v>
      </c>
      <c r="G193" s="139"/>
      <c r="H193" s="138">
        <v>0</v>
      </c>
      <c r="I193" s="139"/>
      <c r="J193" s="135">
        <v>0</v>
      </c>
      <c r="K193" s="139"/>
      <c r="L193" s="138">
        <v>10232.700000000001</v>
      </c>
      <c r="M193" s="135"/>
      <c r="N193" s="138">
        <v>0</v>
      </c>
      <c r="O193" s="135"/>
      <c r="P193" s="138">
        <v>0</v>
      </c>
      <c r="Q193" s="135"/>
      <c r="R193" s="135">
        <f t="shared" si="8"/>
        <v>-10137381.540000001</v>
      </c>
      <c r="S193" s="17"/>
      <c r="T193" s="15"/>
      <c r="U193" s="15"/>
    </row>
    <row r="194" spans="1:21" ht="12.75" customHeight="1" outlineLevel="1" x14ac:dyDescent="0.2">
      <c r="A194" s="3" t="s">
        <v>3074</v>
      </c>
      <c r="B194" s="135">
        <v>-381081.24</v>
      </c>
      <c r="C194" s="135"/>
      <c r="D194" s="138">
        <v>0</v>
      </c>
      <c r="E194" s="135"/>
      <c r="F194" s="138">
        <v>238079.83</v>
      </c>
      <c r="G194" s="139"/>
      <c r="H194" s="138">
        <v>0</v>
      </c>
      <c r="I194" s="139"/>
      <c r="J194" s="135">
        <v>0</v>
      </c>
      <c r="K194" s="139"/>
      <c r="L194" s="138">
        <v>0</v>
      </c>
      <c r="M194" s="135"/>
      <c r="N194" s="138">
        <v>0</v>
      </c>
      <c r="O194" s="135"/>
      <c r="P194" s="138">
        <v>0</v>
      </c>
      <c r="Q194" s="135"/>
      <c r="R194" s="135">
        <f t="shared" si="8"/>
        <v>-143001.41</v>
      </c>
      <c r="S194" s="17"/>
      <c r="T194" s="15"/>
      <c r="U194" s="15"/>
    </row>
    <row r="195" spans="1:21" ht="12.75" customHeight="1" outlineLevel="1" x14ac:dyDescent="0.2">
      <c r="A195" s="3" t="s">
        <v>3075</v>
      </c>
      <c r="B195" s="135">
        <v>-21933271.139999997</v>
      </c>
      <c r="C195" s="135"/>
      <c r="D195" s="138">
        <v>-226229.74</v>
      </c>
      <c r="E195" s="135"/>
      <c r="F195" s="138">
        <v>27014.94</v>
      </c>
      <c r="G195" s="139"/>
      <c r="H195" s="138">
        <v>1125257.2</v>
      </c>
      <c r="I195" s="139"/>
      <c r="J195" s="135">
        <v>0</v>
      </c>
      <c r="K195" s="139"/>
      <c r="L195" s="138">
        <v>19040.310000000001</v>
      </c>
      <c r="M195" s="135"/>
      <c r="N195" s="138">
        <v>0</v>
      </c>
      <c r="O195" s="135"/>
      <c r="P195" s="138">
        <v>0</v>
      </c>
      <c r="Q195" s="135"/>
      <c r="R195" s="135">
        <f t="shared" si="8"/>
        <v>-20988188.429999996</v>
      </c>
      <c r="S195" s="17"/>
      <c r="T195" s="15"/>
      <c r="U195" s="15"/>
    </row>
    <row r="196" spans="1:21" ht="12.75" customHeight="1" outlineLevel="1" x14ac:dyDescent="0.2">
      <c r="A196" s="3" t="s">
        <v>3076</v>
      </c>
      <c r="B196" s="135">
        <v>-2385359.5099999998</v>
      </c>
      <c r="C196" s="135"/>
      <c r="D196" s="138">
        <v>-12439.08</v>
      </c>
      <c r="E196" s="135"/>
      <c r="F196" s="138">
        <v>0</v>
      </c>
      <c r="G196" s="139"/>
      <c r="H196" s="138">
        <v>0</v>
      </c>
      <c r="I196" s="139"/>
      <c r="J196" s="135">
        <v>0</v>
      </c>
      <c r="K196" s="139"/>
      <c r="L196" s="138">
        <v>0</v>
      </c>
      <c r="M196" s="135"/>
      <c r="N196" s="138">
        <v>0</v>
      </c>
      <c r="O196" s="135"/>
      <c r="P196" s="138">
        <v>0</v>
      </c>
      <c r="Q196" s="135"/>
      <c r="R196" s="135">
        <f t="shared" si="8"/>
        <v>-2397798.59</v>
      </c>
      <c r="S196" s="17"/>
      <c r="T196" s="15"/>
      <c r="U196" s="15"/>
    </row>
    <row r="197" spans="1:21" ht="12.75" customHeight="1" outlineLevel="1" x14ac:dyDescent="0.2">
      <c r="A197" s="3" t="s">
        <v>3077</v>
      </c>
      <c r="B197" s="135">
        <v>0</v>
      </c>
      <c r="C197" s="135"/>
      <c r="D197" s="138">
        <v>-2067.42</v>
      </c>
      <c r="E197" s="135"/>
      <c r="F197" s="138">
        <v>0</v>
      </c>
      <c r="G197" s="139"/>
      <c r="H197" s="138">
        <v>0</v>
      </c>
      <c r="I197" s="139"/>
      <c r="J197" s="135">
        <v>0</v>
      </c>
      <c r="K197" s="139"/>
      <c r="L197" s="138">
        <v>0</v>
      </c>
      <c r="M197" s="135"/>
      <c r="N197" s="138">
        <v>0</v>
      </c>
      <c r="O197" s="135"/>
      <c r="P197" s="138">
        <v>0</v>
      </c>
      <c r="Q197" s="135"/>
      <c r="R197" s="135">
        <f t="shared" si="8"/>
        <v>-2067.42</v>
      </c>
      <c r="S197" s="17"/>
      <c r="T197" s="15"/>
      <c r="U197" s="15"/>
    </row>
    <row r="198" spans="1:21" ht="12.75" customHeight="1" outlineLevel="1" x14ac:dyDescent="0.2">
      <c r="A198" s="3" t="s">
        <v>3078</v>
      </c>
      <c r="B198" s="135">
        <v>-16754.240000000002</v>
      </c>
      <c r="C198" s="135"/>
      <c r="D198" s="138">
        <v>-16431</v>
      </c>
      <c r="E198" s="135"/>
      <c r="F198" s="138">
        <v>0</v>
      </c>
      <c r="G198" s="139"/>
      <c r="H198" s="138">
        <v>0</v>
      </c>
      <c r="I198" s="139"/>
      <c r="J198" s="135">
        <v>0</v>
      </c>
      <c r="K198" s="139"/>
      <c r="L198" s="138">
        <v>0</v>
      </c>
      <c r="M198" s="135"/>
      <c r="N198" s="138">
        <v>0</v>
      </c>
      <c r="O198" s="135"/>
      <c r="P198" s="138">
        <v>0</v>
      </c>
      <c r="Q198" s="135"/>
      <c r="R198" s="135">
        <f t="shared" si="8"/>
        <v>-33185.240000000005</v>
      </c>
      <c r="S198" s="17"/>
      <c r="T198" s="15"/>
      <c r="U198" s="15"/>
    </row>
    <row r="199" spans="1:21" ht="12.75" customHeight="1" outlineLevel="1" x14ac:dyDescent="0.2">
      <c r="A199" s="3" t="s">
        <v>3079</v>
      </c>
      <c r="B199" s="135">
        <v>0</v>
      </c>
      <c r="C199" s="135"/>
      <c r="D199" s="138">
        <v>0</v>
      </c>
      <c r="E199" s="135"/>
      <c r="F199" s="138">
        <v>0</v>
      </c>
      <c r="G199" s="139"/>
      <c r="H199" s="138">
        <v>0</v>
      </c>
      <c r="I199" s="139"/>
      <c r="J199" s="135">
        <v>0</v>
      </c>
      <c r="K199" s="139"/>
      <c r="L199" s="138">
        <v>0</v>
      </c>
      <c r="M199" s="135"/>
      <c r="N199" s="138">
        <v>0</v>
      </c>
      <c r="O199" s="135"/>
      <c r="P199" s="138">
        <v>0</v>
      </c>
      <c r="Q199" s="135"/>
      <c r="R199" s="135">
        <f t="shared" si="8"/>
        <v>0</v>
      </c>
      <c r="S199" s="17"/>
      <c r="T199" s="15"/>
      <c r="U199" s="15"/>
    </row>
    <row r="200" spans="1:21" ht="12.75" customHeight="1" outlineLevel="1" x14ac:dyDescent="0.2">
      <c r="A200" s="3" t="s">
        <v>3080</v>
      </c>
      <c r="B200" s="135">
        <v>-65793549.900000021</v>
      </c>
      <c r="C200" s="135"/>
      <c r="D200" s="138">
        <v>-1737767.55</v>
      </c>
      <c r="E200" s="135"/>
      <c r="F200" s="138">
        <v>7380.54</v>
      </c>
      <c r="G200" s="139"/>
      <c r="H200" s="138">
        <v>2919918.53</v>
      </c>
      <c r="I200" s="139"/>
      <c r="J200" s="135">
        <v>0</v>
      </c>
      <c r="K200" s="139"/>
      <c r="L200" s="138">
        <v>2642.73</v>
      </c>
      <c r="M200" s="135"/>
      <c r="N200" s="138">
        <v>0</v>
      </c>
      <c r="O200" s="135"/>
      <c r="P200" s="138">
        <v>-649.35</v>
      </c>
      <c r="Q200" s="135"/>
      <c r="R200" s="135">
        <f t="shared" si="8"/>
        <v>-64602025.000000015</v>
      </c>
      <c r="S200" s="17"/>
      <c r="T200" s="15"/>
      <c r="U200" s="15"/>
    </row>
    <row r="201" spans="1:21" ht="12.75" customHeight="1" outlineLevel="1" x14ac:dyDescent="0.2">
      <c r="A201" s="3" t="s">
        <v>3081</v>
      </c>
      <c r="B201" s="135">
        <v>-3.637978807091713E-12</v>
      </c>
      <c r="C201" s="135"/>
      <c r="D201" s="138">
        <v>0</v>
      </c>
      <c r="E201" s="135"/>
      <c r="F201" s="138">
        <v>0</v>
      </c>
      <c r="G201" s="139"/>
      <c r="H201" s="138">
        <v>0</v>
      </c>
      <c r="I201" s="139"/>
      <c r="J201" s="135">
        <v>0</v>
      </c>
      <c r="K201" s="139"/>
      <c r="L201" s="138">
        <v>0</v>
      </c>
      <c r="M201" s="135"/>
      <c r="N201" s="138">
        <v>0</v>
      </c>
      <c r="O201" s="135"/>
      <c r="P201" s="138">
        <v>0</v>
      </c>
      <c r="Q201" s="135"/>
      <c r="R201" s="135">
        <f t="shared" si="8"/>
        <v>-3.637978807091713E-12</v>
      </c>
      <c r="S201" s="17"/>
      <c r="T201" s="15"/>
      <c r="U201" s="15"/>
    </row>
    <row r="202" spans="1:21" ht="12.75" customHeight="1" outlineLevel="1" x14ac:dyDescent="0.2">
      <c r="A202" s="3" t="s">
        <v>3082</v>
      </c>
      <c r="B202" s="135">
        <v>-1594699.75</v>
      </c>
      <c r="C202" s="135"/>
      <c r="D202" s="138">
        <v>-330691.71999999997</v>
      </c>
      <c r="E202" s="135"/>
      <c r="F202" s="138">
        <v>0</v>
      </c>
      <c r="G202" s="139"/>
      <c r="H202" s="138">
        <v>0</v>
      </c>
      <c r="I202" s="139"/>
      <c r="J202" s="135">
        <v>0</v>
      </c>
      <c r="K202" s="139"/>
      <c r="L202" s="138">
        <v>0</v>
      </c>
      <c r="M202" s="135"/>
      <c r="N202" s="138">
        <v>0</v>
      </c>
      <c r="O202" s="135"/>
      <c r="P202" s="138">
        <v>0</v>
      </c>
      <c r="Q202" s="135"/>
      <c r="R202" s="135">
        <f t="shared" si="8"/>
        <v>-1925391.47</v>
      </c>
      <c r="S202" s="17"/>
      <c r="T202" s="15"/>
      <c r="U202" s="15"/>
    </row>
    <row r="203" spans="1:21" ht="12.75" customHeight="1" outlineLevel="1" x14ac:dyDescent="0.2">
      <c r="A203" s="3" t="s">
        <v>3083</v>
      </c>
      <c r="B203" s="135">
        <v>0</v>
      </c>
      <c r="C203" s="135"/>
      <c r="D203" s="138">
        <v>0</v>
      </c>
      <c r="E203" s="135"/>
      <c r="F203" s="138">
        <v>0</v>
      </c>
      <c r="G203" s="139"/>
      <c r="H203" s="138">
        <v>0</v>
      </c>
      <c r="I203" s="139"/>
      <c r="J203" s="135">
        <v>0</v>
      </c>
      <c r="K203" s="139"/>
      <c r="L203" s="138">
        <v>0</v>
      </c>
      <c r="M203" s="135"/>
      <c r="N203" s="138">
        <v>0</v>
      </c>
      <c r="O203" s="135"/>
      <c r="P203" s="138">
        <v>0</v>
      </c>
      <c r="Q203" s="135"/>
      <c r="R203" s="135">
        <f t="shared" si="8"/>
        <v>0</v>
      </c>
      <c r="S203" s="17"/>
      <c r="T203" s="15"/>
      <c r="U203" s="15"/>
    </row>
    <row r="204" spans="1:21" ht="12.75" customHeight="1" outlineLevel="1" x14ac:dyDescent="0.2">
      <c r="A204" s="141" t="s">
        <v>3084</v>
      </c>
      <c r="B204" s="135">
        <v>-28056.009999999995</v>
      </c>
      <c r="C204" s="135"/>
      <c r="D204" s="138">
        <v>-10727.16</v>
      </c>
      <c r="E204" s="135"/>
      <c r="F204" s="138">
        <v>0</v>
      </c>
      <c r="G204" s="139"/>
      <c r="H204" s="138">
        <v>0</v>
      </c>
      <c r="I204" s="139"/>
      <c r="J204" s="135">
        <v>0</v>
      </c>
      <c r="K204" s="139"/>
      <c r="L204" s="138">
        <v>0</v>
      </c>
      <c r="M204" s="135"/>
      <c r="N204" s="138">
        <v>0</v>
      </c>
      <c r="O204" s="135"/>
      <c r="P204" s="138">
        <v>0</v>
      </c>
      <c r="Q204" s="135"/>
      <c r="R204" s="135">
        <f t="shared" si="8"/>
        <v>-38783.17</v>
      </c>
      <c r="S204" s="17"/>
      <c r="T204" s="15"/>
      <c r="U204" s="15"/>
    </row>
    <row r="205" spans="1:21" ht="12.75" customHeight="1" outlineLevel="1" x14ac:dyDescent="0.2">
      <c r="A205" s="3" t="s">
        <v>3085</v>
      </c>
      <c r="B205" s="135">
        <v>11820.870000000046</v>
      </c>
      <c r="C205" s="135"/>
      <c r="D205" s="138">
        <v>-8979</v>
      </c>
      <c r="E205" s="135"/>
      <c r="F205" s="138">
        <v>0</v>
      </c>
      <c r="G205" s="139"/>
      <c r="H205" s="138">
        <v>0</v>
      </c>
      <c r="I205" s="139"/>
      <c r="J205" s="135">
        <v>0</v>
      </c>
      <c r="K205" s="139"/>
      <c r="L205" s="138">
        <v>0</v>
      </c>
      <c r="M205" s="135"/>
      <c r="N205" s="138">
        <v>0</v>
      </c>
      <c r="O205" s="135"/>
      <c r="P205" s="138">
        <v>0</v>
      </c>
      <c r="Q205" s="135"/>
      <c r="R205" s="135">
        <f t="shared" si="8"/>
        <v>2841.8700000000463</v>
      </c>
      <c r="S205" s="17"/>
      <c r="T205" s="15"/>
      <c r="U205" s="15"/>
    </row>
    <row r="206" spans="1:21" ht="12.75" customHeight="1" outlineLevel="1" x14ac:dyDescent="0.2">
      <c r="A206" s="3" t="s">
        <v>3086</v>
      </c>
      <c r="B206" s="135">
        <v>-4574.4900000000007</v>
      </c>
      <c r="C206" s="135"/>
      <c r="D206" s="138">
        <v>-1468.68</v>
      </c>
      <c r="E206" s="135"/>
      <c r="F206" s="138">
        <v>0</v>
      </c>
      <c r="G206" s="139"/>
      <c r="H206" s="138">
        <v>0</v>
      </c>
      <c r="I206" s="139"/>
      <c r="J206" s="135">
        <v>0</v>
      </c>
      <c r="K206" s="139"/>
      <c r="L206" s="138">
        <v>0</v>
      </c>
      <c r="M206" s="135"/>
      <c r="N206" s="138">
        <v>0</v>
      </c>
      <c r="O206" s="135"/>
      <c r="P206" s="138">
        <v>0</v>
      </c>
      <c r="Q206" s="135"/>
      <c r="R206" s="135">
        <f t="shared" si="8"/>
        <v>-6043.170000000001</v>
      </c>
      <c r="S206" s="17"/>
      <c r="T206" s="15"/>
      <c r="U206" s="15"/>
    </row>
    <row r="207" spans="1:21" x14ac:dyDescent="0.2">
      <c r="A207" s="3" t="s">
        <v>3087</v>
      </c>
      <c r="B207" s="135">
        <f>SUM(B171:B206)</f>
        <v>-181211554.36000001</v>
      </c>
      <c r="C207" s="135"/>
      <c r="D207" s="135">
        <f>SUM(D171:D206)</f>
        <v>-4474740.5999999996</v>
      </c>
      <c r="E207" s="135"/>
      <c r="F207" s="135">
        <f>SUM(F171:F206)</f>
        <v>533974.97</v>
      </c>
      <c r="G207" s="139"/>
      <c r="H207" s="135">
        <f>SUM(H171:H206)</f>
        <v>4391480.43</v>
      </c>
      <c r="I207" s="139"/>
      <c r="J207" s="135">
        <f>SUM(J171:J206)</f>
        <v>0</v>
      </c>
      <c r="K207" s="139"/>
      <c r="L207" s="135">
        <f>SUM(L171:L206)</f>
        <v>81645.31</v>
      </c>
      <c r="M207" s="135"/>
      <c r="N207" s="135">
        <f>SUM(N171:N206)</f>
        <v>0</v>
      </c>
      <c r="O207" s="135"/>
      <c r="P207" s="135">
        <f>SUM(P171:P206)</f>
        <v>-649.35</v>
      </c>
      <c r="Q207" s="135"/>
      <c r="R207" s="135">
        <f>SUM(R171:R206)</f>
        <v>-180679843.59999996</v>
      </c>
      <c r="S207" s="17"/>
      <c r="T207" s="15"/>
      <c r="U207" s="15"/>
    </row>
    <row r="208" spans="1:21" ht="12.75" customHeight="1" outlineLevel="1" x14ac:dyDescent="0.2">
      <c r="A208" s="3" t="s">
        <v>3088</v>
      </c>
      <c r="B208" s="135">
        <v>0</v>
      </c>
      <c r="C208" s="135"/>
      <c r="D208" s="138">
        <v>0</v>
      </c>
      <c r="E208" s="135"/>
      <c r="F208" s="138">
        <v>0</v>
      </c>
      <c r="G208" s="139"/>
      <c r="H208" s="138">
        <v>0</v>
      </c>
      <c r="I208" s="139"/>
      <c r="J208" s="135">
        <v>0</v>
      </c>
      <c r="K208" s="139"/>
      <c r="L208" s="138">
        <v>0</v>
      </c>
      <c r="M208" s="135"/>
      <c r="N208" s="138">
        <v>0</v>
      </c>
      <c r="O208" s="135"/>
      <c r="P208" s="138">
        <v>0</v>
      </c>
      <c r="Q208" s="135"/>
      <c r="R208" s="135">
        <f t="shared" ref="R208:R215" si="9">SUM(B208:P208)</f>
        <v>0</v>
      </c>
      <c r="S208" s="17"/>
      <c r="T208" s="15"/>
      <c r="U208" s="15"/>
    </row>
    <row r="209" spans="1:21" ht="12.75" customHeight="1" outlineLevel="1" x14ac:dyDescent="0.2">
      <c r="A209" s="22" t="s">
        <v>3089</v>
      </c>
      <c r="B209" s="135">
        <v>-5.8207660913467407E-11</v>
      </c>
      <c r="C209" s="135"/>
      <c r="D209" s="138">
        <v>0</v>
      </c>
      <c r="E209" s="135"/>
      <c r="F209" s="138">
        <v>0</v>
      </c>
      <c r="G209" s="139"/>
      <c r="H209" s="138">
        <v>0</v>
      </c>
      <c r="I209" s="139"/>
      <c r="J209" s="135">
        <v>0</v>
      </c>
      <c r="K209" s="139"/>
      <c r="L209" s="138">
        <v>0</v>
      </c>
      <c r="M209" s="135"/>
      <c r="N209" s="138">
        <v>0</v>
      </c>
      <c r="O209" s="135"/>
      <c r="P209" s="138">
        <v>0</v>
      </c>
      <c r="Q209" s="135"/>
      <c r="R209" s="135">
        <f t="shared" si="9"/>
        <v>-5.8207660913467407E-11</v>
      </c>
      <c r="S209" s="17"/>
      <c r="T209" s="15"/>
      <c r="U209" s="15"/>
    </row>
    <row r="210" spans="1:21" ht="12.75" customHeight="1" outlineLevel="1" x14ac:dyDescent="0.2">
      <c r="A210" s="3" t="s">
        <v>3090</v>
      </c>
      <c r="B210" s="135">
        <v>4.6566128730773926E-10</v>
      </c>
      <c r="C210" s="135"/>
      <c r="D210" s="138">
        <v>0</v>
      </c>
      <c r="E210" s="135"/>
      <c r="F210" s="138">
        <v>0</v>
      </c>
      <c r="G210" s="139"/>
      <c r="H210" s="138">
        <v>0</v>
      </c>
      <c r="I210" s="139"/>
      <c r="J210" s="135">
        <v>0</v>
      </c>
      <c r="K210" s="139"/>
      <c r="L210" s="138">
        <v>0</v>
      </c>
      <c r="M210" s="135"/>
      <c r="N210" s="138">
        <v>0</v>
      </c>
      <c r="O210" s="135"/>
      <c r="P210" s="138">
        <v>0</v>
      </c>
      <c r="Q210" s="135"/>
      <c r="R210" s="135">
        <f t="shared" si="9"/>
        <v>4.6566128730773926E-10</v>
      </c>
      <c r="S210" s="17"/>
      <c r="T210" s="15"/>
      <c r="U210" s="15"/>
    </row>
    <row r="211" spans="1:21" ht="12.75" customHeight="1" outlineLevel="1" x14ac:dyDescent="0.2">
      <c r="A211" s="3" t="s">
        <v>3091</v>
      </c>
      <c r="B211" s="135">
        <v>2.9103830456733704E-11</v>
      </c>
      <c r="C211" s="135"/>
      <c r="D211" s="138">
        <v>0</v>
      </c>
      <c r="E211" s="135"/>
      <c r="F211" s="138">
        <v>0</v>
      </c>
      <c r="G211" s="139"/>
      <c r="H211" s="138">
        <v>0</v>
      </c>
      <c r="I211" s="139"/>
      <c r="J211" s="135">
        <v>0</v>
      </c>
      <c r="K211" s="139"/>
      <c r="L211" s="138">
        <v>0</v>
      </c>
      <c r="M211" s="135"/>
      <c r="N211" s="138">
        <v>0</v>
      </c>
      <c r="O211" s="135"/>
      <c r="P211" s="138">
        <v>0</v>
      </c>
      <c r="Q211" s="135"/>
      <c r="R211" s="135">
        <f t="shared" si="9"/>
        <v>2.9103830456733704E-11</v>
      </c>
      <c r="S211" s="17"/>
      <c r="T211" s="15"/>
      <c r="U211" s="15"/>
    </row>
    <row r="212" spans="1:21" ht="12.75" customHeight="1" outlineLevel="1" x14ac:dyDescent="0.2">
      <c r="A212" s="3" t="s">
        <v>3092</v>
      </c>
      <c r="B212" s="135">
        <v>0</v>
      </c>
      <c r="C212" s="135"/>
      <c r="D212" s="138">
        <v>0</v>
      </c>
      <c r="E212" s="135"/>
      <c r="F212" s="138">
        <v>0</v>
      </c>
      <c r="G212" s="135"/>
      <c r="H212" s="138">
        <v>0</v>
      </c>
      <c r="I212" s="135"/>
      <c r="J212" s="135">
        <v>0</v>
      </c>
      <c r="K212" s="135"/>
      <c r="L212" s="138">
        <v>0</v>
      </c>
      <c r="M212" s="135"/>
      <c r="N212" s="138">
        <v>0</v>
      </c>
      <c r="O212" s="135"/>
      <c r="P212" s="138">
        <v>0</v>
      </c>
      <c r="Q212" s="135"/>
      <c r="R212" s="135">
        <f t="shared" si="9"/>
        <v>0</v>
      </c>
      <c r="S212" s="17"/>
      <c r="T212" s="15"/>
      <c r="U212" s="15"/>
    </row>
    <row r="213" spans="1:21" ht="12.75" customHeight="1" outlineLevel="1" x14ac:dyDescent="0.2">
      <c r="A213" s="3" t="s">
        <v>3093</v>
      </c>
      <c r="B213" s="135">
        <v>4.6566128730773926E-10</v>
      </c>
      <c r="C213" s="135"/>
      <c r="D213" s="138">
        <v>0</v>
      </c>
      <c r="E213" s="135"/>
      <c r="F213" s="138">
        <v>0</v>
      </c>
      <c r="G213" s="135"/>
      <c r="H213" s="138">
        <v>0</v>
      </c>
      <c r="I213" s="135"/>
      <c r="J213" s="135">
        <v>0</v>
      </c>
      <c r="K213" s="135"/>
      <c r="L213" s="138">
        <v>0</v>
      </c>
      <c r="M213" s="135"/>
      <c r="N213" s="138">
        <v>0</v>
      </c>
      <c r="O213" s="135"/>
      <c r="P213" s="138">
        <v>0</v>
      </c>
      <c r="Q213" s="135"/>
      <c r="R213" s="135">
        <f t="shared" si="9"/>
        <v>4.6566128730773926E-10</v>
      </c>
      <c r="S213" s="17"/>
      <c r="T213" s="15"/>
      <c r="U213" s="15"/>
    </row>
    <row r="214" spans="1:21" ht="12.75" customHeight="1" outlineLevel="1" x14ac:dyDescent="0.2">
      <c r="A214" s="3" t="s">
        <v>3094</v>
      </c>
      <c r="B214" s="135">
        <v>0</v>
      </c>
      <c r="C214" s="135"/>
      <c r="D214" s="138">
        <v>0</v>
      </c>
      <c r="E214" s="135"/>
      <c r="F214" s="138">
        <v>0</v>
      </c>
      <c r="G214" s="135"/>
      <c r="H214" s="138">
        <v>0</v>
      </c>
      <c r="I214" s="135"/>
      <c r="J214" s="135">
        <v>0</v>
      </c>
      <c r="K214" s="135"/>
      <c r="L214" s="138">
        <v>0</v>
      </c>
      <c r="M214" s="135"/>
      <c r="N214" s="138">
        <v>0</v>
      </c>
      <c r="O214" s="135"/>
      <c r="P214" s="138">
        <v>0</v>
      </c>
      <c r="Q214" s="135"/>
      <c r="R214" s="135">
        <f t="shared" si="9"/>
        <v>0</v>
      </c>
      <c r="S214" s="17"/>
      <c r="T214" s="15"/>
      <c r="U214" s="15"/>
    </row>
    <row r="215" spans="1:21" ht="12.75" customHeight="1" outlineLevel="1" x14ac:dyDescent="0.2">
      <c r="A215" s="141" t="s">
        <v>3095</v>
      </c>
      <c r="B215" s="135">
        <v>-1.1641532182693481E-10</v>
      </c>
      <c r="C215" s="135"/>
      <c r="D215" s="138">
        <v>0</v>
      </c>
      <c r="E215" s="135"/>
      <c r="F215" s="138">
        <v>0</v>
      </c>
      <c r="G215" s="135"/>
      <c r="H215" s="138">
        <v>0</v>
      </c>
      <c r="I215" s="135"/>
      <c r="J215" s="135">
        <v>0</v>
      </c>
      <c r="K215" s="135"/>
      <c r="L215" s="138">
        <v>0</v>
      </c>
      <c r="M215" s="135"/>
      <c r="N215" s="138">
        <v>0</v>
      </c>
      <c r="O215" s="135"/>
      <c r="P215" s="138">
        <v>0</v>
      </c>
      <c r="Q215" s="135"/>
      <c r="R215" s="135">
        <f t="shared" si="9"/>
        <v>-1.1641532182693481E-10</v>
      </c>
      <c r="S215" s="17"/>
      <c r="T215" s="15"/>
      <c r="U215" s="15"/>
    </row>
    <row r="216" spans="1:21" x14ac:dyDescent="0.2">
      <c r="A216" s="3" t="s">
        <v>3096</v>
      </c>
      <c r="B216" s="135">
        <f>SUM(B208:B215)</f>
        <v>7.8580342233181E-10</v>
      </c>
      <c r="C216" s="135"/>
      <c r="D216" s="135">
        <f>SUM(D208:D215)</f>
        <v>0</v>
      </c>
      <c r="E216" s="135"/>
      <c r="F216" s="135">
        <f>SUM(F208:F215)</f>
        <v>0</v>
      </c>
      <c r="G216" s="135"/>
      <c r="H216" s="135">
        <f>SUM(H208:H215)</f>
        <v>0</v>
      </c>
      <c r="I216" s="135"/>
      <c r="J216" s="135">
        <f>SUM(J208:J215)</f>
        <v>0</v>
      </c>
      <c r="K216" s="135"/>
      <c r="L216" s="135">
        <f>SUM(L208:L215)</f>
        <v>0</v>
      </c>
      <c r="M216" s="135"/>
      <c r="N216" s="135">
        <f>SUM(N208:N215)</f>
        <v>0</v>
      </c>
      <c r="O216" s="135"/>
      <c r="P216" s="135">
        <f>SUM(P208:P215)</f>
        <v>0</v>
      </c>
      <c r="Q216" s="135"/>
      <c r="R216" s="135">
        <f>SUM(R208:R215)</f>
        <v>7.8580342233181E-10</v>
      </c>
      <c r="S216" s="17"/>
      <c r="T216" s="15"/>
      <c r="U216" s="15"/>
    </row>
    <row r="217" spans="1:21" x14ac:dyDescent="0.2">
      <c r="A217" s="3" t="s">
        <v>3097</v>
      </c>
      <c r="B217" s="135">
        <v>-121184.91000000002</v>
      </c>
      <c r="C217" s="135"/>
      <c r="D217" s="138">
        <v>-20968.2</v>
      </c>
      <c r="E217" s="135"/>
      <c r="F217" s="138">
        <v>0</v>
      </c>
      <c r="G217" s="135"/>
      <c r="H217" s="138">
        <v>142153.10999999999</v>
      </c>
      <c r="I217" s="135"/>
      <c r="J217" s="135">
        <v>0</v>
      </c>
      <c r="K217" s="135"/>
      <c r="L217" s="138">
        <v>0</v>
      </c>
      <c r="M217" s="135"/>
      <c r="N217" s="138">
        <v>0</v>
      </c>
      <c r="O217" s="135"/>
      <c r="P217" s="138">
        <v>0</v>
      </c>
      <c r="Q217" s="135"/>
      <c r="R217" s="135">
        <f>SUM(B217:P217)</f>
        <v>-2.9103830456733704E-11</v>
      </c>
      <c r="S217" s="17"/>
      <c r="T217" s="15"/>
      <c r="U217" s="15"/>
    </row>
    <row r="218" spans="1:21" ht="12.75" customHeight="1" outlineLevel="1" x14ac:dyDescent="0.2">
      <c r="A218" s="3" t="s">
        <v>3098</v>
      </c>
      <c r="B218" s="135">
        <v>0</v>
      </c>
      <c r="C218" s="135"/>
      <c r="D218" s="138">
        <v>0</v>
      </c>
      <c r="E218" s="135"/>
      <c r="F218" s="138">
        <v>0</v>
      </c>
      <c r="G218" s="135"/>
      <c r="H218" s="138">
        <v>0</v>
      </c>
      <c r="I218" s="135"/>
      <c r="J218" s="135">
        <v>0</v>
      </c>
      <c r="K218" s="135"/>
      <c r="L218" s="138">
        <v>0</v>
      </c>
      <c r="M218" s="135"/>
      <c r="N218" s="138">
        <v>0</v>
      </c>
      <c r="O218" s="135"/>
      <c r="P218" s="138">
        <v>0</v>
      </c>
      <c r="Q218" s="135"/>
      <c r="R218" s="135">
        <f>SUM(B218:P218)</f>
        <v>0</v>
      </c>
      <c r="S218" s="17"/>
      <c r="T218" s="15"/>
      <c r="U218" s="15"/>
    </row>
    <row r="219" spans="1:21" ht="12.75" customHeight="1" outlineLevel="1" x14ac:dyDescent="0.2">
      <c r="A219" s="3" t="s">
        <v>3099</v>
      </c>
      <c r="B219" s="135">
        <v>0</v>
      </c>
      <c r="C219" s="135"/>
      <c r="D219" s="138">
        <v>0</v>
      </c>
      <c r="E219" s="135"/>
      <c r="F219" s="138">
        <v>0</v>
      </c>
      <c r="G219" s="135"/>
      <c r="H219" s="138">
        <v>0</v>
      </c>
      <c r="I219" s="135"/>
      <c r="J219" s="135">
        <v>0</v>
      </c>
      <c r="K219" s="135"/>
      <c r="L219" s="138">
        <v>0</v>
      </c>
      <c r="M219" s="135"/>
      <c r="N219" s="138">
        <v>0</v>
      </c>
      <c r="O219" s="135"/>
      <c r="P219" s="138">
        <v>0</v>
      </c>
      <c r="Q219" s="135"/>
      <c r="R219" s="135">
        <f>SUM(B219:P219)</f>
        <v>0</v>
      </c>
      <c r="S219" s="17"/>
      <c r="T219" s="15"/>
      <c r="U219" s="15"/>
    </row>
    <row r="220" spans="1:21" x14ac:dyDescent="0.2">
      <c r="A220" s="3" t="s">
        <v>3100</v>
      </c>
      <c r="B220" s="135">
        <f>SUM(B218:B219)</f>
        <v>0</v>
      </c>
      <c r="C220" s="135"/>
      <c r="D220" s="135">
        <f>SUM(D218:D219)</f>
        <v>0</v>
      </c>
      <c r="E220" s="135"/>
      <c r="F220" s="135">
        <f>SUM(F218:F219)</f>
        <v>0</v>
      </c>
      <c r="G220" s="135"/>
      <c r="H220" s="135">
        <f>SUM(H218:H219)</f>
        <v>0</v>
      </c>
      <c r="I220" s="135"/>
      <c r="J220" s="135">
        <f>SUM(J218:J219)</f>
        <v>0</v>
      </c>
      <c r="K220" s="135"/>
      <c r="L220" s="135">
        <f>SUM(L218:L219)</f>
        <v>0</v>
      </c>
      <c r="M220" s="135"/>
      <c r="N220" s="135">
        <f>SUM(N218:N219)</f>
        <v>0</v>
      </c>
      <c r="O220" s="135"/>
      <c r="P220" s="135">
        <f>SUM(P218:P219)</f>
        <v>0</v>
      </c>
      <c r="Q220" s="135"/>
      <c r="R220" s="135">
        <f>SUM(R218:R219)</f>
        <v>0</v>
      </c>
      <c r="S220" s="17"/>
      <c r="T220" s="15"/>
      <c r="U220" s="15"/>
    </row>
    <row r="221" spans="1:21" ht="12.75" customHeight="1" outlineLevel="1" x14ac:dyDescent="0.2">
      <c r="A221" s="3" t="s">
        <v>3101</v>
      </c>
      <c r="B221" s="135">
        <v>-7.2759576141834259E-12</v>
      </c>
      <c r="C221" s="135"/>
      <c r="D221" s="138">
        <v>0</v>
      </c>
      <c r="E221" s="135"/>
      <c r="F221" s="138">
        <v>0</v>
      </c>
      <c r="G221" s="135"/>
      <c r="H221" s="138">
        <v>0</v>
      </c>
      <c r="I221" s="135"/>
      <c r="J221" s="135">
        <v>0</v>
      </c>
      <c r="K221" s="135"/>
      <c r="L221" s="138">
        <v>0</v>
      </c>
      <c r="M221" s="135"/>
      <c r="N221" s="138">
        <v>0</v>
      </c>
      <c r="O221" s="135"/>
      <c r="P221" s="138">
        <v>0</v>
      </c>
      <c r="Q221" s="135"/>
      <c r="R221" s="135">
        <f t="shared" ref="R221:R271" si="10">SUM(B221:P221)</f>
        <v>-7.2759576141834259E-12</v>
      </c>
      <c r="S221" s="17"/>
      <c r="T221" s="15"/>
      <c r="U221" s="15"/>
    </row>
    <row r="222" spans="1:21" ht="12.75" customHeight="1" outlineLevel="1" x14ac:dyDescent="0.2">
      <c r="A222" s="3" t="s">
        <v>3102</v>
      </c>
      <c r="B222" s="135">
        <v>-3863668.05</v>
      </c>
      <c r="C222" s="135"/>
      <c r="D222" s="138">
        <v>-227133.61</v>
      </c>
      <c r="E222" s="135"/>
      <c r="F222" s="138">
        <v>4466784.4400000004</v>
      </c>
      <c r="G222" s="135"/>
      <c r="H222" s="138">
        <v>-47489.49</v>
      </c>
      <c r="I222" s="135"/>
      <c r="J222" s="135">
        <v>0</v>
      </c>
      <c r="K222" s="135"/>
      <c r="L222" s="138">
        <v>66495.63</v>
      </c>
      <c r="M222" s="135"/>
      <c r="N222" s="138">
        <v>-394988.95</v>
      </c>
      <c r="O222" s="135"/>
      <c r="P222" s="138">
        <v>0</v>
      </c>
      <c r="Q222" s="135"/>
      <c r="R222" s="135">
        <f t="shared" si="10"/>
        <v>-2.9999999271240085E-2</v>
      </c>
      <c r="S222" s="17"/>
      <c r="T222" s="15"/>
      <c r="U222" s="15"/>
    </row>
    <row r="223" spans="1:21" ht="12.75" customHeight="1" outlineLevel="1" x14ac:dyDescent="0.2">
      <c r="A223" s="3" t="s">
        <v>3103</v>
      </c>
      <c r="B223" s="135">
        <v>-87688.839999999851</v>
      </c>
      <c r="C223" s="135"/>
      <c r="D223" s="138">
        <v>0</v>
      </c>
      <c r="E223" s="135"/>
      <c r="F223" s="138">
        <v>0</v>
      </c>
      <c r="G223" s="135"/>
      <c r="H223" s="138">
        <v>0</v>
      </c>
      <c r="I223" s="135"/>
      <c r="J223" s="135">
        <v>0</v>
      </c>
      <c r="K223" s="135"/>
      <c r="L223" s="138">
        <v>0</v>
      </c>
      <c r="M223" s="135"/>
      <c r="N223" s="138">
        <v>0</v>
      </c>
      <c r="O223" s="135"/>
      <c r="P223" s="138">
        <v>0</v>
      </c>
      <c r="Q223" s="135"/>
      <c r="R223" s="135">
        <f t="shared" si="10"/>
        <v>-87688.839999999851</v>
      </c>
      <c r="S223" s="17"/>
      <c r="T223" s="15"/>
      <c r="U223" s="15"/>
    </row>
    <row r="224" spans="1:21" ht="12.75" customHeight="1" outlineLevel="1" x14ac:dyDescent="0.2">
      <c r="A224" s="3" t="s">
        <v>3104</v>
      </c>
      <c r="B224" s="135">
        <v>-15455.420000000013</v>
      </c>
      <c r="C224" s="135"/>
      <c r="D224" s="138">
        <v>0</v>
      </c>
      <c r="E224" s="135"/>
      <c r="F224" s="138">
        <v>0</v>
      </c>
      <c r="G224" s="139"/>
      <c r="H224" s="138">
        <v>0</v>
      </c>
      <c r="I224" s="139"/>
      <c r="J224" s="135">
        <v>0</v>
      </c>
      <c r="K224" s="139"/>
      <c r="L224" s="138">
        <v>0</v>
      </c>
      <c r="M224" s="135"/>
      <c r="N224" s="138">
        <v>0</v>
      </c>
      <c r="O224" s="135"/>
      <c r="P224" s="138">
        <v>0</v>
      </c>
      <c r="Q224" s="135"/>
      <c r="R224" s="135">
        <f t="shared" si="10"/>
        <v>-15455.420000000013</v>
      </c>
      <c r="S224" s="17"/>
      <c r="T224" s="15"/>
      <c r="U224" s="15"/>
    </row>
    <row r="225" spans="1:21" ht="12.75" customHeight="1" outlineLevel="1" x14ac:dyDescent="0.2">
      <c r="A225" s="3" t="s">
        <v>3105</v>
      </c>
      <c r="B225" s="135">
        <v>-72310.980000000098</v>
      </c>
      <c r="C225" s="135"/>
      <c r="D225" s="138">
        <v>0</v>
      </c>
      <c r="E225" s="135"/>
      <c r="F225" s="138">
        <v>0</v>
      </c>
      <c r="G225" s="139"/>
      <c r="H225" s="138">
        <v>0</v>
      </c>
      <c r="I225" s="139"/>
      <c r="J225" s="135">
        <v>0</v>
      </c>
      <c r="K225" s="139"/>
      <c r="L225" s="138">
        <v>0</v>
      </c>
      <c r="M225" s="135"/>
      <c r="N225" s="138">
        <v>0</v>
      </c>
      <c r="O225" s="135"/>
      <c r="P225" s="138">
        <v>0</v>
      </c>
      <c r="Q225" s="135"/>
      <c r="R225" s="135">
        <f t="shared" si="10"/>
        <v>-72310.980000000098</v>
      </c>
      <c r="S225" s="17"/>
      <c r="T225" s="15"/>
      <c r="U225" s="15"/>
    </row>
    <row r="226" spans="1:21" ht="12.75" customHeight="1" outlineLevel="1" x14ac:dyDescent="0.2">
      <c r="A226" s="3" t="s">
        <v>3106</v>
      </c>
      <c r="B226" s="135">
        <v>-1281485.5100000016</v>
      </c>
      <c r="C226" s="135"/>
      <c r="D226" s="138">
        <v>0</v>
      </c>
      <c r="E226" s="135"/>
      <c r="F226" s="138">
        <v>0</v>
      </c>
      <c r="G226" s="139"/>
      <c r="H226" s="138">
        <v>0</v>
      </c>
      <c r="I226" s="139"/>
      <c r="J226" s="135">
        <v>0</v>
      </c>
      <c r="K226" s="139"/>
      <c r="L226" s="138">
        <v>0</v>
      </c>
      <c r="M226" s="135"/>
      <c r="N226" s="138">
        <v>0</v>
      </c>
      <c r="O226" s="135"/>
      <c r="P226" s="138">
        <v>0</v>
      </c>
      <c r="Q226" s="135"/>
      <c r="R226" s="135">
        <f t="shared" si="10"/>
        <v>-1281485.5100000016</v>
      </c>
      <c r="S226" s="17"/>
      <c r="T226" s="15"/>
      <c r="U226" s="15"/>
    </row>
    <row r="227" spans="1:21" ht="12.75" customHeight="1" outlineLevel="1" x14ac:dyDescent="0.2">
      <c r="A227" s="3" t="s">
        <v>3107</v>
      </c>
      <c r="B227" s="135">
        <v>-2770382.3999999985</v>
      </c>
      <c r="C227" s="135"/>
      <c r="D227" s="138">
        <v>0</v>
      </c>
      <c r="E227" s="135"/>
      <c r="F227" s="138">
        <v>0</v>
      </c>
      <c r="G227" s="139"/>
      <c r="H227" s="138">
        <v>0</v>
      </c>
      <c r="I227" s="139"/>
      <c r="J227" s="135">
        <v>0</v>
      </c>
      <c r="K227" s="139"/>
      <c r="L227" s="138">
        <v>0</v>
      </c>
      <c r="M227" s="135"/>
      <c r="N227" s="138">
        <v>0</v>
      </c>
      <c r="O227" s="135"/>
      <c r="P227" s="138">
        <v>0</v>
      </c>
      <c r="Q227" s="135"/>
      <c r="R227" s="135">
        <f t="shared" si="10"/>
        <v>-2770382.3999999985</v>
      </c>
      <c r="S227" s="17"/>
      <c r="T227" s="15"/>
      <c r="U227" s="15"/>
    </row>
    <row r="228" spans="1:21" ht="12.75" customHeight="1" outlineLevel="1" x14ac:dyDescent="0.2">
      <c r="A228" s="3" t="s">
        <v>3108</v>
      </c>
      <c r="B228" s="135">
        <v>-2645668.6800000076</v>
      </c>
      <c r="C228" s="135"/>
      <c r="D228" s="138">
        <v>-11897.4</v>
      </c>
      <c r="E228" s="135"/>
      <c r="F228" s="138">
        <v>0</v>
      </c>
      <c r="G228" s="139"/>
      <c r="H228" s="138">
        <v>0</v>
      </c>
      <c r="I228" s="139"/>
      <c r="J228" s="135">
        <v>0</v>
      </c>
      <c r="K228" s="139"/>
      <c r="L228" s="138">
        <v>0</v>
      </c>
      <c r="M228" s="135"/>
      <c r="N228" s="138">
        <v>0</v>
      </c>
      <c r="O228" s="135"/>
      <c r="P228" s="138">
        <v>0</v>
      </c>
      <c r="Q228" s="135"/>
      <c r="R228" s="135">
        <f t="shared" si="10"/>
        <v>-2657566.0800000075</v>
      </c>
      <c r="S228" s="17"/>
      <c r="T228" s="15"/>
      <c r="U228" s="15"/>
    </row>
    <row r="229" spans="1:21" ht="12.75" customHeight="1" outlineLevel="1" x14ac:dyDescent="0.2">
      <c r="A229" s="3" t="s">
        <v>3109</v>
      </c>
      <c r="B229" s="135">
        <v>0</v>
      </c>
      <c r="C229" s="135"/>
      <c r="D229" s="138">
        <v>0</v>
      </c>
      <c r="E229" s="135"/>
      <c r="F229" s="138">
        <v>0</v>
      </c>
      <c r="G229" s="139"/>
      <c r="H229" s="138">
        <v>0</v>
      </c>
      <c r="I229" s="139"/>
      <c r="J229" s="135">
        <v>0</v>
      </c>
      <c r="K229" s="139"/>
      <c r="L229" s="138">
        <v>0</v>
      </c>
      <c r="M229" s="135"/>
      <c r="N229" s="138">
        <v>0</v>
      </c>
      <c r="O229" s="135"/>
      <c r="P229" s="138">
        <v>0</v>
      </c>
      <c r="Q229" s="135"/>
      <c r="R229" s="135">
        <f t="shared" si="10"/>
        <v>0</v>
      </c>
      <c r="S229" s="17"/>
      <c r="T229" s="15"/>
      <c r="U229" s="15"/>
    </row>
    <row r="230" spans="1:21" ht="12.75" customHeight="1" outlineLevel="1" x14ac:dyDescent="0.2">
      <c r="A230" s="3" t="s">
        <v>3110</v>
      </c>
      <c r="B230" s="135">
        <v>-2409597.809999987</v>
      </c>
      <c r="C230" s="135"/>
      <c r="D230" s="138">
        <v>-25972.2</v>
      </c>
      <c r="E230" s="135"/>
      <c r="F230" s="138">
        <v>0</v>
      </c>
      <c r="G230" s="139"/>
      <c r="H230" s="138">
        <v>0</v>
      </c>
      <c r="I230" s="139"/>
      <c r="J230" s="135">
        <v>0</v>
      </c>
      <c r="K230" s="139"/>
      <c r="L230" s="138">
        <v>0</v>
      </c>
      <c r="M230" s="135"/>
      <c r="N230" s="138">
        <v>0</v>
      </c>
      <c r="O230" s="135"/>
      <c r="P230" s="138">
        <v>0</v>
      </c>
      <c r="Q230" s="135"/>
      <c r="R230" s="135">
        <f t="shared" si="10"/>
        <v>-2435570.0099999872</v>
      </c>
      <c r="S230" s="17"/>
      <c r="T230" s="15"/>
      <c r="U230" s="15"/>
    </row>
    <row r="231" spans="1:21" ht="12.75" customHeight="1" outlineLevel="1" x14ac:dyDescent="0.2">
      <c r="A231" s="3" t="s">
        <v>3111</v>
      </c>
      <c r="B231" s="135">
        <v>0</v>
      </c>
      <c r="C231" s="135"/>
      <c r="D231" s="138">
        <v>0</v>
      </c>
      <c r="E231" s="135"/>
      <c r="F231" s="138">
        <v>0</v>
      </c>
      <c r="G231" s="139"/>
      <c r="H231" s="138">
        <v>0</v>
      </c>
      <c r="I231" s="139"/>
      <c r="J231" s="135">
        <v>0</v>
      </c>
      <c r="K231" s="139"/>
      <c r="L231" s="138">
        <v>0</v>
      </c>
      <c r="M231" s="135"/>
      <c r="N231" s="138">
        <v>0</v>
      </c>
      <c r="O231" s="135"/>
      <c r="P231" s="138">
        <v>0</v>
      </c>
      <c r="Q231" s="135"/>
      <c r="R231" s="135">
        <f t="shared" si="10"/>
        <v>0</v>
      </c>
      <c r="S231" s="17"/>
      <c r="T231" s="15"/>
      <c r="U231" s="15"/>
    </row>
    <row r="232" spans="1:21" ht="12.75" customHeight="1" outlineLevel="1" x14ac:dyDescent="0.2">
      <c r="A232" s="3" t="s">
        <v>3112</v>
      </c>
      <c r="B232" s="135">
        <v>-1258125.6899999918</v>
      </c>
      <c r="C232" s="135"/>
      <c r="D232" s="138">
        <v>-1455088.66</v>
      </c>
      <c r="E232" s="135"/>
      <c r="F232" s="138">
        <v>424889.08</v>
      </c>
      <c r="G232" s="139"/>
      <c r="H232" s="138">
        <v>-57703.54</v>
      </c>
      <c r="I232" s="139"/>
      <c r="J232" s="135">
        <v>0</v>
      </c>
      <c r="K232" s="139"/>
      <c r="L232" s="138">
        <v>762494.71</v>
      </c>
      <c r="M232" s="135"/>
      <c r="N232" s="138">
        <v>0</v>
      </c>
      <c r="O232" s="135"/>
      <c r="P232" s="138">
        <v>0</v>
      </c>
      <c r="Q232" s="135"/>
      <c r="R232" s="135">
        <f t="shared" si="10"/>
        <v>-1583534.0999999917</v>
      </c>
      <c r="S232" s="17"/>
      <c r="T232" s="15"/>
      <c r="U232" s="15"/>
    </row>
    <row r="233" spans="1:21" ht="12.75" customHeight="1" outlineLevel="1" x14ac:dyDescent="0.2">
      <c r="A233" s="3" t="s">
        <v>3113</v>
      </c>
      <c r="B233" s="135">
        <v>0</v>
      </c>
      <c r="C233" s="135"/>
      <c r="D233" s="138">
        <v>0</v>
      </c>
      <c r="E233" s="135"/>
      <c r="F233" s="138">
        <v>0</v>
      </c>
      <c r="G233" s="139"/>
      <c r="H233" s="138">
        <v>0</v>
      </c>
      <c r="I233" s="139"/>
      <c r="J233" s="135">
        <v>0</v>
      </c>
      <c r="K233" s="139"/>
      <c r="L233" s="138">
        <v>0</v>
      </c>
      <c r="M233" s="135"/>
      <c r="N233" s="138">
        <v>0</v>
      </c>
      <c r="O233" s="135"/>
      <c r="P233" s="138">
        <v>0</v>
      </c>
      <c r="Q233" s="135"/>
      <c r="R233" s="135">
        <f t="shared" si="10"/>
        <v>0</v>
      </c>
      <c r="S233" s="17"/>
      <c r="T233" s="15"/>
      <c r="U233" s="15"/>
    </row>
    <row r="234" spans="1:21" ht="12.75" customHeight="1" outlineLevel="1" x14ac:dyDescent="0.2">
      <c r="A234" s="22" t="s">
        <v>3114</v>
      </c>
      <c r="B234" s="135">
        <v>-2449861.0400000038</v>
      </c>
      <c r="C234" s="135"/>
      <c r="D234" s="138">
        <v>-4496.28</v>
      </c>
      <c r="E234" s="135"/>
      <c r="F234" s="138">
        <v>0</v>
      </c>
      <c r="G234" s="139"/>
      <c r="H234" s="138">
        <v>0</v>
      </c>
      <c r="I234" s="139"/>
      <c r="J234" s="135">
        <v>0</v>
      </c>
      <c r="K234" s="139"/>
      <c r="L234" s="138">
        <v>0</v>
      </c>
      <c r="M234" s="135"/>
      <c r="N234" s="138">
        <v>0</v>
      </c>
      <c r="O234" s="135"/>
      <c r="P234" s="138">
        <v>0</v>
      </c>
      <c r="Q234" s="135"/>
      <c r="R234" s="135">
        <f t="shared" si="10"/>
        <v>-2454357.3200000036</v>
      </c>
      <c r="S234" s="17"/>
      <c r="T234" s="15"/>
      <c r="U234" s="15"/>
    </row>
    <row r="235" spans="1:21" ht="12.75" customHeight="1" outlineLevel="1" x14ac:dyDescent="0.2">
      <c r="A235" s="22" t="s">
        <v>3115</v>
      </c>
      <c r="B235" s="135">
        <v>0</v>
      </c>
      <c r="C235" s="135"/>
      <c r="D235" s="138">
        <v>0</v>
      </c>
      <c r="E235" s="135"/>
      <c r="F235" s="138">
        <v>0</v>
      </c>
      <c r="G235" s="139"/>
      <c r="H235" s="138">
        <v>0</v>
      </c>
      <c r="I235" s="139"/>
      <c r="J235" s="135">
        <v>0</v>
      </c>
      <c r="K235" s="139"/>
      <c r="L235" s="138">
        <v>0</v>
      </c>
      <c r="M235" s="135"/>
      <c r="N235" s="138">
        <v>0</v>
      </c>
      <c r="O235" s="135"/>
      <c r="P235" s="138">
        <v>0</v>
      </c>
      <c r="Q235" s="135"/>
      <c r="R235" s="135">
        <f t="shared" si="10"/>
        <v>0</v>
      </c>
      <c r="S235" s="17"/>
      <c r="T235" s="15"/>
      <c r="U235" s="15"/>
    </row>
    <row r="236" spans="1:21" ht="12.75" customHeight="1" outlineLevel="1" x14ac:dyDescent="0.2">
      <c r="A236" s="3" t="s">
        <v>3116</v>
      </c>
      <c r="B236" s="135">
        <v>0</v>
      </c>
      <c r="C236" s="135"/>
      <c r="D236" s="138">
        <v>0</v>
      </c>
      <c r="E236" s="135"/>
      <c r="F236" s="138">
        <v>0</v>
      </c>
      <c r="G236" s="139"/>
      <c r="H236" s="138">
        <v>0</v>
      </c>
      <c r="I236" s="139"/>
      <c r="J236" s="135">
        <v>0</v>
      </c>
      <c r="K236" s="139"/>
      <c r="L236" s="138">
        <v>0</v>
      </c>
      <c r="M236" s="135"/>
      <c r="N236" s="138">
        <v>0</v>
      </c>
      <c r="O236" s="135"/>
      <c r="P236" s="138">
        <v>0</v>
      </c>
      <c r="Q236" s="135"/>
      <c r="R236" s="135">
        <f t="shared" si="10"/>
        <v>0</v>
      </c>
      <c r="S236" s="17"/>
      <c r="T236" s="15"/>
      <c r="U236" s="15"/>
    </row>
    <row r="237" spans="1:21" ht="12.75" customHeight="1" outlineLevel="1" x14ac:dyDescent="0.2">
      <c r="A237" s="3" t="s">
        <v>3117</v>
      </c>
      <c r="B237" s="135">
        <v>-34377552.859999992</v>
      </c>
      <c r="C237" s="135"/>
      <c r="D237" s="138">
        <v>-1660505.08</v>
      </c>
      <c r="E237" s="135"/>
      <c r="F237" s="138">
        <v>87703.679999999993</v>
      </c>
      <c r="G237" s="139"/>
      <c r="H237" s="138">
        <v>-381379.1</v>
      </c>
      <c r="I237" s="139"/>
      <c r="J237" s="135">
        <v>0</v>
      </c>
      <c r="K237" s="139"/>
      <c r="L237" s="138">
        <v>34051.43</v>
      </c>
      <c r="M237" s="135"/>
      <c r="N237" s="138">
        <v>-13440</v>
      </c>
      <c r="O237" s="135"/>
      <c r="P237" s="138">
        <v>0</v>
      </c>
      <c r="Q237" s="135"/>
      <c r="R237" s="135">
        <f t="shared" si="10"/>
        <v>-36311121.929999992</v>
      </c>
      <c r="S237" s="17"/>
      <c r="T237" s="15"/>
      <c r="U237" s="15"/>
    </row>
    <row r="238" spans="1:21" ht="12.75" customHeight="1" outlineLevel="1" x14ac:dyDescent="0.2">
      <c r="A238" s="3" t="s">
        <v>3118</v>
      </c>
      <c r="B238" s="135">
        <v>0</v>
      </c>
      <c r="C238" s="135"/>
      <c r="D238" s="138">
        <v>0</v>
      </c>
      <c r="E238" s="135"/>
      <c r="F238" s="138">
        <v>0</v>
      </c>
      <c r="G238" s="139"/>
      <c r="H238" s="138">
        <v>0</v>
      </c>
      <c r="I238" s="139"/>
      <c r="J238" s="135">
        <v>0</v>
      </c>
      <c r="K238" s="139"/>
      <c r="L238" s="138">
        <v>0</v>
      </c>
      <c r="M238" s="135"/>
      <c r="N238" s="138">
        <v>0</v>
      </c>
      <c r="O238" s="135"/>
      <c r="P238" s="138">
        <v>0</v>
      </c>
      <c r="Q238" s="135"/>
      <c r="R238" s="135">
        <f t="shared" si="10"/>
        <v>0</v>
      </c>
      <c r="S238" s="17"/>
      <c r="T238" s="15"/>
      <c r="U238" s="15"/>
    </row>
    <row r="239" spans="1:21" ht="12.75" customHeight="1" outlineLevel="1" x14ac:dyDescent="0.2">
      <c r="A239" s="3" t="s">
        <v>3119</v>
      </c>
      <c r="B239" s="135">
        <v>-1765853.64</v>
      </c>
      <c r="C239" s="135"/>
      <c r="D239" s="138">
        <v>-2904563.36</v>
      </c>
      <c r="E239" s="135"/>
      <c r="F239" s="138">
        <v>0</v>
      </c>
      <c r="G239" s="139"/>
      <c r="H239" s="138">
        <v>0</v>
      </c>
      <c r="I239" s="139"/>
      <c r="J239" s="135">
        <v>0</v>
      </c>
      <c r="K239" s="139"/>
      <c r="L239" s="138">
        <v>0</v>
      </c>
      <c r="M239" s="135"/>
      <c r="N239" s="138">
        <v>0</v>
      </c>
      <c r="O239" s="135"/>
      <c r="P239" s="138">
        <v>0</v>
      </c>
      <c r="Q239" s="135"/>
      <c r="R239" s="135">
        <f>SUM(B239:P239)</f>
        <v>-4670417</v>
      </c>
      <c r="S239" s="17"/>
      <c r="T239" s="15"/>
      <c r="U239" s="15"/>
    </row>
    <row r="240" spans="1:21" ht="12.75" customHeight="1" outlineLevel="1" x14ac:dyDescent="0.2">
      <c r="A240" s="3" t="s">
        <v>3120</v>
      </c>
      <c r="B240" s="135">
        <v>-26589545.330000002</v>
      </c>
      <c r="C240" s="135"/>
      <c r="D240" s="138">
        <v>-1718685.8</v>
      </c>
      <c r="E240" s="135"/>
      <c r="F240" s="138">
        <v>981476.97</v>
      </c>
      <c r="G240" s="139"/>
      <c r="H240" s="138">
        <v>0</v>
      </c>
      <c r="I240" s="139"/>
      <c r="J240" s="135">
        <v>0</v>
      </c>
      <c r="K240" s="139"/>
      <c r="L240" s="138">
        <v>16158.67</v>
      </c>
      <c r="M240" s="135"/>
      <c r="N240" s="138">
        <v>0</v>
      </c>
      <c r="O240" s="135"/>
      <c r="P240" s="138">
        <v>0</v>
      </c>
      <c r="Q240" s="135"/>
      <c r="R240" s="135">
        <f t="shared" si="10"/>
        <v>-27310595.490000002</v>
      </c>
      <c r="S240" s="17"/>
      <c r="T240" s="15"/>
      <c r="U240" s="15"/>
    </row>
    <row r="241" spans="1:21" ht="12.75" customHeight="1" outlineLevel="1" x14ac:dyDescent="0.2">
      <c r="A241" s="3" t="s">
        <v>3121</v>
      </c>
      <c r="B241" s="135">
        <v>0</v>
      </c>
      <c r="C241" s="135"/>
      <c r="D241" s="138">
        <v>0</v>
      </c>
      <c r="E241" s="135"/>
      <c r="F241" s="138">
        <v>0</v>
      </c>
      <c r="G241" s="139"/>
      <c r="H241" s="138">
        <v>0</v>
      </c>
      <c r="I241" s="139"/>
      <c r="J241" s="135">
        <v>0</v>
      </c>
      <c r="K241" s="139"/>
      <c r="L241" s="138">
        <v>0</v>
      </c>
      <c r="M241" s="135"/>
      <c r="N241" s="138">
        <v>0</v>
      </c>
      <c r="O241" s="135"/>
      <c r="P241" s="138">
        <v>0</v>
      </c>
      <c r="Q241" s="135"/>
      <c r="R241" s="135">
        <f t="shared" si="10"/>
        <v>0</v>
      </c>
      <c r="S241" s="17"/>
      <c r="T241" s="15"/>
      <c r="U241" s="15"/>
    </row>
    <row r="242" spans="1:21" ht="12.75" customHeight="1" outlineLevel="1" x14ac:dyDescent="0.2">
      <c r="A242" s="3" t="s">
        <v>3122</v>
      </c>
      <c r="B242" s="135">
        <v>-2333646.5699999998</v>
      </c>
      <c r="C242" s="135"/>
      <c r="D242" s="138">
        <v>-3835910.52</v>
      </c>
      <c r="E242" s="135"/>
      <c r="F242" s="138">
        <v>0</v>
      </c>
      <c r="G242" s="139"/>
      <c r="H242" s="138">
        <v>0</v>
      </c>
      <c r="I242" s="139"/>
      <c r="J242" s="135">
        <v>0</v>
      </c>
      <c r="K242" s="139"/>
      <c r="L242" s="138">
        <v>0</v>
      </c>
      <c r="M242" s="135"/>
      <c r="N242" s="138">
        <v>0</v>
      </c>
      <c r="O242" s="135"/>
      <c r="P242" s="138">
        <v>0</v>
      </c>
      <c r="Q242" s="135"/>
      <c r="R242" s="135">
        <f>SUM(B242:P242)</f>
        <v>-6169557.0899999999</v>
      </c>
      <c r="S242" s="17"/>
      <c r="T242" s="15"/>
      <c r="U242" s="15"/>
    </row>
    <row r="243" spans="1:21" ht="12.75" customHeight="1" outlineLevel="1" x14ac:dyDescent="0.2">
      <c r="A243" s="3" t="s">
        <v>3123</v>
      </c>
      <c r="B243" s="135">
        <v>-941515.26</v>
      </c>
      <c r="C243" s="135"/>
      <c r="D243" s="138">
        <v>-1547607.24</v>
      </c>
      <c r="E243" s="135"/>
      <c r="F243" s="138">
        <v>0</v>
      </c>
      <c r="G243" s="139"/>
      <c r="H243" s="138">
        <v>0</v>
      </c>
      <c r="I243" s="139"/>
      <c r="J243" s="135">
        <v>0</v>
      </c>
      <c r="K243" s="139"/>
      <c r="L243" s="138">
        <v>0</v>
      </c>
      <c r="M243" s="135"/>
      <c r="N243" s="138">
        <v>0</v>
      </c>
      <c r="O243" s="135"/>
      <c r="P243" s="138">
        <v>0</v>
      </c>
      <c r="Q243" s="135"/>
      <c r="R243" s="135">
        <f>SUM(B243:P243)</f>
        <v>-2489122.5</v>
      </c>
      <c r="S243" s="17"/>
      <c r="T243" s="15"/>
      <c r="U243" s="15"/>
    </row>
    <row r="244" spans="1:21" ht="12.75" customHeight="1" outlineLevel="1" x14ac:dyDescent="0.2">
      <c r="A244" s="3" t="s">
        <v>3124</v>
      </c>
      <c r="B244" s="135">
        <v>-78939121.379999995</v>
      </c>
      <c r="C244" s="135"/>
      <c r="D244" s="138">
        <v>-4152669.16</v>
      </c>
      <c r="E244" s="135"/>
      <c r="F244" s="138">
        <v>4716538.75</v>
      </c>
      <c r="G244" s="139"/>
      <c r="H244" s="138">
        <v>-1125257.2</v>
      </c>
      <c r="I244" s="139"/>
      <c r="J244" s="135">
        <v>0</v>
      </c>
      <c r="K244" s="139"/>
      <c r="L244" s="138">
        <v>253550.24</v>
      </c>
      <c r="M244" s="135"/>
      <c r="N244" s="138">
        <v>-5400</v>
      </c>
      <c r="O244" s="135"/>
      <c r="P244" s="138">
        <v>0</v>
      </c>
      <c r="Q244" s="135"/>
      <c r="R244" s="135">
        <f t="shared" si="10"/>
        <v>-79252358.75</v>
      </c>
      <c r="S244" s="17"/>
      <c r="T244" s="15"/>
      <c r="U244" s="15"/>
    </row>
    <row r="245" spans="1:21" ht="12.75" customHeight="1" outlineLevel="1" x14ac:dyDescent="0.2">
      <c r="A245" s="3" t="s">
        <v>3125</v>
      </c>
      <c r="B245" s="135">
        <v>0</v>
      </c>
      <c r="C245" s="135"/>
      <c r="D245" s="138">
        <v>0</v>
      </c>
      <c r="E245" s="135"/>
      <c r="F245" s="138">
        <v>0</v>
      </c>
      <c r="G245" s="139"/>
      <c r="H245" s="138">
        <v>0</v>
      </c>
      <c r="I245" s="139"/>
      <c r="J245" s="135">
        <v>0</v>
      </c>
      <c r="K245" s="139"/>
      <c r="L245" s="138">
        <v>0</v>
      </c>
      <c r="M245" s="135"/>
      <c r="N245" s="138">
        <v>0</v>
      </c>
      <c r="O245" s="135"/>
      <c r="P245" s="138">
        <v>0</v>
      </c>
      <c r="Q245" s="135"/>
      <c r="R245" s="135">
        <f t="shared" si="10"/>
        <v>0</v>
      </c>
      <c r="S245" s="17"/>
      <c r="T245" s="15"/>
      <c r="U245" s="15"/>
    </row>
    <row r="246" spans="1:21" ht="12.75" customHeight="1" outlineLevel="1" x14ac:dyDescent="0.2">
      <c r="A246" s="3" t="s">
        <v>3126</v>
      </c>
      <c r="B246" s="135">
        <v>0</v>
      </c>
      <c r="C246" s="135"/>
      <c r="D246" s="138">
        <v>-1786723.53</v>
      </c>
      <c r="E246" s="135"/>
      <c r="F246" s="138">
        <v>0</v>
      </c>
      <c r="G246" s="139"/>
      <c r="H246" s="138">
        <v>0</v>
      </c>
      <c r="I246" s="139"/>
      <c r="J246" s="135">
        <v>0</v>
      </c>
      <c r="K246" s="139"/>
      <c r="L246" s="138">
        <v>0</v>
      </c>
      <c r="M246" s="135"/>
      <c r="N246" s="138">
        <v>0</v>
      </c>
      <c r="O246" s="135"/>
      <c r="P246" s="138">
        <v>0</v>
      </c>
      <c r="Q246" s="135"/>
      <c r="R246" s="135">
        <f t="shared" si="10"/>
        <v>-1786723.53</v>
      </c>
      <c r="S246" s="17"/>
      <c r="T246" s="15"/>
      <c r="U246" s="15"/>
    </row>
    <row r="247" spans="1:21" ht="12.75" customHeight="1" outlineLevel="1" x14ac:dyDescent="0.2">
      <c r="A247" s="3" t="s">
        <v>3127</v>
      </c>
      <c r="B247" s="135">
        <v>0</v>
      </c>
      <c r="C247" s="135"/>
      <c r="D247" s="138">
        <v>-1673674.31</v>
      </c>
      <c r="E247" s="135"/>
      <c r="F247" s="138">
        <v>0</v>
      </c>
      <c r="G247" s="139"/>
      <c r="H247" s="138">
        <v>0</v>
      </c>
      <c r="I247" s="139"/>
      <c r="J247" s="135">
        <v>0</v>
      </c>
      <c r="K247" s="139"/>
      <c r="L247" s="138">
        <v>0</v>
      </c>
      <c r="M247" s="135"/>
      <c r="N247" s="138">
        <v>0</v>
      </c>
      <c r="O247" s="135"/>
      <c r="P247" s="138">
        <v>0</v>
      </c>
      <c r="Q247" s="135"/>
      <c r="R247" s="135">
        <f t="shared" si="10"/>
        <v>-1673674.31</v>
      </c>
      <c r="S247" s="17"/>
      <c r="T247" s="15"/>
      <c r="U247" s="15"/>
    </row>
    <row r="248" spans="1:21" ht="12.75" customHeight="1" outlineLevel="1" x14ac:dyDescent="0.2">
      <c r="A248" s="3" t="s">
        <v>3128</v>
      </c>
      <c r="B248" s="135">
        <v>0</v>
      </c>
      <c r="C248" s="135"/>
      <c r="D248" s="138">
        <v>-5302.04</v>
      </c>
      <c r="E248" s="135"/>
      <c r="F248" s="138">
        <v>0</v>
      </c>
      <c r="G248" s="139"/>
      <c r="H248" s="138">
        <v>0</v>
      </c>
      <c r="I248" s="139"/>
      <c r="J248" s="135">
        <v>0</v>
      </c>
      <c r="K248" s="139"/>
      <c r="L248" s="138">
        <v>0</v>
      </c>
      <c r="M248" s="135"/>
      <c r="N248" s="138">
        <v>0</v>
      </c>
      <c r="O248" s="135"/>
      <c r="P248" s="138">
        <v>0</v>
      </c>
      <c r="Q248" s="135"/>
      <c r="R248" s="135">
        <f t="shared" si="10"/>
        <v>-5302.04</v>
      </c>
      <c r="S248" s="17"/>
      <c r="T248" s="15"/>
      <c r="U248" s="15"/>
    </row>
    <row r="249" spans="1:21" ht="12.75" customHeight="1" outlineLevel="1" x14ac:dyDescent="0.2">
      <c r="A249" s="22" t="s">
        <v>3129</v>
      </c>
      <c r="B249" s="135">
        <v>-115151086.48999999</v>
      </c>
      <c r="C249" s="135"/>
      <c r="D249" s="138">
        <v>-6812521.5300000003</v>
      </c>
      <c r="E249" s="135"/>
      <c r="F249" s="138">
        <v>805495.08</v>
      </c>
      <c r="G249" s="139"/>
      <c r="H249" s="138">
        <v>68750.44</v>
      </c>
      <c r="I249" s="139"/>
      <c r="J249" s="135">
        <v>0</v>
      </c>
      <c r="K249" s="139"/>
      <c r="L249" s="138">
        <v>290582.02</v>
      </c>
      <c r="M249" s="135"/>
      <c r="N249" s="138">
        <v>-4050</v>
      </c>
      <c r="O249" s="135"/>
      <c r="P249" s="138">
        <v>0</v>
      </c>
      <c r="Q249" s="135"/>
      <c r="R249" s="135">
        <f t="shared" si="10"/>
        <v>-120802830.48</v>
      </c>
      <c r="S249" s="17"/>
      <c r="T249" s="15"/>
      <c r="U249" s="15"/>
    </row>
    <row r="250" spans="1:21" ht="12.75" customHeight="1" outlineLevel="1" x14ac:dyDescent="0.2">
      <c r="A250" s="22" t="s">
        <v>3130</v>
      </c>
      <c r="B250" s="135">
        <v>0</v>
      </c>
      <c r="C250" s="135"/>
      <c r="D250" s="138">
        <v>0</v>
      </c>
      <c r="E250" s="135"/>
      <c r="F250" s="138">
        <v>0</v>
      </c>
      <c r="G250" s="139"/>
      <c r="H250" s="138">
        <v>0</v>
      </c>
      <c r="I250" s="139"/>
      <c r="J250" s="135">
        <v>0</v>
      </c>
      <c r="K250" s="139"/>
      <c r="L250" s="138">
        <v>0</v>
      </c>
      <c r="M250" s="135"/>
      <c r="N250" s="138">
        <v>0</v>
      </c>
      <c r="O250" s="135"/>
      <c r="P250" s="138">
        <v>0</v>
      </c>
      <c r="Q250" s="135"/>
      <c r="R250" s="135">
        <f t="shared" si="10"/>
        <v>0</v>
      </c>
      <c r="S250" s="17"/>
      <c r="T250" s="15"/>
      <c r="U250" s="15"/>
    </row>
    <row r="251" spans="1:21" ht="12.75" customHeight="1" outlineLevel="1" x14ac:dyDescent="0.2">
      <c r="A251" s="22" t="s">
        <v>3131</v>
      </c>
      <c r="B251" s="135">
        <v>0</v>
      </c>
      <c r="C251" s="135"/>
      <c r="D251" s="138">
        <v>0</v>
      </c>
      <c r="E251" s="135"/>
      <c r="F251" s="138">
        <v>0</v>
      </c>
      <c r="G251" s="139"/>
      <c r="H251" s="138">
        <v>0</v>
      </c>
      <c r="I251" s="139"/>
      <c r="J251" s="135">
        <v>0</v>
      </c>
      <c r="K251" s="139"/>
      <c r="L251" s="138">
        <v>0</v>
      </c>
      <c r="M251" s="135"/>
      <c r="N251" s="138">
        <v>0</v>
      </c>
      <c r="O251" s="135"/>
      <c r="P251" s="138">
        <v>0</v>
      </c>
      <c r="Q251" s="135"/>
      <c r="R251" s="135">
        <f t="shared" si="10"/>
        <v>0</v>
      </c>
      <c r="S251" s="17"/>
      <c r="T251" s="15"/>
      <c r="U251" s="15"/>
    </row>
    <row r="252" spans="1:21" ht="12.75" customHeight="1" outlineLevel="1" x14ac:dyDescent="0.2">
      <c r="A252" s="22" t="s">
        <v>3132</v>
      </c>
      <c r="B252" s="135">
        <v>-5036461.58</v>
      </c>
      <c r="C252" s="135"/>
      <c r="D252" s="138">
        <v>-4798052.88</v>
      </c>
      <c r="E252" s="135"/>
      <c r="F252" s="138">
        <v>0</v>
      </c>
      <c r="G252" s="139"/>
      <c r="H252" s="138">
        <v>0</v>
      </c>
      <c r="I252" s="139"/>
      <c r="J252" s="135">
        <v>0</v>
      </c>
      <c r="K252" s="139"/>
      <c r="L252" s="138">
        <v>0</v>
      </c>
      <c r="M252" s="135"/>
      <c r="N252" s="138">
        <v>0</v>
      </c>
      <c r="O252" s="135"/>
      <c r="P252" s="138">
        <v>0</v>
      </c>
      <c r="Q252" s="135"/>
      <c r="R252" s="135">
        <f t="shared" si="10"/>
        <v>-9834514.4600000009</v>
      </c>
      <c r="S252" s="17"/>
      <c r="T252" s="15"/>
      <c r="U252" s="15"/>
    </row>
    <row r="253" spans="1:21" ht="12.75" customHeight="1" outlineLevel="1" x14ac:dyDescent="0.2">
      <c r="A253" s="22" t="s">
        <v>3133</v>
      </c>
      <c r="B253" s="135">
        <v>-8987345.6600000169</v>
      </c>
      <c r="C253" s="135"/>
      <c r="D253" s="138">
        <v>-805070.48</v>
      </c>
      <c r="E253" s="135"/>
      <c r="F253" s="138">
        <v>0</v>
      </c>
      <c r="G253" s="139"/>
      <c r="H253" s="138">
        <v>0</v>
      </c>
      <c r="I253" s="139"/>
      <c r="J253" s="135">
        <v>0</v>
      </c>
      <c r="K253" s="139"/>
      <c r="L253" s="138">
        <v>0</v>
      </c>
      <c r="M253" s="135"/>
      <c r="N253" s="138">
        <v>0</v>
      </c>
      <c r="O253" s="135"/>
      <c r="P253" s="138">
        <v>0</v>
      </c>
      <c r="Q253" s="135"/>
      <c r="R253" s="135">
        <f t="shared" si="10"/>
        <v>-9792416.1400000174</v>
      </c>
      <c r="S253" s="17"/>
      <c r="T253" s="15"/>
      <c r="U253" s="15"/>
    </row>
    <row r="254" spans="1:21" ht="12.75" customHeight="1" outlineLevel="1" x14ac:dyDescent="0.2">
      <c r="A254" s="22" t="s">
        <v>3134</v>
      </c>
      <c r="B254" s="135">
        <v>0</v>
      </c>
      <c r="C254" s="135"/>
      <c r="D254" s="138">
        <v>0</v>
      </c>
      <c r="E254" s="135"/>
      <c r="F254" s="138">
        <v>0</v>
      </c>
      <c r="G254" s="139"/>
      <c r="H254" s="138">
        <v>0</v>
      </c>
      <c r="I254" s="139"/>
      <c r="J254" s="135">
        <v>0</v>
      </c>
      <c r="K254" s="139"/>
      <c r="L254" s="138">
        <v>0</v>
      </c>
      <c r="M254" s="135"/>
      <c r="N254" s="138">
        <v>0</v>
      </c>
      <c r="O254" s="135"/>
      <c r="P254" s="138">
        <v>0</v>
      </c>
      <c r="Q254" s="135"/>
      <c r="R254" s="135">
        <f t="shared" si="10"/>
        <v>0</v>
      </c>
      <c r="S254" s="17"/>
      <c r="T254" s="15"/>
      <c r="U254" s="15"/>
    </row>
    <row r="255" spans="1:21" ht="12.75" customHeight="1" outlineLevel="1" x14ac:dyDescent="0.2">
      <c r="A255" s="124" t="s">
        <v>3135</v>
      </c>
      <c r="B255" s="135">
        <v>-2337861.2600000002</v>
      </c>
      <c r="C255" s="135"/>
      <c r="D255" s="138">
        <v>-2202747.84</v>
      </c>
      <c r="E255" s="135"/>
      <c r="F255" s="138">
        <v>0</v>
      </c>
      <c r="G255" s="139"/>
      <c r="H255" s="138">
        <v>0</v>
      </c>
      <c r="I255" s="139"/>
      <c r="J255" s="135">
        <v>0</v>
      </c>
      <c r="K255" s="139"/>
      <c r="L255" s="138">
        <v>0</v>
      </c>
      <c r="M255" s="135"/>
      <c r="N255" s="138">
        <v>0</v>
      </c>
      <c r="O255" s="135"/>
      <c r="P255" s="138">
        <v>0</v>
      </c>
      <c r="Q255" s="135"/>
      <c r="R255" s="135">
        <f>SUM(B255:P255)</f>
        <v>-4540609.0999999996</v>
      </c>
      <c r="S255" s="17"/>
      <c r="T255" s="15"/>
      <c r="U255" s="15"/>
    </row>
    <row r="256" spans="1:21" ht="12.75" customHeight="1" outlineLevel="1" x14ac:dyDescent="0.2">
      <c r="A256" s="3" t="s">
        <v>3136</v>
      </c>
      <c r="B256" s="135">
        <v>0</v>
      </c>
      <c r="C256" s="135"/>
      <c r="D256" s="138">
        <v>0</v>
      </c>
      <c r="E256" s="135"/>
      <c r="F256" s="138">
        <v>0</v>
      </c>
      <c r="G256" s="139"/>
      <c r="H256" s="138">
        <v>0</v>
      </c>
      <c r="I256" s="139"/>
      <c r="J256" s="135">
        <v>0</v>
      </c>
      <c r="K256" s="139"/>
      <c r="L256" s="138">
        <v>0</v>
      </c>
      <c r="M256" s="135"/>
      <c r="N256" s="138">
        <v>0</v>
      </c>
      <c r="O256" s="135"/>
      <c r="P256" s="138">
        <v>0</v>
      </c>
      <c r="Q256" s="135"/>
      <c r="R256" s="135">
        <f t="shared" si="10"/>
        <v>0</v>
      </c>
      <c r="S256" s="17"/>
      <c r="T256" s="15"/>
      <c r="U256" s="15"/>
    </row>
    <row r="257" spans="1:21" ht="12.75" customHeight="1" outlineLevel="1" x14ac:dyDescent="0.2">
      <c r="A257" s="3" t="s">
        <v>3137</v>
      </c>
      <c r="B257" s="135">
        <v>-9.9999997764825821E-3</v>
      </c>
      <c r="C257" s="135"/>
      <c r="D257" s="138">
        <v>0</v>
      </c>
      <c r="E257" s="135"/>
      <c r="F257" s="138">
        <v>0</v>
      </c>
      <c r="G257" s="139"/>
      <c r="H257" s="138">
        <v>0</v>
      </c>
      <c r="I257" s="139"/>
      <c r="J257" s="135">
        <v>0</v>
      </c>
      <c r="K257" s="139"/>
      <c r="L257" s="138">
        <v>0</v>
      </c>
      <c r="M257" s="135"/>
      <c r="N257" s="138">
        <v>0</v>
      </c>
      <c r="O257" s="135"/>
      <c r="P257" s="138">
        <v>0</v>
      </c>
      <c r="Q257" s="135"/>
      <c r="R257" s="135">
        <f t="shared" si="10"/>
        <v>-9.9999997764825821E-3</v>
      </c>
      <c r="S257" s="17"/>
      <c r="T257" s="15"/>
      <c r="U257" s="15"/>
    </row>
    <row r="258" spans="1:21" ht="12.75" customHeight="1" outlineLevel="1" x14ac:dyDescent="0.2">
      <c r="A258" s="3" t="s">
        <v>3138</v>
      </c>
      <c r="B258" s="135">
        <v>-9483323.9400000051</v>
      </c>
      <c r="C258" s="135"/>
      <c r="D258" s="138">
        <v>-297957.96000000002</v>
      </c>
      <c r="E258" s="135"/>
      <c r="F258" s="138">
        <v>0</v>
      </c>
      <c r="G258" s="139"/>
      <c r="H258" s="138">
        <v>0</v>
      </c>
      <c r="I258" s="139"/>
      <c r="J258" s="135">
        <v>0</v>
      </c>
      <c r="K258" s="139"/>
      <c r="L258" s="138">
        <v>0</v>
      </c>
      <c r="M258" s="135"/>
      <c r="N258" s="138">
        <v>0</v>
      </c>
      <c r="O258" s="135"/>
      <c r="P258" s="138">
        <v>0</v>
      </c>
      <c r="Q258" s="135"/>
      <c r="R258" s="135">
        <f t="shared" si="10"/>
        <v>-9781281.900000006</v>
      </c>
      <c r="S258" s="17"/>
      <c r="T258" s="15"/>
      <c r="U258" s="15"/>
    </row>
    <row r="259" spans="1:21" ht="12.75" customHeight="1" outlineLevel="1" x14ac:dyDescent="0.2">
      <c r="A259" s="3" t="s">
        <v>3139</v>
      </c>
      <c r="B259" s="135">
        <v>14028945.000000004</v>
      </c>
      <c r="C259" s="135"/>
      <c r="D259" s="138">
        <v>-7940.82</v>
      </c>
      <c r="E259" s="135"/>
      <c r="F259" s="138">
        <v>0</v>
      </c>
      <c r="G259" s="139"/>
      <c r="H259" s="138">
        <v>0</v>
      </c>
      <c r="I259" s="139"/>
      <c r="J259" s="135">
        <v>0</v>
      </c>
      <c r="K259" s="139"/>
      <c r="L259" s="138">
        <v>0</v>
      </c>
      <c r="M259" s="135"/>
      <c r="N259" s="138">
        <v>0</v>
      </c>
      <c r="O259" s="135"/>
      <c r="P259" s="138">
        <v>0</v>
      </c>
      <c r="Q259" s="135"/>
      <c r="R259" s="135">
        <f t="shared" si="10"/>
        <v>14021004.180000003</v>
      </c>
      <c r="S259" s="17"/>
      <c r="T259" s="15"/>
      <c r="U259" s="15"/>
    </row>
    <row r="260" spans="1:21" ht="12.75" customHeight="1" outlineLevel="1" x14ac:dyDescent="0.2">
      <c r="A260" s="3" t="s">
        <v>3140</v>
      </c>
      <c r="B260" s="135">
        <v>-39895160.860000014</v>
      </c>
      <c r="C260" s="135"/>
      <c r="D260" s="138">
        <v>-689424.01</v>
      </c>
      <c r="E260" s="135"/>
      <c r="F260" s="138">
        <v>58195113.700000003</v>
      </c>
      <c r="G260" s="139"/>
      <c r="H260" s="138">
        <v>0</v>
      </c>
      <c r="I260" s="139"/>
      <c r="J260" s="135">
        <v>0</v>
      </c>
      <c r="K260" s="139"/>
      <c r="L260" s="138">
        <v>0</v>
      </c>
      <c r="M260" s="135"/>
      <c r="N260" s="138">
        <v>0</v>
      </c>
      <c r="O260" s="135"/>
      <c r="P260" s="138">
        <v>0</v>
      </c>
      <c r="Q260" s="135"/>
      <c r="R260" s="135">
        <f t="shared" si="10"/>
        <v>17610528.829999991</v>
      </c>
      <c r="S260" s="17"/>
      <c r="T260" s="15"/>
      <c r="U260" s="15"/>
    </row>
    <row r="261" spans="1:21" ht="12.75" customHeight="1" outlineLevel="1" x14ac:dyDescent="0.2">
      <c r="A261" s="3" t="s">
        <v>3141</v>
      </c>
      <c r="B261" s="135">
        <v>10.010000000000005</v>
      </c>
      <c r="C261" s="135"/>
      <c r="D261" s="138">
        <v>0</v>
      </c>
      <c r="E261" s="135"/>
      <c r="F261" s="138">
        <v>0</v>
      </c>
      <c r="G261" s="139"/>
      <c r="H261" s="138">
        <v>0</v>
      </c>
      <c r="I261" s="139"/>
      <c r="J261" s="135">
        <v>0</v>
      </c>
      <c r="K261" s="139"/>
      <c r="L261" s="138">
        <v>0</v>
      </c>
      <c r="M261" s="135"/>
      <c r="N261" s="138">
        <v>0</v>
      </c>
      <c r="O261" s="135"/>
      <c r="P261" s="138">
        <v>0</v>
      </c>
      <c r="Q261" s="135"/>
      <c r="R261" s="135">
        <f t="shared" si="10"/>
        <v>10.010000000000005</v>
      </c>
      <c r="S261" s="17"/>
      <c r="T261" s="15"/>
      <c r="U261" s="15"/>
    </row>
    <row r="262" spans="1:21" ht="12.75" customHeight="1" outlineLevel="1" x14ac:dyDescent="0.2">
      <c r="A262" s="3" t="s">
        <v>3142</v>
      </c>
      <c r="B262" s="135">
        <v>-2283666.7299999995</v>
      </c>
      <c r="C262" s="135"/>
      <c r="D262" s="138">
        <v>-373860.6</v>
      </c>
      <c r="E262" s="135"/>
      <c r="F262" s="138">
        <v>16872.400000000001</v>
      </c>
      <c r="G262" s="139"/>
      <c r="H262" s="138">
        <v>0</v>
      </c>
      <c r="I262" s="139"/>
      <c r="J262" s="135">
        <v>0</v>
      </c>
      <c r="K262" s="139"/>
      <c r="L262" s="138">
        <v>0</v>
      </c>
      <c r="M262" s="135"/>
      <c r="N262" s="138">
        <v>0</v>
      </c>
      <c r="O262" s="135"/>
      <c r="P262" s="138">
        <v>0</v>
      </c>
      <c r="Q262" s="135"/>
      <c r="R262" s="135">
        <f t="shared" si="10"/>
        <v>-2640654.9299999997</v>
      </c>
      <c r="S262" s="17"/>
      <c r="T262" s="15"/>
      <c r="U262" s="15"/>
    </row>
    <row r="263" spans="1:21" ht="12.75" customHeight="1" outlineLevel="1" x14ac:dyDescent="0.2">
      <c r="A263" s="3" t="s">
        <v>3143</v>
      </c>
      <c r="B263" s="135">
        <v>0</v>
      </c>
      <c r="C263" s="135"/>
      <c r="D263" s="138">
        <v>0</v>
      </c>
      <c r="E263" s="135"/>
      <c r="F263" s="138">
        <v>0</v>
      </c>
      <c r="G263" s="139"/>
      <c r="H263" s="138">
        <v>0</v>
      </c>
      <c r="I263" s="139"/>
      <c r="J263" s="135">
        <v>0</v>
      </c>
      <c r="K263" s="139"/>
      <c r="L263" s="138">
        <v>0</v>
      </c>
      <c r="M263" s="135"/>
      <c r="N263" s="138">
        <v>0</v>
      </c>
      <c r="O263" s="135"/>
      <c r="P263" s="138">
        <v>0</v>
      </c>
      <c r="Q263" s="135"/>
      <c r="R263" s="135">
        <f t="shared" si="10"/>
        <v>0</v>
      </c>
      <c r="S263" s="17"/>
      <c r="T263" s="15"/>
      <c r="U263" s="15"/>
    </row>
    <row r="264" spans="1:21" ht="12.75" customHeight="1" outlineLevel="1" x14ac:dyDescent="0.2">
      <c r="A264" s="3" t="s">
        <v>3144</v>
      </c>
      <c r="B264" s="135">
        <v>-76538500.709999979</v>
      </c>
      <c r="C264" s="135"/>
      <c r="D264" s="138">
        <v>-5646656.0999999996</v>
      </c>
      <c r="E264" s="135"/>
      <c r="F264" s="138">
        <v>915543.69</v>
      </c>
      <c r="G264" s="139"/>
      <c r="H264" s="138">
        <v>-2919918.53</v>
      </c>
      <c r="I264" s="139"/>
      <c r="J264" s="135">
        <v>0</v>
      </c>
      <c r="K264" s="139"/>
      <c r="L264" s="138">
        <v>500114.51</v>
      </c>
      <c r="M264" s="135"/>
      <c r="N264" s="138">
        <v>0</v>
      </c>
      <c r="O264" s="135"/>
      <c r="P264" s="138">
        <v>-110646.78000000003</v>
      </c>
      <c r="Q264" s="135"/>
      <c r="R264" s="135">
        <f t="shared" si="10"/>
        <v>-83800063.919999972</v>
      </c>
      <c r="S264" s="17"/>
      <c r="T264" s="15"/>
      <c r="U264" s="15"/>
    </row>
    <row r="265" spans="1:21" ht="12.75" customHeight="1" outlineLevel="1" x14ac:dyDescent="0.2">
      <c r="A265" s="3" t="s">
        <v>3145</v>
      </c>
      <c r="B265" s="135">
        <v>0</v>
      </c>
      <c r="C265" s="135"/>
      <c r="D265" s="138">
        <v>0</v>
      </c>
      <c r="E265" s="135"/>
      <c r="F265" s="138">
        <v>0</v>
      </c>
      <c r="G265" s="139"/>
      <c r="H265" s="138">
        <v>0</v>
      </c>
      <c r="I265" s="139"/>
      <c r="J265" s="135">
        <v>0</v>
      </c>
      <c r="K265" s="139"/>
      <c r="L265" s="138">
        <v>0</v>
      </c>
      <c r="M265" s="135"/>
      <c r="N265" s="138">
        <v>0</v>
      </c>
      <c r="O265" s="135"/>
      <c r="P265" s="138">
        <v>0</v>
      </c>
      <c r="Q265" s="135"/>
      <c r="R265" s="135">
        <f t="shared" si="10"/>
        <v>0</v>
      </c>
      <c r="S265" s="17"/>
      <c r="T265" s="15"/>
      <c r="U265" s="15"/>
    </row>
    <row r="266" spans="1:21" ht="12.75" customHeight="1" outlineLevel="1" x14ac:dyDescent="0.2">
      <c r="A266" s="3" t="s">
        <v>3146</v>
      </c>
      <c r="B266" s="135">
        <v>-102738.73</v>
      </c>
      <c r="C266" s="135"/>
      <c r="D266" s="138">
        <v>-2493530.36</v>
      </c>
      <c r="E266" s="135"/>
      <c r="F266" s="138">
        <v>0</v>
      </c>
      <c r="G266" s="139"/>
      <c r="H266" s="138">
        <v>0</v>
      </c>
      <c r="I266" s="139"/>
      <c r="J266" s="135">
        <v>0</v>
      </c>
      <c r="K266" s="139"/>
      <c r="L266" s="138"/>
      <c r="M266" s="135"/>
      <c r="N266" s="138">
        <v>0</v>
      </c>
      <c r="O266" s="135"/>
      <c r="P266" s="138"/>
      <c r="Q266" s="135"/>
      <c r="R266" s="135">
        <f t="shared" si="10"/>
        <v>-2596269.09</v>
      </c>
      <c r="S266" s="17"/>
      <c r="T266" s="15"/>
      <c r="U266" s="15"/>
    </row>
    <row r="267" spans="1:21" ht="12.75" customHeight="1" outlineLevel="1" x14ac:dyDescent="0.2">
      <c r="A267" s="3" t="s">
        <v>3147</v>
      </c>
      <c r="B267" s="135">
        <v>-17903798.390000004</v>
      </c>
      <c r="C267" s="135"/>
      <c r="D267" s="138">
        <v>-3076698.63</v>
      </c>
      <c r="E267" s="135"/>
      <c r="F267" s="138">
        <v>194351.21</v>
      </c>
      <c r="G267" s="139"/>
      <c r="H267" s="138">
        <v>-2570.3200000000002</v>
      </c>
      <c r="I267" s="139"/>
      <c r="J267" s="135">
        <v>0</v>
      </c>
      <c r="K267" s="139"/>
      <c r="L267" s="138">
        <v>8295.9700000000012</v>
      </c>
      <c r="M267" s="135"/>
      <c r="N267" s="138">
        <v>0</v>
      </c>
      <c r="O267" s="135"/>
      <c r="P267" s="138">
        <v>-2514.7200000000003</v>
      </c>
      <c r="Q267" s="135"/>
      <c r="R267" s="135">
        <f t="shared" si="10"/>
        <v>-20782934.880000003</v>
      </c>
      <c r="S267" s="17"/>
      <c r="T267" s="15"/>
      <c r="U267" s="15"/>
    </row>
    <row r="268" spans="1:21" ht="12.75" customHeight="1" outlineLevel="1" x14ac:dyDescent="0.2">
      <c r="A268" s="3" t="s">
        <v>3148</v>
      </c>
      <c r="B268" s="135">
        <v>0</v>
      </c>
      <c r="C268" s="135"/>
      <c r="D268" s="138">
        <v>0</v>
      </c>
      <c r="E268" s="135"/>
      <c r="F268" s="138">
        <v>0</v>
      </c>
      <c r="G268" s="139"/>
      <c r="H268" s="138">
        <v>0</v>
      </c>
      <c r="I268" s="139"/>
      <c r="J268" s="135">
        <v>0</v>
      </c>
      <c r="K268" s="139"/>
      <c r="L268" s="138">
        <v>0</v>
      </c>
      <c r="M268" s="135"/>
      <c r="N268" s="138">
        <v>0</v>
      </c>
      <c r="O268" s="135"/>
      <c r="P268" s="138">
        <v>0</v>
      </c>
      <c r="Q268" s="135"/>
      <c r="R268" s="135">
        <f t="shared" si="10"/>
        <v>0</v>
      </c>
      <c r="S268" s="17"/>
      <c r="T268" s="15"/>
      <c r="U268" s="15"/>
    </row>
    <row r="269" spans="1:21" ht="12.75" customHeight="1" outlineLevel="1" x14ac:dyDescent="0.2">
      <c r="A269" s="141" t="s">
        <v>3149</v>
      </c>
      <c r="B269" s="135">
        <v>-1809902.56</v>
      </c>
      <c r="C269" s="135"/>
      <c r="D269" s="138">
        <v>-526521.59999999998</v>
      </c>
      <c r="E269" s="135"/>
      <c r="F269" s="138">
        <v>0</v>
      </c>
      <c r="G269" s="139"/>
      <c r="H269" s="138">
        <v>0</v>
      </c>
      <c r="I269" s="139"/>
      <c r="J269" s="135">
        <v>0</v>
      </c>
      <c r="K269" s="139"/>
      <c r="L269" s="138">
        <v>0</v>
      </c>
      <c r="M269" s="135"/>
      <c r="N269" s="138">
        <v>0</v>
      </c>
      <c r="O269" s="135"/>
      <c r="P269" s="138">
        <v>0</v>
      </c>
      <c r="Q269" s="135"/>
      <c r="R269" s="135">
        <f t="shared" si="10"/>
        <v>-2336424.16</v>
      </c>
      <c r="S269" s="17"/>
      <c r="T269" s="15"/>
      <c r="U269" s="15"/>
    </row>
    <row r="270" spans="1:21" ht="12.75" customHeight="1" outlineLevel="1" x14ac:dyDescent="0.2">
      <c r="A270" s="22" t="s">
        <v>3150</v>
      </c>
      <c r="B270" s="135">
        <v>-51028974.829999991</v>
      </c>
      <c r="C270" s="135"/>
      <c r="D270" s="138">
        <v>-828665.06</v>
      </c>
      <c r="E270" s="135"/>
      <c r="F270" s="138">
        <v>485877.28</v>
      </c>
      <c r="G270" s="139"/>
      <c r="H270" s="138">
        <v>0</v>
      </c>
      <c r="I270" s="139"/>
      <c r="J270" s="135">
        <v>0</v>
      </c>
      <c r="K270" s="139"/>
      <c r="L270" s="138">
        <v>613292.49</v>
      </c>
      <c r="M270" s="135"/>
      <c r="N270" s="138">
        <v>0</v>
      </c>
      <c r="O270" s="135"/>
      <c r="P270" s="138">
        <v>-150693.15</v>
      </c>
      <c r="Q270" s="135"/>
      <c r="R270" s="135">
        <f t="shared" si="10"/>
        <v>-50909163.269999988</v>
      </c>
      <c r="S270" s="17"/>
      <c r="T270" s="15"/>
      <c r="U270" s="15"/>
    </row>
    <row r="271" spans="1:21" ht="12.75" customHeight="1" outlineLevel="1" x14ac:dyDescent="0.2">
      <c r="A271" s="22" t="s">
        <v>3151</v>
      </c>
      <c r="B271" s="135">
        <v>0</v>
      </c>
      <c r="C271" s="135"/>
      <c r="D271" s="138">
        <v>0</v>
      </c>
      <c r="E271" s="135"/>
      <c r="F271" s="138">
        <v>0</v>
      </c>
      <c r="G271" s="139"/>
      <c r="H271" s="138">
        <v>0</v>
      </c>
      <c r="I271" s="139"/>
      <c r="J271" s="135">
        <v>0</v>
      </c>
      <c r="K271" s="139"/>
      <c r="L271" s="138">
        <v>0</v>
      </c>
      <c r="M271" s="135"/>
      <c r="N271" s="138">
        <v>0</v>
      </c>
      <c r="O271" s="135"/>
      <c r="P271" s="138">
        <v>0</v>
      </c>
      <c r="Q271" s="135"/>
      <c r="R271" s="135">
        <f t="shared" si="10"/>
        <v>0</v>
      </c>
      <c r="S271" s="17"/>
      <c r="T271" s="15"/>
      <c r="U271" s="15"/>
    </row>
    <row r="272" spans="1:21" x14ac:dyDescent="0.2">
      <c r="A272" s="3" t="s">
        <v>3152</v>
      </c>
      <c r="B272" s="135">
        <f>SUM(B221:B271)</f>
        <v>-478331346.19999999</v>
      </c>
      <c r="C272" s="135"/>
      <c r="D272" s="135">
        <f>SUM(D221:D271)</f>
        <v>-49569877.06000001</v>
      </c>
      <c r="E272" s="135"/>
      <c r="F272" s="139">
        <f>SUM(F221:F271)</f>
        <v>71290646.280000001</v>
      </c>
      <c r="G272" s="139"/>
      <c r="H272" s="139">
        <f>SUM(H221:H271)</f>
        <v>-4465567.74</v>
      </c>
      <c r="I272" s="139"/>
      <c r="J272" s="139">
        <f>SUM(J221:J271)</f>
        <v>0</v>
      </c>
      <c r="K272" s="139"/>
      <c r="L272" s="139">
        <f>SUM(L221:L271)</f>
        <v>2545035.67</v>
      </c>
      <c r="M272" s="135"/>
      <c r="N272" s="135">
        <f>SUM(N221:N271)</f>
        <v>-417878.95</v>
      </c>
      <c r="O272" s="135"/>
      <c r="P272" s="135">
        <f>SUM(P221:P271)</f>
        <v>-263854.65000000002</v>
      </c>
      <c r="Q272" s="135"/>
      <c r="R272" s="135">
        <f>SUM(R221:R271)</f>
        <v>-459212842.65000004</v>
      </c>
      <c r="S272" s="17"/>
      <c r="T272" s="15"/>
      <c r="U272" s="15"/>
    </row>
    <row r="273" spans="1:21" ht="12.75" customHeight="1" outlineLevel="1" x14ac:dyDescent="0.2">
      <c r="A273" s="3" t="s">
        <v>3153</v>
      </c>
      <c r="B273" s="135">
        <v>0</v>
      </c>
      <c r="C273" s="135"/>
      <c r="D273" s="138">
        <v>0</v>
      </c>
      <c r="E273" s="135"/>
      <c r="F273" s="138">
        <v>0</v>
      </c>
      <c r="G273" s="139"/>
      <c r="H273" s="138">
        <v>0</v>
      </c>
      <c r="I273" s="139"/>
      <c r="J273" s="135">
        <v>0</v>
      </c>
      <c r="K273" s="139"/>
      <c r="L273" s="138">
        <v>0</v>
      </c>
      <c r="M273" s="135"/>
      <c r="N273" s="138">
        <v>0</v>
      </c>
      <c r="O273" s="135"/>
      <c r="P273" s="138">
        <v>0</v>
      </c>
      <c r="Q273" s="135"/>
      <c r="R273" s="135">
        <f>SUM(B273:P273)</f>
        <v>0</v>
      </c>
      <c r="S273" s="17"/>
      <c r="T273" s="15"/>
      <c r="U273" s="15"/>
    </row>
    <row r="274" spans="1:21" ht="12.75" customHeight="1" outlineLevel="1" x14ac:dyDescent="0.2">
      <c r="A274" s="3" t="s">
        <v>3154</v>
      </c>
      <c r="B274" s="135">
        <v>0</v>
      </c>
      <c r="C274" s="135"/>
      <c r="D274" s="138">
        <v>0</v>
      </c>
      <c r="E274" s="135"/>
      <c r="F274" s="138">
        <v>0</v>
      </c>
      <c r="G274" s="139"/>
      <c r="H274" s="138">
        <v>0</v>
      </c>
      <c r="I274" s="139"/>
      <c r="J274" s="135">
        <v>0</v>
      </c>
      <c r="K274" s="139"/>
      <c r="L274" s="138">
        <v>0</v>
      </c>
      <c r="M274" s="135"/>
      <c r="N274" s="138">
        <v>0</v>
      </c>
      <c r="O274" s="135"/>
      <c r="P274" s="138">
        <v>0</v>
      </c>
      <c r="Q274" s="135"/>
      <c r="R274" s="135">
        <f>SUM(B274:P274)</f>
        <v>0</v>
      </c>
      <c r="S274" s="17"/>
      <c r="T274" s="15"/>
      <c r="U274" s="15"/>
    </row>
    <row r="275" spans="1:21" x14ac:dyDescent="0.2">
      <c r="A275" s="3" t="s">
        <v>3155</v>
      </c>
      <c r="B275" s="135">
        <f>SUM(B273:B274)</f>
        <v>0</v>
      </c>
      <c r="C275" s="135"/>
      <c r="D275" s="135">
        <f>SUM(D273:D274)</f>
        <v>0</v>
      </c>
      <c r="E275" s="135"/>
      <c r="F275" s="139">
        <f>SUM(F273:F274)</f>
        <v>0</v>
      </c>
      <c r="G275" s="139"/>
      <c r="H275" s="139">
        <f>SUM(H273:H274)</f>
        <v>0</v>
      </c>
      <c r="I275" s="139"/>
      <c r="J275" s="139">
        <f>SUM(J273:J274)</f>
        <v>0</v>
      </c>
      <c r="K275" s="139"/>
      <c r="L275" s="139">
        <f>SUM(L273:L274)</f>
        <v>0</v>
      </c>
      <c r="M275" s="135"/>
      <c r="N275" s="135">
        <f>SUM(N273:N274)</f>
        <v>0</v>
      </c>
      <c r="O275" s="135"/>
      <c r="P275" s="135">
        <f>SUM(P273:P274)</f>
        <v>0</v>
      </c>
      <c r="Q275" s="135"/>
      <c r="R275" s="135">
        <f>SUM(R273:R274)</f>
        <v>0</v>
      </c>
      <c r="S275" s="17"/>
      <c r="T275" s="15"/>
      <c r="U275" s="15"/>
    </row>
    <row r="276" spans="1:21" ht="12.75" customHeight="1" outlineLevel="1" x14ac:dyDescent="0.2">
      <c r="A276" s="3" t="s">
        <v>3156</v>
      </c>
      <c r="B276" s="135">
        <v>-7068.3199999999924</v>
      </c>
      <c r="C276" s="135"/>
      <c r="D276" s="138">
        <v>0</v>
      </c>
      <c r="E276" s="135"/>
      <c r="F276" s="138">
        <v>0</v>
      </c>
      <c r="G276" s="139"/>
      <c r="H276" s="138">
        <v>0</v>
      </c>
      <c r="I276" s="139"/>
      <c r="J276" s="135">
        <v>0</v>
      </c>
      <c r="K276" s="139"/>
      <c r="L276" s="138">
        <v>0</v>
      </c>
      <c r="M276" s="135"/>
      <c r="N276" s="138">
        <v>0</v>
      </c>
      <c r="O276" s="135"/>
      <c r="P276" s="138">
        <v>0</v>
      </c>
      <c r="Q276" s="135"/>
      <c r="R276" s="135">
        <f t="shared" ref="R276:R288" si="11">SUM(B276:P276)</f>
        <v>-7068.3199999999924</v>
      </c>
      <c r="S276" s="17"/>
      <c r="T276" s="15"/>
      <c r="U276" s="15"/>
    </row>
    <row r="277" spans="1:21" ht="12.75" customHeight="1" outlineLevel="1" x14ac:dyDescent="0.2">
      <c r="A277" s="3" t="s">
        <v>3157</v>
      </c>
      <c r="B277" s="135">
        <v>-547.34000000000015</v>
      </c>
      <c r="C277" s="135"/>
      <c r="D277" s="138">
        <v>0</v>
      </c>
      <c r="E277" s="135"/>
      <c r="F277" s="138">
        <v>0</v>
      </c>
      <c r="G277" s="139"/>
      <c r="H277" s="138">
        <v>0</v>
      </c>
      <c r="I277" s="139"/>
      <c r="J277" s="135">
        <v>0</v>
      </c>
      <c r="K277" s="139"/>
      <c r="L277" s="138">
        <v>0</v>
      </c>
      <c r="M277" s="135"/>
      <c r="N277" s="138">
        <v>0</v>
      </c>
      <c r="O277" s="135"/>
      <c r="P277" s="138">
        <v>0</v>
      </c>
      <c r="Q277" s="135"/>
      <c r="R277" s="135">
        <f t="shared" si="11"/>
        <v>-547.34000000000015</v>
      </c>
      <c r="S277" s="17"/>
      <c r="T277" s="15"/>
      <c r="U277" s="15"/>
    </row>
    <row r="278" spans="1:21" ht="12.75" customHeight="1" outlineLevel="1" x14ac:dyDescent="0.2">
      <c r="A278" s="3" t="s">
        <v>3158</v>
      </c>
      <c r="B278" s="135">
        <v>-32811.970000000059</v>
      </c>
      <c r="C278" s="135"/>
      <c r="D278" s="138">
        <v>0</v>
      </c>
      <c r="E278" s="135"/>
      <c r="F278" s="138">
        <v>0</v>
      </c>
      <c r="G278" s="139"/>
      <c r="H278" s="138">
        <v>0</v>
      </c>
      <c r="I278" s="139"/>
      <c r="J278" s="135">
        <v>0</v>
      </c>
      <c r="K278" s="139"/>
      <c r="L278" s="138">
        <v>0</v>
      </c>
      <c r="M278" s="135"/>
      <c r="N278" s="138">
        <v>0</v>
      </c>
      <c r="O278" s="135"/>
      <c r="P278" s="138">
        <v>0</v>
      </c>
      <c r="Q278" s="135"/>
      <c r="R278" s="135">
        <f t="shared" si="11"/>
        <v>-32811.970000000059</v>
      </c>
      <c r="S278" s="17"/>
      <c r="T278" s="15"/>
      <c r="U278" s="15"/>
    </row>
    <row r="279" spans="1:21" ht="12.75" customHeight="1" outlineLevel="1" x14ac:dyDescent="0.2">
      <c r="A279" s="3" t="s">
        <v>3159</v>
      </c>
      <c r="B279" s="135">
        <v>-337718.79999999888</v>
      </c>
      <c r="C279" s="135"/>
      <c r="D279" s="138">
        <v>-16160.16</v>
      </c>
      <c r="E279" s="135"/>
      <c r="F279" s="138">
        <v>0</v>
      </c>
      <c r="G279" s="139"/>
      <c r="H279" s="138">
        <v>0</v>
      </c>
      <c r="I279" s="139"/>
      <c r="J279" s="135">
        <v>0</v>
      </c>
      <c r="K279" s="139"/>
      <c r="L279" s="138">
        <v>0</v>
      </c>
      <c r="M279" s="135"/>
      <c r="N279" s="138">
        <v>0</v>
      </c>
      <c r="O279" s="135"/>
      <c r="P279" s="138">
        <v>0</v>
      </c>
      <c r="Q279" s="135"/>
      <c r="R279" s="135">
        <f t="shared" si="11"/>
        <v>-353878.95999999886</v>
      </c>
      <c r="S279" s="17"/>
      <c r="T279" s="15"/>
      <c r="U279" s="15"/>
    </row>
    <row r="280" spans="1:21" ht="12.75" customHeight="1" outlineLevel="1" x14ac:dyDescent="0.2">
      <c r="A280" s="3" t="s">
        <v>3160</v>
      </c>
      <c r="B280" s="135">
        <v>-624487.90999999992</v>
      </c>
      <c r="C280" s="135"/>
      <c r="D280" s="138">
        <v>-669.24</v>
      </c>
      <c r="E280" s="135"/>
      <c r="F280" s="138">
        <v>0</v>
      </c>
      <c r="G280" s="139"/>
      <c r="H280" s="138">
        <v>0</v>
      </c>
      <c r="I280" s="139"/>
      <c r="J280" s="135">
        <v>0</v>
      </c>
      <c r="K280" s="139"/>
      <c r="L280" s="138">
        <v>0</v>
      </c>
      <c r="M280" s="135"/>
      <c r="N280" s="138">
        <v>0</v>
      </c>
      <c r="O280" s="135"/>
      <c r="P280" s="138">
        <v>0</v>
      </c>
      <c r="Q280" s="135"/>
      <c r="R280" s="135">
        <f t="shared" si="11"/>
        <v>-625157.14999999991</v>
      </c>
      <c r="S280" s="17"/>
      <c r="T280" s="15"/>
      <c r="U280" s="15"/>
    </row>
    <row r="281" spans="1:21" ht="12.75" customHeight="1" outlineLevel="1" x14ac:dyDescent="0.2">
      <c r="A281" s="3" t="s">
        <v>3161</v>
      </c>
      <c r="B281" s="135">
        <v>950801.37000000104</v>
      </c>
      <c r="C281" s="135"/>
      <c r="D281" s="138">
        <v>0</v>
      </c>
      <c r="E281" s="135"/>
      <c r="F281" s="138">
        <v>0</v>
      </c>
      <c r="G281" s="139"/>
      <c r="H281" s="138">
        <v>0</v>
      </c>
      <c r="I281" s="139"/>
      <c r="J281" s="135">
        <v>0</v>
      </c>
      <c r="K281" s="139"/>
      <c r="L281" s="138">
        <v>0</v>
      </c>
      <c r="M281" s="135"/>
      <c r="N281" s="138">
        <v>0</v>
      </c>
      <c r="O281" s="135"/>
      <c r="P281" s="138">
        <v>0</v>
      </c>
      <c r="Q281" s="135"/>
      <c r="R281" s="135">
        <f t="shared" si="11"/>
        <v>950801.37000000104</v>
      </c>
      <c r="S281" s="17"/>
      <c r="T281" s="15"/>
      <c r="U281" s="15"/>
    </row>
    <row r="282" spans="1:21" ht="12.75" customHeight="1" outlineLevel="1" x14ac:dyDescent="0.2">
      <c r="A282" s="3" t="s">
        <v>3162</v>
      </c>
      <c r="B282" s="135">
        <v>-11553369.209999997</v>
      </c>
      <c r="C282" s="135"/>
      <c r="D282" s="138">
        <v>-268289.88</v>
      </c>
      <c r="E282" s="135"/>
      <c r="F282" s="138">
        <v>-2947.63</v>
      </c>
      <c r="G282" s="139"/>
      <c r="H282" s="138">
        <v>0</v>
      </c>
      <c r="I282" s="139"/>
      <c r="J282" s="135">
        <v>0</v>
      </c>
      <c r="K282" s="139"/>
      <c r="L282" s="138">
        <v>416789.78</v>
      </c>
      <c r="M282" s="135"/>
      <c r="N282" s="138">
        <v>0</v>
      </c>
      <c r="O282" s="135"/>
      <c r="P282" s="138">
        <v>0</v>
      </c>
      <c r="Q282" s="135"/>
      <c r="R282" s="135">
        <f t="shared" si="11"/>
        <v>-11407816.939999999</v>
      </c>
      <c r="S282" s="17"/>
      <c r="T282" s="15"/>
      <c r="U282" s="15"/>
    </row>
    <row r="283" spans="1:21" ht="12.75" customHeight="1" outlineLevel="1" x14ac:dyDescent="0.2">
      <c r="A283" s="3" t="s">
        <v>3163</v>
      </c>
      <c r="B283" s="135">
        <v>-10812289.210000001</v>
      </c>
      <c r="C283" s="135"/>
      <c r="D283" s="138">
        <v>-419064</v>
      </c>
      <c r="E283" s="135"/>
      <c r="F283" s="138">
        <v>-1119923.17</v>
      </c>
      <c r="G283" s="139"/>
      <c r="H283" s="138">
        <v>0</v>
      </c>
      <c r="I283" s="139"/>
      <c r="J283" s="135">
        <v>0</v>
      </c>
      <c r="K283" s="139"/>
      <c r="L283" s="138">
        <v>391649.79</v>
      </c>
      <c r="M283" s="135"/>
      <c r="N283" s="138">
        <v>0</v>
      </c>
      <c r="O283" s="135"/>
      <c r="P283" s="138">
        <v>0</v>
      </c>
      <c r="Q283" s="135"/>
      <c r="R283" s="135">
        <f t="shared" si="11"/>
        <v>-11959626.590000002</v>
      </c>
      <c r="S283" s="17"/>
      <c r="T283" s="15"/>
      <c r="U283" s="15"/>
    </row>
    <row r="284" spans="1:21" ht="12.75" customHeight="1" outlineLevel="1" x14ac:dyDescent="0.2">
      <c r="A284" s="3" t="s">
        <v>3164</v>
      </c>
      <c r="B284" s="135">
        <v>-19997929.310000002</v>
      </c>
      <c r="C284" s="135"/>
      <c r="D284" s="138">
        <v>-670178.74</v>
      </c>
      <c r="E284" s="135"/>
      <c r="F284" s="138">
        <v>868740.82</v>
      </c>
      <c r="G284" s="139"/>
      <c r="H284" s="138">
        <v>0</v>
      </c>
      <c r="I284" s="139"/>
      <c r="J284" s="135">
        <v>0</v>
      </c>
      <c r="K284" s="139"/>
      <c r="L284" s="138">
        <v>10358</v>
      </c>
      <c r="M284" s="135"/>
      <c r="N284" s="138">
        <v>0</v>
      </c>
      <c r="O284" s="135"/>
      <c r="P284" s="138">
        <v>0</v>
      </c>
      <c r="Q284" s="135"/>
      <c r="R284" s="135">
        <f t="shared" si="11"/>
        <v>-19789009.23</v>
      </c>
      <c r="S284" s="17"/>
      <c r="T284" s="15"/>
      <c r="U284" s="15"/>
    </row>
    <row r="285" spans="1:21" ht="12.75" customHeight="1" outlineLevel="1" x14ac:dyDescent="0.2">
      <c r="A285" s="3" t="s">
        <v>3165</v>
      </c>
      <c r="B285" s="135">
        <v>-23338020.170000006</v>
      </c>
      <c r="C285" s="135"/>
      <c r="D285" s="138">
        <v>-863146.93</v>
      </c>
      <c r="E285" s="135"/>
      <c r="F285" s="138">
        <v>165635.96</v>
      </c>
      <c r="G285" s="139"/>
      <c r="H285" s="138">
        <v>0</v>
      </c>
      <c r="I285" s="139"/>
      <c r="J285" s="135">
        <v>0</v>
      </c>
      <c r="K285" s="139"/>
      <c r="L285" s="138">
        <v>133541.04</v>
      </c>
      <c r="M285" s="135"/>
      <c r="N285" s="138">
        <v>0</v>
      </c>
      <c r="O285" s="135"/>
      <c r="P285" s="138">
        <v>0</v>
      </c>
      <c r="Q285" s="135"/>
      <c r="R285" s="135">
        <f t="shared" si="11"/>
        <v>-23901990.100000005</v>
      </c>
      <c r="S285" s="17"/>
      <c r="T285" s="15"/>
      <c r="U285" s="15"/>
    </row>
    <row r="286" spans="1:21" ht="12.75" customHeight="1" outlineLevel="1" x14ac:dyDescent="0.2">
      <c r="A286" s="3" t="s">
        <v>3166</v>
      </c>
      <c r="B286" s="135">
        <v>15976.370000000112</v>
      </c>
      <c r="C286" s="135"/>
      <c r="D286" s="138">
        <v>0</v>
      </c>
      <c r="E286" s="135"/>
      <c r="F286" s="138">
        <v>0</v>
      </c>
      <c r="G286" s="139"/>
      <c r="H286" s="138">
        <v>0</v>
      </c>
      <c r="I286" s="139"/>
      <c r="J286" s="135">
        <v>0</v>
      </c>
      <c r="K286" s="139"/>
      <c r="L286" s="138">
        <v>0</v>
      </c>
      <c r="M286" s="135"/>
      <c r="N286" s="138">
        <v>0</v>
      </c>
      <c r="O286" s="135"/>
      <c r="P286" s="138">
        <v>0</v>
      </c>
      <c r="Q286" s="135"/>
      <c r="R286" s="135">
        <f t="shared" si="11"/>
        <v>15976.370000000112</v>
      </c>
      <c r="S286" s="17"/>
      <c r="T286" s="15"/>
      <c r="U286" s="15"/>
    </row>
    <row r="287" spans="1:21" ht="12.75" customHeight="1" outlineLevel="1" x14ac:dyDescent="0.2">
      <c r="A287" s="3" t="s">
        <v>3167</v>
      </c>
      <c r="B287" s="135">
        <v>-28195875.580000006</v>
      </c>
      <c r="C287" s="135"/>
      <c r="D287" s="138">
        <v>-1254547.74</v>
      </c>
      <c r="E287" s="135"/>
      <c r="F287" s="138">
        <v>3551.37</v>
      </c>
      <c r="G287" s="139"/>
      <c r="H287" s="138">
        <v>0</v>
      </c>
      <c r="I287" s="139"/>
      <c r="J287" s="135">
        <v>0</v>
      </c>
      <c r="K287" s="139"/>
      <c r="L287" s="138">
        <v>895.26</v>
      </c>
      <c r="M287" s="135"/>
      <c r="N287" s="138">
        <v>0</v>
      </c>
      <c r="O287" s="135"/>
      <c r="P287" s="138">
        <v>-219.98</v>
      </c>
      <c r="Q287" s="135"/>
      <c r="R287" s="135">
        <f t="shared" si="11"/>
        <v>-29446196.670000002</v>
      </c>
      <c r="S287" s="17"/>
      <c r="T287" s="15"/>
      <c r="U287" s="15"/>
    </row>
    <row r="288" spans="1:21" ht="12.75" customHeight="1" outlineLevel="1" x14ac:dyDescent="0.2">
      <c r="A288" s="3" t="s">
        <v>3168</v>
      </c>
      <c r="B288" s="135">
        <v>-4434453.75</v>
      </c>
      <c r="C288" s="135"/>
      <c r="D288" s="138">
        <v>-460673.71</v>
      </c>
      <c r="E288" s="135"/>
      <c r="F288" s="138">
        <v>41720.61</v>
      </c>
      <c r="G288" s="139"/>
      <c r="H288" s="138">
        <v>0</v>
      </c>
      <c r="I288" s="139"/>
      <c r="J288" s="135">
        <v>0</v>
      </c>
      <c r="K288" s="139"/>
      <c r="L288" s="138">
        <v>0</v>
      </c>
      <c r="M288" s="135"/>
      <c r="N288" s="138">
        <v>0</v>
      </c>
      <c r="O288" s="135"/>
      <c r="P288" s="138">
        <v>0</v>
      </c>
      <c r="Q288" s="135"/>
      <c r="R288" s="135">
        <f t="shared" si="11"/>
        <v>-4853406.8499999996</v>
      </c>
      <c r="S288" s="17"/>
      <c r="T288" s="15"/>
      <c r="U288" s="15"/>
    </row>
    <row r="289" spans="1:22" x14ac:dyDescent="0.2">
      <c r="A289" s="3" t="s">
        <v>3169</v>
      </c>
      <c r="B289" s="135">
        <f>SUM(B276:B288)</f>
        <v>-98367793.830000013</v>
      </c>
      <c r="C289" s="135"/>
      <c r="D289" s="135">
        <f>SUM(D276:D288)</f>
        <v>-3952730.4000000004</v>
      </c>
      <c r="E289" s="135"/>
      <c r="F289" s="139">
        <f>SUM(F276:F288)</f>
        <v>-43222.039999999877</v>
      </c>
      <c r="G289" s="139"/>
      <c r="H289" s="139">
        <f>SUM(H276:H288)</f>
        <v>0</v>
      </c>
      <c r="I289" s="139"/>
      <c r="J289" s="139">
        <f>SUM(J276:J288)</f>
        <v>0</v>
      </c>
      <c r="K289" s="139"/>
      <c r="L289" s="139">
        <f>SUM(L276:L288)</f>
        <v>953233.87000000011</v>
      </c>
      <c r="M289" s="139"/>
      <c r="N289" s="135">
        <f>SUM(N276:N288)</f>
        <v>0</v>
      </c>
      <c r="O289" s="135"/>
      <c r="P289" s="135">
        <f>SUM(P276:P288)</f>
        <v>-219.98</v>
      </c>
      <c r="Q289" s="135"/>
      <c r="R289" s="135">
        <f>SUM(R276:R288)</f>
        <v>-101410732.38</v>
      </c>
      <c r="S289" s="17"/>
      <c r="T289" s="15"/>
      <c r="U289" s="15"/>
    </row>
    <row r="290" spans="1:22" ht="12" customHeight="1" outlineLevel="1" x14ac:dyDescent="0.2">
      <c r="A290" s="3" t="s">
        <v>3170</v>
      </c>
      <c r="B290" s="135">
        <v>-452526.56000000006</v>
      </c>
      <c r="C290" s="135"/>
      <c r="D290" s="138">
        <v>0</v>
      </c>
      <c r="E290" s="135"/>
      <c r="F290" s="138">
        <v>0</v>
      </c>
      <c r="G290" s="139"/>
      <c r="H290" s="138">
        <v>0</v>
      </c>
      <c r="I290" s="139"/>
      <c r="J290" s="135">
        <v>0</v>
      </c>
      <c r="K290" s="139"/>
      <c r="L290" s="138">
        <v>0</v>
      </c>
      <c r="M290" s="135"/>
      <c r="N290" s="138">
        <v>0</v>
      </c>
      <c r="O290" s="135"/>
      <c r="P290" s="138">
        <v>0</v>
      </c>
      <c r="Q290" s="135"/>
      <c r="R290" s="135">
        <f t="shared" ref="R290:R349" si="12">SUM(B290:P290)</f>
        <v>-452526.56000000006</v>
      </c>
      <c r="S290" s="17"/>
      <c r="T290" s="15"/>
      <c r="U290" s="15"/>
    </row>
    <row r="291" spans="1:22" ht="12" customHeight="1" outlineLevel="1" x14ac:dyDescent="0.2">
      <c r="A291" s="3" t="s">
        <v>3171</v>
      </c>
      <c r="B291" s="135">
        <v>-13527.170000000158</v>
      </c>
      <c r="C291" s="135"/>
      <c r="D291" s="138">
        <v>0</v>
      </c>
      <c r="E291" s="135"/>
      <c r="F291" s="138">
        <v>0</v>
      </c>
      <c r="G291" s="139"/>
      <c r="H291" s="138">
        <v>0</v>
      </c>
      <c r="I291" s="139"/>
      <c r="J291" s="135">
        <v>0</v>
      </c>
      <c r="K291" s="139"/>
      <c r="L291" s="138">
        <v>0</v>
      </c>
      <c r="M291" s="135"/>
      <c r="N291" s="138">
        <v>0</v>
      </c>
      <c r="O291" s="135"/>
      <c r="P291" s="138">
        <v>0</v>
      </c>
      <c r="Q291" s="135"/>
      <c r="R291" s="135">
        <f t="shared" si="12"/>
        <v>-13527.170000000158</v>
      </c>
      <c r="S291" s="17"/>
      <c r="T291" s="15"/>
      <c r="U291" s="15"/>
    </row>
    <row r="292" spans="1:22" ht="12" customHeight="1" outlineLevel="1" x14ac:dyDescent="0.2">
      <c r="A292" s="3" t="s">
        <v>3172</v>
      </c>
      <c r="B292" s="135">
        <v>-56033.130000000121</v>
      </c>
      <c r="C292" s="135"/>
      <c r="D292" s="138">
        <v>0</v>
      </c>
      <c r="E292" s="135"/>
      <c r="F292" s="138">
        <v>0</v>
      </c>
      <c r="G292" s="139"/>
      <c r="H292" s="138">
        <v>0</v>
      </c>
      <c r="I292" s="139"/>
      <c r="J292" s="135">
        <v>0</v>
      </c>
      <c r="K292" s="139"/>
      <c r="L292" s="138">
        <v>0</v>
      </c>
      <c r="M292" s="135"/>
      <c r="N292" s="138">
        <v>0</v>
      </c>
      <c r="O292" s="135"/>
      <c r="P292" s="138">
        <v>0</v>
      </c>
      <c r="Q292" s="135"/>
      <c r="R292" s="135">
        <f t="shared" si="12"/>
        <v>-56033.130000000121</v>
      </c>
      <c r="S292" s="17"/>
      <c r="T292" s="15"/>
      <c r="U292" s="15"/>
    </row>
    <row r="293" spans="1:22" ht="12" customHeight="1" outlineLevel="1" x14ac:dyDescent="0.2">
      <c r="A293" s="3" t="s">
        <v>3173</v>
      </c>
      <c r="B293" s="135">
        <v>-618589.01000000071</v>
      </c>
      <c r="C293" s="135"/>
      <c r="D293" s="138">
        <v>0</v>
      </c>
      <c r="E293" s="135"/>
      <c r="F293" s="138">
        <v>0</v>
      </c>
      <c r="G293" s="139"/>
      <c r="H293" s="138">
        <v>0</v>
      </c>
      <c r="I293" s="139"/>
      <c r="J293" s="135">
        <v>0</v>
      </c>
      <c r="K293" s="139"/>
      <c r="L293" s="138">
        <v>0</v>
      </c>
      <c r="M293" s="135"/>
      <c r="N293" s="138">
        <v>0</v>
      </c>
      <c r="O293" s="135"/>
      <c r="P293" s="138">
        <v>0</v>
      </c>
      <c r="Q293" s="135"/>
      <c r="R293" s="135">
        <f t="shared" si="12"/>
        <v>-618589.01000000071</v>
      </c>
      <c r="S293" s="17"/>
      <c r="T293" s="15"/>
      <c r="U293" s="15"/>
    </row>
    <row r="294" spans="1:22" ht="12" customHeight="1" outlineLevel="1" x14ac:dyDescent="0.2">
      <c r="A294" s="3" t="s">
        <v>3174</v>
      </c>
      <c r="B294" s="135">
        <v>-112734.56000000052</v>
      </c>
      <c r="C294" s="135"/>
      <c r="D294" s="138">
        <v>0</v>
      </c>
      <c r="E294" s="135"/>
      <c r="F294" s="138">
        <v>0</v>
      </c>
      <c r="G294" s="139"/>
      <c r="H294" s="138">
        <v>0</v>
      </c>
      <c r="I294" s="139"/>
      <c r="J294" s="135">
        <v>0</v>
      </c>
      <c r="K294" s="139"/>
      <c r="L294" s="138">
        <v>0</v>
      </c>
      <c r="M294" s="135"/>
      <c r="N294" s="138">
        <v>0</v>
      </c>
      <c r="O294" s="135"/>
      <c r="P294" s="138">
        <v>0</v>
      </c>
      <c r="Q294" s="135"/>
      <c r="R294" s="135">
        <f t="shared" si="12"/>
        <v>-112734.56000000052</v>
      </c>
      <c r="S294" s="17"/>
      <c r="T294" s="15"/>
      <c r="U294" s="15"/>
    </row>
    <row r="295" spans="1:22" ht="12" customHeight="1" outlineLevel="1" x14ac:dyDescent="0.2">
      <c r="A295" s="3" t="s">
        <v>3175</v>
      </c>
      <c r="B295" s="135">
        <v>1576281.3599999994</v>
      </c>
      <c r="C295" s="135"/>
      <c r="D295" s="138">
        <v>0</v>
      </c>
      <c r="E295" s="135"/>
      <c r="F295" s="138">
        <v>0</v>
      </c>
      <c r="G295" s="139"/>
      <c r="H295" s="138">
        <v>0</v>
      </c>
      <c r="I295" s="139"/>
      <c r="J295" s="135">
        <v>0</v>
      </c>
      <c r="K295" s="139"/>
      <c r="L295" s="138">
        <v>0</v>
      </c>
      <c r="M295" s="135"/>
      <c r="N295" s="138">
        <v>0</v>
      </c>
      <c r="O295" s="135"/>
      <c r="P295" s="138">
        <v>0</v>
      </c>
      <c r="Q295" s="135"/>
      <c r="R295" s="135">
        <f t="shared" si="12"/>
        <v>1576281.3599999994</v>
      </c>
      <c r="S295" s="17"/>
      <c r="T295" s="15"/>
      <c r="U295" s="15"/>
    </row>
    <row r="296" spans="1:22" ht="12" customHeight="1" outlineLevel="1" x14ac:dyDescent="0.2">
      <c r="A296" s="3" t="s">
        <v>3176</v>
      </c>
      <c r="B296" s="135">
        <v>-188196.74999999953</v>
      </c>
      <c r="C296" s="135"/>
      <c r="D296" s="138">
        <v>0</v>
      </c>
      <c r="E296" s="135"/>
      <c r="F296" s="138">
        <v>0</v>
      </c>
      <c r="G296" s="139"/>
      <c r="H296" s="138">
        <v>0</v>
      </c>
      <c r="I296" s="139"/>
      <c r="J296" s="135">
        <v>0</v>
      </c>
      <c r="K296" s="139"/>
      <c r="L296" s="138">
        <v>0</v>
      </c>
      <c r="M296" s="135"/>
      <c r="N296" s="138">
        <v>0</v>
      </c>
      <c r="O296" s="135"/>
      <c r="P296" s="138">
        <v>0</v>
      </c>
      <c r="Q296" s="135"/>
      <c r="R296" s="135">
        <f t="shared" si="12"/>
        <v>-188196.74999999953</v>
      </c>
      <c r="S296" s="17"/>
      <c r="T296" s="15"/>
      <c r="U296" s="15"/>
    </row>
    <row r="297" spans="1:22" ht="12" customHeight="1" outlineLevel="1" x14ac:dyDescent="0.2">
      <c r="A297" s="3" t="s">
        <v>3177</v>
      </c>
      <c r="B297" s="135">
        <v>1203143.5100000016</v>
      </c>
      <c r="C297" s="135"/>
      <c r="D297" s="138">
        <v>0</v>
      </c>
      <c r="E297" s="135"/>
      <c r="F297" s="138">
        <v>0</v>
      </c>
      <c r="G297" s="139"/>
      <c r="H297" s="138">
        <v>0</v>
      </c>
      <c r="I297" s="139"/>
      <c r="J297" s="135">
        <v>0</v>
      </c>
      <c r="K297" s="139"/>
      <c r="L297" s="138">
        <v>0</v>
      </c>
      <c r="M297" s="135"/>
      <c r="N297" s="138">
        <v>0</v>
      </c>
      <c r="O297" s="135"/>
      <c r="P297" s="138">
        <v>0</v>
      </c>
      <c r="Q297" s="135"/>
      <c r="R297" s="135">
        <f t="shared" si="12"/>
        <v>1203143.5100000016</v>
      </c>
      <c r="S297" s="17"/>
      <c r="T297" s="15"/>
      <c r="U297" s="15"/>
    </row>
    <row r="298" spans="1:22" ht="12" customHeight="1" outlineLevel="1" x14ac:dyDescent="0.2">
      <c r="A298" s="3" t="s">
        <v>3178</v>
      </c>
      <c r="B298" s="135">
        <v>-163224.86000000034</v>
      </c>
      <c r="C298" s="135"/>
      <c r="D298" s="138">
        <v>0</v>
      </c>
      <c r="E298" s="135"/>
      <c r="F298" s="138">
        <v>0</v>
      </c>
      <c r="G298" s="139"/>
      <c r="H298" s="138">
        <v>0</v>
      </c>
      <c r="I298" s="139"/>
      <c r="J298" s="135">
        <v>0</v>
      </c>
      <c r="K298" s="139"/>
      <c r="L298" s="138">
        <v>0</v>
      </c>
      <c r="M298" s="135"/>
      <c r="N298" s="138">
        <v>0</v>
      </c>
      <c r="O298" s="135"/>
      <c r="P298" s="138">
        <v>0</v>
      </c>
      <c r="Q298" s="135"/>
      <c r="R298" s="135">
        <f t="shared" si="12"/>
        <v>-163224.86000000034</v>
      </c>
      <c r="S298" s="17"/>
      <c r="T298" s="15"/>
      <c r="U298" s="15"/>
    </row>
    <row r="299" spans="1:22" ht="12" customHeight="1" outlineLevel="1" x14ac:dyDescent="0.2">
      <c r="A299" s="3" t="s">
        <v>3179</v>
      </c>
      <c r="B299" s="135">
        <v>-46592.28</v>
      </c>
      <c r="C299" s="135"/>
      <c r="D299" s="138">
        <v>-76585.649999999994</v>
      </c>
      <c r="E299" s="135"/>
      <c r="F299" s="138">
        <v>0</v>
      </c>
      <c r="G299" s="139"/>
      <c r="H299" s="138">
        <v>0</v>
      </c>
      <c r="I299" s="139"/>
      <c r="J299" s="135">
        <v>0</v>
      </c>
      <c r="K299" s="139"/>
      <c r="L299" s="138">
        <v>0</v>
      </c>
      <c r="M299" s="135"/>
      <c r="N299" s="138">
        <v>0</v>
      </c>
      <c r="O299" s="135"/>
      <c r="P299" s="138">
        <v>0</v>
      </c>
      <c r="Q299" s="135"/>
      <c r="R299" s="135">
        <f t="shared" si="12"/>
        <v>-123177.93</v>
      </c>
      <c r="S299" s="17"/>
      <c r="T299" s="15"/>
      <c r="U299" s="15"/>
    </row>
    <row r="300" spans="1:22" ht="12" customHeight="1" outlineLevel="1" x14ac:dyDescent="0.2">
      <c r="A300" s="3" t="s">
        <v>3180</v>
      </c>
      <c r="B300" s="135">
        <v>-4159.01</v>
      </c>
      <c r="C300" s="135"/>
      <c r="D300" s="138">
        <v>-6836.38</v>
      </c>
      <c r="E300" s="135"/>
      <c r="F300" s="138">
        <v>0</v>
      </c>
      <c r="G300" s="139"/>
      <c r="H300" s="138">
        <v>0</v>
      </c>
      <c r="I300" s="139"/>
      <c r="J300" s="135">
        <v>0</v>
      </c>
      <c r="K300" s="139"/>
      <c r="L300" s="138">
        <v>0</v>
      </c>
      <c r="M300" s="135"/>
      <c r="N300" s="138">
        <v>0</v>
      </c>
      <c r="O300" s="135"/>
      <c r="P300" s="138">
        <v>0</v>
      </c>
      <c r="Q300" s="135"/>
      <c r="R300" s="135">
        <f t="shared" si="12"/>
        <v>-10995.39</v>
      </c>
      <c r="S300" s="17"/>
      <c r="T300" s="15"/>
      <c r="U300" s="15"/>
    </row>
    <row r="301" spans="1:22" ht="12" customHeight="1" outlineLevel="1" x14ac:dyDescent="0.2">
      <c r="A301" s="3" t="s">
        <v>3181</v>
      </c>
      <c r="B301" s="135">
        <v>0</v>
      </c>
      <c r="C301" s="135"/>
      <c r="D301" s="138">
        <v>-55081.94</v>
      </c>
      <c r="E301" s="135"/>
      <c r="F301" s="138">
        <v>0</v>
      </c>
      <c r="G301" s="139"/>
      <c r="H301" s="138">
        <v>0</v>
      </c>
      <c r="I301" s="139"/>
      <c r="J301" s="135">
        <v>0</v>
      </c>
      <c r="K301" s="139"/>
      <c r="L301" s="138">
        <v>0</v>
      </c>
      <c r="M301" s="135"/>
      <c r="N301" s="138">
        <v>0</v>
      </c>
      <c r="O301" s="135"/>
      <c r="P301" s="138">
        <v>0</v>
      </c>
      <c r="Q301" s="135"/>
      <c r="R301" s="135">
        <f t="shared" si="12"/>
        <v>-55081.94</v>
      </c>
      <c r="S301" s="17"/>
      <c r="T301" s="15"/>
      <c r="U301" s="15"/>
    </row>
    <row r="302" spans="1:22" ht="12" customHeight="1" outlineLevel="1" x14ac:dyDescent="0.2">
      <c r="A302" s="124" t="s">
        <v>3182</v>
      </c>
      <c r="B302" s="135">
        <v>-35169.03</v>
      </c>
      <c r="C302" s="135"/>
      <c r="D302" s="138">
        <v>-34490.519999999997</v>
      </c>
      <c r="E302" s="135"/>
      <c r="F302" s="138">
        <v>0</v>
      </c>
      <c r="G302" s="139"/>
      <c r="H302" s="138">
        <v>0</v>
      </c>
      <c r="I302" s="139"/>
      <c r="J302" s="135">
        <v>0</v>
      </c>
      <c r="K302" s="139"/>
      <c r="L302" s="138">
        <v>0</v>
      </c>
      <c r="M302" s="135"/>
      <c r="N302" s="138">
        <v>0</v>
      </c>
      <c r="O302" s="135"/>
      <c r="P302" s="138">
        <v>0</v>
      </c>
      <c r="Q302" s="135"/>
      <c r="R302" s="135">
        <f t="shared" si="12"/>
        <v>-69659.549999999988</v>
      </c>
      <c r="S302" s="17"/>
      <c r="T302" s="15"/>
      <c r="U302" s="15"/>
    </row>
    <row r="303" spans="1:22" ht="12" customHeight="1" outlineLevel="1" x14ac:dyDescent="0.2">
      <c r="A303" s="3" t="s">
        <v>3183</v>
      </c>
      <c r="B303" s="135">
        <v>-10346384.310000001</v>
      </c>
      <c r="C303" s="135"/>
      <c r="D303" s="138">
        <v>-419561.12</v>
      </c>
      <c r="E303" s="135"/>
      <c r="F303" s="138">
        <v>16691.150000000001</v>
      </c>
      <c r="G303" s="139"/>
      <c r="H303" s="138">
        <v>0</v>
      </c>
      <c r="I303" s="139"/>
      <c r="J303" s="135">
        <v>0</v>
      </c>
      <c r="K303" s="139"/>
      <c r="L303" s="138">
        <v>0</v>
      </c>
      <c r="M303" s="135"/>
      <c r="N303" s="138">
        <v>0</v>
      </c>
      <c r="O303" s="135"/>
      <c r="P303" s="138">
        <v>0</v>
      </c>
      <c r="Q303" s="135"/>
      <c r="R303" s="135">
        <f t="shared" si="12"/>
        <v>-10749254.279999999</v>
      </c>
      <c r="S303" s="17"/>
      <c r="T303" s="15"/>
      <c r="U303" s="15"/>
      <c r="V303" s="15"/>
    </row>
    <row r="304" spans="1:22" ht="12" customHeight="1" outlineLevel="1" x14ac:dyDescent="0.2">
      <c r="A304" s="3" t="s">
        <v>3184</v>
      </c>
      <c r="B304" s="135">
        <v>-552798.97000000067</v>
      </c>
      <c r="C304" s="135"/>
      <c r="D304" s="138">
        <v>0</v>
      </c>
      <c r="E304" s="135"/>
      <c r="F304" s="138">
        <v>0</v>
      </c>
      <c r="G304" s="139"/>
      <c r="H304" s="138">
        <v>0</v>
      </c>
      <c r="I304" s="139"/>
      <c r="J304" s="135">
        <v>0</v>
      </c>
      <c r="K304" s="139"/>
      <c r="L304" s="138">
        <v>0</v>
      </c>
      <c r="M304" s="135"/>
      <c r="N304" s="138">
        <v>0</v>
      </c>
      <c r="O304" s="135"/>
      <c r="P304" s="138">
        <v>0</v>
      </c>
      <c r="Q304" s="135"/>
      <c r="R304" s="135">
        <f t="shared" si="12"/>
        <v>-552798.97000000067</v>
      </c>
      <c r="S304" s="17"/>
      <c r="T304" s="15"/>
      <c r="U304" s="15"/>
    </row>
    <row r="305" spans="1:21" ht="12" customHeight="1" outlineLevel="1" x14ac:dyDescent="0.2">
      <c r="A305" s="3" t="s">
        <v>3185</v>
      </c>
      <c r="B305" s="135">
        <v>-6038210.8099999987</v>
      </c>
      <c r="C305" s="135"/>
      <c r="D305" s="138">
        <v>-187595.66</v>
      </c>
      <c r="E305" s="135"/>
      <c r="F305" s="138">
        <v>10096.51</v>
      </c>
      <c r="G305" s="139"/>
      <c r="H305" s="138">
        <v>0</v>
      </c>
      <c r="I305" s="139"/>
      <c r="J305" s="135">
        <v>0</v>
      </c>
      <c r="K305" s="139"/>
      <c r="L305" s="138">
        <v>0</v>
      </c>
      <c r="M305" s="135"/>
      <c r="N305" s="138">
        <v>0</v>
      </c>
      <c r="O305" s="135"/>
      <c r="P305" s="138">
        <v>0</v>
      </c>
      <c r="Q305" s="135"/>
      <c r="R305" s="135">
        <f t="shared" si="12"/>
        <v>-6215709.959999999</v>
      </c>
      <c r="S305" s="17"/>
      <c r="T305" s="15"/>
      <c r="U305" s="15"/>
    </row>
    <row r="306" spans="1:21" ht="12" customHeight="1" outlineLevel="1" x14ac:dyDescent="0.2">
      <c r="A306" s="3" t="s">
        <v>3186</v>
      </c>
      <c r="B306" s="135">
        <v>-765600.87000000104</v>
      </c>
      <c r="C306" s="135"/>
      <c r="D306" s="138">
        <v>0</v>
      </c>
      <c r="E306" s="135"/>
      <c r="F306" s="138">
        <v>0</v>
      </c>
      <c r="G306" s="139"/>
      <c r="H306" s="138">
        <v>0</v>
      </c>
      <c r="I306" s="139"/>
      <c r="J306" s="135">
        <v>0</v>
      </c>
      <c r="K306" s="139"/>
      <c r="L306" s="138">
        <v>0</v>
      </c>
      <c r="M306" s="135"/>
      <c r="N306" s="138">
        <v>0</v>
      </c>
      <c r="O306" s="135"/>
      <c r="P306" s="138">
        <v>0</v>
      </c>
      <c r="Q306" s="135"/>
      <c r="R306" s="135">
        <f t="shared" si="12"/>
        <v>-765600.87000000104</v>
      </c>
      <c r="S306" s="17"/>
      <c r="T306" s="15"/>
      <c r="U306" s="15"/>
    </row>
    <row r="307" spans="1:21" ht="12" customHeight="1" outlineLevel="1" x14ac:dyDescent="0.2">
      <c r="A307" s="3" t="s">
        <v>3187</v>
      </c>
      <c r="B307" s="135">
        <v>-13720476.190000001</v>
      </c>
      <c r="C307" s="135"/>
      <c r="D307" s="138">
        <v>-143537.60999999999</v>
      </c>
      <c r="E307" s="135"/>
      <c r="F307" s="138">
        <v>146757.87</v>
      </c>
      <c r="G307" s="139"/>
      <c r="H307" s="138">
        <v>0</v>
      </c>
      <c r="I307" s="139"/>
      <c r="J307" s="135">
        <v>0</v>
      </c>
      <c r="K307" s="139"/>
      <c r="L307" s="138">
        <v>56804.02</v>
      </c>
      <c r="M307" s="135"/>
      <c r="N307" s="138">
        <v>-42500</v>
      </c>
      <c r="O307" s="135"/>
      <c r="P307" s="138">
        <v>0</v>
      </c>
      <c r="Q307" s="135"/>
      <c r="R307" s="135">
        <f t="shared" si="12"/>
        <v>-13702951.910000002</v>
      </c>
      <c r="S307" s="17"/>
      <c r="T307" s="15"/>
      <c r="U307" s="15"/>
    </row>
    <row r="308" spans="1:21" ht="12" customHeight="1" outlineLevel="1" x14ac:dyDescent="0.2">
      <c r="A308" s="3" t="s">
        <v>3188</v>
      </c>
      <c r="B308" s="135">
        <v>-2792859.1300000004</v>
      </c>
      <c r="C308" s="135"/>
      <c r="D308" s="138">
        <v>0</v>
      </c>
      <c r="E308" s="135"/>
      <c r="F308" s="138">
        <v>1442895.9</v>
      </c>
      <c r="G308" s="139"/>
      <c r="H308" s="138">
        <v>0</v>
      </c>
      <c r="I308" s="139"/>
      <c r="J308" s="135">
        <v>0</v>
      </c>
      <c r="K308" s="139"/>
      <c r="L308" s="138">
        <v>0</v>
      </c>
      <c r="M308" s="135"/>
      <c r="N308" s="138">
        <v>0</v>
      </c>
      <c r="O308" s="135"/>
      <c r="P308" s="138">
        <v>0</v>
      </c>
      <c r="Q308" s="135"/>
      <c r="R308" s="135">
        <f t="shared" si="12"/>
        <v>-1349963.2300000004</v>
      </c>
      <c r="S308" s="17"/>
      <c r="T308" s="15"/>
      <c r="U308" s="15"/>
    </row>
    <row r="309" spans="1:21" ht="12" customHeight="1" outlineLevel="1" x14ac:dyDescent="0.2">
      <c r="A309" s="3" t="s">
        <v>3189</v>
      </c>
      <c r="B309" s="135">
        <v>-17768312.43</v>
      </c>
      <c r="C309" s="135"/>
      <c r="D309" s="138">
        <v>-414394.94</v>
      </c>
      <c r="E309" s="135"/>
      <c r="F309" s="138">
        <v>0</v>
      </c>
      <c r="G309" s="139"/>
      <c r="H309" s="138">
        <v>0</v>
      </c>
      <c r="I309" s="139"/>
      <c r="J309" s="135">
        <v>0</v>
      </c>
      <c r="K309" s="139"/>
      <c r="L309" s="138">
        <v>0</v>
      </c>
      <c r="M309" s="135"/>
      <c r="N309" s="138">
        <v>0</v>
      </c>
      <c r="O309" s="135"/>
      <c r="P309" s="138">
        <v>0</v>
      </c>
      <c r="Q309" s="135"/>
      <c r="R309" s="135">
        <f t="shared" si="12"/>
        <v>-18182707.370000001</v>
      </c>
      <c r="S309" s="17"/>
      <c r="T309" s="15"/>
      <c r="U309" s="15"/>
    </row>
    <row r="310" spans="1:21" ht="12" customHeight="1" outlineLevel="1" x14ac:dyDescent="0.2">
      <c r="A310" s="3" t="s">
        <v>3190</v>
      </c>
      <c r="B310" s="135">
        <v>-545032.16999999993</v>
      </c>
      <c r="C310" s="135"/>
      <c r="D310" s="138">
        <v>-248.76</v>
      </c>
      <c r="E310" s="135"/>
      <c r="F310" s="138">
        <v>0</v>
      </c>
      <c r="G310" s="139"/>
      <c r="H310" s="138">
        <v>0</v>
      </c>
      <c r="I310" s="139"/>
      <c r="J310" s="135">
        <v>0</v>
      </c>
      <c r="K310" s="139"/>
      <c r="L310" s="138">
        <v>0</v>
      </c>
      <c r="M310" s="135"/>
      <c r="N310" s="138">
        <v>0</v>
      </c>
      <c r="O310" s="135"/>
      <c r="P310" s="138">
        <v>0</v>
      </c>
      <c r="Q310" s="135"/>
      <c r="R310" s="135">
        <f t="shared" si="12"/>
        <v>-545280.92999999993</v>
      </c>
      <c r="S310" s="17"/>
      <c r="T310" s="15"/>
      <c r="U310" s="15"/>
    </row>
    <row r="311" spans="1:21" ht="12" customHeight="1" outlineLevel="1" x14ac:dyDescent="0.2">
      <c r="A311" s="3" t="s">
        <v>3191</v>
      </c>
      <c r="B311" s="135">
        <v>0</v>
      </c>
      <c r="C311" s="135"/>
      <c r="D311" s="138">
        <v>0</v>
      </c>
      <c r="E311" s="135"/>
      <c r="F311" s="138">
        <v>0</v>
      </c>
      <c r="G311" s="139"/>
      <c r="H311" s="138">
        <v>0</v>
      </c>
      <c r="I311" s="139"/>
      <c r="J311" s="135">
        <v>0</v>
      </c>
      <c r="K311" s="139"/>
      <c r="L311" s="138">
        <v>0</v>
      </c>
      <c r="M311" s="135"/>
      <c r="N311" s="138">
        <v>0</v>
      </c>
      <c r="O311" s="135"/>
      <c r="P311" s="138">
        <v>0</v>
      </c>
      <c r="Q311" s="135"/>
      <c r="R311" s="135">
        <f t="shared" si="12"/>
        <v>0</v>
      </c>
      <c r="S311" s="17"/>
      <c r="T311" s="15"/>
      <c r="U311" s="15"/>
    </row>
    <row r="312" spans="1:21" ht="12" customHeight="1" outlineLevel="1" x14ac:dyDescent="0.2">
      <c r="A312" s="124" t="s">
        <v>3192</v>
      </c>
      <c r="B312" s="135">
        <v>-6192.4199999999992</v>
      </c>
      <c r="C312" s="135"/>
      <c r="D312" s="138">
        <v>-6072.96</v>
      </c>
      <c r="E312" s="135"/>
      <c r="F312" s="138">
        <v>0</v>
      </c>
      <c r="G312" s="139"/>
      <c r="H312" s="138">
        <v>0</v>
      </c>
      <c r="I312" s="139"/>
      <c r="J312" s="135">
        <v>0</v>
      </c>
      <c r="K312" s="139"/>
      <c r="L312" s="138">
        <v>0</v>
      </c>
      <c r="M312" s="135"/>
      <c r="N312" s="138">
        <v>0</v>
      </c>
      <c r="O312" s="135"/>
      <c r="P312" s="138">
        <v>0</v>
      </c>
      <c r="Q312" s="135"/>
      <c r="R312" s="135">
        <f t="shared" si="12"/>
        <v>-12265.38</v>
      </c>
      <c r="S312" s="17"/>
      <c r="T312" s="15"/>
      <c r="U312" s="15"/>
    </row>
    <row r="313" spans="1:21" ht="12.75" customHeight="1" outlineLevel="1" x14ac:dyDescent="0.2">
      <c r="A313" s="3" t="s">
        <v>3193</v>
      </c>
      <c r="B313" s="135">
        <v>-9.0949470177292824E-13</v>
      </c>
      <c r="C313" s="135"/>
      <c r="D313" s="138">
        <v>0</v>
      </c>
      <c r="E313" s="135"/>
      <c r="F313" s="138">
        <v>0</v>
      </c>
      <c r="G313" s="139"/>
      <c r="H313" s="138">
        <v>0</v>
      </c>
      <c r="I313" s="139"/>
      <c r="J313" s="135">
        <v>0</v>
      </c>
      <c r="K313" s="139"/>
      <c r="L313" s="138">
        <v>0</v>
      </c>
      <c r="M313" s="135"/>
      <c r="N313" s="138">
        <v>0</v>
      </c>
      <c r="O313" s="135"/>
      <c r="P313" s="138">
        <v>0</v>
      </c>
      <c r="Q313" s="135"/>
      <c r="R313" s="135">
        <f t="shared" si="12"/>
        <v>-9.0949470177292824E-13</v>
      </c>
      <c r="S313" s="17"/>
      <c r="T313" s="15"/>
      <c r="U313" s="15"/>
    </row>
    <row r="314" spans="1:21" ht="12" customHeight="1" outlineLevel="1" x14ac:dyDescent="0.2">
      <c r="A314" s="3" t="s">
        <v>3194</v>
      </c>
      <c r="B314" s="135">
        <v>-1020711.7</v>
      </c>
      <c r="C314" s="135"/>
      <c r="D314" s="138">
        <v>-216059.17</v>
      </c>
      <c r="E314" s="135"/>
      <c r="F314" s="138">
        <v>0</v>
      </c>
      <c r="G314" s="139"/>
      <c r="H314" s="138">
        <v>0</v>
      </c>
      <c r="I314" s="139"/>
      <c r="J314" s="135">
        <v>0</v>
      </c>
      <c r="K314" s="139"/>
      <c r="L314" s="138">
        <v>0</v>
      </c>
      <c r="M314" s="135"/>
      <c r="N314" s="138">
        <v>0</v>
      </c>
      <c r="O314" s="135"/>
      <c r="P314" s="138">
        <v>0</v>
      </c>
      <c r="Q314" s="135"/>
      <c r="R314" s="135">
        <f t="shared" si="12"/>
        <v>-1236770.8699999999</v>
      </c>
      <c r="S314" s="17"/>
      <c r="T314" s="15"/>
      <c r="U314" s="15"/>
    </row>
    <row r="315" spans="1:21" ht="12" customHeight="1" outlineLevel="1" x14ac:dyDescent="0.2">
      <c r="A315" s="3" t="s">
        <v>3195</v>
      </c>
      <c r="B315" s="135">
        <v>0</v>
      </c>
      <c r="C315" s="135"/>
      <c r="D315" s="138">
        <v>0</v>
      </c>
      <c r="E315" s="135"/>
      <c r="F315" s="138">
        <v>0</v>
      </c>
      <c r="G315" s="139"/>
      <c r="H315" s="138">
        <v>0</v>
      </c>
      <c r="I315" s="139"/>
      <c r="J315" s="135">
        <v>0</v>
      </c>
      <c r="K315" s="139"/>
      <c r="L315" s="138">
        <v>0</v>
      </c>
      <c r="M315" s="135"/>
      <c r="N315" s="138">
        <v>0</v>
      </c>
      <c r="O315" s="135"/>
      <c r="P315" s="138">
        <v>0</v>
      </c>
      <c r="Q315" s="135"/>
      <c r="R315" s="135">
        <f t="shared" si="12"/>
        <v>0</v>
      </c>
      <c r="S315" s="17"/>
      <c r="T315" s="15"/>
      <c r="U315" s="15"/>
    </row>
    <row r="316" spans="1:21" ht="12" customHeight="1" outlineLevel="1" x14ac:dyDescent="0.2">
      <c r="A316" s="3" t="s">
        <v>3196</v>
      </c>
      <c r="B316" s="135">
        <v>-26197</v>
      </c>
      <c r="C316" s="135"/>
      <c r="D316" s="138">
        <v>-31436.400000000001</v>
      </c>
      <c r="E316" s="135"/>
      <c r="F316" s="138">
        <v>0</v>
      </c>
      <c r="G316" s="139"/>
      <c r="H316" s="138">
        <v>0</v>
      </c>
      <c r="I316" s="139"/>
      <c r="J316" s="135">
        <v>0</v>
      </c>
      <c r="K316" s="139"/>
      <c r="L316" s="138">
        <v>0</v>
      </c>
      <c r="M316" s="135"/>
      <c r="N316" s="138">
        <v>0</v>
      </c>
      <c r="O316" s="135"/>
      <c r="P316" s="138">
        <v>0</v>
      </c>
      <c r="Q316" s="135"/>
      <c r="R316" s="135">
        <f t="shared" si="12"/>
        <v>-57633.4</v>
      </c>
      <c r="S316" s="17"/>
      <c r="T316" s="15"/>
      <c r="U316" s="15"/>
    </row>
    <row r="317" spans="1:21" ht="12" customHeight="1" outlineLevel="1" x14ac:dyDescent="0.2">
      <c r="A317" s="3" t="s">
        <v>3197</v>
      </c>
      <c r="B317" s="135">
        <v>-132.91</v>
      </c>
      <c r="C317" s="135"/>
      <c r="D317" s="138">
        <v>-3225.91</v>
      </c>
      <c r="E317" s="135"/>
      <c r="F317" s="138">
        <v>0</v>
      </c>
      <c r="G317" s="139"/>
      <c r="H317" s="138">
        <v>0</v>
      </c>
      <c r="I317" s="139"/>
      <c r="J317" s="135"/>
      <c r="K317" s="139"/>
      <c r="L317" s="138">
        <v>0</v>
      </c>
      <c r="M317" s="135"/>
      <c r="N317" s="138">
        <v>0</v>
      </c>
      <c r="O317" s="135"/>
      <c r="P317" s="138"/>
      <c r="Q317" s="135"/>
      <c r="R317" s="135">
        <f t="shared" si="12"/>
        <v>-3358.8199999999997</v>
      </c>
      <c r="S317" s="17"/>
      <c r="T317" s="15"/>
      <c r="U317" s="15"/>
    </row>
    <row r="318" spans="1:21" ht="12" customHeight="1" outlineLevel="1" x14ac:dyDescent="0.2">
      <c r="A318" s="3" t="s">
        <v>3198</v>
      </c>
      <c r="B318" s="135">
        <v>-27949814.349999998</v>
      </c>
      <c r="C318" s="135"/>
      <c r="D318" s="138">
        <v>-983359.04</v>
      </c>
      <c r="E318" s="135"/>
      <c r="F318" s="138">
        <v>161.99</v>
      </c>
      <c r="G318" s="139"/>
      <c r="H318" s="138">
        <v>0</v>
      </c>
      <c r="I318" s="139"/>
      <c r="J318" s="135">
        <v>0</v>
      </c>
      <c r="K318" s="139"/>
      <c r="L318" s="138">
        <v>0</v>
      </c>
      <c r="M318" s="135"/>
      <c r="N318" s="138">
        <v>0</v>
      </c>
      <c r="O318" s="135"/>
      <c r="P318" s="138">
        <v>0</v>
      </c>
      <c r="Q318" s="135"/>
      <c r="R318" s="135">
        <f t="shared" si="12"/>
        <v>-28933011.399999999</v>
      </c>
      <c r="S318" s="17"/>
      <c r="T318" s="15"/>
      <c r="U318" s="15"/>
    </row>
    <row r="319" spans="1:21" ht="12" customHeight="1" outlineLevel="1" x14ac:dyDescent="0.2">
      <c r="A319" s="3" t="s">
        <v>3199</v>
      </c>
      <c r="B319" s="135">
        <v>-2346075.8000000003</v>
      </c>
      <c r="C319" s="135"/>
      <c r="D319" s="138">
        <v>-24084.959999999999</v>
      </c>
      <c r="E319" s="135"/>
      <c r="F319" s="138">
        <v>0</v>
      </c>
      <c r="G319" s="139"/>
      <c r="H319" s="138">
        <v>0</v>
      </c>
      <c r="I319" s="139"/>
      <c r="J319" s="135">
        <v>0</v>
      </c>
      <c r="K319" s="139"/>
      <c r="L319" s="138">
        <v>0</v>
      </c>
      <c r="M319" s="135"/>
      <c r="N319" s="138">
        <v>0</v>
      </c>
      <c r="O319" s="135"/>
      <c r="P319" s="138">
        <v>0</v>
      </c>
      <c r="Q319" s="135"/>
      <c r="R319" s="135">
        <f>SUM(B319:P319)</f>
        <v>-2370160.7600000002</v>
      </c>
      <c r="S319" s="17"/>
      <c r="T319" s="15"/>
      <c r="U319" s="15"/>
    </row>
    <row r="320" spans="1:21" ht="12" customHeight="1" x14ac:dyDescent="0.2">
      <c r="A320" s="3" t="s">
        <v>3200</v>
      </c>
      <c r="B320" s="135">
        <f>SUM(B290:B319)</f>
        <v>-82790126.549999997</v>
      </c>
      <c r="C320" s="135"/>
      <c r="D320" s="135">
        <f>SUM(D290:D319)</f>
        <v>-2602571.0199999996</v>
      </c>
      <c r="E320" s="135"/>
      <c r="F320" s="139">
        <f>SUM(F290:F319)</f>
        <v>1616603.42</v>
      </c>
      <c r="G320" s="139"/>
      <c r="H320" s="139">
        <f>SUM(H290:H319)</f>
        <v>0</v>
      </c>
      <c r="I320" s="139"/>
      <c r="J320" s="139">
        <f>SUM(J290:J319)</f>
        <v>0</v>
      </c>
      <c r="K320" s="139"/>
      <c r="L320" s="139">
        <f>SUM(L290:L319)</f>
        <v>56804.02</v>
      </c>
      <c r="M320" s="139"/>
      <c r="N320" s="135">
        <f>SUM(N290:N319)</f>
        <v>-42500</v>
      </c>
      <c r="O320" s="135"/>
      <c r="P320" s="135">
        <f>SUM(P290:P319)</f>
        <v>0</v>
      </c>
      <c r="Q320" s="135"/>
      <c r="R320" s="135">
        <f>SUM(R290:R319)</f>
        <v>-83761790.13000001</v>
      </c>
      <c r="S320" s="17"/>
      <c r="T320" s="15"/>
      <c r="U320" s="15"/>
    </row>
    <row r="321" spans="1:21" ht="12" customHeight="1" outlineLevel="1" x14ac:dyDescent="0.2">
      <c r="A321" s="133" t="s">
        <v>3201</v>
      </c>
      <c r="B321" s="135">
        <v>0</v>
      </c>
      <c r="C321" s="135"/>
      <c r="D321" s="138">
        <v>0</v>
      </c>
      <c r="E321" s="135"/>
      <c r="F321" s="138">
        <v>0</v>
      </c>
      <c r="G321" s="139"/>
      <c r="H321" s="138">
        <v>0</v>
      </c>
      <c r="I321" s="139"/>
      <c r="J321" s="135">
        <v>0</v>
      </c>
      <c r="K321" s="139"/>
      <c r="L321" s="138">
        <v>0</v>
      </c>
      <c r="M321" s="135"/>
      <c r="N321" s="138">
        <v>0</v>
      </c>
      <c r="O321" s="135"/>
      <c r="P321" s="138">
        <v>0</v>
      </c>
      <c r="Q321" s="135"/>
      <c r="R321" s="135">
        <f t="shared" si="12"/>
        <v>0</v>
      </c>
      <c r="S321" s="17"/>
      <c r="T321" s="15"/>
      <c r="U321" s="15"/>
    </row>
    <row r="322" spans="1:21" ht="12" customHeight="1" outlineLevel="1" x14ac:dyDescent="0.2">
      <c r="A322" s="133" t="s">
        <v>3202</v>
      </c>
      <c r="B322" s="135">
        <v>0</v>
      </c>
      <c r="C322" s="135"/>
      <c r="D322" s="138">
        <v>0</v>
      </c>
      <c r="E322" s="135"/>
      <c r="F322" s="138">
        <v>0</v>
      </c>
      <c r="G322" s="139"/>
      <c r="H322" s="138">
        <v>0</v>
      </c>
      <c r="I322" s="139"/>
      <c r="J322" s="135">
        <v>0</v>
      </c>
      <c r="K322" s="139"/>
      <c r="L322" s="138">
        <v>0</v>
      </c>
      <c r="M322" s="135"/>
      <c r="N322" s="138">
        <v>0</v>
      </c>
      <c r="O322" s="135"/>
      <c r="P322" s="138">
        <v>0</v>
      </c>
      <c r="Q322" s="135"/>
      <c r="R322" s="135">
        <f t="shared" si="12"/>
        <v>0</v>
      </c>
      <c r="S322" s="17"/>
      <c r="T322" s="15"/>
      <c r="U322" s="15"/>
    </row>
    <row r="323" spans="1:21" ht="12" customHeight="1" outlineLevel="1" x14ac:dyDescent="0.2">
      <c r="A323" s="133" t="s">
        <v>3203</v>
      </c>
      <c r="B323" s="135">
        <v>0</v>
      </c>
      <c r="C323" s="135"/>
      <c r="D323" s="138">
        <v>0</v>
      </c>
      <c r="E323" s="135"/>
      <c r="F323" s="138">
        <v>0</v>
      </c>
      <c r="G323" s="139"/>
      <c r="H323" s="138">
        <v>0</v>
      </c>
      <c r="I323" s="139"/>
      <c r="J323" s="135">
        <v>0</v>
      </c>
      <c r="K323" s="139"/>
      <c r="L323" s="138">
        <v>0</v>
      </c>
      <c r="M323" s="135"/>
      <c r="N323" s="138">
        <v>0</v>
      </c>
      <c r="O323" s="135"/>
      <c r="P323" s="138">
        <v>0</v>
      </c>
      <c r="Q323" s="135"/>
      <c r="R323" s="135">
        <f t="shared" si="12"/>
        <v>0</v>
      </c>
      <c r="S323" s="17"/>
      <c r="T323" s="15"/>
      <c r="U323" s="15"/>
    </row>
    <row r="324" spans="1:21" ht="12" customHeight="1" outlineLevel="1" x14ac:dyDescent="0.2">
      <c r="A324" s="133" t="s">
        <v>3204</v>
      </c>
      <c r="B324" s="135">
        <v>0</v>
      </c>
      <c r="C324" s="135"/>
      <c r="D324" s="138">
        <v>0</v>
      </c>
      <c r="E324" s="135"/>
      <c r="F324" s="138">
        <v>0</v>
      </c>
      <c r="G324" s="139"/>
      <c r="H324" s="138">
        <v>0</v>
      </c>
      <c r="I324" s="139"/>
      <c r="J324" s="135">
        <v>0</v>
      </c>
      <c r="K324" s="139"/>
      <c r="L324" s="138">
        <v>0</v>
      </c>
      <c r="M324" s="135"/>
      <c r="N324" s="138">
        <v>0</v>
      </c>
      <c r="O324" s="135"/>
      <c r="P324" s="138">
        <v>0</v>
      </c>
      <c r="Q324" s="135"/>
      <c r="R324" s="135">
        <f t="shared" si="12"/>
        <v>0</v>
      </c>
      <c r="S324" s="17"/>
      <c r="T324" s="15"/>
      <c r="U324" s="15"/>
    </row>
    <row r="325" spans="1:21" ht="12" customHeight="1" outlineLevel="1" x14ac:dyDescent="0.2">
      <c r="A325" s="133" t="s">
        <v>3205</v>
      </c>
      <c r="B325" s="135">
        <v>0</v>
      </c>
      <c r="C325" s="135"/>
      <c r="D325" s="138">
        <v>0</v>
      </c>
      <c r="E325" s="135"/>
      <c r="F325" s="138">
        <v>0</v>
      </c>
      <c r="G325" s="139"/>
      <c r="H325" s="138">
        <v>0</v>
      </c>
      <c r="I325" s="139"/>
      <c r="J325" s="135">
        <v>0</v>
      </c>
      <c r="K325" s="139"/>
      <c r="L325" s="138">
        <v>0</v>
      </c>
      <c r="M325" s="135"/>
      <c r="N325" s="138">
        <v>0</v>
      </c>
      <c r="O325" s="135"/>
      <c r="P325" s="138">
        <v>0</v>
      </c>
      <c r="Q325" s="135"/>
      <c r="R325" s="135">
        <f t="shared" si="12"/>
        <v>0</v>
      </c>
      <c r="S325" s="17"/>
      <c r="T325" s="15"/>
      <c r="U325" s="15"/>
    </row>
    <row r="326" spans="1:21" ht="12" customHeight="1" outlineLevel="1" x14ac:dyDescent="0.2">
      <c r="A326" s="133" t="s">
        <v>3206</v>
      </c>
      <c r="B326" s="135">
        <v>0</v>
      </c>
      <c r="C326" s="135"/>
      <c r="D326" s="138">
        <v>0</v>
      </c>
      <c r="E326" s="135"/>
      <c r="F326" s="138">
        <v>0</v>
      </c>
      <c r="G326" s="139"/>
      <c r="H326" s="138">
        <v>0</v>
      </c>
      <c r="I326" s="139"/>
      <c r="J326" s="135">
        <v>0</v>
      </c>
      <c r="K326" s="139"/>
      <c r="L326" s="138">
        <v>0</v>
      </c>
      <c r="M326" s="135"/>
      <c r="N326" s="138">
        <v>0</v>
      </c>
      <c r="O326" s="135"/>
      <c r="P326" s="138">
        <v>0</v>
      </c>
      <c r="Q326" s="135"/>
      <c r="R326" s="135">
        <f t="shared" si="12"/>
        <v>0</v>
      </c>
      <c r="S326" s="17"/>
      <c r="T326" s="15"/>
      <c r="U326" s="15"/>
    </row>
    <row r="327" spans="1:21" ht="12" customHeight="1" outlineLevel="1" x14ac:dyDescent="0.2">
      <c r="A327" s="133" t="s">
        <v>3207</v>
      </c>
      <c r="B327" s="135">
        <v>0</v>
      </c>
      <c r="C327" s="135"/>
      <c r="D327" s="138">
        <v>0</v>
      </c>
      <c r="E327" s="135"/>
      <c r="F327" s="138">
        <v>0</v>
      </c>
      <c r="G327" s="139"/>
      <c r="H327" s="138">
        <v>0</v>
      </c>
      <c r="I327" s="139"/>
      <c r="J327" s="135">
        <v>0</v>
      </c>
      <c r="K327" s="139"/>
      <c r="L327" s="138">
        <v>0</v>
      </c>
      <c r="M327" s="135"/>
      <c r="N327" s="138">
        <v>0</v>
      </c>
      <c r="O327" s="135"/>
      <c r="P327" s="138">
        <v>0</v>
      </c>
      <c r="Q327" s="135"/>
      <c r="R327" s="135">
        <f t="shared" si="12"/>
        <v>0</v>
      </c>
      <c r="S327" s="17"/>
      <c r="T327" s="15"/>
      <c r="U327" s="15"/>
    </row>
    <row r="328" spans="1:21" ht="12" customHeight="1" outlineLevel="1" x14ac:dyDescent="0.2">
      <c r="A328" s="133" t="s">
        <v>3208</v>
      </c>
      <c r="B328" s="135">
        <v>0</v>
      </c>
      <c r="C328" s="135"/>
      <c r="D328" s="138">
        <v>0</v>
      </c>
      <c r="E328" s="135"/>
      <c r="F328" s="138">
        <v>0</v>
      </c>
      <c r="G328" s="139"/>
      <c r="H328" s="138">
        <v>0</v>
      </c>
      <c r="I328" s="139"/>
      <c r="J328" s="135">
        <v>0</v>
      </c>
      <c r="K328" s="139"/>
      <c r="L328" s="138">
        <v>0</v>
      </c>
      <c r="M328" s="135"/>
      <c r="N328" s="138">
        <v>0</v>
      </c>
      <c r="O328" s="135"/>
      <c r="P328" s="138">
        <v>0</v>
      </c>
      <c r="Q328" s="135"/>
      <c r="R328" s="135">
        <f t="shared" si="12"/>
        <v>0</v>
      </c>
      <c r="S328" s="17"/>
      <c r="T328" s="15"/>
      <c r="U328" s="15"/>
    </row>
    <row r="329" spans="1:21" ht="12" customHeight="1" x14ac:dyDescent="0.2">
      <c r="A329" s="3" t="s">
        <v>3209</v>
      </c>
      <c r="B329" s="135">
        <f>SUM(B321:B328)</f>
        <v>0</v>
      </c>
      <c r="C329" s="135"/>
      <c r="D329" s="135">
        <f>SUM(D321:D328)</f>
        <v>0</v>
      </c>
      <c r="E329" s="135"/>
      <c r="F329" s="135">
        <f>SUM(F321:F328)</f>
        <v>0</v>
      </c>
      <c r="G329" s="135"/>
      <c r="H329" s="135">
        <f>SUM(H321:H328)</f>
        <v>0</v>
      </c>
      <c r="I329" s="135"/>
      <c r="J329" s="135">
        <f>SUM(J321:J328)</f>
        <v>0</v>
      </c>
      <c r="K329" s="135"/>
      <c r="L329" s="135">
        <f>SUM(L321:L328)</f>
        <v>0</v>
      </c>
      <c r="M329" s="135"/>
      <c r="N329" s="135">
        <f>SUM(N321:N328)</f>
        <v>0</v>
      </c>
      <c r="O329" s="135"/>
      <c r="P329" s="135">
        <f>SUM(P321:P328)</f>
        <v>0</v>
      </c>
      <c r="Q329" s="135"/>
      <c r="R329" s="135">
        <f>SUM(R321:R328)</f>
        <v>0</v>
      </c>
      <c r="S329" s="17"/>
      <c r="T329" s="15"/>
      <c r="U329" s="15"/>
    </row>
    <row r="330" spans="1:21" ht="12.75" customHeight="1" outlineLevel="1" x14ac:dyDescent="0.2">
      <c r="A330" s="3" t="s">
        <v>3210</v>
      </c>
      <c r="B330" s="135">
        <v>-496.25999999999476</v>
      </c>
      <c r="C330" s="135"/>
      <c r="D330" s="138">
        <v>0</v>
      </c>
      <c r="E330" s="135"/>
      <c r="F330" s="138">
        <v>0</v>
      </c>
      <c r="G330" s="139"/>
      <c r="H330" s="138">
        <v>0</v>
      </c>
      <c r="I330" s="139"/>
      <c r="J330" s="135">
        <v>0</v>
      </c>
      <c r="K330" s="139"/>
      <c r="L330" s="138">
        <v>0</v>
      </c>
      <c r="M330" s="135"/>
      <c r="N330" s="138">
        <v>0</v>
      </c>
      <c r="O330" s="135"/>
      <c r="P330" s="138">
        <v>0</v>
      </c>
      <c r="Q330" s="135"/>
      <c r="R330" s="135">
        <f t="shared" si="12"/>
        <v>-496.25999999999476</v>
      </c>
      <c r="S330" s="17"/>
      <c r="T330" s="15"/>
      <c r="U330" s="15"/>
    </row>
    <row r="331" spans="1:21" ht="12.75" customHeight="1" outlineLevel="1" x14ac:dyDescent="0.2">
      <c r="A331" s="3" t="s">
        <v>3211</v>
      </c>
      <c r="B331" s="135">
        <v>-747.65999999999985</v>
      </c>
      <c r="C331" s="135"/>
      <c r="D331" s="138">
        <v>0</v>
      </c>
      <c r="E331" s="135"/>
      <c r="F331" s="138">
        <v>0</v>
      </c>
      <c r="G331" s="139"/>
      <c r="H331" s="138">
        <v>0</v>
      </c>
      <c r="I331" s="139"/>
      <c r="J331" s="135">
        <v>0</v>
      </c>
      <c r="K331" s="139"/>
      <c r="L331" s="138">
        <v>0</v>
      </c>
      <c r="M331" s="135"/>
      <c r="N331" s="138">
        <v>0</v>
      </c>
      <c r="O331" s="135"/>
      <c r="P331" s="138">
        <v>0</v>
      </c>
      <c r="Q331" s="135"/>
      <c r="R331" s="135">
        <f t="shared" si="12"/>
        <v>-747.65999999999985</v>
      </c>
      <c r="S331" s="17"/>
      <c r="T331" s="15"/>
      <c r="U331" s="15"/>
    </row>
    <row r="332" spans="1:21" ht="12.75" customHeight="1" outlineLevel="1" x14ac:dyDescent="0.2">
      <c r="A332" s="3" t="s">
        <v>3212</v>
      </c>
      <c r="B332" s="135">
        <v>25231.799999999981</v>
      </c>
      <c r="C332" s="135"/>
      <c r="D332" s="138">
        <v>0</v>
      </c>
      <c r="E332" s="135"/>
      <c r="F332" s="138">
        <v>0</v>
      </c>
      <c r="G332" s="139"/>
      <c r="H332" s="138">
        <v>0</v>
      </c>
      <c r="I332" s="139"/>
      <c r="J332" s="135">
        <v>0</v>
      </c>
      <c r="K332" s="139"/>
      <c r="L332" s="138">
        <v>0</v>
      </c>
      <c r="M332" s="135"/>
      <c r="N332" s="138">
        <v>0</v>
      </c>
      <c r="O332" s="135"/>
      <c r="P332" s="138">
        <v>0</v>
      </c>
      <c r="Q332" s="135"/>
      <c r="R332" s="135">
        <f t="shared" si="12"/>
        <v>25231.799999999981</v>
      </c>
      <c r="S332" s="17"/>
      <c r="T332" s="15"/>
      <c r="U332" s="15"/>
    </row>
    <row r="333" spans="1:21" ht="12.75" customHeight="1" outlineLevel="1" x14ac:dyDescent="0.2">
      <c r="A333" s="3" t="s">
        <v>3213</v>
      </c>
      <c r="B333" s="135">
        <v>-595.92999999999938</v>
      </c>
      <c r="C333" s="135"/>
      <c r="D333" s="138">
        <v>0</v>
      </c>
      <c r="E333" s="135"/>
      <c r="F333" s="138">
        <v>0</v>
      </c>
      <c r="G333" s="139"/>
      <c r="H333" s="138">
        <v>0</v>
      </c>
      <c r="I333" s="139"/>
      <c r="J333" s="135">
        <v>0</v>
      </c>
      <c r="K333" s="139"/>
      <c r="L333" s="138">
        <v>0</v>
      </c>
      <c r="M333" s="135"/>
      <c r="N333" s="138">
        <v>0</v>
      </c>
      <c r="O333" s="135"/>
      <c r="P333" s="138">
        <v>0</v>
      </c>
      <c r="Q333" s="135"/>
      <c r="R333" s="135">
        <f t="shared" si="12"/>
        <v>-595.92999999999938</v>
      </c>
      <c r="S333" s="17"/>
      <c r="T333" s="15"/>
      <c r="U333" s="15"/>
    </row>
    <row r="334" spans="1:21" ht="12.75" customHeight="1" outlineLevel="1" x14ac:dyDescent="0.2">
      <c r="A334" s="3" t="s">
        <v>3214</v>
      </c>
      <c r="B334" s="135">
        <v>-58312.55</v>
      </c>
      <c r="C334" s="135"/>
      <c r="D334" s="138">
        <v>-20469.240000000002</v>
      </c>
      <c r="E334" s="135"/>
      <c r="F334" s="138">
        <v>0</v>
      </c>
      <c r="G334" s="139"/>
      <c r="H334" s="138">
        <v>0</v>
      </c>
      <c r="I334" s="139"/>
      <c r="J334" s="135">
        <v>0</v>
      </c>
      <c r="K334" s="139"/>
      <c r="L334" s="138">
        <v>0</v>
      </c>
      <c r="M334" s="135"/>
      <c r="N334" s="138">
        <v>0</v>
      </c>
      <c r="O334" s="135"/>
      <c r="P334" s="138">
        <v>0</v>
      </c>
      <c r="Q334" s="135"/>
      <c r="R334" s="135">
        <f t="shared" si="12"/>
        <v>-78781.790000000008</v>
      </c>
      <c r="S334" s="17"/>
      <c r="T334" s="15"/>
      <c r="U334" s="15"/>
    </row>
    <row r="335" spans="1:21" ht="12.75" customHeight="1" outlineLevel="1" x14ac:dyDescent="0.2">
      <c r="A335" s="3" t="s">
        <v>3215</v>
      </c>
      <c r="B335" s="135">
        <v>-4325.070000000007</v>
      </c>
      <c r="C335" s="135"/>
      <c r="D335" s="138">
        <v>0</v>
      </c>
      <c r="E335" s="135"/>
      <c r="F335" s="138">
        <v>0</v>
      </c>
      <c r="G335" s="139"/>
      <c r="H335" s="138">
        <v>0</v>
      </c>
      <c r="I335" s="139"/>
      <c r="J335" s="135">
        <v>0</v>
      </c>
      <c r="K335" s="139"/>
      <c r="L335" s="138">
        <v>0</v>
      </c>
      <c r="M335" s="135"/>
      <c r="N335" s="138">
        <v>0</v>
      </c>
      <c r="O335" s="135"/>
      <c r="P335" s="138">
        <v>0</v>
      </c>
      <c r="Q335" s="135"/>
      <c r="R335" s="135">
        <f t="shared" si="12"/>
        <v>-4325.070000000007</v>
      </c>
      <c r="S335" s="17"/>
      <c r="T335" s="15"/>
      <c r="U335" s="15"/>
    </row>
    <row r="336" spans="1:21" ht="12.75" customHeight="1" outlineLevel="1" x14ac:dyDescent="0.2">
      <c r="A336" s="3" t="s">
        <v>3216</v>
      </c>
      <c r="B336" s="135">
        <v>37807.979999999516</v>
      </c>
      <c r="C336" s="135"/>
      <c r="D336" s="138">
        <v>-65061.36</v>
      </c>
      <c r="E336" s="135"/>
      <c r="F336" s="138">
        <v>0</v>
      </c>
      <c r="G336" s="139"/>
      <c r="H336" s="138">
        <v>0</v>
      </c>
      <c r="I336" s="139"/>
      <c r="J336" s="135">
        <v>0</v>
      </c>
      <c r="K336" s="139"/>
      <c r="L336" s="138">
        <v>0</v>
      </c>
      <c r="M336" s="135"/>
      <c r="N336" s="138">
        <v>0</v>
      </c>
      <c r="O336" s="135"/>
      <c r="P336" s="138">
        <v>0</v>
      </c>
      <c r="Q336" s="135"/>
      <c r="R336" s="135">
        <f t="shared" si="12"/>
        <v>-27253.380000000485</v>
      </c>
      <c r="S336" s="17"/>
      <c r="T336" s="15"/>
      <c r="U336" s="15"/>
    </row>
    <row r="337" spans="1:21" ht="12.75" customHeight="1" outlineLevel="1" x14ac:dyDescent="0.2">
      <c r="A337" s="3" t="s">
        <v>3217</v>
      </c>
      <c r="B337" s="135">
        <v>-2445.0099999999911</v>
      </c>
      <c r="C337" s="135"/>
      <c r="D337" s="138">
        <v>0</v>
      </c>
      <c r="E337" s="135"/>
      <c r="F337" s="138">
        <v>0</v>
      </c>
      <c r="G337" s="139"/>
      <c r="H337" s="138">
        <v>0</v>
      </c>
      <c r="I337" s="139"/>
      <c r="J337" s="135">
        <v>0</v>
      </c>
      <c r="K337" s="139"/>
      <c r="L337" s="138">
        <v>0</v>
      </c>
      <c r="M337" s="135"/>
      <c r="N337" s="138">
        <v>0</v>
      </c>
      <c r="O337" s="135"/>
      <c r="P337" s="138">
        <v>0</v>
      </c>
      <c r="Q337" s="135"/>
      <c r="R337" s="135">
        <f t="shared" si="12"/>
        <v>-2445.0099999999911</v>
      </c>
      <c r="S337" s="17"/>
      <c r="T337" s="15"/>
      <c r="U337" s="15"/>
    </row>
    <row r="338" spans="1:21" ht="12.75" customHeight="1" outlineLevel="1" x14ac:dyDescent="0.2">
      <c r="A338" s="3" t="s">
        <v>3218</v>
      </c>
      <c r="B338" s="135">
        <v>-35814.61</v>
      </c>
      <c r="C338" s="135"/>
      <c r="D338" s="138">
        <v>-13223.16</v>
      </c>
      <c r="E338" s="135"/>
      <c r="F338" s="138">
        <v>0</v>
      </c>
      <c r="G338" s="139"/>
      <c r="H338" s="138">
        <v>0</v>
      </c>
      <c r="I338" s="139"/>
      <c r="J338" s="135">
        <v>0</v>
      </c>
      <c r="K338" s="139"/>
      <c r="L338" s="138">
        <v>0</v>
      </c>
      <c r="M338" s="135"/>
      <c r="N338" s="138">
        <v>0</v>
      </c>
      <c r="O338" s="135"/>
      <c r="P338" s="138">
        <v>0</v>
      </c>
      <c r="Q338" s="135"/>
      <c r="R338" s="135">
        <f t="shared" si="12"/>
        <v>-49037.770000000004</v>
      </c>
      <c r="S338" s="17"/>
      <c r="T338" s="15"/>
      <c r="U338" s="15"/>
    </row>
    <row r="339" spans="1:21" ht="12.75" customHeight="1" outlineLevel="1" x14ac:dyDescent="0.2">
      <c r="A339" s="3" t="s">
        <v>3219</v>
      </c>
      <c r="B339" s="135">
        <v>0</v>
      </c>
      <c r="C339" s="135"/>
      <c r="D339" s="138">
        <v>-23.78</v>
      </c>
      <c r="E339" s="135"/>
      <c r="F339" s="138">
        <v>0</v>
      </c>
      <c r="G339" s="139"/>
      <c r="H339" s="138">
        <v>0</v>
      </c>
      <c r="I339" s="139"/>
      <c r="J339" s="135">
        <v>0</v>
      </c>
      <c r="K339" s="139"/>
      <c r="L339" s="138">
        <v>0</v>
      </c>
      <c r="M339" s="135"/>
      <c r="N339" s="138">
        <v>0</v>
      </c>
      <c r="O339" s="135"/>
      <c r="P339" s="138">
        <v>0</v>
      </c>
      <c r="Q339" s="135"/>
      <c r="R339" s="135">
        <f t="shared" si="12"/>
        <v>-23.78</v>
      </c>
      <c r="S339" s="17"/>
      <c r="T339" s="15"/>
      <c r="U339" s="15"/>
    </row>
    <row r="340" spans="1:21" ht="12.75" customHeight="1" outlineLevel="1" x14ac:dyDescent="0.2">
      <c r="A340" s="3" t="s">
        <v>3220</v>
      </c>
      <c r="B340" s="135">
        <v>-234.54</v>
      </c>
      <c r="C340" s="135"/>
      <c r="D340" s="138">
        <v>-385.45</v>
      </c>
      <c r="E340" s="135"/>
      <c r="F340" s="138">
        <v>0</v>
      </c>
      <c r="G340" s="139"/>
      <c r="H340" s="138">
        <v>0</v>
      </c>
      <c r="I340" s="139"/>
      <c r="J340" s="135">
        <v>0</v>
      </c>
      <c r="K340" s="139"/>
      <c r="L340" s="138">
        <v>0</v>
      </c>
      <c r="M340" s="135"/>
      <c r="N340" s="138">
        <v>0</v>
      </c>
      <c r="O340" s="135"/>
      <c r="P340" s="138">
        <v>0</v>
      </c>
      <c r="Q340" s="135"/>
      <c r="R340" s="135">
        <f>SUM(B340:P340)</f>
        <v>-619.99</v>
      </c>
      <c r="S340" s="17"/>
      <c r="T340" s="15"/>
      <c r="U340" s="15"/>
    </row>
    <row r="341" spans="1:21" ht="12.75" customHeight="1" outlineLevel="1" x14ac:dyDescent="0.2">
      <c r="A341" s="3" t="s">
        <v>3221</v>
      </c>
      <c r="B341" s="135">
        <v>-45.51</v>
      </c>
      <c r="C341" s="135"/>
      <c r="D341" s="138">
        <v>-74.84</v>
      </c>
      <c r="E341" s="135"/>
      <c r="F341" s="138">
        <v>0</v>
      </c>
      <c r="G341" s="139"/>
      <c r="H341" s="138">
        <v>0</v>
      </c>
      <c r="I341" s="139"/>
      <c r="J341" s="135">
        <v>0</v>
      </c>
      <c r="K341" s="139"/>
      <c r="L341" s="138">
        <v>0</v>
      </c>
      <c r="M341" s="135"/>
      <c r="N341" s="138">
        <v>0</v>
      </c>
      <c r="O341" s="135"/>
      <c r="P341" s="138">
        <v>0</v>
      </c>
      <c r="Q341" s="135"/>
      <c r="R341" s="135">
        <f>SUM(B341:P341)</f>
        <v>-120.35</v>
      </c>
      <c r="S341" s="17"/>
      <c r="T341" s="15"/>
      <c r="U341" s="15"/>
    </row>
    <row r="342" spans="1:21" ht="12.75" customHeight="1" outlineLevel="1" x14ac:dyDescent="0.2">
      <c r="A342" s="3" t="s">
        <v>3222</v>
      </c>
      <c r="B342" s="135">
        <v>-13414.060000000001</v>
      </c>
      <c r="C342" s="135"/>
      <c r="D342" s="138">
        <v>-10904.04</v>
      </c>
      <c r="E342" s="135"/>
      <c r="F342" s="138">
        <v>0</v>
      </c>
      <c r="G342" s="139"/>
      <c r="H342" s="138">
        <v>0</v>
      </c>
      <c r="I342" s="139"/>
      <c r="J342" s="135">
        <v>0</v>
      </c>
      <c r="K342" s="139"/>
      <c r="L342" s="138">
        <v>0</v>
      </c>
      <c r="M342" s="135"/>
      <c r="N342" s="138">
        <v>0</v>
      </c>
      <c r="O342" s="135"/>
      <c r="P342" s="138">
        <v>0</v>
      </c>
      <c r="Q342" s="135"/>
      <c r="R342" s="135">
        <f t="shared" si="12"/>
        <v>-24318.100000000002</v>
      </c>
      <c r="S342" s="17"/>
      <c r="T342" s="15"/>
      <c r="U342" s="15"/>
    </row>
    <row r="343" spans="1:21" ht="12.75" customHeight="1" outlineLevel="1" x14ac:dyDescent="0.2">
      <c r="A343" s="3" t="s">
        <v>3223</v>
      </c>
      <c r="B343" s="135">
        <v>-571669.6</v>
      </c>
      <c r="C343" s="135"/>
      <c r="D343" s="138">
        <v>-18214.150000000001</v>
      </c>
      <c r="E343" s="135"/>
      <c r="F343" s="138">
        <v>37817.54</v>
      </c>
      <c r="G343" s="139"/>
      <c r="H343" s="138">
        <v>0</v>
      </c>
      <c r="I343" s="139"/>
      <c r="J343" s="135">
        <v>0</v>
      </c>
      <c r="K343" s="139"/>
      <c r="L343" s="138">
        <v>5116.3500000000004</v>
      </c>
      <c r="M343" s="135"/>
      <c r="N343" s="138">
        <v>0</v>
      </c>
      <c r="O343" s="135"/>
      <c r="P343" s="138">
        <v>0</v>
      </c>
      <c r="Q343" s="135"/>
      <c r="R343" s="135">
        <f t="shared" si="12"/>
        <v>-546949.86</v>
      </c>
      <c r="S343" s="17"/>
      <c r="T343" s="15"/>
      <c r="U343" s="15"/>
    </row>
    <row r="344" spans="1:21" ht="12.75" customHeight="1" outlineLevel="1" x14ac:dyDescent="0.2">
      <c r="A344" s="3" t="s">
        <v>3224</v>
      </c>
      <c r="B344" s="135">
        <v>-107184.34999999998</v>
      </c>
      <c r="C344" s="135"/>
      <c r="D344" s="138">
        <v>-2810.4</v>
      </c>
      <c r="E344" s="135"/>
      <c r="F344" s="138">
        <v>0</v>
      </c>
      <c r="G344" s="139"/>
      <c r="H344" s="138">
        <v>0</v>
      </c>
      <c r="I344" s="139"/>
      <c r="J344" s="135">
        <v>0</v>
      </c>
      <c r="K344" s="139"/>
      <c r="L344" s="138">
        <v>0</v>
      </c>
      <c r="M344" s="135"/>
      <c r="N344" s="138">
        <v>0</v>
      </c>
      <c r="O344" s="135"/>
      <c r="P344" s="138">
        <v>0</v>
      </c>
      <c r="Q344" s="135"/>
      <c r="R344" s="135">
        <f t="shared" si="12"/>
        <v>-109994.74999999997</v>
      </c>
      <c r="S344" s="17"/>
      <c r="T344" s="15"/>
      <c r="U344" s="15"/>
    </row>
    <row r="345" spans="1:21" ht="12.75" customHeight="1" outlineLevel="1" x14ac:dyDescent="0.2">
      <c r="A345" s="3" t="s">
        <v>3225</v>
      </c>
      <c r="B345" s="135">
        <v>-336897.15999999992</v>
      </c>
      <c r="C345" s="135"/>
      <c r="D345" s="138">
        <v>-4378.2</v>
      </c>
      <c r="E345" s="135"/>
      <c r="F345" s="138">
        <v>0</v>
      </c>
      <c r="G345" s="139"/>
      <c r="H345" s="138">
        <v>0</v>
      </c>
      <c r="I345" s="139"/>
      <c r="J345" s="135">
        <v>0</v>
      </c>
      <c r="K345" s="139"/>
      <c r="L345" s="138">
        <v>0</v>
      </c>
      <c r="M345" s="135"/>
      <c r="N345" s="138">
        <v>0</v>
      </c>
      <c r="O345" s="135"/>
      <c r="P345" s="138">
        <v>0</v>
      </c>
      <c r="Q345" s="135"/>
      <c r="R345" s="135">
        <f t="shared" si="12"/>
        <v>-341275.35999999993</v>
      </c>
      <c r="S345" s="17"/>
      <c r="T345" s="15"/>
      <c r="U345" s="15"/>
    </row>
    <row r="346" spans="1:21" ht="12.75" customHeight="1" outlineLevel="1" x14ac:dyDescent="0.2">
      <c r="A346" s="3" t="s">
        <v>3226</v>
      </c>
      <c r="B346" s="135">
        <v>-3301257.55</v>
      </c>
      <c r="C346" s="135"/>
      <c r="D346" s="138">
        <v>-253459.67</v>
      </c>
      <c r="E346" s="135"/>
      <c r="F346" s="138">
        <v>41198.51</v>
      </c>
      <c r="G346" s="139"/>
      <c r="H346" s="138">
        <v>5812.31</v>
      </c>
      <c r="I346" s="139"/>
      <c r="J346" s="135">
        <v>0</v>
      </c>
      <c r="K346" s="139"/>
      <c r="L346" s="138">
        <v>0</v>
      </c>
      <c r="M346" s="135"/>
      <c r="N346" s="138">
        <v>-2650</v>
      </c>
      <c r="O346" s="135"/>
      <c r="P346" s="138">
        <v>0</v>
      </c>
      <c r="Q346" s="135"/>
      <c r="R346" s="135">
        <f t="shared" si="12"/>
        <v>-3510356.4</v>
      </c>
      <c r="S346" s="17"/>
      <c r="T346" s="15"/>
      <c r="U346" s="15"/>
    </row>
    <row r="347" spans="1:21" ht="12.75" customHeight="1" outlineLevel="1" x14ac:dyDescent="0.2">
      <c r="A347" s="3" t="s">
        <v>3227</v>
      </c>
      <c r="B347" s="135">
        <v>-12429.889999999996</v>
      </c>
      <c r="C347" s="135"/>
      <c r="D347" s="138">
        <v>-885.84</v>
      </c>
      <c r="E347" s="135"/>
      <c r="F347" s="138">
        <v>0</v>
      </c>
      <c r="G347" s="139"/>
      <c r="H347" s="138">
        <v>0</v>
      </c>
      <c r="I347" s="139"/>
      <c r="J347" s="135">
        <v>0</v>
      </c>
      <c r="K347" s="139"/>
      <c r="L347" s="138">
        <v>0</v>
      </c>
      <c r="M347" s="135"/>
      <c r="N347" s="138">
        <v>0</v>
      </c>
      <c r="O347" s="135"/>
      <c r="P347" s="138">
        <v>0</v>
      </c>
      <c r="Q347" s="135"/>
      <c r="R347" s="135">
        <f t="shared" si="12"/>
        <v>-13315.729999999996</v>
      </c>
      <c r="S347" s="17"/>
      <c r="T347" s="15"/>
      <c r="U347" s="15"/>
    </row>
    <row r="348" spans="1:21" ht="12.75" customHeight="1" outlineLevel="1" x14ac:dyDescent="0.2">
      <c r="A348" s="3" t="s">
        <v>3228</v>
      </c>
      <c r="B348" s="135">
        <v>-1486748.84</v>
      </c>
      <c r="C348" s="135"/>
      <c r="D348" s="138">
        <v>-72086.759999999995</v>
      </c>
      <c r="E348" s="135"/>
      <c r="F348" s="138">
        <v>0</v>
      </c>
      <c r="G348" s="139"/>
      <c r="H348" s="138">
        <v>0</v>
      </c>
      <c r="I348" s="139"/>
      <c r="J348" s="135">
        <v>0</v>
      </c>
      <c r="K348" s="139"/>
      <c r="L348" s="138">
        <v>0</v>
      </c>
      <c r="M348" s="135"/>
      <c r="N348" s="138">
        <v>0</v>
      </c>
      <c r="O348" s="135"/>
      <c r="P348" s="138">
        <v>0</v>
      </c>
      <c r="Q348" s="135"/>
      <c r="R348" s="135">
        <f>SUM(B348:P348)</f>
        <v>-1558835.6</v>
      </c>
      <c r="S348" s="17"/>
      <c r="T348" s="15"/>
      <c r="U348" s="15"/>
    </row>
    <row r="349" spans="1:21" ht="12.75" customHeight="1" outlineLevel="1" x14ac:dyDescent="0.2">
      <c r="A349" s="3" t="s">
        <v>3229</v>
      </c>
      <c r="B349" s="135">
        <v>-290574.32</v>
      </c>
      <c r="C349" s="135"/>
      <c r="D349" s="138">
        <v>-79815.38</v>
      </c>
      <c r="E349" s="135"/>
      <c r="F349" s="138">
        <v>44585.53</v>
      </c>
      <c r="G349" s="139"/>
      <c r="H349" s="138">
        <v>2570.3200000000002</v>
      </c>
      <c r="I349" s="139"/>
      <c r="J349" s="135">
        <v>0</v>
      </c>
      <c r="K349" s="139"/>
      <c r="L349" s="138">
        <v>0</v>
      </c>
      <c r="M349" s="135"/>
      <c r="N349" s="138">
        <v>0</v>
      </c>
      <c r="O349" s="135"/>
      <c r="P349" s="138">
        <v>0</v>
      </c>
      <c r="Q349" s="135"/>
      <c r="R349" s="135">
        <f t="shared" si="12"/>
        <v>-323233.85000000003</v>
      </c>
      <c r="S349" s="17"/>
      <c r="T349" s="15"/>
      <c r="U349" s="15"/>
    </row>
    <row r="350" spans="1:21" x14ac:dyDescent="0.2">
      <c r="A350" s="3" t="s">
        <v>3230</v>
      </c>
      <c r="B350" s="135">
        <f>SUM(B330:B349)</f>
        <v>-6160153.1299999999</v>
      </c>
      <c r="C350" s="135"/>
      <c r="D350" s="135">
        <f>SUM(D330:D349)</f>
        <v>-541792.27</v>
      </c>
      <c r="E350" s="135"/>
      <c r="F350" s="135">
        <f>SUM(F330:F349)</f>
        <v>123601.58</v>
      </c>
      <c r="G350" s="135"/>
      <c r="H350" s="135">
        <f>SUM(H330:H349)</f>
        <v>8382.630000000001</v>
      </c>
      <c r="I350" s="135"/>
      <c r="J350" s="135">
        <f>SUM(J330:J349)</f>
        <v>0</v>
      </c>
      <c r="K350" s="135"/>
      <c r="L350" s="135">
        <f>SUM(L330:L349)</f>
        <v>5116.3500000000004</v>
      </c>
      <c r="M350" s="135"/>
      <c r="N350" s="135">
        <f>SUM(N330:N349)</f>
        <v>-2650</v>
      </c>
      <c r="O350" s="135"/>
      <c r="P350" s="135">
        <f>SUM(P330:P349)</f>
        <v>0</v>
      </c>
      <c r="Q350" s="135"/>
      <c r="R350" s="135">
        <f>SUM(R330:R349)</f>
        <v>-6567494.8399999999</v>
      </c>
      <c r="S350" s="17"/>
      <c r="T350" s="15"/>
      <c r="U350" s="15"/>
    </row>
    <row r="351" spans="1:21" x14ac:dyDescent="0.2">
      <c r="A351" s="3" t="s">
        <v>3231</v>
      </c>
      <c r="B351" s="135">
        <v>-21563814.689999998</v>
      </c>
      <c r="C351" s="135"/>
      <c r="D351" s="135">
        <v>-14878816.300000001</v>
      </c>
      <c r="E351" s="135"/>
      <c r="F351" s="135">
        <v>765926.26</v>
      </c>
      <c r="G351" s="135"/>
      <c r="H351" s="135">
        <v>16140022.1</v>
      </c>
      <c r="I351" s="135"/>
      <c r="J351" s="135">
        <v>0</v>
      </c>
      <c r="K351" s="135"/>
      <c r="L351" s="135">
        <v>0</v>
      </c>
      <c r="M351" s="135"/>
      <c r="N351" s="135">
        <v>0</v>
      </c>
      <c r="O351" s="135"/>
      <c r="P351" s="135">
        <v>0</v>
      </c>
      <c r="Q351" s="135"/>
      <c r="R351" s="135">
        <f>SUM(B351:P351)</f>
        <v>-19536682.629999995</v>
      </c>
      <c r="S351" s="17"/>
      <c r="T351" s="15"/>
      <c r="U351" s="15"/>
    </row>
    <row r="352" spans="1:21" x14ac:dyDescent="0.2">
      <c r="A352" s="3" t="s">
        <v>3232</v>
      </c>
      <c r="B352" s="135">
        <v>0</v>
      </c>
      <c r="C352" s="135"/>
      <c r="D352" s="149">
        <v>-4145442.97</v>
      </c>
      <c r="E352" s="135"/>
      <c r="F352" s="149">
        <v>0</v>
      </c>
      <c r="G352" s="135"/>
      <c r="H352" s="149">
        <v>-16140022.1</v>
      </c>
      <c r="I352" s="135"/>
      <c r="J352" s="149">
        <v>0</v>
      </c>
      <c r="K352" s="135"/>
      <c r="L352" s="138">
        <v>0</v>
      </c>
      <c r="M352" s="135"/>
      <c r="N352" s="149">
        <v>0</v>
      </c>
      <c r="O352" s="135"/>
      <c r="P352" s="138">
        <v>0</v>
      </c>
      <c r="Q352" s="135"/>
      <c r="R352" s="149">
        <f>SUM(B352:P352)</f>
        <v>-20285465.07</v>
      </c>
      <c r="S352" s="17"/>
      <c r="T352" s="15"/>
      <c r="U352" s="15"/>
    </row>
    <row r="353" spans="1:21" x14ac:dyDescent="0.2">
      <c r="B353" s="148">
        <f>B351+B350+B320+B289+B275+B272+B216+B207+B170+B329+B220+B217+B352</f>
        <v>-868545973.66999996</v>
      </c>
      <c r="C353" s="135"/>
      <c r="D353" s="148">
        <f>D351+D350+D320+D289+D275+D272+D216+D207+D170+D329+D220+D217+D352</f>
        <v>-80186938.820000008</v>
      </c>
      <c r="E353" s="135"/>
      <c r="F353" s="148">
        <f>F351+F350+F320+F289+F275+F272+F216+F207+F170+F329+F220+F217+F352</f>
        <v>74287530.469999999</v>
      </c>
      <c r="G353" s="135"/>
      <c r="H353" s="148">
        <f>H351+H350+H320+H289+H275+H272+H216+H207+H170+H329+H220+H217+H352</f>
        <v>76448.429999999702</v>
      </c>
      <c r="I353" s="135"/>
      <c r="J353" s="148">
        <f>J351+J350+J320+J289+J275+J272+J216+J207+J170+J329+J220+J217+J352</f>
        <v>0</v>
      </c>
      <c r="K353" s="135"/>
      <c r="L353" s="148">
        <f>L351+L350+L320+L289+L275+L272+L216+L207+L170+L329+L220+L217+L352</f>
        <v>3641835.22</v>
      </c>
      <c r="M353" s="135"/>
      <c r="N353" s="148">
        <f>N351+N350+N320+N289+N275+N272+N216+N207+N170+N329+N220+N217+N352</f>
        <v>-463028.95</v>
      </c>
      <c r="O353" s="135"/>
      <c r="P353" s="148">
        <f>P351+P350+P320+P289+P275+P272+P216+P207+P170+P329+P220+P217+P352</f>
        <v>-264723.98</v>
      </c>
      <c r="Q353" s="135"/>
      <c r="R353" s="148">
        <f>R351+R350+R320+R289+R275+R272+R216+R207+R170+R329+R220+R217+R352</f>
        <v>-871454851.30000007</v>
      </c>
      <c r="S353" s="17"/>
      <c r="T353" s="15"/>
      <c r="U353" s="15"/>
    </row>
    <row r="354" spans="1:21" x14ac:dyDescent="0.2"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7"/>
      <c r="T354" s="15"/>
      <c r="U354" s="15"/>
    </row>
    <row r="355" spans="1:21" x14ac:dyDescent="0.2">
      <c r="A355" s="10" t="s">
        <v>24</v>
      </c>
      <c r="B355" s="138"/>
      <c r="C355" s="135"/>
      <c r="D355" s="138"/>
      <c r="E355" s="135"/>
      <c r="F355" s="138"/>
      <c r="G355" s="135"/>
      <c r="H355" s="138"/>
      <c r="I355" s="135"/>
      <c r="J355" s="138"/>
      <c r="K355" s="135"/>
      <c r="L355" s="138"/>
      <c r="M355" s="135"/>
      <c r="N355" s="138"/>
      <c r="O355" s="135"/>
      <c r="P355" s="138"/>
      <c r="Q355" s="135"/>
      <c r="R355" s="138"/>
      <c r="S355" s="15"/>
      <c r="T355" s="15"/>
      <c r="U355" s="15"/>
    </row>
    <row r="356" spans="1:21" x14ac:dyDescent="0.2">
      <c r="A356" s="133" t="s">
        <v>3233</v>
      </c>
      <c r="B356" s="135">
        <v>-2636007.6700000004</v>
      </c>
      <c r="C356" s="135"/>
      <c r="D356" s="135">
        <v>-119005.56</v>
      </c>
      <c r="E356" s="135"/>
      <c r="F356" s="138">
        <v>0</v>
      </c>
      <c r="G356" s="135"/>
      <c r="H356" s="138">
        <v>-31.34</v>
      </c>
      <c r="I356" s="135"/>
      <c r="J356" s="138">
        <v>0</v>
      </c>
      <c r="K356" s="135"/>
      <c r="L356" s="138">
        <v>0</v>
      </c>
      <c r="M356" s="135"/>
      <c r="N356" s="138">
        <v>0</v>
      </c>
      <c r="O356" s="135"/>
      <c r="P356" s="138">
        <v>0</v>
      </c>
      <c r="Q356" s="135"/>
      <c r="R356" s="135">
        <f>SUM(B356:P356)</f>
        <v>-2755044.5700000003</v>
      </c>
      <c r="S356" s="15"/>
      <c r="T356" s="15"/>
      <c r="U356" s="15"/>
    </row>
    <row r="357" spans="1:21" x14ac:dyDescent="0.2">
      <c r="A357" s="133" t="s">
        <v>3234</v>
      </c>
      <c r="B357" s="135">
        <v>0</v>
      </c>
      <c r="C357" s="135"/>
      <c r="D357" s="135">
        <v>0</v>
      </c>
      <c r="E357" s="135"/>
      <c r="F357" s="138">
        <v>0</v>
      </c>
      <c r="G357" s="135"/>
      <c r="H357" s="138">
        <v>26900</v>
      </c>
      <c r="I357" s="135"/>
      <c r="J357" s="138">
        <v>0</v>
      </c>
      <c r="K357" s="135"/>
      <c r="L357" s="138">
        <v>-26900</v>
      </c>
      <c r="M357" s="135"/>
      <c r="N357" s="138">
        <v>0</v>
      </c>
      <c r="O357" s="135"/>
      <c r="P357" s="138">
        <v>0</v>
      </c>
      <c r="Q357" s="135"/>
      <c r="R357" s="135">
        <f t="shared" ref="R357:R374" si="13">SUM(B357:P357)</f>
        <v>0</v>
      </c>
      <c r="S357" s="15"/>
      <c r="T357" s="15"/>
      <c r="U357" s="15"/>
    </row>
    <row r="358" spans="1:21" x14ac:dyDescent="0.2">
      <c r="A358" s="133" t="s">
        <v>3235</v>
      </c>
      <c r="B358" s="135">
        <v>-1560063.16</v>
      </c>
      <c r="C358" s="135"/>
      <c r="D358" s="135">
        <v>-137311.14000000001</v>
      </c>
      <c r="E358" s="135"/>
      <c r="F358" s="138">
        <v>70068.42</v>
      </c>
      <c r="G358" s="135"/>
      <c r="H358" s="138">
        <v>0</v>
      </c>
      <c r="I358" s="135"/>
      <c r="J358" s="138">
        <v>0</v>
      </c>
      <c r="K358" s="135"/>
      <c r="L358" s="138">
        <v>965.53</v>
      </c>
      <c r="M358" s="135"/>
      <c r="N358" s="138">
        <v>-13452.89</v>
      </c>
      <c r="O358" s="135"/>
      <c r="P358" s="138">
        <v>0</v>
      </c>
      <c r="Q358" s="135"/>
      <c r="R358" s="135">
        <f t="shared" si="13"/>
        <v>-1639793.2399999998</v>
      </c>
      <c r="S358" s="15"/>
      <c r="T358" s="15"/>
      <c r="U358" s="15"/>
    </row>
    <row r="359" spans="1:21" x14ac:dyDescent="0.2">
      <c r="A359" s="3" t="s">
        <v>3236</v>
      </c>
      <c r="B359" s="135">
        <v>-84272.069999999992</v>
      </c>
      <c r="C359" s="135"/>
      <c r="D359" s="135">
        <v>-3879.48</v>
      </c>
      <c r="E359" s="135"/>
      <c r="F359" s="138">
        <v>0</v>
      </c>
      <c r="G359" s="135"/>
      <c r="H359" s="138">
        <v>0</v>
      </c>
      <c r="I359" s="135"/>
      <c r="J359" s="138">
        <v>0</v>
      </c>
      <c r="K359" s="135"/>
      <c r="L359" s="138">
        <v>0</v>
      </c>
      <c r="M359" s="135"/>
      <c r="N359" s="138">
        <v>0</v>
      </c>
      <c r="O359" s="135"/>
      <c r="P359" s="138">
        <v>0</v>
      </c>
      <c r="Q359" s="135"/>
      <c r="R359" s="135">
        <f t="shared" si="13"/>
        <v>-88151.549999999988</v>
      </c>
      <c r="S359" s="15"/>
      <c r="T359" s="15"/>
      <c r="U359" s="15"/>
    </row>
    <row r="360" spans="1:21" x14ac:dyDescent="0.2">
      <c r="A360" s="133" t="s">
        <v>3237</v>
      </c>
      <c r="B360" s="135">
        <v>6.5369931689929217E-13</v>
      </c>
      <c r="C360" s="135"/>
      <c r="D360" s="135">
        <v>0</v>
      </c>
      <c r="E360" s="135"/>
      <c r="F360" s="138">
        <v>0</v>
      </c>
      <c r="G360" s="135"/>
      <c r="H360" s="138">
        <v>0</v>
      </c>
      <c r="I360" s="135"/>
      <c r="J360" s="138">
        <v>0</v>
      </c>
      <c r="K360" s="135"/>
      <c r="L360" s="138">
        <v>0</v>
      </c>
      <c r="M360" s="135"/>
      <c r="N360" s="138">
        <v>0</v>
      </c>
      <c r="O360" s="135"/>
      <c r="P360" s="138">
        <v>0</v>
      </c>
      <c r="Q360" s="135"/>
      <c r="R360" s="135">
        <f>SUM(B360:P360)</f>
        <v>6.5369931689929217E-13</v>
      </c>
      <c r="S360" s="15"/>
      <c r="T360" s="15"/>
      <c r="U360" s="15"/>
    </row>
    <row r="361" spans="1:21" x14ac:dyDescent="0.2">
      <c r="A361" s="159" t="s">
        <v>3238</v>
      </c>
      <c r="B361" s="135">
        <v>0</v>
      </c>
      <c r="C361" s="135"/>
      <c r="D361" s="135">
        <v>0</v>
      </c>
      <c r="E361" s="135"/>
      <c r="F361" s="138">
        <v>0</v>
      </c>
      <c r="G361" s="135"/>
      <c r="H361" s="138">
        <v>0</v>
      </c>
      <c r="I361" s="135"/>
      <c r="J361" s="138">
        <v>0</v>
      </c>
      <c r="K361" s="135"/>
      <c r="L361" s="138">
        <v>0</v>
      </c>
      <c r="M361" s="135"/>
      <c r="N361" s="138">
        <v>0</v>
      </c>
      <c r="O361" s="135"/>
      <c r="P361" s="138">
        <v>0</v>
      </c>
      <c r="Q361" s="135"/>
      <c r="R361" s="135">
        <f>SUM(B361:P361)</f>
        <v>0</v>
      </c>
      <c r="S361" s="15"/>
      <c r="T361" s="15"/>
      <c r="U361" s="15"/>
    </row>
    <row r="362" spans="1:21" x14ac:dyDescent="0.2">
      <c r="A362" s="133" t="s">
        <v>3239</v>
      </c>
      <c r="B362" s="135">
        <v>-60123287.63000001</v>
      </c>
      <c r="C362" s="135"/>
      <c r="D362" s="135">
        <v>-2309765.4900000002</v>
      </c>
      <c r="E362" s="135"/>
      <c r="F362" s="138">
        <v>1369581.57</v>
      </c>
      <c r="G362" s="135"/>
      <c r="H362" s="138">
        <v>-152184.9</v>
      </c>
      <c r="I362" s="135"/>
      <c r="J362" s="138">
        <v>0</v>
      </c>
      <c r="K362" s="135"/>
      <c r="L362" s="138">
        <v>118491.89</v>
      </c>
      <c r="M362" s="135"/>
      <c r="N362" s="138">
        <v>-158310.32</v>
      </c>
      <c r="O362" s="135"/>
      <c r="P362" s="138">
        <v>26121.49</v>
      </c>
      <c r="Q362" s="135"/>
      <c r="R362" s="135">
        <f t="shared" si="13"/>
        <v>-61229353.390000008</v>
      </c>
      <c r="S362" s="15"/>
      <c r="T362" s="15"/>
      <c r="U362" s="15"/>
    </row>
    <row r="363" spans="1:21" x14ac:dyDescent="0.2">
      <c r="A363" s="3" t="s">
        <v>3240</v>
      </c>
      <c r="B363" s="135">
        <v>-25337.720000000118</v>
      </c>
      <c r="C363" s="135"/>
      <c r="D363" s="135">
        <v>-8476.68</v>
      </c>
      <c r="E363" s="135"/>
      <c r="F363" s="138">
        <v>0</v>
      </c>
      <c r="G363" s="135"/>
      <c r="H363" s="138">
        <v>0</v>
      </c>
      <c r="I363" s="135"/>
      <c r="J363" s="138">
        <v>0</v>
      </c>
      <c r="K363" s="135"/>
      <c r="L363" s="138">
        <v>0</v>
      </c>
      <c r="M363" s="135"/>
      <c r="N363" s="138">
        <v>0</v>
      </c>
      <c r="O363" s="135"/>
      <c r="P363" s="138">
        <v>0</v>
      </c>
      <c r="Q363" s="135"/>
      <c r="R363" s="135">
        <f t="shared" si="13"/>
        <v>-33814.400000000118</v>
      </c>
      <c r="S363" s="15"/>
      <c r="T363" s="15"/>
      <c r="U363" s="15"/>
    </row>
    <row r="364" spans="1:21" x14ac:dyDescent="0.2">
      <c r="A364" s="3" t="s">
        <v>3241</v>
      </c>
      <c r="B364" s="135">
        <v>4726.5500000000757</v>
      </c>
      <c r="C364" s="135"/>
      <c r="D364" s="135">
        <v>0</v>
      </c>
      <c r="E364" s="135"/>
      <c r="F364" s="138">
        <v>0</v>
      </c>
      <c r="G364" s="135"/>
      <c r="H364" s="138">
        <v>0</v>
      </c>
      <c r="I364" s="135"/>
      <c r="J364" s="138">
        <v>0</v>
      </c>
      <c r="K364" s="135"/>
      <c r="L364" s="138">
        <v>0</v>
      </c>
      <c r="M364" s="135"/>
      <c r="N364" s="138">
        <v>0</v>
      </c>
      <c r="O364" s="135"/>
      <c r="P364" s="138">
        <v>0</v>
      </c>
      <c r="Q364" s="135"/>
      <c r="R364" s="135">
        <f t="shared" si="13"/>
        <v>4726.5500000000757</v>
      </c>
      <c r="S364" s="15"/>
      <c r="T364" s="15"/>
      <c r="U364" s="15"/>
    </row>
    <row r="365" spans="1:21" x14ac:dyDescent="0.2">
      <c r="A365" s="3" t="s">
        <v>3242</v>
      </c>
      <c r="B365" s="135">
        <v>-2.6057023205794394E-10</v>
      </c>
      <c r="C365" s="135"/>
      <c r="D365" s="135">
        <v>0</v>
      </c>
      <c r="E365" s="135"/>
      <c r="F365" s="138">
        <v>0</v>
      </c>
      <c r="G365" s="135"/>
      <c r="H365" s="138">
        <v>0</v>
      </c>
      <c r="I365" s="135"/>
      <c r="J365" s="138">
        <v>0</v>
      </c>
      <c r="K365" s="135"/>
      <c r="L365" s="138">
        <v>0</v>
      </c>
      <c r="M365" s="135"/>
      <c r="N365" s="138">
        <v>0</v>
      </c>
      <c r="O365" s="135"/>
      <c r="P365" s="138">
        <v>0</v>
      </c>
      <c r="Q365" s="135"/>
      <c r="R365" s="135">
        <f t="shared" si="13"/>
        <v>-2.6057023205794394E-10</v>
      </c>
      <c r="S365" s="15"/>
      <c r="T365" s="15"/>
      <c r="U365" s="15"/>
    </row>
    <row r="366" spans="1:21" x14ac:dyDescent="0.2">
      <c r="A366" s="3" t="s">
        <v>3243</v>
      </c>
      <c r="B366" s="135">
        <v>-9.822542779147625E-11</v>
      </c>
      <c r="C366" s="135"/>
      <c r="D366" s="135">
        <v>0</v>
      </c>
      <c r="E366" s="135"/>
      <c r="F366" s="138">
        <v>0</v>
      </c>
      <c r="G366" s="135"/>
      <c r="H366" s="138">
        <v>0</v>
      </c>
      <c r="I366" s="135"/>
      <c r="J366" s="138">
        <v>0</v>
      </c>
      <c r="K366" s="135"/>
      <c r="L366" s="138">
        <v>0</v>
      </c>
      <c r="M366" s="135"/>
      <c r="N366" s="138">
        <v>0</v>
      </c>
      <c r="O366" s="135"/>
      <c r="P366" s="138">
        <v>0</v>
      </c>
      <c r="Q366" s="135"/>
      <c r="R366" s="135">
        <f t="shared" si="13"/>
        <v>-9.822542779147625E-11</v>
      </c>
      <c r="S366" s="15"/>
      <c r="T366" s="15"/>
      <c r="U366" s="15"/>
    </row>
    <row r="367" spans="1:21" x14ac:dyDescent="0.2">
      <c r="A367" s="133" t="s">
        <v>3244</v>
      </c>
      <c r="B367" s="135">
        <v>0</v>
      </c>
      <c r="C367" s="135"/>
      <c r="D367" s="135">
        <v>0</v>
      </c>
      <c r="E367" s="135"/>
      <c r="F367" s="138">
        <v>0</v>
      </c>
      <c r="G367" s="135"/>
      <c r="H367" s="138">
        <v>0</v>
      </c>
      <c r="I367" s="135"/>
      <c r="J367" s="138">
        <v>0</v>
      </c>
      <c r="K367" s="135"/>
      <c r="L367" s="138">
        <v>0</v>
      </c>
      <c r="M367" s="135"/>
      <c r="N367" s="138">
        <v>0</v>
      </c>
      <c r="O367" s="135"/>
      <c r="P367" s="138">
        <v>0</v>
      </c>
      <c r="Q367" s="135"/>
      <c r="R367" s="135">
        <f t="shared" si="13"/>
        <v>0</v>
      </c>
      <c r="S367" s="15"/>
      <c r="T367" s="15"/>
      <c r="U367" s="15"/>
    </row>
    <row r="368" spans="1:21" x14ac:dyDescent="0.2">
      <c r="A368" s="133" t="s">
        <v>3245</v>
      </c>
      <c r="B368" s="135">
        <v>-19518919.759999998</v>
      </c>
      <c r="C368" s="135"/>
      <c r="D368" s="135">
        <v>-516929.49</v>
      </c>
      <c r="E368" s="135"/>
      <c r="F368" s="138">
        <v>189827.35</v>
      </c>
      <c r="G368" s="135"/>
      <c r="H368" s="138">
        <v>0</v>
      </c>
      <c r="I368" s="135"/>
      <c r="J368" s="138">
        <v>0</v>
      </c>
      <c r="K368" s="135"/>
      <c r="L368" s="138">
        <v>75564.600000000006</v>
      </c>
      <c r="M368" s="135"/>
      <c r="N368" s="138">
        <v>-3465.83</v>
      </c>
      <c r="O368" s="135"/>
      <c r="P368" s="138">
        <v>-7549.63</v>
      </c>
      <c r="Q368" s="135"/>
      <c r="R368" s="135">
        <f t="shared" si="13"/>
        <v>-19781472.75999999</v>
      </c>
      <c r="S368" s="15"/>
      <c r="T368" s="15"/>
      <c r="U368" s="15"/>
    </row>
    <row r="369" spans="1:21" x14ac:dyDescent="0.2">
      <c r="A369" s="133" t="s">
        <v>3246</v>
      </c>
      <c r="B369" s="135">
        <v>-21177860.609999999</v>
      </c>
      <c r="C369" s="135"/>
      <c r="D369" s="135">
        <v>-2087163.92</v>
      </c>
      <c r="E369" s="135"/>
      <c r="F369" s="138">
        <v>389631.44</v>
      </c>
      <c r="G369" s="135"/>
      <c r="H369" s="138">
        <v>0</v>
      </c>
      <c r="I369" s="135"/>
      <c r="J369" s="138">
        <v>0</v>
      </c>
      <c r="K369" s="135"/>
      <c r="L369" s="138">
        <v>561670.54999999993</v>
      </c>
      <c r="M369" s="135"/>
      <c r="N369" s="138">
        <v>-1262.01</v>
      </c>
      <c r="O369" s="135"/>
      <c r="P369" s="138">
        <v>-21178.57</v>
      </c>
      <c r="Q369" s="135"/>
      <c r="R369" s="135">
        <f t="shared" si="13"/>
        <v>-22336163.120000001</v>
      </c>
      <c r="S369" s="15"/>
      <c r="T369" s="15"/>
      <c r="U369" s="15"/>
    </row>
    <row r="370" spans="1:21" x14ac:dyDescent="0.2">
      <c r="A370" s="133" t="s">
        <v>3247</v>
      </c>
      <c r="B370" s="135">
        <v>-23699003.199999992</v>
      </c>
      <c r="C370" s="135"/>
      <c r="D370" s="135">
        <v>-1305169.4099999999</v>
      </c>
      <c r="E370" s="135"/>
      <c r="F370" s="138">
        <v>355566.37</v>
      </c>
      <c r="G370" s="135"/>
      <c r="H370" s="138">
        <v>0</v>
      </c>
      <c r="I370" s="135"/>
      <c r="J370" s="138">
        <v>0</v>
      </c>
      <c r="K370" s="135"/>
      <c r="L370" s="138">
        <v>976181.0199999999</v>
      </c>
      <c r="M370" s="135"/>
      <c r="N370" s="138">
        <v>-11.43</v>
      </c>
      <c r="O370" s="135"/>
      <c r="P370" s="138">
        <v>-191.83</v>
      </c>
      <c r="Q370" s="135"/>
      <c r="R370" s="135">
        <f t="shared" si="13"/>
        <v>-23672628.479999989</v>
      </c>
      <c r="S370" s="15"/>
      <c r="T370" s="15"/>
      <c r="U370" s="15"/>
    </row>
    <row r="371" spans="1:21" x14ac:dyDescent="0.2">
      <c r="A371" s="3" t="s">
        <v>3248</v>
      </c>
      <c r="B371" s="135">
        <v>-647630.53999999992</v>
      </c>
      <c r="C371" s="135"/>
      <c r="D371" s="135">
        <v>-33530.870000000003</v>
      </c>
      <c r="E371" s="135"/>
      <c r="F371" s="138">
        <v>0</v>
      </c>
      <c r="G371" s="135"/>
      <c r="H371" s="138">
        <v>70938.92</v>
      </c>
      <c r="I371" s="135"/>
      <c r="J371" s="138">
        <v>0</v>
      </c>
      <c r="K371" s="135"/>
      <c r="L371" s="138">
        <v>0</v>
      </c>
      <c r="M371" s="135"/>
      <c r="N371" s="138">
        <v>0</v>
      </c>
      <c r="O371" s="135"/>
      <c r="P371" s="138">
        <v>0</v>
      </c>
      <c r="Q371" s="135"/>
      <c r="R371" s="135">
        <f t="shared" si="13"/>
        <v>-610222.48999999987</v>
      </c>
      <c r="S371" s="15"/>
      <c r="T371" s="15"/>
      <c r="U371" s="15"/>
    </row>
    <row r="372" spans="1:21" x14ac:dyDescent="0.2">
      <c r="A372" s="3" t="s">
        <v>3249</v>
      </c>
      <c r="B372" s="135">
        <v>-2917032.37</v>
      </c>
      <c r="C372" s="135"/>
      <c r="D372" s="135">
        <v>-220454.2</v>
      </c>
      <c r="E372" s="135"/>
      <c r="F372" s="138">
        <v>0</v>
      </c>
      <c r="G372" s="135"/>
      <c r="H372" s="138">
        <v>8878.2199999999993</v>
      </c>
      <c r="I372" s="135"/>
      <c r="J372" s="138">
        <v>0</v>
      </c>
      <c r="K372" s="135"/>
      <c r="L372" s="138">
        <v>0</v>
      </c>
      <c r="M372" s="135"/>
      <c r="N372" s="138">
        <v>0</v>
      </c>
      <c r="O372" s="135"/>
      <c r="P372" s="138">
        <v>0</v>
      </c>
      <c r="Q372" s="135"/>
      <c r="R372" s="135">
        <f t="shared" si="13"/>
        <v>-3128608.35</v>
      </c>
      <c r="S372" s="15"/>
      <c r="T372" s="15"/>
      <c r="U372" s="15"/>
    </row>
    <row r="373" spans="1:21" x14ac:dyDescent="0.2">
      <c r="A373" s="3" t="s">
        <v>3250</v>
      </c>
      <c r="B373" s="135">
        <v>-736.41999999999973</v>
      </c>
      <c r="C373" s="135"/>
      <c r="D373" s="135">
        <v>-142.44</v>
      </c>
      <c r="E373" s="135"/>
      <c r="F373" s="138">
        <v>0</v>
      </c>
      <c r="G373" s="135"/>
      <c r="H373" s="138">
        <v>0</v>
      </c>
      <c r="I373" s="135"/>
      <c r="J373" s="138">
        <v>0</v>
      </c>
      <c r="K373" s="135"/>
      <c r="L373" s="138">
        <v>0</v>
      </c>
      <c r="M373" s="135"/>
      <c r="N373" s="138">
        <v>0</v>
      </c>
      <c r="O373" s="135"/>
      <c r="P373" s="138">
        <v>0</v>
      </c>
      <c r="Q373" s="135"/>
      <c r="R373" s="135">
        <f t="shared" si="13"/>
        <v>-878.85999999999967</v>
      </c>
      <c r="S373" s="15"/>
      <c r="T373" s="15"/>
      <c r="U373" s="15"/>
    </row>
    <row r="374" spans="1:21" x14ac:dyDescent="0.2">
      <c r="A374" s="3" t="s">
        <v>3251</v>
      </c>
      <c r="B374" s="149">
        <v>-23860.07</v>
      </c>
      <c r="C374" s="135"/>
      <c r="D374" s="149">
        <v>-5422.36</v>
      </c>
      <c r="E374" s="135"/>
      <c r="F374" s="138">
        <v>0</v>
      </c>
      <c r="G374" s="135"/>
      <c r="H374" s="138">
        <v>0</v>
      </c>
      <c r="I374" s="135"/>
      <c r="J374" s="138">
        <v>0</v>
      </c>
      <c r="K374" s="135"/>
      <c r="L374" s="138">
        <v>0</v>
      </c>
      <c r="M374" s="135"/>
      <c r="N374" s="138">
        <v>0</v>
      </c>
      <c r="O374" s="135"/>
      <c r="P374" s="138">
        <v>0</v>
      </c>
      <c r="Q374" s="135"/>
      <c r="R374" s="149">
        <f t="shared" si="13"/>
        <v>-29282.43</v>
      </c>
      <c r="S374" s="17"/>
      <c r="T374" s="15"/>
      <c r="U374" s="15"/>
    </row>
    <row r="375" spans="1:21" x14ac:dyDescent="0.2">
      <c r="B375" s="135">
        <f>SUM(B356:B374)</f>
        <v>-132409284.67</v>
      </c>
      <c r="C375" s="135"/>
      <c r="D375" s="148">
        <f>SUM(D356:D374)</f>
        <v>-6747251.0400000019</v>
      </c>
      <c r="E375" s="135"/>
      <c r="F375" s="160">
        <f>SUM(F356:F374)</f>
        <v>2374675.15</v>
      </c>
      <c r="G375" s="139"/>
      <c r="H375" s="160">
        <f>SUM(H356:H374)</f>
        <v>-45499.099999999991</v>
      </c>
      <c r="I375" s="139"/>
      <c r="J375" s="160">
        <f>SUM(J356:J374)</f>
        <v>0</v>
      </c>
      <c r="K375" s="139"/>
      <c r="L375" s="160">
        <f>SUM(L356:L374)</f>
        <v>1705973.5899999999</v>
      </c>
      <c r="M375" s="139"/>
      <c r="N375" s="148">
        <f>SUM(N356:N374)</f>
        <v>-176502.48</v>
      </c>
      <c r="O375" s="135"/>
      <c r="P375" s="148">
        <f>SUM(P356:P374)</f>
        <v>-2798.5399999999991</v>
      </c>
      <c r="Q375" s="135"/>
      <c r="R375" s="135">
        <f>SUM(R356:R374)</f>
        <v>-135300687.09</v>
      </c>
      <c r="S375" s="17"/>
      <c r="T375" s="15"/>
      <c r="U375" s="15"/>
    </row>
    <row r="376" spans="1:21" x14ac:dyDescent="0.2">
      <c r="B376" s="135"/>
      <c r="C376" s="135"/>
      <c r="D376" s="135"/>
      <c r="E376" s="135"/>
      <c r="F376" s="139"/>
      <c r="G376" s="139"/>
      <c r="H376" s="139"/>
      <c r="I376" s="139"/>
      <c r="J376" s="139"/>
      <c r="K376" s="139"/>
      <c r="L376" s="139"/>
      <c r="M376" s="139"/>
      <c r="N376" s="135"/>
      <c r="O376" s="135"/>
      <c r="P376" s="135"/>
      <c r="Q376" s="135"/>
      <c r="R376" s="135"/>
      <c r="S376" s="17"/>
      <c r="T376" s="15"/>
      <c r="U376" s="15"/>
    </row>
    <row r="377" spans="1:21" x14ac:dyDescent="0.2">
      <c r="B377" s="138"/>
      <c r="C377" s="135"/>
      <c r="D377" s="138"/>
      <c r="E377" s="135"/>
      <c r="F377" s="151"/>
      <c r="G377" s="139"/>
      <c r="H377" s="151"/>
      <c r="I377" s="139"/>
      <c r="J377" s="151"/>
      <c r="K377" s="139"/>
      <c r="L377" s="151"/>
      <c r="M377" s="139"/>
      <c r="N377" s="138"/>
      <c r="O377" s="135"/>
      <c r="P377" s="138"/>
      <c r="Q377" s="135"/>
      <c r="R377" s="138"/>
      <c r="S377" s="15"/>
      <c r="T377" s="15"/>
      <c r="U377" s="15"/>
    </row>
    <row r="378" spans="1:21" ht="13.5" thickBot="1" x14ac:dyDescent="0.25">
      <c r="A378" s="10" t="s">
        <v>3252</v>
      </c>
      <c r="B378" s="143">
        <f>B375+B353+B165+B56+B41+B30</f>
        <v>-1611304270.3999999</v>
      </c>
      <c r="C378" s="135"/>
      <c r="D378" s="143">
        <f>D375+D353+D165+D56+D41+D30</f>
        <v>-139057156.11000004</v>
      </c>
      <c r="E378" s="135"/>
      <c r="F378" s="152">
        <f>F375+F353+F165+F56+F41+F30</f>
        <v>87866053.650000006</v>
      </c>
      <c r="G378" s="139"/>
      <c r="H378" s="152">
        <f>H375+H353+H165+H56+H41+H30</f>
        <v>-266846.47000000032</v>
      </c>
      <c r="I378" s="139"/>
      <c r="J378" s="152">
        <f>J375+J353+J165+J56+J41+J30</f>
        <v>0</v>
      </c>
      <c r="K378" s="139"/>
      <c r="L378" s="152">
        <f>L375+L353+L165+L56+L41+L30</f>
        <v>12983481.699999999</v>
      </c>
      <c r="M378" s="139"/>
      <c r="N378" s="152">
        <f>N375+N353+N165+N56+N41+N30</f>
        <v>-815148.81</v>
      </c>
      <c r="O378" s="135"/>
      <c r="P378" s="143">
        <f>P375+P353+P165+P56+P41+P30</f>
        <v>-980953.86999999988</v>
      </c>
      <c r="Q378" s="135"/>
      <c r="R378" s="143">
        <f>R375+R353+R165+R56+R41+R30</f>
        <v>-1651574840.3100002</v>
      </c>
      <c r="S378" s="15"/>
      <c r="T378" s="15"/>
      <c r="U378" s="15"/>
    </row>
    <row r="379" spans="1:21" ht="13.5" thickTop="1" x14ac:dyDescent="0.2">
      <c r="B379" s="145"/>
      <c r="C379" s="146"/>
      <c r="D379" s="145"/>
      <c r="E379" s="146"/>
      <c r="F379" s="153"/>
      <c r="G379" s="154"/>
      <c r="H379" s="153"/>
      <c r="I379" s="154"/>
      <c r="J379" s="153"/>
      <c r="K379" s="154"/>
      <c r="L379" s="153"/>
      <c r="M379" s="154"/>
      <c r="N379" s="145"/>
      <c r="O379" s="146"/>
      <c r="P379" s="145"/>
      <c r="Q379" s="146"/>
      <c r="R379" s="145"/>
    </row>
    <row r="381" spans="1:21" x14ac:dyDescent="0.2">
      <c r="A381" s="10" t="s">
        <v>21</v>
      </c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7"/>
      <c r="T381" s="15"/>
      <c r="U381" s="15"/>
    </row>
    <row r="382" spans="1:21" x14ac:dyDescent="0.2">
      <c r="A382" s="3" t="s">
        <v>3253</v>
      </c>
      <c r="B382" s="135">
        <v>0</v>
      </c>
      <c r="C382" s="135"/>
      <c r="D382" s="135">
        <v>0</v>
      </c>
      <c r="E382" s="135"/>
      <c r="F382" s="138">
        <v>0</v>
      </c>
      <c r="G382" s="135"/>
      <c r="H382" s="138">
        <v>0</v>
      </c>
      <c r="I382" s="135"/>
      <c r="J382" s="135">
        <v>0</v>
      </c>
      <c r="K382" s="135"/>
      <c r="L382" s="138">
        <v>0</v>
      </c>
      <c r="M382" s="135"/>
      <c r="N382" s="138">
        <v>0</v>
      </c>
      <c r="O382" s="135"/>
      <c r="P382" s="138">
        <v>0</v>
      </c>
      <c r="Q382" s="135"/>
      <c r="R382" s="135">
        <v>0</v>
      </c>
      <c r="S382" s="17"/>
      <c r="T382" s="15"/>
      <c r="U382" s="15"/>
    </row>
    <row r="383" spans="1:21" x14ac:dyDescent="0.2">
      <c r="A383" s="3" t="s">
        <v>3254</v>
      </c>
      <c r="B383" s="149">
        <v>0</v>
      </c>
      <c r="C383" s="135"/>
      <c r="D383" s="149">
        <v>0</v>
      </c>
      <c r="E383" s="135"/>
      <c r="F383" s="149">
        <v>0</v>
      </c>
      <c r="G383" s="135"/>
      <c r="H383" s="149">
        <v>0</v>
      </c>
      <c r="I383" s="135"/>
      <c r="J383" s="149">
        <v>0</v>
      </c>
      <c r="K383" s="135"/>
      <c r="L383" s="138">
        <v>0</v>
      </c>
      <c r="M383" s="135"/>
      <c r="N383" s="149">
        <v>0</v>
      </c>
      <c r="O383" s="135"/>
      <c r="P383" s="138">
        <v>0</v>
      </c>
      <c r="Q383" s="135"/>
      <c r="R383" s="149">
        <f>SUM(B383:P383)</f>
        <v>0</v>
      </c>
      <c r="S383" s="17"/>
      <c r="T383" s="15"/>
      <c r="U383" s="15"/>
    </row>
    <row r="384" spans="1:21" x14ac:dyDescent="0.2">
      <c r="B384" s="135">
        <f>SUM(B382:B383)</f>
        <v>0</v>
      </c>
      <c r="C384" s="135"/>
      <c r="D384" s="135">
        <f t="shared" ref="D384:R384" si="14">SUM(D382:D383)</f>
        <v>0</v>
      </c>
      <c r="E384" s="135"/>
      <c r="F384" s="135">
        <f t="shared" si="14"/>
        <v>0</v>
      </c>
      <c r="G384" s="135"/>
      <c r="H384" s="135">
        <f t="shared" si="14"/>
        <v>0</v>
      </c>
      <c r="I384" s="135"/>
      <c r="J384" s="135">
        <f t="shared" si="14"/>
        <v>0</v>
      </c>
      <c r="K384" s="135"/>
      <c r="L384" s="148">
        <f t="shared" si="14"/>
        <v>0</v>
      </c>
      <c r="M384" s="135"/>
      <c r="N384" s="135">
        <f t="shared" si="14"/>
        <v>0</v>
      </c>
      <c r="O384" s="135"/>
      <c r="P384" s="148">
        <f t="shared" si="14"/>
        <v>0</v>
      </c>
      <c r="Q384" s="135"/>
      <c r="R384" s="135">
        <f t="shared" si="14"/>
        <v>0</v>
      </c>
      <c r="S384" s="17"/>
      <c r="T384" s="15"/>
      <c r="U384" s="15"/>
    </row>
    <row r="386" spans="1:21" ht="13.5" thickBot="1" x14ac:dyDescent="0.25">
      <c r="A386" s="10" t="s">
        <v>3255</v>
      </c>
      <c r="B386" s="143">
        <f>B384</f>
        <v>0</v>
      </c>
      <c r="C386" s="135"/>
      <c r="D386" s="143">
        <f>D384</f>
        <v>0</v>
      </c>
      <c r="E386" s="135"/>
      <c r="F386" s="143">
        <f>F384</f>
        <v>0</v>
      </c>
      <c r="G386" s="135"/>
      <c r="H386" s="143">
        <f>H384</f>
        <v>0</v>
      </c>
      <c r="I386" s="135"/>
      <c r="J386" s="143">
        <f>J384</f>
        <v>0</v>
      </c>
      <c r="K386" s="135"/>
      <c r="L386" s="143">
        <f>L384</f>
        <v>0</v>
      </c>
      <c r="M386" s="135"/>
      <c r="N386" s="143">
        <f>N384</f>
        <v>0</v>
      </c>
      <c r="O386" s="135"/>
      <c r="P386" s="143">
        <f>P384</f>
        <v>0</v>
      </c>
      <c r="Q386" s="135"/>
      <c r="R386" s="143">
        <f>R384</f>
        <v>0</v>
      </c>
      <c r="S386" s="15"/>
      <c r="T386" s="15"/>
      <c r="U386" s="15"/>
    </row>
    <row r="387" spans="1:21" ht="13.5" thickTop="1" x14ac:dyDescent="0.2"/>
    <row r="391" spans="1:21" x14ac:dyDescent="0.2">
      <c r="A391" s="10" t="s">
        <v>27</v>
      </c>
      <c r="B391" s="145"/>
      <c r="C391" s="146"/>
      <c r="D391" s="145"/>
      <c r="E391" s="146"/>
      <c r="F391" s="145"/>
      <c r="G391" s="146"/>
      <c r="H391" s="145"/>
      <c r="I391" s="146"/>
      <c r="J391" s="145"/>
      <c r="K391" s="146"/>
      <c r="L391" s="145"/>
      <c r="M391" s="146"/>
      <c r="N391" s="145"/>
      <c r="O391" s="146"/>
      <c r="P391" s="145"/>
      <c r="Q391" s="146"/>
      <c r="R391" s="145"/>
    </row>
    <row r="392" spans="1:21" x14ac:dyDescent="0.2">
      <c r="A392" s="3" t="s">
        <v>3256</v>
      </c>
      <c r="B392" s="138">
        <v>1.6058265828178264E-12</v>
      </c>
      <c r="C392" s="135"/>
      <c r="D392" s="135">
        <v>0</v>
      </c>
      <c r="E392" s="135"/>
      <c r="F392" s="135">
        <v>0</v>
      </c>
      <c r="G392" s="135"/>
      <c r="H392" s="135">
        <v>0</v>
      </c>
      <c r="I392" s="135"/>
      <c r="J392" s="138">
        <v>0</v>
      </c>
      <c r="K392" s="135"/>
      <c r="L392" s="138">
        <v>0</v>
      </c>
      <c r="M392" s="135"/>
      <c r="N392" s="138">
        <v>0</v>
      </c>
      <c r="O392" s="135"/>
      <c r="P392" s="138">
        <v>0</v>
      </c>
      <c r="Q392" s="135"/>
      <c r="R392" s="138">
        <f t="shared" ref="R392:R407" si="15">SUM(B392:P392)</f>
        <v>1.6058265828178264E-12</v>
      </c>
    </row>
    <row r="393" spans="1:21" x14ac:dyDescent="0.2">
      <c r="A393" s="3" t="s">
        <v>3257</v>
      </c>
      <c r="B393" s="138">
        <v>-77439.69</v>
      </c>
      <c r="C393" s="135"/>
      <c r="D393" s="135">
        <v>0</v>
      </c>
      <c r="E393" s="135"/>
      <c r="F393" s="135">
        <v>0</v>
      </c>
      <c r="G393" s="135"/>
      <c r="H393" s="135">
        <v>0</v>
      </c>
      <c r="I393" s="135"/>
      <c r="J393" s="138">
        <v>0</v>
      </c>
      <c r="K393" s="135"/>
      <c r="L393" s="138">
        <v>0</v>
      </c>
      <c r="M393" s="135"/>
      <c r="N393" s="138">
        <v>0</v>
      </c>
      <c r="O393" s="135"/>
      <c r="P393" s="138">
        <v>0</v>
      </c>
      <c r="Q393" s="135"/>
      <c r="R393" s="138">
        <f t="shared" si="15"/>
        <v>-77439.69</v>
      </c>
    </row>
    <row r="394" spans="1:21" x14ac:dyDescent="0.2">
      <c r="A394" s="3" t="s">
        <v>3258</v>
      </c>
      <c r="B394" s="138">
        <v>-84213.340000000026</v>
      </c>
      <c r="C394" s="135"/>
      <c r="D394" s="135">
        <v>-7289.76</v>
      </c>
      <c r="E394" s="135"/>
      <c r="F394" s="135">
        <v>597.48</v>
      </c>
      <c r="G394" s="135"/>
      <c r="H394" s="135">
        <v>0</v>
      </c>
      <c r="I394" s="135"/>
      <c r="J394" s="138">
        <v>0</v>
      </c>
      <c r="K394" s="135"/>
      <c r="L394" s="138">
        <v>780.63</v>
      </c>
      <c r="M394" s="135"/>
      <c r="N394" s="138">
        <v>0</v>
      </c>
      <c r="O394" s="135"/>
      <c r="P394" s="138">
        <v>0</v>
      </c>
      <c r="Q394" s="135"/>
      <c r="R394" s="138">
        <f t="shared" si="15"/>
        <v>-90124.99000000002</v>
      </c>
    </row>
    <row r="395" spans="1:21" x14ac:dyDescent="0.2">
      <c r="A395" s="3" t="s">
        <v>3259</v>
      </c>
      <c r="B395" s="138">
        <v>-236075.32</v>
      </c>
      <c r="C395" s="135"/>
      <c r="D395" s="135">
        <v>-34462.93</v>
      </c>
      <c r="E395" s="135"/>
      <c r="F395" s="135">
        <v>3808.67</v>
      </c>
      <c r="G395" s="135"/>
      <c r="H395" s="135">
        <v>-1025.9000000000001</v>
      </c>
      <c r="I395" s="135"/>
      <c r="J395" s="138">
        <v>0</v>
      </c>
      <c r="K395" s="135"/>
      <c r="L395" s="138">
        <v>0</v>
      </c>
      <c r="M395" s="135"/>
      <c r="N395" s="138">
        <v>0</v>
      </c>
      <c r="O395" s="135"/>
      <c r="P395" s="138">
        <v>0</v>
      </c>
      <c r="Q395" s="135"/>
      <c r="R395" s="138">
        <f t="shared" si="15"/>
        <v>-267755.48000000004</v>
      </c>
    </row>
    <row r="396" spans="1:21" x14ac:dyDescent="0.2">
      <c r="A396" s="3" t="s">
        <v>3260</v>
      </c>
      <c r="B396" s="138">
        <v>-121465792.15999998</v>
      </c>
      <c r="C396" s="135"/>
      <c r="D396" s="135">
        <v>-6468862.3499999996</v>
      </c>
      <c r="E396" s="135"/>
      <c r="F396" s="135">
        <v>309953.23</v>
      </c>
      <c r="G396" s="135"/>
      <c r="H396" s="135">
        <v>0</v>
      </c>
      <c r="I396" s="135"/>
      <c r="J396" s="138">
        <v>0</v>
      </c>
      <c r="K396" s="135"/>
      <c r="L396" s="138">
        <v>413585.53</v>
      </c>
      <c r="M396" s="135"/>
      <c r="N396" s="138">
        <v>0</v>
      </c>
      <c r="O396" s="135"/>
      <c r="P396" s="138">
        <v>4945.8599999999997</v>
      </c>
      <c r="Q396" s="135"/>
      <c r="R396" s="138">
        <f t="shared" si="15"/>
        <v>-127206169.88999997</v>
      </c>
    </row>
    <row r="397" spans="1:21" x14ac:dyDescent="0.2">
      <c r="A397" s="3" t="s">
        <v>3261</v>
      </c>
      <c r="B397" s="138">
        <v>-1706570.2</v>
      </c>
      <c r="C397" s="135"/>
      <c r="D397" s="135">
        <v>-966627.44</v>
      </c>
      <c r="E397" s="135"/>
      <c r="F397" s="135">
        <v>0</v>
      </c>
      <c r="G397" s="135"/>
      <c r="H397" s="135">
        <v>0</v>
      </c>
      <c r="I397" s="135"/>
      <c r="J397" s="138">
        <v>0</v>
      </c>
      <c r="K397" s="135"/>
      <c r="L397" s="138">
        <v>0</v>
      </c>
      <c r="M397" s="135"/>
      <c r="N397" s="138">
        <v>0</v>
      </c>
      <c r="O397" s="135"/>
      <c r="P397" s="138">
        <v>0</v>
      </c>
      <c r="Q397" s="135"/>
      <c r="R397" s="138">
        <f t="shared" si="15"/>
        <v>-2673197.6399999997</v>
      </c>
    </row>
    <row r="398" spans="1:21" x14ac:dyDescent="0.2">
      <c r="A398" s="3" t="s">
        <v>3262</v>
      </c>
      <c r="B398" s="138">
        <v>-2057282.9500000004</v>
      </c>
      <c r="C398" s="135"/>
      <c r="D398" s="135">
        <v>-490303.87</v>
      </c>
      <c r="E398" s="135"/>
      <c r="F398" s="135">
        <v>87472.57</v>
      </c>
      <c r="G398" s="135"/>
      <c r="H398" s="135">
        <v>0</v>
      </c>
      <c r="I398" s="135"/>
      <c r="J398" s="138">
        <v>0</v>
      </c>
      <c r="K398" s="135"/>
      <c r="L398" s="138">
        <v>21864.98</v>
      </c>
      <c r="M398" s="135"/>
      <c r="N398" s="138">
        <v>-9.25</v>
      </c>
      <c r="O398" s="135"/>
      <c r="P398" s="138">
        <v>0</v>
      </c>
      <c r="Q398" s="135"/>
      <c r="R398" s="138">
        <f t="shared" si="15"/>
        <v>-2438258.5200000005</v>
      </c>
    </row>
    <row r="399" spans="1:21" x14ac:dyDescent="0.2">
      <c r="A399" s="3" t="s">
        <v>3263</v>
      </c>
      <c r="B399" s="138">
        <v>-1215347.4999999995</v>
      </c>
      <c r="C399" s="135"/>
      <c r="D399" s="135">
        <v>-157464.24</v>
      </c>
      <c r="E399" s="135"/>
      <c r="F399" s="135">
        <v>24883.53</v>
      </c>
      <c r="G399" s="135"/>
      <c r="H399" s="135">
        <v>0</v>
      </c>
      <c r="I399" s="135"/>
      <c r="J399" s="138">
        <v>0</v>
      </c>
      <c r="K399" s="135"/>
      <c r="L399" s="138">
        <v>47161.63</v>
      </c>
      <c r="M399" s="135"/>
      <c r="N399" s="138">
        <v>0</v>
      </c>
      <c r="O399" s="135"/>
      <c r="P399" s="138">
        <v>0</v>
      </c>
      <c r="Q399" s="135"/>
      <c r="R399" s="138">
        <f t="shared" si="15"/>
        <v>-1300766.5799999996</v>
      </c>
    </row>
    <row r="400" spans="1:21" x14ac:dyDescent="0.2">
      <c r="A400" s="3" t="s">
        <v>3264</v>
      </c>
      <c r="B400" s="138">
        <v>-86959304.530000016</v>
      </c>
      <c r="C400" s="135"/>
      <c r="D400" s="135">
        <v>-7670175.4900000002</v>
      </c>
      <c r="E400" s="135"/>
      <c r="F400" s="135">
        <v>7034482.9400000004</v>
      </c>
      <c r="G400" s="135"/>
      <c r="H400" s="135">
        <v>0</v>
      </c>
      <c r="I400" s="135"/>
      <c r="J400" s="138">
        <v>0</v>
      </c>
      <c r="K400" s="135"/>
      <c r="L400" s="138">
        <v>1550883.99</v>
      </c>
      <c r="M400" s="135"/>
      <c r="N400" s="138">
        <v>0</v>
      </c>
      <c r="O400" s="135"/>
      <c r="P400" s="138">
        <v>0</v>
      </c>
      <c r="Q400" s="135"/>
      <c r="R400" s="138">
        <f t="shared" si="15"/>
        <v>-86044113.090000018</v>
      </c>
    </row>
    <row r="401" spans="1:21" x14ac:dyDescent="0.2">
      <c r="A401" s="3" t="s">
        <v>3265</v>
      </c>
      <c r="B401" s="138">
        <v>-6280935.3800000008</v>
      </c>
      <c r="C401" s="135"/>
      <c r="D401" s="135">
        <v>-5397907.9299999997</v>
      </c>
      <c r="E401" s="135"/>
      <c r="F401" s="135">
        <v>0</v>
      </c>
      <c r="G401" s="135"/>
      <c r="H401" s="135">
        <v>0</v>
      </c>
      <c r="I401" s="135"/>
      <c r="J401" s="138">
        <v>0</v>
      </c>
      <c r="K401" s="135"/>
      <c r="L401" s="138">
        <v>0</v>
      </c>
      <c r="M401" s="135"/>
      <c r="N401" s="138">
        <v>0</v>
      </c>
      <c r="O401" s="135"/>
      <c r="P401" s="138">
        <v>0</v>
      </c>
      <c r="Q401" s="135"/>
      <c r="R401" s="138">
        <f t="shared" si="15"/>
        <v>-11678843.310000001</v>
      </c>
    </row>
    <row r="402" spans="1:21" x14ac:dyDescent="0.2">
      <c r="A402" s="3" t="s">
        <v>3266</v>
      </c>
      <c r="B402" s="138">
        <v>-12193326.890000002</v>
      </c>
      <c r="C402" s="135"/>
      <c r="D402" s="135">
        <v>-1923297.97</v>
      </c>
      <c r="E402" s="135"/>
      <c r="F402" s="135">
        <v>846588.36</v>
      </c>
      <c r="G402" s="135"/>
      <c r="H402" s="135">
        <v>0</v>
      </c>
      <c r="I402" s="135"/>
      <c r="J402" s="138">
        <v>0</v>
      </c>
      <c r="K402" s="135"/>
      <c r="L402" s="138">
        <v>308286.78000000003</v>
      </c>
      <c r="M402" s="135"/>
      <c r="N402" s="138">
        <v>-2541.2199999999998</v>
      </c>
      <c r="O402" s="135"/>
      <c r="P402" s="138">
        <v>0</v>
      </c>
      <c r="Q402" s="135"/>
      <c r="R402" s="138">
        <f t="shared" si="15"/>
        <v>-12964290.940000005</v>
      </c>
    </row>
    <row r="403" spans="1:21" x14ac:dyDescent="0.2">
      <c r="A403" s="3" t="s">
        <v>3267</v>
      </c>
      <c r="B403" s="138">
        <v>-3593862.24</v>
      </c>
      <c r="C403" s="135"/>
      <c r="D403" s="135">
        <v>-1049809.74</v>
      </c>
      <c r="E403" s="135"/>
      <c r="F403" s="135">
        <v>183921.28</v>
      </c>
      <c r="G403" s="135"/>
      <c r="H403" s="135">
        <v>0</v>
      </c>
      <c r="I403" s="135"/>
      <c r="J403" s="138">
        <v>0</v>
      </c>
      <c r="K403" s="135"/>
      <c r="L403" s="138">
        <v>0</v>
      </c>
      <c r="M403" s="135"/>
      <c r="N403" s="138">
        <v>0</v>
      </c>
      <c r="O403" s="135"/>
      <c r="P403" s="138">
        <v>0</v>
      </c>
      <c r="Q403" s="135"/>
      <c r="R403" s="138">
        <f t="shared" si="15"/>
        <v>-4459750.7</v>
      </c>
    </row>
    <row r="404" spans="1:21" x14ac:dyDescent="0.2">
      <c r="A404" s="3" t="s">
        <v>3268</v>
      </c>
      <c r="B404" s="138">
        <v>-189279.78</v>
      </c>
      <c r="C404" s="135"/>
      <c r="D404" s="135">
        <v>-27379.56</v>
      </c>
      <c r="E404" s="135"/>
      <c r="F404" s="135">
        <v>0</v>
      </c>
      <c r="G404" s="135"/>
      <c r="H404" s="135">
        <v>0</v>
      </c>
      <c r="I404" s="135"/>
      <c r="J404" s="138">
        <v>0</v>
      </c>
      <c r="K404" s="135"/>
      <c r="L404" s="138">
        <v>0</v>
      </c>
      <c r="M404" s="135"/>
      <c r="N404" s="138">
        <v>0</v>
      </c>
      <c r="O404" s="135"/>
      <c r="P404" s="138">
        <v>0</v>
      </c>
      <c r="Q404" s="135"/>
      <c r="R404" s="138">
        <f t="shared" si="15"/>
        <v>-216659.34</v>
      </c>
    </row>
    <row r="405" spans="1:21" x14ac:dyDescent="0.2">
      <c r="A405" s="3" t="s">
        <v>3269</v>
      </c>
      <c r="B405" s="138">
        <v>-26030.78</v>
      </c>
      <c r="C405" s="135"/>
      <c r="D405" s="135">
        <v>-1420.92</v>
      </c>
      <c r="E405" s="135"/>
      <c r="F405" s="135">
        <v>0</v>
      </c>
      <c r="G405" s="135"/>
      <c r="H405" s="135">
        <v>0</v>
      </c>
      <c r="I405" s="135"/>
      <c r="J405" s="138">
        <v>0</v>
      </c>
      <c r="K405" s="135"/>
      <c r="L405" s="138">
        <v>0</v>
      </c>
      <c r="M405" s="135"/>
      <c r="N405" s="138">
        <v>0</v>
      </c>
      <c r="O405" s="135"/>
      <c r="P405" s="138">
        <v>0</v>
      </c>
      <c r="Q405" s="135"/>
      <c r="R405" s="138">
        <f t="shared" si="15"/>
        <v>-27451.699999999997</v>
      </c>
    </row>
    <row r="406" spans="1:21" x14ac:dyDescent="0.2">
      <c r="A406" s="3" t="s">
        <v>3270</v>
      </c>
      <c r="B406" s="138">
        <v>-302.84000000000003</v>
      </c>
      <c r="C406" s="135"/>
      <c r="D406" s="135">
        <v>-298.87</v>
      </c>
      <c r="E406" s="135"/>
      <c r="F406" s="135">
        <v>0</v>
      </c>
      <c r="G406" s="135"/>
      <c r="H406" s="135">
        <v>0</v>
      </c>
      <c r="I406" s="135"/>
      <c r="J406" s="138">
        <v>0</v>
      </c>
      <c r="K406" s="135"/>
      <c r="L406" s="138">
        <v>0</v>
      </c>
      <c r="M406" s="135"/>
      <c r="N406" s="138">
        <v>0</v>
      </c>
      <c r="O406" s="135"/>
      <c r="P406" s="138">
        <v>0</v>
      </c>
      <c r="Q406" s="135"/>
      <c r="R406" s="138">
        <f t="shared" si="15"/>
        <v>-601.71</v>
      </c>
      <c r="S406" s="31"/>
      <c r="T406" s="31"/>
      <c r="U406" s="31"/>
    </row>
    <row r="407" spans="1:21" x14ac:dyDescent="0.2">
      <c r="A407" s="3" t="s">
        <v>3271</v>
      </c>
      <c r="B407" s="147">
        <v>-1243440.6000000015</v>
      </c>
      <c r="C407" s="86"/>
      <c r="D407" s="149">
        <v>-621776.65</v>
      </c>
      <c r="E407" s="135"/>
      <c r="F407" s="149">
        <v>487435.15</v>
      </c>
      <c r="G407" s="135"/>
      <c r="H407" s="149">
        <v>0</v>
      </c>
      <c r="I407" s="135"/>
      <c r="J407" s="138">
        <v>0</v>
      </c>
      <c r="K407" s="135"/>
      <c r="L407" s="138">
        <v>0</v>
      </c>
      <c r="M407" s="135"/>
      <c r="N407" s="138">
        <v>0</v>
      </c>
      <c r="O407" s="135"/>
      <c r="P407" s="138">
        <v>0</v>
      </c>
      <c r="Q407" s="86"/>
      <c r="R407" s="147">
        <f t="shared" si="15"/>
        <v>-1377782.1000000015</v>
      </c>
      <c r="S407" s="31"/>
      <c r="T407" s="31"/>
      <c r="U407" s="31"/>
    </row>
    <row r="408" spans="1:21" x14ac:dyDescent="0.2">
      <c r="B408" s="135">
        <f>SUM(B392:B407)</f>
        <v>-237329204.20000002</v>
      </c>
      <c r="C408" s="135"/>
      <c r="D408" s="148">
        <f>SUM(D392:D407)</f>
        <v>-24817077.719999999</v>
      </c>
      <c r="E408" s="135"/>
      <c r="F408" s="160">
        <f>SUM(F392:F407)</f>
        <v>8979143.2100000009</v>
      </c>
      <c r="G408" s="139"/>
      <c r="H408" s="160">
        <f>SUM(H392:H407)</f>
        <v>-1025.9000000000001</v>
      </c>
      <c r="I408" s="139"/>
      <c r="J408" s="160">
        <f>SUM(J392:J407)</f>
        <v>0</v>
      </c>
      <c r="K408" s="139"/>
      <c r="L408" s="160">
        <f>SUM(L392:L407)</f>
        <v>2342563.54</v>
      </c>
      <c r="M408" s="139"/>
      <c r="N408" s="160">
        <f>SUM(N392:N407)</f>
        <v>-2550.4699999999998</v>
      </c>
      <c r="O408" s="135"/>
      <c r="P408" s="148">
        <f>SUM(P392:P407)</f>
        <v>4945.8599999999997</v>
      </c>
      <c r="Q408" s="135"/>
      <c r="R408" s="135">
        <f>SUM(R392:R407)</f>
        <v>-250823205.67999998</v>
      </c>
      <c r="S408" s="31"/>
      <c r="T408" s="31"/>
      <c r="U408" s="31"/>
    </row>
    <row r="409" spans="1:21" x14ac:dyDescent="0.2">
      <c r="B409" s="135"/>
      <c r="C409" s="135"/>
      <c r="D409" s="135"/>
      <c r="E409" s="135"/>
      <c r="F409" s="139"/>
      <c r="G409" s="139"/>
      <c r="H409" s="139"/>
      <c r="I409" s="139"/>
      <c r="J409" s="139"/>
      <c r="K409" s="139"/>
      <c r="L409" s="139"/>
      <c r="M409" s="139"/>
      <c r="N409" s="139"/>
      <c r="O409" s="135"/>
      <c r="P409" s="135"/>
      <c r="Q409" s="135"/>
      <c r="R409" s="135"/>
      <c r="S409" s="31"/>
      <c r="T409" s="31"/>
      <c r="U409" s="31"/>
    </row>
    <row r="410" spans="1:21" x14ac:dyDescent="0.2">
      <c r="A410" s="10" t="s">
        <v>28</v>
      </c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31"/>
      <c r="T410" s="31"/>
      <c r="U410" s="31"/>
    </row>
    <row r="411" spans="1:21" x14ac:dyDescent="0.2">
      <c r="A411" s="3" t="s">
        <v>3272</v>
      </c>
      <c r="B411" s="138">
        <v>-9768</v>
      </c>
      <c r="C411" s="135"/>
      <c r="D411" s="135">
        <v>-2814.33</v>
      </c>
      <c r="E411" s="135"/>
      <c r="F411" s="135">
        <v>0</v>
      </c>
      <c r="G411" s="135"/>
      <c r="H411" s="135">
        <v>0</v>
      </c>
      <c r="I411" s="135"/>
      <c r="J411" s="138">
        <v>0</v>
      </c>
      <c r="K411" s="135"/>
      <c r="L411" s="138">
        <v>0</v>
      </c>
      <c r="M411" s="135"/>
      <c r="N411" s="138">
        <v>0</v>
      </c>
      <c r="O411" s="135"/>
      <c r="P411" s="138">
        <v>0</v>
      </c>
      <c r="Q411" s="135"/>
      <c r="R411" s="138">
        <f>SUM(B411:P411)</f>
        <v>-12582.33</v>
      </c>
      <c r="S411" s="31"/>
      <c r="T411" s="38"/>
      <c r="U411" s="31"/>
    </row>
    <row r="412" spans="1:21" x14ac:dyDescent="0.2">
      <c r="A412" s="3" t="s">
        <v>3273</v>
      </c>
      <c r="B412" s="138">
        <v>-658995.97000000032</v>
      </c>
      <c r="C412" s="135"/>
      <c r="D412" s="135">
        <v>-42314.04</v>
      </c>
      <c r="E412" s="135"/>
      <c r="F412" s="135">
        <v>0</v>
      </c>
      <c r="G412" s="135"/>
      <c r="H412" s="135">
        <v>0</v>
      </c>
      <c r="I412" s="135"/>
      <c r="J412" s="138">
        <v>0</v>
      </c>
      <c r="K412" s="135"/>
      <c r="L412" s="138">
        <v>0</v>
      </c>
      <c r="M412" s="135"/>
      <c r="N412" s="138">
        <v>0</v>
      </c>
      <c r="O412" s="135"/>
      <c r="P412" s="138">
        <v>0</v>
      </c>
      <c r="Q412" s="135"/>
      <c r="R412" s="138">
        <f t="shared" ref="R412:R418" si="16">SUM(B412:P412)</f>
        <v>-701310.01000000036</v>
      </c>
      <c r="S412" s="31"/>
      <c r="T412" s="38"/>
      <c r="U412" s="31"/>
    </row>
    <row r="413" spans="1:21" x14ac:dyDescent="0.2">
      <c r="A413" s="3" t="s">
        <v>3274</v>
      </c>
      <c r="B413" s="138">
        <v>-102622.93000000002</v>
      </c>
      <c r="C413" s="135"/>
      <c r="D413" s="135">
        <v>-28859.42</v>
      </c>
      <c r="E413" s="135"/>
      <c r="F413" s="135">
        <v>2173</v>
      </c>
      <c r="G413" s="135"/>
      <c r="H413" s="135">
        <v>0</v>
      </c>
      <c r="I413" s="135"/>
      <c r="J413" s="138">
        <v>0</v>
      </c>
      <c r="K413" s="135"/>
      <c r="L413" s="138">
        <v>-22.96</v>
      </c>
      <c r="M413" s="135"/>
      <c r="N413" s="138">
        <v>-647.89</v>
      </c>
      <c r="O413" s="135"/>
      <c r="P413" s="138">
        <v>0</v>
      </c>
      <c r="Q413" s="135"/>
      <c r="R413" s="138">
        <f t="shared" si="16"/>
        <v>-129980.20000000004</v>
      </c>
      <c r="S413" s="31"/>
      <c r="T413" s="38"/>
      <c r="U413" s="31"/>
    </row>
    <row r="414" spans="1:21" x14ac:dyDescent="0.2">
      <c r="A414" s="3" t="s">
        <v>3275</v>
      </c>
      <c r="B414" s="138">
        <v>-2537953.0499999993</v>
      </c>
      <c r="C414" s="135"/>
      <c r="D414" s="135">
        <v>-311725.27</v>
      </c>
      <c r="E414" s="135"/>
      <c r="F414" s="135">
        <v>245638.37</v>
      </c>
      <c r="G414" s="135"/>
      <c r="H414" s="135">
        <v>-3022.62</v>
      </c>
      <c r="I414" s="135"/>
      <c r="J414" s="138">
        <v>0</v>
      </c>
      <c r="K414" s="135"/>
      <c r="L414" s="138">
        <v>0</v>
      </c>
      <c r="M414" s="135"/>
      <c r="N414" s="138">
        <v>0</v>
      </c>
      <c r="O414" s="135"/>
      <c r="P414" s="138">
        <v>0</v>
      </c>
      <c r="Q414" s="135"/>
      <c r="R414" s="138">
        <f t="shared" si="16"/>
        <v>-2607062.5699999994</v>
      </c>
      <c r="S414" s="31"/>
      <c r="T414" s="38"/>
      <c r="U414" s="31"/>
    </row>
    <row r="415" spans="1:21" x14ac:dyDescent="0.2">
      <c r="A415" s="3" t="s">
        <v>3276</v>
      </c>
      <c r="B415" s="138">
        <v>0</v>
      </c>
      <c r="C415" s="135"/>
      <c r="D415" s="135">
        <v>0</v>
      </c>
      <c r="E415" s="135"/>
      <c r="F415" s="135">
        <v>0</v>
      </c>
      <c r="G415" s="135"/>
      <c r="H415" s="135">
        <v>0</v>
      </c>
      <c r="I415" s="135"/>
      <c r="J415" s="138">
        <v>0</v>
      </c>
      <c r="K415" s="135"/>
      <c r="L415" s="138">
        <v>0</v>
      </c>
      <c r="M415" s="135"/>
      <c r="N415" s="138">
        <v>0</v>
      </c>
      <c r="O415" s="135"/>
      <c r="P415" s="138">
        <v>0</v>
      </c>
      <c r="Q415" s="135"/>
      <c r="R415" s="138">
        <f t="shared" si="16"/>
        <v>0</v>
      </c>
      <c r="S415" s="31"/>
      <c r="T415" s="38"/>
      <c r="U415" s="31"/>
    </row>
    <row r="416" spans="1:21" x14ac:dyDescent="0.2">
      <c r="A416" s="3" t="s">
        <v>3277</v>
      </c>
      <c r="B416" s="138">
        <v>-2158257.16</v>
      </c>
      <c r="C416" s="135"/>
      <c r="D416" s="135">
        <v>-230161.18</v>
      </c>
      <c r="E416" s="135"/>
      <c r="F416" s="135">
        <v>174040.09</v>
      </c>
      <c r="G416" s="135"/>
      <c r="H416" s="135">
        <v>45178.26</v>
      </c>
      <c r="I416" s="135"/>
      <c r="J416" s="138">
        <v>0</v>
      </c>
      <c r="K416" s="135"/>
      <c r="L416" s="138">
        <v>-1545.44</v>
      </c>
      <c r="M416" s="135"/>
      <c r="N416" s="138">
        <v>-43607.11</v>
      </c>
      <c r="O416" s="135"/>
      <c r="P416" s="138">
        <v>0</v>
      </c>
      <c r="Q416" s="135"/>
      <c r="R416" s="138">
        <f t="shared" si="16"/>
        <v>-2214352.5400000005</v>
      </c>
      <c r="S416" s="31"/>
      <c r="T416" s="38"/>
      <c r="U416" s="31"/>
    </row>
    <row r="417" spans="1:21" x14ac:dyDescent="0.2">
      <c r="A417" s="3" t="s">
        <v>3278</v>
      </c>
      <c r="B417" s="86">
        <v>-94571.839999999997</v>
      </c>
      <c r="C417" s="86"/>
      <c r="D417" s="135">
        <v>-12645.36</v>
      </c>
      <c r="E417" s="135"/>
      <c r="F417" s="135">
        <v>0</v>
      </c>
      <c r="G417" s="135"/>
      <c r="H417" s="135">
        <v>0</v>
      </c>
      <c r="I417" s="135"/>
      <c r="J417" s="138">
        <v>0</v>
      </c>
      <c r="K417" s="135"/>
      <c r="L417" s="138">
        <v>0</v>
      </c>
      <c r="M417" s="135"/>
      <c r="N417" s="138">
        <v>0</v>
      </c>
      <c r="O417" s="135"/>
      <c r="P417" s="138">
        <v>0</v>
      </c>
      <c r="Q417" s="86"/>
      <c r="R417" s="86">
        <f t="shared" si="16"/>
        <v>-107217.2</v>
      </c>
      <c r="S417" s="140"/>
      <c r="T417" s="38"/>
      <c r="U417" s="31"/>
    </row>
    <row r="418" spans="1:21" x14ac:dyDescent="0.2">
      <c r="A418" s="133" t="s">
        <v>3279</v>
      </c>
      <c r="B418" s="86">
        <v>-9.0949470177292824E-13</v>
      </c>
      <c r="C418" s="86"/>
      <c r="D418" s="135">
        <v>0</v>
      </c>
      <c r="E418" s="135"/>
      <c r="F418" s="135">
        <v>0</v>
      </c>
      <c r="G418" s="135"/>
      <c r="H418" s="135">
        <v>0</v>
      </c>
      <c r="I418" s="135"/>
      <c r="J418" s="138">
        <v>0</v>
      </c>
      <c r="K418" s="135"/>
      <c r="L418" s="138">
        <v>0</v>
      </c>
      <c r="M418" s="135"/>
      <c r="N418" s="138">
        <v>0</v>
      </c>
      <c r="O418" s="135"/>
      <c r="P418" s="138">
        <v>0</v>
      </c>
      <c r="Q418" s="86"/>
      <c r="R418" s="86">
        <f t="shared" si="16"/>
        <v>-9.0949470177292824E-13</v>
      </c>
      <c r="S418" s="140"/>
      <c r="T418" s="38"/>
      <c r="U418" s="31"/>
    </row>
    <row r="419" spans="1:21" x14ac:dyDescent="0.2">
      <c r="B419" s="148">
        <f>SUM(B411:B418)</f>
        <v>-5562168.9499999993</v>
      </c>
      <c r="C419" s="135"/>
      <c r="D419" s="148">
        <f>SUM(D411:D418)</f>
        <v>-628519.6</v>
      </c>
      <c r="E419" s="135"/>
      <c r="F419" s="148">
        <f>SUM(F411:F418)</f>
        <v>421851.45999999996</v>
      </c>
      <c r="G419" s="135"/>
      <c r="H419" s="148">
        <f>SUM(H411:H418)</f>
        <v>42155.64</v>
      </c>
      <c r="I419" s="135"/>
      <c r="J419" s="148">
        <f>SUM(J411:J418)</f>
        <v>0</v>
      </c>
      <c r="K419" s="135"/>
      <c r="L419" s="148">
        <f>SUM(L411:L418)</f>
        <v>-1568.4</v>
      </c>
      <c r="M419" s="135"/>
      <c r="N419" s="148">
        <f>SUM(N411:N418)</f>
        <v>-44255</v>
      </c>
      <c r="O419" s="135"/>
      <c r="P419" s="148">
        <f>SUM(P411:P418)</f>
        <v>0</v>
      </c>
      <c r="Q419" s="135"/>
      <c r="R419" s="148">
        <f>SUM(R411:R418)</f>
        <v>-5772504.8500000006</v>
      </c>
      <c r="S419" s="31"/>
      <c r="T419" s="31"/>
      <c r="U419" s="31"/>
    </row>
    <row r="420" spans="1:21" x14ac:dyDescent="0.2">
      <c r="D420" s="39"/>
    </row>
    <row r="422" spans="1:21" x14ac:dyDescent="0.2">
      <c r="A422" s="10" t="s">
        <v>30</v>
      </c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31"/>
      <c r="T422" s="31"/>
      <c r="U422" s="31"/>
    </row>
    <row r="423" spans="1:21" x14ac:dyDescent="0.2">
      <c r="A423" s="133" t="s">
        <v>3280</v>
      </c>
      <c r="B423" s="138">
        <v>0</v>
      </c>
      <c r="C423" s="135"/>
      <c r="D423" s="135">
        <v>0</v>
      </c>
      <c r="E423" s="135"/>
      <c r="F423" s="135">
        <v>0</v>
      </c>
      <c r="G423" s="135"/>
      <c r="H423" s="135">
        <v>0</v>
      </c>
      <c r="I423" s="135"/>
      <c r="J423" s="135">
        <v>0</v>
      </c>
      <c r="K423" s="135"/>
      <c r="L423" s="138">
        <v>0</v>
      </c>
      <c r="M423" s="135"/>
      <c r="N423" s="138">
        <v>0</v>
      </c>
      <c r="O423" s="135"/>
      <c r="P423" s="138">
        <v>0</v>
      </c>
      <c r="Q423" s="135"/>
      <c r="R423" s="138">
        <f t="shared" ref="R423:R440" si="17">SUM(B423:P423)</f>
        <v>0</v>
      </c>
      <c r="S423" s="31"/>
      <c r="T423" s="31"/>
      <c r="U423" s="31"/>
    </row>
    <row r="424" spans="1:21" x14ac:dyDescent="0.2">
      <c r="A424" s="3" t="s">
        <v>3281</v>
      </c>
      <c r="B424" s="138">
        <v>-72165.17</v>
      </c>
      <c r="C424" s="135"/>
      <c r="D424" s="135">
        <v>-579.59</v>
      </c>
      <c r="E424" s="135"/>
      <c r="F424" s="135">
        <v>0</v>
      </c>
      <c r="G424" s="135"/>
      <c r="H424" s="135">
        <v>2996.91</v>
      </c>
      <c r="I424" s="135"/>
      <c r="J424" s="135">
        <v>0</v>
      </c>
      <c r="K424" s="135"/>
      <c r="L424" s="138">
        <v>0</v>
      </c>
      <c r="M424" s="135"/>
      <c r="N424" s="138">
        <v>0</v>
      </c>
      <c r="O424" s="135"/>
      <c r="P424" s="138">
        <v>0</v>
      </c>
      <c r="Q424" s="135"/>
      <c r="R424" s="138">
        <f t="shared" si="17"/>
        <v>-69747.849999999991</v>
      </c>
      <c r="S424" s="31"/>
      <c r="T424" s="31"/>
      <c r="U424" s="31"/>
    </row>
    <row r="425" spans="1:21" x14ac:dyDescent="0.2">
      <c r="A425" s="3" t="s">
        <v>3282</v>
      </c>
      <c r="B425" s="138">
        <v>-1267387.1399999999</v>
      </c>
      <c r="C425" s="135"/>
      <c r="D425" s="135">
        <v>-198725.09</v>
      </c>
      <c r="E425" s="135"/>
      <c r="F425" s="135">
        <v>3024.64</v>
      </c>
      <c r="G425" s="135"/>
      <c r="H425" s="135">
        <v>0</v>
      </c>
      <c r="I425" s="135"/>
      <c r="J425" s="135">
        <v>0</v>
      </c>
      <c r="K425" s="135"/>
      <c r="L425" s="138">
        <v>176.2</v>
      </c>
      <c r="M425" s="135"/>
      <c r="N425" s="138">
        <v>0</v>
      </c>
      <c r="O425" s="135"/>
      <c r="P425" s="138">
        <v>0</v>
      </c>
      <c r="Q425" s="135"/>
      <c r="R425" s="138">
        <f t="shared" si="17"/>
        <v>-1462911.3900000001</v>
      </c>
      <c r="S425" s="31"/>
      <c r="T425" s="31"/>
      <c r="U425" s="31"/>
    </row>
    <row r="426" spans="1:21" x14ac:dyDescent="0.2">
      <c r="A426" s="3" t="s">
        <v>3283</v>
      </c>
      <c r="B426" s="138">
        <v>-15931.55</v>
      </c>
      <c r="C426" s="135"/>
      <c r="D426" s="135">
        <v>-377.53</v>
      </c>
      <c r="E426" s="135"/>
      <c r="F426" s="135">
        <v>108.56</v>
      </c>
      <c r="G426" s="135"/>
      <c r="H426" s="135">
        <v>0</v>
      </c>
      <c r="I426" s="135"/>
      <c r="J426" s="135">
        <v>0</v>
      </c>
      <c r="K426" s="135"/>
      <c r="L426" s="138">
        <v>-0.04</v>
      </c>
      <c r="M426" s="135"/>
      <c r="N426" s="138">
        <v>-7.83</v>
      </c>
      <c r="O426" s="135"/>
      <c r="P426" s="138">
        <v>0</v>
      </c>
      <c r="Q426" s="135"/>
      <c r="R426" s="138">
        <f t="shared" si="17"/>
        <v>-16208.390000000001</v>
      </c>
      <c r="S426" s="31"/>
      <c r="T426" s="31"/>
      <c r="U426" s="31"/>
    </row>
    <row r="427" spans="1:21" x14ac:dyDescent="0.2">
      <c r="A427" s="133" t="s">
        <v>3284</v>
      </c>
      <c r="B427" s="138">
        <v>-681221.6</v>
      </c>
      <c r="C427" s="135"/>
      <c r="D427" s="135">
        <v>-67222.179999999993</v>
      </c>
      <c r="E427" s="135"/>
      <c r="F427" s="135">
        <v>9637.7999999999993</v>
      </c>
      <c r="G427" s="135"/>
      <c r="H427" s="135">
        <v>0</v>
      </c>
      <c r="I427" s="135"/>
      <c r="J427" s="135">
        <v>0</v>
      </c>
      <c r="K427" s="135"/>
      <c r="L427" s="138">
        <v>21160.15</v>
      </c>
      <c r="M427" s="135"/>
      <c r="N427" s="138">
        <v>-74.069999999999993</v>
      </c>
      <c r="O427" s="135"/>
      <c r="P427" s="138">
        <v>0</v>
      </c>
      <c r="Q427" s="135"/>
      <c r="R427" s="138">
        <f t="shared" si="17"/>
        <v>-717719.89999999991</v>
      </c>
      <c r="S427" s="31"/>
      <c r="T427" s="31"/>
      <c r="U427" s="31"/>
    </row>
    <row r="428" spans="1:21" x14ac:dyDescent="0.2">
      <c r="A428" s="3" t="s">
        <v>3285</v>
      </c>
      <c r="B428" s="138">
        <v>-569589.96</v>
      </c>
      <c r="C428" s="135"/>
      <c r="D428" s="135">
        <v>0</v>
      </c>
      <c r="E428" s="135"/>
      <c r="F428" s="135">
        <v>0</v>
      </c>
      <c r="G428" s="135"/>
      <c r="H428" s="135">
        <v>0</v>
      </c>
      <c r="I428" s="135"/>
      <c r="J428" s="135">
        <v>0</v>
      </c>
      <c r="K428" s="135"/>
      <c r="L428" s="138">
        <v>0</v>
      </c>
      <c r="M428" s="135"/>
      <c r="N428" s="138">
        <v>0</v>
      </c>
      <c r="O428" s="135"/>
      <c r="P428" s="138">
        <v>0</v>
      </c>
      <c r="Q428" s="135"/>
      <c r="R428" s="138">
        <f t="shared" si="17"/>
        <v>-569589.96</v>
      </c>
      <c r="S428" s="31"/>
      <c r="T428" s="31"/>
      <c r="U428" s="31"/>
    </row>
    <row r="429" spans="1:21" x14ac:dyDescent="0.2">
      <c r="A429" s="3" t="s">
        <v>3286</v>
      </c>
      <c r="B429" s="138">
        <v>-452027.29</v>
      </c>
      <c r="C429" s="135"/>
      <c r="D429" s="135">
        <v>0</v>
      </c>
      <c r="E429" s="135"/>
      <c r="F429" s="135">
        <v>0</v>
      </c>
      <c r="G429" s="135"/>
      <c r="H429" s="135">
        <v>0</v>
      </c>
      <c r="I429" s="135"/>
      <c r="J429" s="135">
        <v>0</v>
      </c>
      <c r="K429" s="135"/>
      <c r="L429" s="138">
        <v>0</v>
      </c>
      <c r="M429" s="135"/>
      <c r="N429" s="138">
        <v>0</v>
      </c>
      <c r="O429" s="135"/>
      <c r="P429" s="138">
        <v>0</v>
      </c>
      <c r="Q429" s="135"/>
      <c r="R429" s="138">
        <f t="shared" si="17"/>
        <v>-452027.29</v>
      </c>
      <c r="S429" s="31"/>
      <c r="T429" s="31"/>
      <c r="U429" s="31"/>
    </row>
    <row r="430" spans="1:21" x14ac:dyDescent="0.2">
      <c r="A430" s="3" t="s">
        <v>3287</v>
      </c>
      <c r="B430" s="138">
        <v>-8101402.5800000001</v>
      </c>
      <c r="C430" s="135"/>
      <c r="D430" s="135">
        <v>-80085.48</v>
      </c>
      <c r="E430" s="135"/>
      <c r="F430" s="135">
        <v>0</v>
      </c>
      <c r="G430" s="135"/>
      <c r="H430" s="135">
        <v>0</v>
      </c>
      <c r="I430" s="135"/>
      <c r="J430" s="135">
        <v>0</v>
      </c>
      <c r="K430" s="135"/>
      <c r="L430" s="138">
        <v>0</v>
      </c>
      <c r="M430" s="135"/>
      <c r="N430" s="138">
        <v>0</v>
      </c>
      <c r="O430" s="135"/>
      <c r="P430" s="138">
        <v>0</v>
      </c>
      <c r="Q430" s="135"/>
      <c r="R430" s="138">
        <f t="shared" si="17"/>
        <v>-8181488.0600000005</v>
      </c>
      <c r="S430" s="31"/>
      <c r="T430" s="31"/>
      <c r="U430" s="31"/>
    </row>
    <row r="431" spans="1:21" x14ac:dyDescent="0.2">
      <c r="A431" s="133" t="s">
        <v>3288</v>
      </c>
      <c r="B431" s="138">
        <v>-1782678.1499999997</v>
      </c>
      <c r="C431" s="135"/>
      <c r="D431" s="135">
        <v>-26017.32</v>
      </c>
      <c r="E431" s="135"/>
      <c r="F431" s="135">
        <v>0</v>
      </c>
      <c r="G431" s="135"/>
      <c r="H431" s="135">
        <v>0</v>
      </c>
      <c r="I431" s="135"/>
      <c r="J431" s="135">
        <v>0</v>
      </c>
      <c r="K431" s="135"/>
      <c r="L431" s="138">
        <v>0</v>
      </c>
      <c r="M431" s="135"/>
      <c r="N431" s="138">
        <v>0</v>
      </c>
      <c r="O431" s="135"/>
      <c r="P431" s="138">
        <v>0</v>
      </c>
      <c r="Q431" s="135"/>
      <c r="R431" s="138">
        <f t="shared" si="17"/>
        <v>-1808695.4699999997</v>
      </c>
      <c r="S431" s="31"/>
      <c r="T431" s="31"/>
      <c r="U431" s="31"/>
    </row>
    <row r="432" spans="1:21" x14ac:dyDescent="0.2">
      <c r="A432" s="133" t="s">
        <v>3289</v>
      </c>
      <c r="B432" s="138">
        <v>2.3283064365386963E-10</v>
      </c>
      <c r="C432" s="135"/>
      <c r="D432" s="135">
        <v>0</v>
      </c>
      <c r="E432" s="135"/>
      <c r="F432" s="135">
        <v>0</v>
      </c>
      <c r="G432" s="135"/>
      <c r="H432" s="135">
        <v>0</v>
      </c>
      <c r="I432" s="135"/>
      <c r="J432" s="135">
        <v>0</v>
      </c>
      <c r="K432" s="135"/>
      <c r="L432" s="138">
        <v>0</v>
      </c>
      <c r="M432" s="135"/>
      <c r="N432" s="138">
        <v>0</v>
      </c>
      <c r="O432" s="135"/>
      <c r="P432" s="138">
        <v>0</v>
      </c>
      <c r="Q432" s="135"/>
      <c r="R432" s="138">
        <f t="shared" si="17"/>
        <v>2.3283064365386963E-10</v>
      </c>
      <c r="S432" s="31"/>
      <c r="T432" s="31"/>
      <c r="U432" s="31"/>
    </row>
    <row r="433" spans="1:21" x14ac:dyDescent="0.2">
      <c r="A433" s="133" t="s">
        <v>3290</v>
      </c>
      <c r="B433" s="138">
        <v>-2025923.9200000004</v>
      </c>
      <c r="C433" s="135"/>
      <c r="D433" s="135">
        <v>-286138.09000000003</v>
      </c>
      <c r="E433" s="135"/>
      <c r="F433" s="135">
        <v>26431.73</v>
      </c>
      <c r="G433" s="135"/>
      <c r="H433" s="135">
        <v>0</v>
      </c>
      <c r="I433" s="135"/>
      <c r="J433" s="135">
        <v>0</v>
      </c>
      <c r="K433" s="135"/>
      <c r="L433" s="138">
        <v>120267.01</v>
      </c>
      <c r="M433" s="135"/>
      <c r="N433" s="138">
        <v>0</v>
      </c>
      <c r="O433" s="135"/>
      <c r="P433" s="138">
        <v>0</v>
      </c>
      <c r="Q433" s="135"/>
      <c r="R433" s="138">
        <f t="shared" si="17"/>
        <v>-2165363.2700000005</v>
      </c>
      <c r="S433" s="31"/>
      <c r="T433" s="31"/>
      <c r="U433" s="31"/>
    </row>
    <row r="434" spans="1:21" x14ac:dyDescent="0.2">
      <c r="A434" s="133" t="s">
        <v>3291</v>
      </c>
      <c r="B434" s="138">
        <v>-7592433.9299999969</v>
      </c>
      <c r="C434" s="135"/>
      <c r="D434" s="135">
        <v>-324637.90000000002</v>
      </c>
      <c r="E434" s="135"/>
      <c r="F434" s="135">
        <v>2568.4899999999998</v>
      </c>
      <c r="G434" s="135"/>
      <c r="H434" s="135">
        <v>0</v>
      </c>
      <c r="I434" s="135"/>
      <c r="J434" s="135">
        <v>0</v>
      </c>
      <c r="K434" s="135"/>
      <c r="L434" s="138">
        <v>1055.3699999999999</v>
      </c>
      <c r="M434" s="135"/>
      <c r="N434" s="138">
        <v>0</v>
      </c>
      <c r="O434" s="135"/>
      <c r="P434" s="138">
        <v>0</v>
      </c>
      <c r="Q434" s="135"/>
      <c r="R434" s="138">
        <f t="shared" si="17"/>
        <v>-7913447.9699999969</v>
      </c>
      <c r="S434" s="31"/>
      <c r="T434" s="31"/>
      <c r="U434" s="31"/>
    </row>
    <row r="435" spans="1:21" x14ac:dyDescent="0.2">
      <c r="A435" s="3" t="s">
        <v>3292</v>
      </c>
      <c r="B435" s="138">
        <v>-6668456.1400000006</v>
      </c>
      <c r="C435" s="135"/>
      <c r="D435" s="135">
        <v>-1168095.6200000001</v>
      </c>
      <c r="E435" s="135"/>
      <c r="F435" s="135">
        <v>364291.37</v>
      </c>
      <c r="G435" s="135"/>
      <c r="H435" s="135">
        <v>0</v>
      </c>
      <c r="I435" s="135"/>
      <c r="J435" s="135">
        <v>0</v>
      </c>
      <c r="K435" s="135"/>
      <c r="L435" s="138">
        <v>144422.46</v>
      </c>
      <c r="M435" s="135"/>
      <c r="N435" s="138">
        <v>0</v>
      </c>
      <c r="O435" s="135"/>
      <c r="P435" s="138">
        <v>0</v>
      </c>
      <c r="Q435" s="135"/>
      <c r="R435" s="138">
        <f t="shared" si="17"/>
        <v>-7327837.9300000006</v>
      </c>
      <c r="S435" s="31"/>
      <c r="T435" s="31"/>
      <c r="U435" s="31"/>
    </row>
    <row r="436" spans="1:21" x14ac:dyDescent="0.2">
      <c r="A436" s="3" t="s">
        <v>3293</v>
      </c>
      <c r="B436" s="138">
        <v>-235719.02000000005</v>
      </c>
      <c r="C436" s="135"/>
      <c r="D436" s="135">
        <v>-28026.54</v>
      </c>
      <c r="E436" s="135"/>
      <c r="F436" s="135">
        <v>2288.25</v>
      </c>
      <c r="G436" s="135"/>
      <c r="H436" s="135">
        <v>0</v>
      </c>
      <c r="I436" s="135"/>
      <c r="J436" s="135">
        <v>0</v>
      </c>
      <c r="K436" s="135"/>
      <c r="L436" s="138">
        <v>0</v>
      </c>
      <c r="M436" s="135"/>
      <c r="N436" s="138">
        <v>0</v>
      </c>
      <c r="O436" s="135"/>
      <c r="P436" s="138">
        <v>0</v>
      </c>
      <c r="Q436" s="135"/>
      <c r="R436" s="138">
        <f t="shared" si="17"/>
        <v>-261457.31000000006</v>
      </c>
      <c r="S436" s="31"/>
      <c r="T436" s="31"/>
      <c r="U436" s="31"/>
    </row>
    <row r="437" spans="1:21" x14ac:dyDescent="0.2">
      <c r="A437" s="3" t="s">
        <v>3294</v>
      </c>
      <c r="B437" s="138">
        <v>-5599086.6700000009</v>
      </c>
      <c r="C437" s="135"/>
      <c r="D437" s="135">
        <v>-413976.66</v>
      </c>
      <c r="E437" s="135"/>
      <c r="F437" s="135">
        <v>34323.68</v>
      </c>
      <c r="G437" s="135"/>
      <c r="H437" s="135">
        <v>0</v>
      </c>
      <c r="I437" s="135"/>
      <c r="J437" s="135">
        <v>0</v>
      </c>
      <c r="K437" s="135"/>
      <c r="L437" s="138">
        <v>295838.98</v>
      </c>
      <c r="M437" s="135"/>
      <c r="N437" s="138">
        <v>0</v>
      </c>
      <c r="O437" s="135"/>
      <c r="P437" s="138">
        <v>0</v>
      </c>
      <c r="Q437" s="135"/>
      <c r="R437" s="138">
        <f t="shared" si="17"/>
        <v>-5682900.6700000018</v>
      </c>
      <c r="S437" s="31"/>
      <c r="T437" s="31"/>
      <c r="U437" s="31"/>
    </row>
    <row r="438" spans="1:21" x14ac:dyDescent="0.2">
      <c r="A438" s="133" t="s">
        <v>3295</v>
      </c>
      <c r="B438" s="138">
        <v>-373669.52000000008</v>
      </c>
      <c r="C438" s="135"/>
      <c r="D438" s="135">
        <v>-38787.699999999997</v>
      </c>
      <c r="E438" s="135"/>
      <c r="F438" s="135">
        <v>4875.8100000000004</v>
      </c>
      <c r="G438" s="135"/>
      <c r="H438" s="135">
        <v>0</v>
      </c>
      <c r="I438" s="135"/>
      <c r="J438" s="135">
        <v>0</v>
      </c>
      <c r="K438" s="135"/>
      <c r="L438" s="138">
        <v>-1.89</v>
      </c>
      <c r="M438" s="135"/>
      <c r="N438" s="138">
        <v>-351.55</v>
      </c>
      <c r="O438" s="135"/>
      <c r="P438" s="138">
        <v>0</v>
      </c>
      <c r="Q438" s="135"/>
      <c r="R438" s="138">
        <f t="shared" si="17"/>
        <v>-407934.85000000009</v>
      </c>
      <c r="S438" s="31"/>
      <c r="T438" s="31"/>
      <c r="U438" s="31"/>
    </row>
    <row r="439" spans="1:21" x14ac:dyDescent="0.2">
      <c r="A439" s="3" t="s">
        <v>3296</v>
      </c>
      <c r="B439" s="138">
        <v>-111424.21999999999</v>
      </c>
      <c r="C439" s="135"/>
      <c r="D439" s="135">
        <v>-43958.01</v>
      </c>
      <c r="E439" s="135"/>
      <c r="F439" s="135">
        <v>4450.28</v>
      </c>
      <c r="G439" s="135"/>
      <c r="H439" s="135">
        <v>0</v>
      </c>
      <c r="I439" s="135"/>
      <c r="J439" s="135">
        <v>0</v>
      </c>
      <c r="K439" s="135"/>
      <c r="L439" s="138">
        <v>0</v>
      </c>
      <c r="M439" s="135"/>
      <c r="N439" s="138">
        <v>0</v>
      </c>
      <c r="O439" s="135"/>
      <c r="P439" s="138">
        <v>0</v>
      </c>
      <c r="Q439" s="135"/>
      <c r="R439" s="138">
        <f t="shared" si="17"/>
        <v>-150931.94999999998</v>
      </c>
      <c r="S439" s="31"/>
      <c r="T439" s="31"/>
      <c r="U439" s="31"/>
    </row>
    <row r="440" spans="1:21" x14ac:dyDescent="0.2">
      <c r="A440" s="3" t="s">
        <v>3297</v>
      </c>
      <c r="B440" s="147">
        <v>-716294.41</v>
      </c>
      <c r="C440" s="86"/>
      <c r="D440" s="135">
        <v>-159333.14000000001</v>
      </c>
      <c r="E440" s="135"/>
      <c r="F440" s="135">
        <v>52867.67</v>
      </c>
      <c r="G440" s="135"/>
      <c r="H440" s="135">
        <v>0</v>
      </c>
      <c r="I440" s="135"/>
      <c r="J440" s="135">
        <v>0</v>
      </c>
      <c r="K440" s="135"/>
      <c r="L440" s="138">
        <v>0</v>
      </c>
      <c r="M440" s="135"/>
      <c r="N440" s="138">
        <v>0</v>
      </c>
      <c r="O440" s="135"/>
      <c r="P440" s="138">
        <v>0</v>
      </c>
      <c r="Q440" s="135"/>
      <c r="R440" s="147">
        <f t="shared" si="17"/>
        <v>-822759.88</v>
      </c>
      <c r="S440" s="31"/>
      <c r="T440" s="31"/>
      <c r="U440" s="31"/>
    </row>
    <row r="441" spans="1:21" x14ac:dyDescent="0.2">
      <c r="B441" s="135">
        <f>SUM(B423:B440)</f>
        <v>-36265411.269999996</v>
      </c>
      <c r="C441" s="135"/>
      <c r="D441" s="148">
        <f>SUM(D423:D440)</f>
        <v>-2835960.8500000006</v>
      </c>
      <c r="E441" s="135"/>
      <c r="F441" s="160">
        <f>SUM(F423:F440)</f>
        <v>504868.27999999997</v>
      </c>
      <c r="G441" s="139"/>
      <c r="H441" s="160">
        <f>SUM(H423:H440)</f>
        <v>2996.91</v>
      </c>
      <c r="I441" s="139"/>
      <c r="J441" s="160">
        <f>SUM(J423:J440)</f>
        <v>0</v>
      </c>
      <c r="K441" s="139"/>
      <c r="L441" s="160">
        <f>SUM(L423:L440)</f>
        <v>582918.24</v>
      </c>
      <c r="M441" s="139"/>
      <c r="N441" s="160">
        <f>SUM(N423:N440)</f>
        <v>-433.45</v>
      </c>
      <c r="O441" s="135"/>
      <c r="P441" s="148">
        <f>SUM(P423:P440)</f>
        <v>0</v>
      </c>
      <c r="Q441" s="135"/>
      <c r="R441" s="135">
        <f>SUM(R423:R440)</f>
        <v>-38011022.140000001</v>
      </c>
      <c r="S441" s="31"/>
      <c r="T441" s="31"/>
      <c r="U441" s="31"/>
    </row>
    <row r="442" spans="1:21" x14ac:dyDescent="0.2">
      <c r="B442" s="135"/>
      <c r="C442" s="135"/>
      <c r="D442" s="135"/>
      <c r="E442" s="135"/>
      <c r="F442" s="139"/>
      <c r="G442" s="139"/>
      <c r="H442" s="139"/>
      <c r="I442" s="139"/>
      <c r="J442" s="139"/>
      <c r="K442" s="139"/>
      <c r="L442" s="139"/>
      <c r="M442" s="139"/>
      <c r="N442" s="139"/>
      <c r="O442" s="135"/>
      <c r="P442" s="135"/>
      <c r="Q442" s="135"/>
      <c r="R442" s="135"/>
      <c r="S442" s="31"/>
      <c r="T442" s="31"/>
      <c r="U442" s="31"/>
    </row>
    <row r="443" spans="1:21" x14ac:dyDescent="0.2">
      <c r="A443" s="10" t="s">
        <v>31</v>
      </c>
      <c r="B443" s="135"/>
      <c r="C443" s="135"/>
      <c r="D443" s="135"/>
      <c r="E443" s="135"/>
      <c r="F443" s="139"/>
      <c r="G443" s="139"/>
      <c r="H443" s="139"/>
      <c r="I443" s="139"/>
      <c r="J443" s="139"/>
      <c r="K443" s="139"/>
      <c r="L443" s="139"/>
      <c r="M443" s="139"/>
      <c r="N443" s="139"/>
      <c r="O443" s="135"/>
      <c r="P443" s="135"/>
      <c r="Q443" s="135"/>
      <c r="R443" s="135"/>
      <c r="S443" s="31"/>
      <c r="T443" s="31"/>
      <c r="U443" s="31"/>
    </row>
    <row r="444" spans="1:21" x14ac:dyDescent="0.2">
      <c r="A444" s="3" t="s">
        <v>3298</v>
      </c>
      <c r="B444" s="138">
        <v>-210492.38999999998</v>
      </c>
      <c r="C444" s="135"/>
      <c r="D444" s="135">
        <v>-353.04</v>
      </c>
      <c r="E444" s="135"/>
      <c r="F444" s="135">
        <v>0</v>
      </c>
      <c r="G444" s="139"/>
      <c r="H444" s="135">
        <v>0</v>
      </c>
      <c r="I444" s="139"/>
      <c r="J444" s="135">
        <v>0</v>
      </c>
      <c r="K444" s="139"/>
      <c r="L444" s="138">
        <v>0</v>
      </c>
      <c r="M444" s="139"/>
      <c r="N444" s="138">
        <v>0</v>
      </c>
      <c r="O444" s="135"/>
      <c r="P444" s="138">
        <v>0</v>
      </c>
      <c r="Q444" s="135"/>
      <c r="R444" s="138">
        <f>SUM(B444:P444)</f>
        <v>-210845.43</v>
      </c>
      <c r="S444" s="31"/>
      <c r="T444" s="31"/>
      <c r="U444" s="31"/>
    </row>
    <row r="445" spans="1:21" x14ac:dyDescent="0.2">
      <c r="A445" s="3" t="s">
        <v>3299</v>
      </c>
      <c r="B445" s="138">
        <v>-11063158.619999999</v>
      </c>
      <c r="C445" s="135"/>
      <c r="D445" s="135">
        <v>-407488.52</v>
      </c>
      <c r="E445" s="135"/>
      <c r="F445" s="135">
        <v>88991</v>
      </c>
      <c r="G445" s="139"/>
      <c r="H445" s="135">
        <v>0</v>
      </c>
      <c r="I445" s="139"/>
      <c r="J445" s="135">
        <v>0</v>
      </c>
      <c r="K445" s="139"/>
      <c r="L445" s="138">
        <v>61231.55</v>
      </c>
      <c r="M445" s="139"/>
      <c r="N445" s="138">
        <v>0</v>
      </c>
      <c r="O445" s="135"/>
      <c r="P445" s="138">
        <v>0</v>
      </c>
      <c r="Q445" s="135"/>
      <c r="R445" s="138">
        <f>SUM(B445:P445)</f>
        <v>-11320424.589999998</v>
      </c>
      <c r="S445" s="31"/>
      <c r="T445" s="31"/>
      <c r="U445" s="31"/>
    </row>
    <row r="446" spans="1:21" x14ac:dyDescent="0.2">
      <c r="A446" s="22" t="s">
        <v>3300</v>
      </c>
      <c r="B446" s="86">
        <v>-304501.30999999994</v>
      </c>
      <c r="C446" s="86"/>
      <c r="D446" s="135">
        <v>-40027.08</v>
      </c>
      <c r="E446" s="86"/>
      <c r="F446" s="135">
        <v>2851.93</v>
      </c>
      <c r="G446" s="155"/>
      <c r="H446" s="135">
        <v>0</v>
      </c>
      <c r="I446" s="155"/>
      <c r="J446" s="86">
        <v>0</v>
      </c>
      <c r="K446" s="155"/>
      <c r="L446" s="138">
        <v>0</v>
      </c>
      <c r="M446" s="155"/>
      <c r="N446" s="138">
        <v>0</v>
      </c>
      <c r="O446" s="86"/>
      <c r="P446" s="138">
        <v>0</v>
      </c>
      <c r="Q446" s="86"/>
      <c r="R446" s="86">
        <f>SUM(B446:P446)</f>
        <v>-341676.45999999996</v>
      </c>
      <c r="S446" s="31"/>
      <c r="T446" s="31"/>
      <c r="U446" s="31"/>
    </row>
    <row r="447" spans="1:21" x14ac:dyDescent="0.2">
      <c r="B447" s="20">
        <f>SUM(B444:B446)</f>
        <v>-11578152.32</v>
      </c>
      <c r="C447" s="17"/>
      <c r="D447" s="20">
        <f>SUM(D444:D446)</f>
        <v>-447868.64</v>
      </c>
      <c r="E447" s="17"/>
      <c r="F447" s="20">
        <f>SUM(F444:F446)</f>
        <v>91842.93</v>
      </c>
      <c r="G447" s="142"/>
      <c r="H447" s="20">
        <f>SUM(H444:H446)</f>
        <v>0</v>
      </c>
      <c r="I447" s="142"/>
      <c r="J447" s="20">
        <f>SUM(J444:J446)</f>
        <v>0</v>
      </c>
      <c r="K447" s="142"/>
      <c r="L447" s="20">
        <f>SUM(L444:L446)</f>
        <v>61231.55</v>
      </c>
      <c r="M447" s="142"/>
      <c r="N447" s="20">
        <f>SUM(N444:N446)</f>
        <v>0</v>
      </c>
      <c r="O447" s="17"/>
      <c r="P447" s="20">
        <f>SUM(P444:P446)</f>
        <v>0</v>
      </c>
      <c r="Q447" s="17"/>
      <c r="R447" s="20">
        <f>SUM(R444:R446)</f>
        <v>-11872946.479999997</v>
      </c>
      <c r="S447" s="31"/>
      <c r="T447" s="31"/>
      <c r="U447" s="31"/>
    </row>
    <row r="448" spans="1:21" x14ac:dyDescent="0.2">
      <c r="B448" s="17"/>
      <c r="C448" s="17"/>
      <c r="D448" s="17"/>
      <c r="E448" s="17"/>
      <c r="F448" s="142"/>
      <c r="G448" s="142"/>
      <c r="H448" s="142"/>
      <c r="I448" s="142"/>
      <c r="J448" s="142"/>
      <c r="K448" s="142"/>
      <c r="L448" s="142"/>
      <c r="M448" s="142"/>
      <c r="N448" s="142"/>
      <c r="O448" s="17"/>
      <c r="P448" s="17"/>
      <c r="Q448" s="17"/>
      <c r="R448" s="17"/>
      <c r="S448" s="31"/>
      <c r="T448" s="31"/>
      <c r="U448" s="31"/>
    </row>
    <row r="449" spans="1:21" x14ac:dyDescent="0.2">
      <c r="B449" s="15"/>
      <c r="C449" s="17"/>
      <c r="D449" s="15"/>
      <c r="E449" s="17"/>
      <c r="F449" s="156"/>
      <c r="G449" s="142"/>
      <c r="H449" s="156"/>
      <c r="I449" s="142"/>
      <c r="J449" s="156"/>
      <c r="K449" s="142"/>
      <c r="L449" s="156"/>
      <c r="M449" s="142"/>
      <c r="N449" s="156"/>
      <c r="O449" s="17"/>
      <c r="P449" s="15"/>
      <c r="Q449" s="17"/>
      <c r="R449" s="15"/>
    </row>
    <row r="450" spans="1:21" ht="13.5" thickBot="1" x14ac:dyDescent="0.25">
      <c r="A450" s="10" t="s">
        <v>3301</v>
      </c>
      <c r="B450" s="41">
        <f>B447+B441+'KY_Res by Plant Acct-P29 (Reg)'!B419+'KY_Res by Plant Acct-P29 (Reg)'!B408</f>
        <v>-290734936.74000001</v>
      </c>
      <c r="C450" s="17"/>
      <c r="D450" s="41">
        <f>D447+D441+'KY_Res by Plant Acct-P29 (Reg)'!D419+'KY_Res by Plant Acct-P29 (Reg)'!D408</f>
        <v>-28729426.809999999</v>
      </c>
      <c r="E450" s="17"/>
      <c r="F450" s="157">
        <f>F447+F441+'KY_Res by Plant Acct-P29 (Reg)'!F419+'KY_Res by Plant Acct-P29 (Reg)'!F408</f>
        <v>9997705.8800000008</v>
      </c>
      <c r="G450" s="142"/>
      <c r="H450" s="157">
        <f>H447+H441+'KY_Res by Plant Acct-P29 (Reg)'!H419+'KY_Res by Plant Acct-P29 (Reg)'!H408</f>
        <v>44126.65</v>
      </c>
      <c r="I450" s="142"/>
      <c r="J450" s="157">
        <f>J447+J441+'KY_Res by Plant Acct-P29 (Reg)'!J419+'KY_Res by Plant Acct-P29 (Reg)'!J408</f>
        <v>0</v>
      </c>
      <c r="K450" s="142"/>
      <c r="L450" s="157">
        <f>L447+L441+'KY_Res by Plant Acct-P29 (Reg)'!L419+'KY_Res by Plant Acct-P29 (Reg)'!L408</f>
        <v>2985144.93</v>
      </c>
      <c r="M450" s="142"/>
      <c r="N450" s="157">
        <f>N447+N441+'KY_Res by Plant Acct-P29 (Reg)'!N419+'KY_Res by Plant Acct-P29 (Reg)'!N408</f>
        <v>-47238.92</v>
      </c>
      <c r="O450" s="17"/>
      <c r="P450" s="41">
        <f>P447+P441+'KY_Res by Plant Acct-P29 (Reg)'!P419+'KY_Res by Plant Acct-P29 (Reg)'!P408</f>
        <v>4945.8599999999997</v>
      </c>
      <c r="Q450" s="17"/>
      <c r="R450" s="41">
        <f>R447+R441+'KY_Res by Plant Acct-P29 (Reg)'!R419+'KY_Res by Plant Acct-P29 (Reg)'!R408</f>
        <v>-306479679.14999998</v>
      </c>
    </row>
    <row r="451" spans="1:21" ht="13.5" thickTop="1" x14ac:dyDescent="0.2">
      <c r="B451" s="15"/>
      <c r="C451" s="17"/>
      <c r="D451" s="15"/>
      <c r="E451" s="17"/>
      <c r="F451" s="15"/>
      <c r="G451" s="17"/>
      <c r="H451" s="15"/>
      <c r="I451" s="17"/>
      <c r="J451" s="15"/>
      <c r="K451" s="17"/>
      <c r="L451" s="15"/>
      <c r="M451" s="17"/>
      <c r="N451" s="15"/>
      <c r="O451" s="17"/>
      <c r="P451" s="15"/>
      <c r="Q451" s="17"/>
      <c r="R451" s="15"/>
    </row>
    <row r="452" spans="1:21" x14ac:dyDescent="0.2">
      <c r="B452" s="15"/>
      <c r="C452" s="17"/>
      <c r="D452" s="15"/>
      <c r="E452" s="17"/>
      <c r="F452" s="15"/>
      <c r="G452" s="17"/>
      <c r="H452" s="15"/>
      <c r="I452" s="17"/>
      <c r="J452" s="15"/>
      <c r="K452" s="17"/>
      <c r="L452" s="15"/>
      <c r="M452" s="17"/>
      <c r="N452" s="15"/>
      <c r="O452" s="17"/>
      <c r="P452" s="15"/>
      <c r="Q452" s="17"/>
      <c r="R452" s="15"/>
    </row>
    <row r="453" spans="1:21" x14ac:dyDescent="0.2">
      <c r="A453" s="10" t="s">
        <v>29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31"/>
      <c r="T453" s="31"/>
      <c r="U453" s="31"/>
    </row>
    <row r="454" spans="1:21" x14ac:dyDescent="0.2">
      <c r="A454" s="3" t="s">
        <v>3302</v>
      </c>
      <c r="B454" s="149">
        <v>-123.12000000000003</v>
      </c>
      <c r="C454" s="86"/>
      <c r="D454" s="149">
        <v>-41.04</v>
      </c>
      <c r="E454" s="86"/>
      <c r="F454" s="149">
        <v>0</v>
      </c>
      <c r="G454" s="86"/>
      <c r="H454" s="149">
        <v>0</v>
      </c>
      <c r="I454" s="86"/>
      <c r="J454" s="147">
        <v>0</v>
      </c>
      <c r="K454" s="86"/>
      <c r="L454" s="138">
        <v>0</v>
      </c>
      <c r="M454" s="86"/>
      <c r="N454" s="149">
        <v>0</v>
      </c>
      <c r="O454" s="86"/>
      <c r="P454" s="138">
        <v>0</v>
      </c>
      <c r="Q454" s="86"/>
      <c r="R454" s="149">
        <f>SUM(B454:P454)</f>
        <v>-164.16000000000003</v>
      </c>
      <c r="S454" s="31"/>
      <c r="T454" s="31"/>
      <c r="U454" s="31"/>
    </row>
    <row r="455" spans="1:21" x14ac:dyDescent="0.2">
      <c r="B455" s="135">
        <f>SUM(B454)</f>
        <v>-123.12000000000003</v>
      </c>
      <c r="C455" s="135"/>
      <c r="D455" s="135">
        <f>SUM(D454)</f>
        <v>-41.04</v>
      </c>
      <c r="E455" s="135"/>
      <c r="F455" s="135">
        <f>SUM(F454)</f>
        <v>0</v>
      </c>
      <c r="G455" s="135"/>
      <c r="H455" s="135">
        <f>SUM(H454)</f>
        <v>0</v>
      </c>
      <c r="I455" s="135"/>
      <c r="J455" s="135">
        <f>SUM(J454)</f>
        <v>0</v>
      </c>
      <c r="K455" s="135"/>
      <c r="L455" s="148">
        <f>SUM(L454)</f>
        <v>0</v>
      </c>
      <c r="M455" s="135"/>
      <c r="N455" s="135">
        <f>SUM(N454)</f>
        <v>0</v>
      </c>
      <c r="O455" s="135"/>
      <c r="P455" s="148">
        <f>SUM(P454)</f>
        <v>0</v>
      </c>
      <c r="Q455" s="135"/>
      <c r="R455" s="135">
        <f>SUM(R454)</f>
        <v>-164.16000000000003</v>
      </c>
      <c r="S455" s="31"/>
      <c r="T455" s="31"/>
      <c r="U455" s="31"/>
    </row>
    <row r="456" spans="1:21" x14ac:dyDescent="0.2">
      <c r="B456" s="15"/>
      <c r="C456" s="17"/>
      <c r="D456" s="15"/>
      <c r="E456" s="17"/>
      <c r="F456" s="15"/>
      <c r="G456" s="17"/>
      <c r="H456" s="15"/>
      <c r="I456" s="17"/>
      <c r="J456" s="15"/>
      <c r="K456" s="17"/>
      <c r="L456" s="15"/>
      <c r="M456" s="17"/>
      <c r="N456" s="15"/>
      <c r="O456" s="17"/>
      <c r="P456" s="15"/>
      <c r="Q456" s="17"/>
      <c r="R456" s="15"/>
    </row>
    <row r="457" spans="1:21" x14ac:dyDescent="0.2">
      <c r="B457" s="15"/>
      <c r="C457" s="17"/>
      <c r="D457" s="15"/>
      <c r="E457" s="17"/>
      <c r="F457" s="15"/>
      <c r="G457" s="17"/>
      <c r="H457" s="15"/>
      <c r="I457" s="17"/>
      <c r="J457" s="15"/>
      <c r="K457" s="17"/>
      <c r="L457" s="15"/>
      <c r="M457" s="17"/>
      <c r="N457" s="15"/>
      <c r="O457" s="17"/>
      <c r="P457" s="15"/>
      <c r="Q457" s="17"/>
      <c r="R457" s="15"/>
    </row>
    <row r="458" spans="1:21" ht="13.5" thickBot="1" x14ac:dyDescent="0.25">
      <c r="A458" s="10" t="s">
        <v>3303</v>
      </c>
      <c r="B458" s="41">
        <f>B455</f>
        <v>-123.12000000000003</v>
      </c>
      <c r="C458" s="17"/>
      <c r="D458" s="41">
        <f>D455</f>
        <v>-41.04</v>
      </c>
      <c r="E458" s="17"/>
      <c r="F458" s="41">
        <f>F455</f>
        <v>0</v>
      </c>
      <c r="G458" s="17"/>
      <c r="H458" s="41">
        <f>H455</f>
        <v>0</v>
      </c>
      <c r="I458" s="17"/>
      <c r="J458" s="41">
        <f>J455</f>
        <v>0</v>
      </c>
      <c r="K458" s="17"/>
      <c r="L458" s="41">
        <f>L455</f>
        <v>0</v>
      </c>
      <c r="M458" s="17"/>
      <c r="N458" s="41">
        <f>N455</f>
        <v>0</v>
      </c>
      <c r="O458" s="17"/>
      <c r="P458" s="41">
        <f>P455</f>
        <v>0</v>
      </c>
      <c r="Q458" s="17"/>
      <c r="R458" s="41">
        <f>R455</f>
        <v>-164.16000000000003</v>
      </c>
    </row>
    <row r="459" spans="1:21" ht="13.5" thickTop="1" x14ac:dyDescent="0.2"/>
    <row r="461" spans="1:21" x14ac:dyDescent="0.2">
      <c r="A461" s="10" t="s">
        <v>14</v>
      </c>
    </row>
    <row r="462" spans="1:21" x14ac:dyDescent="0.2">
      <c r="A462" s="3" t="s">
        <v>3304</v>
      </c>
      <c r="B462" s="15">
        <v>0</v>
      </c>
      <c r="C462" s="17"/>
      <c r="D462" s="135">
        <v>0</v>
      </c>
      <c r="E462" s="17"/>
      <c r="F462" s="135">
        <v>0</v>
      </c>
      <c r="G462" s="17"/>
      <c r="H462" s="135">
        <v>0</v>
      </c>
      <c r="I462" s="17"/>
      <c r="J462" s="15">
        <v>0</v>
      </c>
      <c r="K462" s="17"/>
      <c r="L462" s="138">
        <v>0</v>
      </c>
      <c r="M462" s="17"/>
      <c r="N462" s="138">
        <v>0</v>
      </c>
      <c r="O462" s="17"/>
      <c r="P462" s="138">
        <v>0</v>
      </c>
      <c r="Q462" s="17"/>
      <c r="R462" s="15">
        <f t="shared" ref="R462:R490" si="18">SUM(B462:P462)</f>
        <v>0</v>
      </c>
      <c r="S462" s="15"/>
    </row>
    <row r="463" spans="1:21" x14ac:dyDescent="0.2">
      <c r="A463" s="3" t="s">
        <v>3305</v>
      </c>
      <c r="B463" s="15">
        <v>-140828.57999999999</v>
      </c>
      <c r="C463" s="17"/>
      <c r="D463" s="135">
        <v>0</v>
      </c>
      <c r="E463" s="17"/>
      <c r="F463" s="135">
        <v>0</v>
      </c>
      <c r="G463" s="17"/>
      <c r="H463" s="135">
        <v>140828.57999999999</v>
      </c>
      <c r="I463" s="17"/>
      <c r="J463" s="15">
        <v>0</v>
      </c>
      <c r="K463" s="17"/>
      <c r="L463" s="138">
        <v>0</v>
      </c>
      <c r="M463" s="17"/>
      <c r="N463" s="138">
        <v>0</v>
      </c>
      <c r="O463" s="17"/>
      <c r="P463" s="138">
        <v>0</v>
      </c>
      <c r="Q463" s="17"/>
      <c r="R463" s="15">
        <f t="shared" si="18"/>
        <v>0</v>
      </c>
      <c r="S463" s="15"/>
    </row>
    <row r="464" spans="1:21" x14ac:dyDescent="0.2">
      <c r="A464" s="3" t="s">
        <v>3306</v>
      </c>
      <c r="B464" s="15">
        <v>-10788871.170000002</v>
      </c>
      <c r="C464" s="17"/>
      <c r="D464" s="135">
        <v>-1183057.26</v>
      </c>
      <c r="E464" s="17"/>
      <c r="F464" s="135">
        <v>97142.87</v>
      </c>
      <c r="G464" s="17"/>
      <c r="H464" s="135">
        <v>1025.9000000000001</v>
      </c>
      <c r="I464" s="17"/>
      <c r="J464" s="15">
        <v>0</v>
      </c>
      <c r="K464" s="17"/>
      <c r="L464" s="138">
        <v>6218.69</v>
      </c>
      <c r="M464" s="17"/>
      <c r="N464" s="138">
        <v>0</v>
      </c>
      <c r="O464" s="17"/>
      <c r="P464" s="138">
        <v>0</v>
      </c>
      <c r="Q464" s="17"/>
      <c r="R464" s="15">
        <f>SUM(B464:P464)</f>
        <v>-11867540.970000003</v>
      </c>
      <c r="S464" s="15"/>
    </row>
    <row r="465" spans="1:19" x14ac:dyDescent="0.2">
      <c r="A465" s="141" t="s">
        <v>3307</v>
      </c>
      <c r="B465" s="15">
        <v>68154.909999999974</v>
      </c>
      <c r="C465" s="17"/>
      <c r="D465" s="135">
        <v>-22142.62</v>
      </c>
      <c r="E465" s="17"/>
      <c r="F465" s="135">
        <v>0</v>
      </c>
      <c r="G465" s="17"/>
      <c r="H465" s="135">
        <v>0</v>
      </c>
      <c r="I465" s="17"/>
      <c r="J465" s="15">
        <v>0</v>
      </c>
      <c r="K465" s="17"/>
      <c r="L465" s="138">
        <v>0</v>
      </c>
      <c r="M465" s="17"/>
      <c r="N465" s="138">
        <v>0</v>
      </c>
      <c r="O465" s="17"/>
      <c r="P465" s="138">
        <v>0</v>
      </c>
      <c r="Q465" s="17"/>
      <c r="R465" s="15">
        <f>SUM(B465:P465)</f>
        <v>46012.289999999979</v>
      </c>
      <c r="S465" s="15"/>
    </row>
    <row r="466" spans="1:19" x14ac:dyDescent="0.2">
      <c r="A466" s="161" t="s">
        <v>3308</v>
      </c>
      <c r="B466" s="15">
        <v>-137584.12</v>
      </c>
      <c r="C466" s="17"/>
      <c r="D466" s="135">
        <v>-64196.77</v>
      </c>
      <c r="E466" s="17"/>
      <c r="F466" s="135">
        <v>0</v>
      </c>
      <c r="G466" s="17"/>
      <c r="H466" s="135">
        <v>0</v>
      </c>
      <c r="I466" s="17"/>
      <c r="J466" s="15">
        <v>0</v>
      </c>
      <c r="K466" s="17"/>
      <c r="L466" s="138">
        <v>0</v>
      </c>
      <c r="M466" s="17"/>
      <c r="N466" s="138">
        <v>0</v>
      </c>
      <c r="O466" s="17"/>
      <c r="P466" s="138">
        <v>0</v>
      </c>
      <c r="Q466" s="17"/>
      <c r="R466" s="15">
        <f>SUM(B466:P466)</f>
        <v>-201780.88999999998</v>
      </c>
      <c r="S466" s="15"/>
    </row>
    <row r="467" spans="1:19" x14ac:dyDescent="0.2">
      <c r="A467" s="3" t="s">
        <v>3309</v>
      </c>
      <c r="B467" s="15">
        <v>-13574124.9</v>
      </c>
      <c r="C467" s="17"/>
      <c r="D467" s="135">
        <v>-929321.2</v>
      </c>
      <c r="E467" s="17"/>
      <c r="F467" s="135">
        <v>30537.16</v>
      </c>
      <c r="G467" s="17"/>
      <c r="H467" s="135">
        <v>0</v>
      </c>
      <c r="I467" s="17"/>
      <c r="J467" s="15">
        <v>0</v>
      </c>
      <c r="K467" s="17"/>
      <c r="L467" s="138">
        <v>7911.76</v>
      </c>
      <c r="M467" s="17"/>
      <c r="N467" s="138">
        <v>0</v>
      </c>
      <c r="O467" s="17"/>
      <c r="P467" s="138">
        <v>0</v>
      </c>
      <c r="Q467" s="17"/>
      <c r="R467" s="15">
        <f t="shared" si="18"/>
        <v>-14464997.18</v>
      </c>
      <c r="S467" s="15"/>
    </row>
    <row r="468" spans="1:19" x14ac:dyDescent="0.2">
      <c r="A468" s="3" t="s">
        <v>3310</v>
      </c>
      <c r="B468" s="15">
        <v>-1261009.0700000003</v>
      </c>
      <c r="C468" s="17"/>
      <c r="D468" s="135">
        <v>-55963.839999999997</v>
      </c>
      <c r="E468" s="17"/>
      <c r="F468" s="135">
        <v>97260.06</v>
      </c>
      <c r="G468" s="17"/>
      <c r="H468" s="135">
        <v>0</v>
      </c>
      <c r="I468" s="17"/>
      <c r="J468" s="15">
        <v>0</v>
      </c>
      <c r="K468" s="17"/>
      <c r="L468" s="138">
        <v>22926.19</v>
      </c>
      <c r="M468" s="17"/>
      <c r="N468" s="138">
        <v>0</v>
      </c>
      <c r="O468" s="17"/>
      <c r="P468" s="138">
        <v>0</v>
      </c>
      <c r="Q468" s="17"/>
      <c r="R468" s="15">
        <f t="shared" si="18"/>
        <v>-1196786.6600000004</v>
      </c>
      <c r="S468" s="15"/>
    </row>
    <row r="469" spans="1:19" x14ac:dyDescent="0.2">
      <c r="A469" s="3" t="s">
        <v>3311</v>
      </c>
      <c r="B469" s="15">
        <v>268879.48000000027</v>
      </c>
      <c r="C469" s="17"/>
      <c r="D469" s="135">
        <v>-24646.68</v>
      </c>
      <c r="E469" s="17"/>
      <c r="F469" s="135">
        <v>0</v>
      </c>
      <c r="G469" s="17"/>
      <c r="H469" s="135">
        <v>0</v>
      </c>
      <c r="I469" s="17"/>
      <c r="J469" s="15">
        <v>0</v>
      </c>
      <c r="K469" s="17"/>
      <c r="L469" s="138">
        <v>0</v>
      </c>
      <c r="M469" s="17"/>
      <c r="N469" s="138">
        <v>0</v>
      </c>
      <c r="O469" s="17"/>
      <c r="P469" s="138">
        <v>0</v>
      </c>
      <c r="Q469" s="17"/>
      <c r="R469" s="15">
        <f t="shared" si="18"/>
        <v>244232.80000000028</v>
      </c>
      <c r="S469" s="15"/>
    </row>
    <row r="470" spans="1:19" x14ac:dyDescent="0.2">
      <c r="A470" s="3" t="s">
        <v>3312</v>
      </c>
      <c r="B470" s="15">
        <v>-6530721.6799999997</v>
      </c>
      <c r="C470" s="17"/>
      <c r="D470" s="135">
        <v>-192520.3</v>
      </c>
      <c r="E470" s="17"/>
      <c r="F470" s="135">
        <v>81110.28</v>
      </c>
      <c r="G470" s="17"/>
      <c r="H470" s="135">
        <v>-140828.57999999999</v>
      </c>
      <c r="I470" s="17"/>
      <c r="J470" s="15">
        <v>0</v>
      </c>
      <c r="K470" s="17"/>
      <c r="L470" s="138">
        <v>0</v>
      </c>
      <c r="M470" s="17"/>
      <c r="N470" s="138">
        <v>0</v>
      </c>
      <c r="O470" s="17"/>
      <c r="P470" s="138">
        <v>0</v>
      </c>
      <c r="Q470" s="17"/>
      <c r="R470" s="15">
        <f t="shared" si="18"/>
        <v>-6782960.2799999993</v>
      </c>
      <c r="S470" s="15"/>
    </row>
    <row r="471" spans="1:19" x14ac:dyDescent="0.2">
      <c r="A471" s="3" t="s">
        <v>3313</v>
      </c>
      <c r="B471" s="15">
        <v>-184340.53000000003</v>
      </c>
      <c r="C471" s="17"/>
      <c r="D471" s="135">
        <v>-14503.44</v>
      </c>
      <c r="E471" s="17"/>
      <c r="F471" s="135">
        <v>0</v>
      </c>
      <c r="G471" s="17"/>
      <c r="H471" s="135">
        <v>0</v>
      </c>
      <c r="I471" s="17"/>
      <c r="J471" s="15">
        <v>0</v>
      </c>
      <c r="K471" s="17"/>
      <c r="L471" s="138">
        <v>0</v>
      </c>
      <c r="M471" s="17"/>
      <c r="N471" s="138">
        <v>0</v>
      </c>
      <c r="O471" s="17"/>
      <c r="P471" s="138">
        <v>0</v>
      </c>
      <c r="Q471" s="17"/>
      <c r="R471" s="15">
        <f t="shared" si="18"/>
        <v>-198843.97000000003</v>
      </c>
      <c r="S471" s="15"/>
    </row>
    <row r="472" spans="1:19" x14ac:dyDescent="0.2">
      <c r="A472" s="3" t="s">
        <v>3314</v>
      </c>
      <c r="B472" s="15">
        <v>-344924.73000000004</v>
      </c>
      <c r="C472" s="17"/>
      <c r="D472" s="135">
        <v>-24834.62</v>
      </c>
      <c r="E472" s="17"/>
      <c r="F472" s="135">
        <v>0</v>
      </c>
      <c r="G472" s="17"/>
      <c r="H472" s="135">
        <v>0</v>
      </c>
      <c r="I472" s="17"/>
      <c r="J472" s="15">
        <v>0</v>
      </c>
      <c r="K472" s="17"/>
      <c r="L472" s="138">
        <v>0</v>
      </c>
      <c r="M472" s="17"/>
      <c r="N472" s="138">
        <v>0</v>
      </c>
      <c r="O472" s="17"/>
      <c r="P472" s="138">
        <v>0</v>
      </c>
      <c r="Q472" s="17"/>
      <c r="R472" s="15">
        <f t="shared" si="18"/>
        <v>-369759.35000000003</v>
      </c>
      <c r="S472" s="15"/>
    </row>
    <row r="473" spans="1:19" x14ac:dyDescent="0.2">
      <c r="A473" s="3" t="s">
        <v>3315</v>
      </c>
      <c r="B473" s="15">
        <v>-4953564.7899999991</v>
      </c>
      <c r="C473" s="17"/>
      <c r="D473" s="135">
        <v>-1388301.08</v>
      </c>
      <c r="E473" s="17"/>
      <c r="F473" s="135">
        <v>149020.1</v>
      </c>
      <c r="G473" s="17"/>
      <c r="H473" s="135">
        <v>-973.36</v>
      </c>
      <c r="I473" s="17"/>
      <c r="J473" s="15">
        <v>0</v>
      </c>
      <c r="K473" s="17"/>
      <c r="L473" s="138">
        <v>973.36</v>
      </c>
      <c r="M473" s="17"/>
      <c r="N473" s="138">
        <v>0</v>
      </c>
      <c r="O473" s="17"/>
      <c r="P473" s="138">
        <v>0</v>
      </c>
      <c r="Q473" s="17"/>
      <c r="R473" s="15">
        <f t="shared" si="18"/>
        <v>-6192845.7699999996</v>
      </c>
      <c r="S473" s="15"/>
    </row>
    <row r="474" spans="1:19" x14ac:dyDescent="0.2">
      <c r="A474" s="3" t="s">
        <v>3316</v>
      </c>
      <c r="B474" s="15">
        <v>-412533.59000000032</v>
      </c>
      <c r="C474" s="17"/>
      <c r="D474" s="135">
        <v>-94213.63</v>
      </c>
      <c r="E474" s="17"/>
      <c r="F474" s="135">
        <v>177487.45</v>
      </c>
      <c r="G474" s="17"/>
      <c r="H474" s="135">
        <v>0</v>
      </c>
      <c r="I474" s="17"/>
      <c r="J474" s="15">
        <v>0</v>
      </c>
      <c r="K474" s="17"/>
      <c r="L474" s="138">
        <v>33377.589999999997</v>
      </c>
      <c r="M474" s="17"/>
      <c r="N474" s="138">
        <v>0</v>
      </c>
      <c r="O474" s="17"/>
      <c r="P474" s="138">
        <v>0</v>
      </c>
      <c r="Q474" s="17"/>
      <c r="R474" s="15">
        <f t="shared" si="18"/>
        <v>-295882.18000000028</v>
      </c>
      <c r="S474" s="15"/>
    </row>
    <row r="475" spans="1:19" x14ac:dyDescent="0.2">
      <c r="A475" s="133" t="s">
        <v>3317</v>
      </c>
      <c r="B475" s="15">
        <v>-10172497.51</v>
      </c>
      <c r="C475" s="17"/>
      <c r="D475" s="135">
        <v>-755918.45</v>
      </c>
      <c r="E475" s="17"/>
      <c r="F475" s="135">
        <v>4312339.99</v>
      </c>
      <c r="G475" s="17"/>
      <c r="H475" s="135">
        <v>0</v>
      </c>
      <c r="I475" s="17"/>
      <c r="J475" s="15">
        <v>0</v>
      </c>
      <c r="K475" s="17"/>
      <c r="L475" s="138">
        <v>0</v>
      </c>
      <c r="M475" s="17"/>
      <c r="N475" s="138">
        <v>0</v>
      </c>
      <c r="O475" s="17"/>
      <c r="P475" s="138">
        <v>0</v>
      </c>
      <c r="Q475" s="17"/>
      <c r="R475" s="15">
        <f t="shared" si="18"/>
        <v>-6616075.9699999988</v>
      </c>
      <c r="S475" s="15"/>
    </row>
    <row r="476" spans="1:19" x14ac:dyDescent="0.2">
      <c r="A476" s="3" t="s">
        <v>3318</v>
      </c>
      <c r="B476" s="15">
        <v>-2444311.41</v>
      </c>
      <c r="C476" s="17"/>
      <c r="D476" s="135">
        <v>-1172324.75</v>
      </c>
      <c r="E476" s="17"/>
      <c r="F476" s="135">
        <v>1228505.58</v>
      </c>
      <c r="G476" s="17"/>
      <c r="H476" s="135">
        <v>0</v>
      </c>
      <c r="I476" s="17"/>
      <c r="J476" s="15">
        <v>0</v>
      </c>
      <c r="K476" s="17"/>
      <c r="L476" s="138">
        <v>0</v>
      </c>
      <c r="M476" s="17"/>
      <c r="N476" s="138">
        <v>0</v>
      </c>
      <c r="O476" s="17"/>
      <c r="P476" s="138">
        <v>0</v>
      </c>
      <c r="Q476" s="17"/>
      <c r="R476" s="15">
        <f t="shared" si="18"/>
        <v>-2388130.58</v>
      </c>
      <c r="S476" s="15"/>
    </row>
    <row r="477" spans="1:19" x14ac:dyDescent="0.2">
      <c r="A477" s="133" t="s">
        <v>3319</v>
      </c>
      <c r="B477" s="15">
        <v>-1.4551915228366852E-11</v>
      </c>
      <c r="C477" s="17"/>
      <c r="D477" s="135">
        <v>0</v>
      </c>
      <c r="E477" s="17"/>
      <c r="F477" s="135">
        <v>0</v>
      </c>
      <c r="G477" s="17"/>
      <c r="H477" s="135">
        <v>0</v>
      </c>
      <c r="I477" s="17"/>
      <c r="J477" s="15">
        <v>0</v>
      </c>
      <c r="K477" s="17"/>
      <c r="L477" s="138">
        <v>0</v>
      </c>
      <c r="M477" s="17"/>
      <c r="N477" s="138">
        <v>0</v>
      </c>
      <c r="O477" s="17"/>
      <c r="P477" s="138">
        <v>0</v>
      </c>
      <c r="Q477" s="17"/>
      <c r="R477" s="15">
        <f t="shared" si="18"/>
        <v>-1.4551915228366852E-11</v>
      </c>
      <c r="S477" s="15"/>
    </row>
    <row r="478" spans="1:19" x14ac:dyDescent="0.2">
      <c r="A478" s="3" t="s">
        <v>3320</v>
      </c>
      <c r="B478" s="15">
        <v>-464753.74</v>
      </c>
      <c r="C478" s="17"/>
      <c r="D478" s="135">
        <v>-185690.23999999999</v>
      </c>
      <c r="E478" s="17"/>
      <c r="F478" s="135">
        <v>6516.09</v>
      </c>
      <c r="G478" s="17"/>
      <c r="H478" s="135">
        <v>0</v>
      </c>
      <c r="I478" s="17"/>
      <c r="J478" s="15">
        <v>0</v>
      </c>
      <c r="K478" s="17"/>
      <c r="L478" s="138">
        <v>0</v>
      </c>
      <c r="M478" s="17"/>
      <c r="N478" s="138">
        <v>0</v>
      </c>
      <c r="O478" s="17"/>
      <c r="P478" s="138">
        <v>0</v>
      </c>
      <c r="Q478" s="17"/>
      <c r="R478" s="15">
        <f t="shared" si="18"/>
        <v>-643927.89</v>
      </c>
      <c r="S478" s="15"/>
    </row>
    <row r="479" spans="1:19" x14ac:dyDescent="0.2">
      <c r="A479" s="3" t="s">
        <v>3321</v>
      </c>
      <c r="B479" s="15">
        <v>-19940.05</v>
      </c>
      <c r="C479" s="17"/>
      <c r="D479" s="135">
        <v>-817.31</v>
      </c>
      <c r="E479" s="17"/>
      <c r="F479" s="135">
        <v>0</v>
      </c>
      <c r="G479" s="17"/>
      <c r="H479" s="135">
        <v>0</v>
      </c>
      <c r="I479" s="17"/>
      <c r="J479" s="15">
        <v>0</v>
      </c>
      <c r="K479" s="17"/>
      <c r="L479" s="138">
        <v>0</v>
      </c>
      <c r="M479" s="17"/>
      <c r="N479" s="138">
        <v>0</v>
      </c>
      <c r="O479" s="17"/>
      <c r="P479" s="138">
        <v>0</v>
      </c>
      <c r="Q479" s="17"/>
      <c r="R479" s="15">
        <f t="shared" si="18"/>
        <v>-20757.36</v>
      </c>
      <c r="S479" s="15"/>
    </row>
    <row r="480" spans="1:19" x14ac:dyDescent="0.2">
      <c r="A480" s="3" t="s">
        <v>3322</v>
      </c>
      <c r="B480" s="15">
        <v>-148411.52000000002</v>
      </c>
      <c r="C480" s="17"/>
      <c r="D480" s="135">
        <v>-30311.18</v>
      </c>
      <c r="E480" s="17"/>
      <c r="F480" s="135">
        <v>0</v>
      </c>
      <c r="G480" s="17"/>
      <c r="H480" s="135">
        <v>0</v>
      </c>
      <c r="I480" s="17"/>
      <c r="J480" s="15">
        <v>0</v>
      </c>
      <c r="K480" s="17"/>
      <c r="L480" s="138">
        <v>0</v>
      </c>
      <c r="M480" s="17"/>
      <c r="N480" s="138">
        <v>0</v>
      </c>
      <c r="O480" s="17"/>
      <c r="P480" s="138">
        <v>0</v>
      </c>
      <c r="Q480" s="17"/>
      <c r="R480" s="15">
        <f t="shared" si="18"/>
        <v>-178722.7</v>
      </c>
      <c r="S480" s="15"/>
    </row>
    <row r="481" spans="1:20" x14ac:dyDescent="0.2">
      <c r="A481" s="3" t="s">
        <v>3323</v>
      </c>
      <c r="B481" s="15">
        <v>-10761.830000000002</v>
      </c>
      <c r="C481" s="17"/>
      <c r="D481" s="135">
        <v>-2876.64</v>
      </c>
      <c r="E481" s="17"/>
      <c r="F481" s="135">
        <v>7703.58</v>
      </c>
      <c r="G481" s="17"/>
      <c r="H481" s="135">
        <v>0</v>
      </c>
      <c r="I481" s="17"/>
      <c r="J481" s="15">
        <v>0</v>
      </c>
      <c r="K481" s="17"/>
      <c r="L481" s="138">
        <v>0</v>
      </c>
      <c r="M481" s="17"/>
      <c r="N481" s="138">
        <v>0</v>
      </c>
      <c r="O481" s="17"/>
      <c r="P481" s="138">
        <v>0</v>
      </c>
      <c r="Q481" s="17"/>
      <c r="R481" s="15">
        <f t="shared" si="18"/>
        <v>-5934.8900000000012</v>
      </c>
      <c r="S481" s="15"/>
    </row>
    <row r="482" spans="1:20" x14ac:dyDescent="0.2">
      <c r="A482" s="3" t="s">
        <v>3324</v>
      </c>
      <c r="B482" s="15">
        <v>-827698.47</v>
      </c>
      <c r="C482" s="17"/>
      <c r="D482" s="135">
        <v>-86437.52</v>
      </c>
      <c r="E482" s="17"/>
      <c r="F482" s="135">
        <v>0</v>
      </c>
      <c r="G482" s="17"/>
      <c r="H482" s="135">
        <v>0</v>
      </c>
      <c r="I482" s="17"/>
      <c r="J482" s="15">
        <v>0</v>
      </c>
      <c r="K482" s="17"/>
      <c r="L482" s="138">
        <v>0</v>
      </c>
      <c r="M482" s="17"/>
      <c r="N482" s="138">
        <v>0</v>
      </c>
      <c r="O482" s="17"/>
      <c r="P482" s="138">
        <v>0</v>
      </c>
      <c r="Q482" s="17"/>
      <c r="R482" s="15">
        <f t="shared" si="18"/>
        <v>-914135.99</v>
      </c>
      <c r="S482" s="15"/>
    </row>
    <row r="483" spans="1:20" x14ac:dyDescent="0.2">
      <c r="A483" s="3" t="s">
        <v>3325</v>
      </c>
      <c r="B483" s="15">
        <v>-2005862.6499999994</v>
      </c>
      <c r="C483" s="17"/>
      <c r="D483" s="135">
        <v>-202550.19</v>
      </c>
      <c r="E483" s="17"/>
      <c r="F483" s="135">
        <v>0</v>
      </c>
      <c r="G483" s="17"/>
      <c r="H483" s="135">
        <v>381.96</v>
      </c>
      <c r="I483" s="17"/>
      <c r="J483" s="15">
        <v>0</v>
      </c>
      <c r="K483" s="17"/>
      <c r="L483" s="138">
        <v>0</v>
      </c>
      <c r="M483" s="17"/>
      <c r="N483" s="138">
        <v>0</v>
      </c>
      <c r="O483" s="17"/>
      <c r="P483" s="138">
        <v>0</v>
      </c>
      <c r="Q483" s="17"/>
      <c r="R483" s="15">
        <f t="shared" si="18"/>
        <v>-2208030.8799999994</v>
      </c>
      <c r="S483" s="15"/>
      <c r="T483" s="39"/>
    </row>
    <row r="484" spans="1:20" x14ac:dyDescent="0.2">
      <c r="A484" s="3" t="s">
        <v>3326</v>
      </c>
      <c r="B484" s="15">
        <v>1.8189894035458565E-12</v>
      </c>
      <c r="C484" s="17"/>
      <c r="D484" s="135">
        <v>0</v>
      </c>
      <c r="E484" s="17"/>
      <c r="F484" s="135">
        <v>0</v>
      </c>
      <c r="G484" s="17"/>
      <c r="H484" s="135">
        <v>0</v>
      </c>
      <c r="I484" s="17"/>
      <c r="J484" s="15">
        <v>0</v>
      </c>
      <c r="K484" s="17"/>
      <c r="L484" s="138">
        <v>0</v>
      </c>
      <c r="M484" s="17"/>
      <c r="N484" s="138">
        <v>0</v>
      </c>
      <c r="O484" s="17"/>
      <c r="P484" s="138">
        <v>0</v>
      </c>
      <c r="Q484" s="17"/>
      <c r="R484" s="15">
        <f t="shared" si="18"/>
        <v>1.8189894035458565E-12</v>
      </c>
      <c r="S484" s="15"/>
    </row>
    <row r="485" spans="1:20" x14ac:dyDescent="0.2">
      <c r="A485" s="133" t="s">
        <v>3327</v>
      </c>
      <c r="B485" s="15">
        <v>-285438.08000000002</v>
      </c>
      <c r="C485" s="17"/>
      <c r="D485" s="135">
        <v>-5009.7299999999996</v>
      </c>
      <c r="E485" s="17"/>
      <c r="F485" s="135">
        <v>0</v>
      </c>
      <c r="G485" s="17"/>
      <c r="H485" s="135">
        <v>0</v>
      </c>
      <c r="I485" s="17"/>
      <c r="J485" s="15">
        <v>0</v>
      </c>
      <c r="K485" s="17"/>
      <c r="L485" s="138">
        <v>0</v>
      </c>
      <c r="M485" s="17"/>
      <c r="N485" s="138">
        <v>0</v>
      </c>
      <c r="O485" s="17"/>
      <c r="P485" s="138">
        <v>0</v>
      </c>
      <c r="Q485" s="17"/>
      <c r="R485" s="15">
        <f t="shared" si="18"/>
        <v>-290447.81</v>
      </c>
      <c r="S485" s="15"/>
    </row>
    <row r="486" spans="1:20" x14ac:dyDescent="0.2">
      <c r="A486" s="3" t="s">
        <v>3328</v>
      </c>
      <c r="B486" s="15">
        <v>-12642.29</v>
      </c>
      <c r="C486" s="17"/>
      <c r="D486" s="135">
        <v>-929.4</v>
      </c>
      <c r="E486" s="17"/>
      <c r="F486" s="135">
        <v>0</v>
      </c>
      <c r="G486" s="17"/>
      <c r="H486" s="135">
        <v>-0.01</v>
      </c>
      <c r="I486" s="17"/>
      <c r="J486" s="15">
        <v>0</v>
      </c>
      <c r="K486" s="17"/>
      <c r="L486" s="138">
        <v>0</v>
      </c>
      <c r="M486" s="17"/>
      <c r="N486" s="138">
        <v>0</v>
      </c>
      <c r="O486" s="17"/>
      <c r="P486" s="138">
        <v>0</v>
      </c>
      <c r="Q486" s="17"/>
      <c r="R486" s="15">
        <f t="shared" si="18"/>
        <v>-13571.7</v>
      </c>
      <c r="S486" s="15"/>
    </row>
    <row r="487" spans="1:20" x14ac:dyDescent="0.2">
      <c r="A487" s="3" t="s">
        <v>3329</v>
      </c>
      <c r="B487" s="15">
        <v>-23781570.850000001</v>
      </c>
      <c r="C487" s="17"/>
      <c r="D487" s="135">
        <v>-3033137.43</v>
      </c>
      <c r="E487" s="17"/>
      <c r="F487" s="135">
        <v>10069894.310000001</v>
      </c>
      <c r="G487" s="17"/>
      <c r="H487" s="135">
        <v>0</v>
      </c>
      <c r="I487" s="17"/>
      <c r="J487" s="15">
        <v>0</v>
      </c>
      <c r="K487" s="17"/>
      <c r="L487" s="138">
        <v>79484.710000000006</v>
      </c>
      <c r="M487" s="17"/>
      <c r="N487" s="138">
        <v>-1397.96</v>
      </c>
      <c r="O487" s="17"/>
      <c r="P487" s="138">
        <v>0</v>
      </c>
      <c r="Q487" s="17"/>
      <c r="R487" s="15">
        <f t="shared" si="18"/>
        <v>-16666727.220000001</v>
      </c>
      <c r="S487" s="15"/>
    </row>
    <row r="488" spans="1:20" x14ac:dyDescent="0.2">
      <c r="A488" s="3" t="s">
        <v>3330</v>
      </c>
      <c r="B488" s="15">
        <v>-13191738.379999999</v>
      </c>
      <c r="C488" s="17"/>
      <c r="D488" s="135">
        <v>-807364.77</v>
      </c>
      <c r="E488" s="17"/>
      <c r="F488" s="135">
        <v>4105438.96</v>
      </c>
      <c r="G488" s="17"/>
      <c r="H488" s="135">
        <v>0</v>
      </c>
      <c r="I488" s="17"/>
      <c r="J488" s="15">
        <v>0</v>
      </c>
      <c r="K488" s="17"/>
      <c r="L488" s="138">
        <v>0</v>
      </c>
      <c r="M488" s="17"/>
      <c r="N488" s="138">
        <v>0</v>
      </c>
      <c r="O488" s="17"/>
      <c r="P488" s="138">
        <v>0</v>
      </c>
      <c r="Q488" s="17"/>
      <c r="R488" s="15">
        <f t="shared" si="18"/>
        <v>-9893664.1899999976</v>
      </c>
      <c r="S488" s="15"/>
    </row>
    <row r="489" spans="1:20" x14ac:dyDescent="0.2">
      <c r="A489" s="3" t="s">
        <v>3331</v>
      </c>
      <c r="B489" s="15">
        <v>-9.9999999365536496E-3</v>
      </c>
      <c r="C489" s="17"/>
      <c r="D489" s="135">
        <v>0</v>
      </c>
      <c r="E489" s="17"/>
      <c r="F489" s="135">
        <v>0</v>
      </c>
      <c r="G489" s="17"/>
      <c r="H489" s="135">
        <v>0.01</v>
      </c>
      <c r="I489" s="17"/>
      <c r="J489" s="15">
        <v>0</v>
      </c>
      <c r="K489" s="17"/>
      <c r="L489" s="138">
        <v>0</v>
      </c>
      <c r="M489" s="17"/>
      <c r="N489" s="138">
        <v>0</v>
      </c>
      <c r="O489" s="17"/>
      <c r="P489" s="138">
        <v>0</v>
      </c>
      <c r="Q489" s="17"/>
      <c r="R489" s="15">
        <f t="shared" si="18"/>
        <v>6.3446350603846291E-11</v>
      </c>
      <c r="S489" s="15"/>
    </row>
    <row r="490" spans="1:20" x14ac:dyDescent="0.2">
      <c r="A490" s="3" t="s">
        <v>3332</v>
      </c>
      <c r="B490" s="16">
        <v>0</v>
      </c>
      <c r="C490" s="17"/>
      <c r="D490" s="135">
        <v>0</v>
      </c>
      <c r="E490" s="17"/>
      <c r="F490" s="135">
        <v>0</v>
      </c>
      <c r="G490" s="17"/>
      <c r="H490" s="135">
        <v>0</v>
      </c>
      <c r="I490" s="17"/>
      <c r="J490" s="15">
        <v>0</v>
      </c>
      <c r="K490" s="17"/>
      <c r="L490" s="138">
        <v>0</v>
      </c>
      <c r="M490" s="17"/>
      <c r="N490" s="138">
        <v>0</v>
      </c>
      <c r="O490" s="17"/>
      <c r="P490" s="138">
        <v>0</v>
      </c>
      <c r="Q490" s="17"/>
      <c r="R490" s="16">
        <f t="shared" si="18"/>
        <v>0</v>
      </c>
      <c r="S490" s="15"/>
    </row>
    <row r="491" spans="1:20" x14ac:dyDescent="0.2">
      <c r="B491" s="17">
        <f>SUM(B462:B474)+SUM(B475:B490)</f>
        <v>-91357095.560000002</v>
      </c>
      <c r="C491" s="17"/>
      <c r="D491" s="20">
        <f>SUM(D462:D474)+SUM(D475:D490)</f>
        <v>-10277069.049999999</v>
      </c>
      <c r="E491" s="17"/>
      <c r="F491" s="20">
        <f>SUM(F462:F474)+SUM(F475:F490)</f>
        <v>20362956.43</v>
      </c>
      <c r="G491" s="142"/>
      <c r="H491" s="20">
        <f>SUM(H462:H474)+SUM(H475:H490)</f>
        <v>434.49999999999415</v>
      </c>
      <c r="I491" s="142"/>
      <c r="J491" s="20">
        <f>SUM(J462:J474)+SUM(J475:J490)</f>
        <v>0</v>
      </c>
      <c r="K491" s="142"/>
      <c r="L491" s="20">
        <f>SUM(L462:L474)+SUM(L475:L490)</f>
        <v>150892.29999999999</v>
      </c>
      <c r="M491" s="17"/>
      <c r="N491" s="20">
        <f>SUM(N462:N474)+SUM(N475:N490)</f>
        <v>-1397.96</v>
      </c>
      <c r="O491" s="17"/>
      <c r="P491" s="20">
        <f>SUM(P462:P474)+SUM(P475:P490)</f>
        <v>0</v>
      </c>
      <c r="Q491" s="17"/>
      <c r="R491" s="17">
        <f>SUM(R462:R474)+SUM(R475:R490)</f>
        <v>-81121279.340000004</v>
      </c>
      <c r="S491" s="15"/>
    </row>
    <row r="492" spans="1:20" x14ac:dyDescent="0.2">
      <c r="B492" s="17"/>
      <c r="C492" s="17"/>
      <c r="D492" s="17"/>
      <c r="E492" s="17"/>
      <c r="F492" s="17"/>
      <c r="G492" s="142"/>
      <c r="H492" s="17"/>
      <c r="I492" s="142"/>
      <c r="J492" s="17"/>
      <c r="K492" s="142"/>
      <c r="L492" s="17"/>
      <c r="M492" s="17"/>
      <c r="N492" s="17"/>
      <c r="O492" s="17"/>
      <c r="P492" s="17"/>
      <c r="Q492" s="17"/>
      <c r="R492" s="17"/>
      <c r="S492" s="15"/>
    </row>
    <row r="493" spans="1:20" x14ac:dyDescent="0.2">
      <c r="A493" s="10" t="s">
        <v>3333</v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5"/>
    </row>
    <row r="494" spans="1:20" x14ac:dyDescent="0.2">
      <c r="A494" s="3" t="s">
        <v>3334</v>
      </c>
      <c r="B494" s="15">
        <v>0</v>
      </c>
      <c r="C494" s="17"/>
      <c r="D494" s="135">
        <v>0</v>
      </c>
      <c r="E494" s="17"/>
      <c r="F494" s="135">
        <v>0</v>
      </c>
      <c r="G494" s="17"/>
      <c r="H494" s="135">
        <v>0</v>
      </c>
      <c r="I494" s="17"/>
      <c r="J494" s="17">
        <v>0</v>
      </c>
      <c r="K494" s="17"/>
      <c r="L494" s="138">
        <v>0</v>
      </c>
      <c r="M494" s="17"/>
      <c r="N494" s="138">
        <v>0</v>
      </c>
      <c r="O494" s="17"/>
      <c r="P494" s="138">
        <v>0</v>
      </c>
      <c r="Q494" s="17"/>
      <c r="R494" s="15">
        <f>SUM(B494:P494)</f>
        <v>0</v>
      </c>
      <c r="S494" s="15"/>
    </row>
    <row r="495" spans="1:20" x14ac:dyDescent="0.2">
      <c r="A495" s="3" t="s">
        <v>3335</v>
      </c>
      <c r="B495" s="15">
        <v>-249.93</v>
      </c>
      <c r="C495" s="17"/>
      <c r="D495" s="135">
        <v>0</v>
      </c>
      <c r="E495" s="17"/>
      <c r="F495" s="135">
        <v>0</v>
      </c>
      <c r="G495" s="17"/>
      <c r="H495" s="135">
        <v>0</v>
      </c>
      <c r="I495" s="17"/>
      <c r="J495" s="17">
        <v>0</v>
      </c>
      <c r="K495" s="17"/>
      <c r="L495" s="138">
        <v>0</v>
      </c>
      <c r="M495" s="17"/>
      <c r="N495" s="138">
        <v>0</v>
      </c>
      <c r="O495" s="17"/>
      <c r="P495" s="138">
        <v>0</v>
      </c>
      <c r="Q495" s="17"/>
      <c r="R495" s="15">
        <f>SUM(B495:P495)</f>
        <v>-249.93</v>
      </c>
      <c r="S495" s="15"/>
    </row>
    <row r="496" spans="1:20" x14ac:dyDescent="0.2">
      <c r="A496" s="3" t="s">
        <v>3336</v>
      </c>
      <c r="B496" s="15">
        <v>-1.490000000001146</v>
      </c>
      <c r="C496" s="17"/>
      <c r="D496" s="135">
        <v>0</v>
      </c>
      <c r="E496" s="17"/>
      <c r="F496" s="135">
        <v>0</v>
      </c>
      <c r="G496" s="17"/>
      <c r="H496" s="135">
        <v>1.49</v>
      </c>
      <c r="I496" s="17"/>
      <c r="J496" s="17">
        <v>0</v>
      </c>
      <c r="K496" s="17"/>
      <c r="L496" s="138">
        <v>0</v>
      </c>
      <c r="M496" s="17"/>
      <c r="N496" s="138">
        <v>0</v>
      </c>
      <c r="O496" s="17"/>
      <c r="P496" s="138">
        <v>0</v>
      </c>
      <c r="Q496" s="17"/>
      <c r="R496" s="15">
        <f>SUM(B496:P496)</f>
        <v>-1.1459722060180866E-12</v>
      </c>
      <c r="S496" s="15"/>
    </row>
    <row r="497" spans="1:19" x14ac:dyDescent="0.2">
      <c r="A497" s="3" t="s">
        <v>3337</v>
      </c>
      <c r="B497" s="17">
        <v>-63110.43</v>
      </c>
      <c r="C497" s="17"/>
      <c r="D497" s="135">
        <v>0</v>
      </c>
      <c r="E497" s="17"/>
      <c r="F497" s="135">
        <v>0</v>
      </c>
      <c r="G497" s="17"/>
      <c r="H497" s="135">
        <v>0</v>
      </c>
      <c r="I497" s="17"/>
      <c r="J497" s="17">
        <v>0</v>
      </c>
      <c r="K497" s="17"/>
      <c r="L497" s="138">
        <v>0</v>
      </c>
      <c r="M497" s="17"/>
      <c r="N497" s="138">
        <v>0</v>
      </c>
      <c r="O497" s="17"/>
      <c r="P497" s="138">
        <v>0</v>
      </c>
      <c r="Q497" s="17"/>
      <c r="R497" s="17">
        <f>SUM(B497:P497)</f>
        <v>-63110.43</v>
      </c>
      <c r="S497" s="15"/>
    </row>
    <row r="498" spans="1:19" x14ac:dyDescent="0.2">
      <c r="A498" s="111" t="s">
        <v>3338</v>
      </c>
      <c r="B498" s="17">
        <v>0</v>
      </c>
      <c r="C498" s="17"/>
      <c r="D498" s="135">
        <v>0</v>
      </c>
      <c r="E498" s="17"/>
      <c r="F498" s="135">
        <v>0</v>
      </c>
      <c r="G498" s="17"/>
      <c r="H498" s="135">
        <v>0</v>
      </c>
      <c r="I498" s="17"/>
      <c r="J498" s="17">
        <v>0</v>
      </c>
      <c r="K498" s="17"/>
      <c r="L498" s="138">
        <v>0</v>
      </c>
      <c r="M498" s="17"/>
      <c r="N498" s="138">
        <v>0</v>
      </c>
      <c r="O498" s="17"/>
      <c r="P498" s="138">
        <v>0</v>
      </c>
      <c r="Q498" s="17"/>
      <c r="R498" s="17">
        <f>SUM(B498:P498)</f>
        <v>0</v>
      </c>
      <c r="S498" s="15"/>
    </row>
    <row r="499" spans="1:19" x14ac:dyDescent="0.2">
      <c r="B499" s="20">
        <f>SUM(B494:B498)</f>
        <v>-63361.85</v>
      </c>
      <c r="C499" s="17"/>
      <c r="D499" s="20">
        <f>SUM(D494:D498)</f>
        <v>0</v>
      </c>
      <c r="E499" s="17"/>
      <c r="F499" s="20">
        <f>SUM(F494:F498)</f>
        <v>0</v>
      </c>
      <c r="G499" s="17"/>
      <c r="H499" s="20">
        <f>SUM(H494:H498)</f>
        <v>1.49</v>
      </c>
      <c r="I499" s="17"/>
      <c r="J499" s="20">
        <f>SUM(J494:J498)</f>
        <v>0</v>
      </c>
      <c r="K499" s="17"/>
      <c r="L499" s="20">
        <f>SUM(L494:L498)</f>
        <v>0</v>
      </c>
      <c r="M499" s="17"/>
      <c r="N499" s="20">
        <f>SUM(N494:N498)</f>
        <v>0</v>
      </c>
      <c r="O499" s="17"/>
      <c r="P499" s="20">
        <f>SUM(P494:P498)</f>
        <v>0</v>
      </c>
      <c r="Q499" s="17"/>
      <c r="R499" s="20">
        <f>SUM(R494:R498)</f>
        <v>-63360.36</v>
      </c>
      <c r="S499" s="15"/>
    </row>
    <row r="500" spans="1:19" x14ac:dyDescent="0.2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5"/>
    </row>
    <row r="501" spans="1:19" x14ac:dyDescent="0.2">
      <c r="B501" s="15"/>
      <c r="C501" s="17"/>
      <c r="D501" s="15"/>
      <c r="E501" s="17"/>
      <c r="F501" s="15"/>
      <c r="G501" s="17"/>
      <c r="H501" s="15"/>
      <c r="I501" s="17"/>
      <c r="J501" s="15"/>
      <c r="K501" s="17"/>
      <c r="L501" s="15"/>
      <c r="M501" s="17"/>
      <c r="N501" s="15"/>
      <c r="O501" s="17"/>
      <c r="P501" s="15"/>
      <c r="Q501" s="17"/>
      <c r="R501" s="15"/>
      <c r="S501" s="15"/>
    </row>
    <row r="502" spans="1:19" ht="13.5" thickBot="1" x14ac:dyDescent="0.25">
      <c r="A502" s="10" t="s">
        <v>3339</v>
      </c>
      <c r="B502" s="41">
        <f>B499+B491</f>
        <v>-91420457.409999996</v>
      </c>
      <c r="C502" s="17"/>
      <c r="D502" s="41">
        <f>D499+D491</f>
        <v>-10277069.049999999</v>
      </c>
      <c r="E502" s="17"/>
      <c r="F502" s="41">
        <f>F499+F491</f>
        <v>20362956.43</v>
      </c>
      <c r="G502" s="17"/>
      <c r="H502" s="41">
        <f>H499+H491</f>
        <v>435.98999999999415</v>
      </c>
      <c r="I502" s="17"/>
      <c r="J502" s="41">
        <f>J499+J491</f>
        <v>0</v>
      </c>
      <c r="K502" s="17"/>
      <c r="L502" s="41">
        <f>L499+L491</f>
        <v>150892.29999999999</v>
      </c>
      <c r="M502" s="17"/>
      <c r="N502" s="41">
        <f>N499+N491</f>
        <v>-1397.96</v>
      </c>
      <c r="O502" s="17"/>
      <c r="P502" s="41">
        <f>P499+P491</f>
        <v>0</v>
      </c>
      <c r="Q502" s="17"/>
      <c r="R502" s="41">
        <f>R499+R491</f>
        <v>-81184639.700000003</v>
      </c>
      <c r="S502" s="15"/>
    </row>
    <row r="503" spans="1:19" ht="13.5" thickTop="1" x14ac:dyDescent="0.2"/>
    <row r="505" spans="1:19" x14ac:dyDescent="0.2">
      <c r="A505" s="10" t="s">
        <v>15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5"/>
    </row>
    <row r="506" spans="1:19" x14ac:dyDescent="0.2">
      <c r="A506" s="3" t="s">
        <v>3340</v>
      </c>
      <c r="B506" s="15">
        <v>0</v>
      </c>
      <c r="C506" s="17"/>
      <c r="D506" s="135">
        <v>0</v>
      </c>
      <c r="E506" s="17"/>
      <c r="F506" s="135">
        <v>0</v>
      </c>
      <c r="G506" s="17"/>
      <c r="H506" s="135">
        <v>0</v>
      </c>
      <c r="I506" s="17"/>
      <c r="J506" s="17">
        <v>0</v>
      </c>
      <c r="K506" s="17"/>
      <c r="L506" s="138">
        <v>0</v>
      </c>
      <c r="M506" s="17"/>
      <c r="N506" s="138">
        <v>0</v>
      </c>
      <c r="O506" s="17"/>
      <c r="P506" s="138">
        <v>0</v>
      </c>
      <c r="Q506" s="17"/>
      <c r="R506" s="15">
        <f>SUM(B506:P506)</f>
        <v>0</v>
      </c>
      <c r="S506" s="15"/>
    </row>
    <row r="507" spans="1:19" x14ac:dyDescent="0.2">
      <c r="A507" s="3" t="s">
        <v>3341</v>
      </c>
      <c r="B507" s="15">
        <v>0</v>
      </c>
      <c r="C507" s="17"/>
      <c r="D507" s="135">
        <v>0</v>
      </c>
      <c r="E507" s="17"/>
      <c r="F507" s="135">
        <v>0</v>
      </c>
      <c r="G507" s="17"/>
      <c r="H507" s="135">
        <v>0</v>
      </c>
      <c r="I507" s="17"/>
      <c r="J507" s="17">
        <v>0</v>
      </c>
      <c r="K507" s="17"/>
      <c r="L507" s="138">
        <v>0</v>
      </c>
      <c r="M507" s="17"/>
      <c r="N507" s="138">
        <v>0</v>
      </c>
      <c r="O507" s="17"/>
      <c r="P507" s="138">
        <v>0</v>
      </c>
      <c r="Q507" s="17"/>
      <c r="R507" s="15">
        <f>SUM(B507:P507)</f>
        <v>0</v>
      </c>
      <c r="S507" s="15"/>
    </row>
    <row r="508" spans="1:19" x14ac:dyDescent="0.2">
      <c r="A508" s="3" t="s">
        <v>3342</v>
      </c>
      <c r="B508" s="17">
        <v>-17797800.870000005</v>
      </c>
      <c r="C508" s="17"/>
      <c r="D508" s="135">
        <v>-6894149.04</v>
      </c>
      <c r="E508" s="17"/>
      <c r="F508" s="135">
        <v>7105652.6600000001</v>
      </c>
      <c r="G508" s="17"/>
      <c r="H508" s="135">
        <v>0</v>
      </c>
      <c r="I508" s="17"/>
      <c r="J508" s="17">
        <v>0</v>
      </c>
      <c r="K508" s="17"/>
      <c r="L508" s="138">
        <v>0</v>
      </c>
      <c r="M508" s="17"/>
      <c r="N508" s="138">
        <v>0</v>
      </c>
      <c r="O508" s="17"/>
      <c r="P508" s="138">
        <v>0</v>
      </c>
      <c r="Q508" s="17"/>
      <c r="R508" s="17">
        <f>SUM(B508:P508)</f>
        <v>-17586297.250000004</v>
      </c>
      <c r="S508" s="15"/>
    </row>
    <row r="509" spans="1:19" x14ac:dyDescent="0.2">
      <c r="A509" s="3" t="s">
        <v>3343</v>
      </c>
      <c r="B509" s="15">
        <v>-29415698.370000001</v>
      </c>
      <c r="C509" s="17"/>
      <c r="D509" s="135">
        <v>-4498723.4400000004</v>
      </c>
      <c r="E509" s="17"/>
      <c r="F509" s="135">
        <v>0</v>
      </c>
      <c r="G509" s="17"/>
      <c r="H509" s="135">
        <v>0</v>
      </c>
      <c r="I509" s="17"/>
      <c r="J509" s="17">
        <v>0</v>
      </c>
      <c r="K509" s="17"/>
      <c r="L509" s="138">
        <v>0</v>
      </c>
      <c r="M509" s="17"/>
      <c r="N509" s="138">
        <v>0</v>
      </c>
      <c r="O509" s="17"/>
      <c r="P509" s="138">
        <v>0</v>
      </c>
      <c r="Q509" s="17"/>
      <c r="R509" s="15">
        <f>SUM(B509:P509)</f>
        <v>-33914421.810000002</v>
      </c>
      <c r="S509" s="15"/>
    </row>
    <row r="510" spans="1:19" x14ac:dyDescent="0.2">
      <c r="A510" s="3" t="s">
        <v>3344</v>
      </c>
      <c r="B510" s="16">
        <v>0</v>
      </c>
      <c r="C510" s="17"/>
      <c r="D510" s="149">
        <v>0</v>
      </c>
      <c r="E510" s="17"/>
      <c r="F510" s="149">
        <v>0</v>
      </c>
      <c r="G510" s="17"/>
      <c r="H510" s="149">
        <v>0</v>
      </c>
      <c r="I510" s="17"/>
      <c r="J510" s="16">
        <v>0</v>
      </c>
      <c r="K510" s="17"/>
      <c r="L510" s="138">
        <v>0</v>
      </c>
      <c r="M510" s="17"/>
      <c r="N510" s="149">
        <v>0</v>
      </c>
      <c r="O510" s="17"/>
      <c r="P510" s="138">
        <v>0</v>
      </c>
      <c r="Q510" s="17"/>
      <c r="R510" s="16">
        <f>SUM(B510:P510)</f>
        <v>0</v>
      </c>
      <c r="S510" s="15"/>
    </row>
    <row r="511" spans="1:19" x14ac:dyDescent="0.2">
      <c r="B511" s="17">
        <f>SUM(B506:B510)</f>
        <v>-47213499.24000001</v>
      </c>
      <c r="C511" s="17"/>
      <c r="D511" s="17">
        <f>SUM(D506:D510)</f>
        <v>-11392872.48</v>
      </c>
      <c r="E511" s="17"/>
      <c r="F511" s="17">
        <f>SUM(F506:F510)</f>
        <v>7105652.6600000001</v>
      </c>
      <c r="G511" s="17"/>
      <c r="H511" s="17">
        <f>SUM(H506:H510)</f>
        <v>0</v>
      </c>
      <c r="I511" s="17"/>
      <c r="J511" s="17">
        <f>SUM(J506:J510)</f>
        <v>0</v>
      </c>
      <c r="K511" s="17"/>
      <c r="L511" s="20">
        <f>SUM(L506:L510)</f>
        <v>0</v>
      </c>
      <c r="M511" s="17"/>
      <c r="N511" s="17">
        <f>SUM(N506:N510)</f>
        <v>0</v>
      </c>
      <c r="O511" s="17"/>
      <c r="P511" s="20">
        <f>SUM(P506:P510)</f>
        <v>0</v>
      </c>
      <c r="Q511" s="17"/>
      <c r="R511" s="17">
        <f>SUM(R506:R510)</f>
        <v>-51500719.060000002</v>
      </c>
      <c r="S511" s="15"/>
    </row>
    <row r="512" spans="1:19" x14ac:dyDescent="0.2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5"/>
    </row>
    <row r="514" spans="1:19" ht="13.5" thickBot="1" x14ac:dyDescent="0.25">
      <c r="A514" s="10" t="s">
        <v>3345</v>
      </c>
      <c r="B514" s="41">
        <f>B511</f>
        <v>-47213499.24000001</v>
      </c>
      <c r="C514" s="17"/>
      <c r="D514" s="41">
        <f>D511</f>
        <v>-11392872.48</v>
      </c>
      <c r="E514" s="17"/>
      <c r="F514" s="41">
        <f>F511</f>
        <v>7105652.6600000001</v>
      </c>
      <c r="G514" s="17"/>
      <c r="H514" s="41">
        <f>H511</f>
        <v>0</v>
      </c>
      <c r="I514" s="17"/>
      <c r="J514" s="41">
        <f>J511</f>
        <v>0</v>
      </c>
      <c r="K514" s="17"/>
      <c r="L514" s="41">
        <f>L511</f>
        <v>0</v>
      </c>
      <c r="M514" s="17"/>
      <c r="N514" s="41">
        <f>N511</f>
        <v>0</v>
      </c>
      <c r="O514" s="17"/>
      <c r="P514" s="41">
        <f>P511</f>
        <v>0</v>
      </c>
      <c r="Q514" s="17"/>
      <c r="R514" s="41">
        <f>R511</f>
        <v>-51500719.060000002</v>
      </c>
      <c r="S514" s="15"/>
    </row>
    <row r="515" spans="1:19" ht="13.5" thickTop="1" x14ac:dyDescent="0.2"/>
    <row r="517" spans="1:19" ht="13.5" thickBot="1" x14ac:dyDescent="0.25">
      <c r="A517" s="10" t="s">
        <v>3346</v>
      </c>
      <c r="B517" s="97">
        <f>B458+B450+B386+B378+B514+B502</f>
        <v>-2040673286.9099998</v>
      </c>
      <c r="D517" s="97">
        <f>D458+D450+D386+D378+D514+D502</f>
        <v>-189456565.49000004</v>
      </c>
      <c r="F517" s="97">
        <f>F458+F450+F386+F378+F514+F502</f>
        <v>125332368.62</v>
      </c>
      <c r="H517" s="97">
        <f>H458+H450+H386+H378+H514+H502</f>
        <v>-222283.83000000034</v>
      </c>
      <c r="J517" s="97">
        <f>J458+J450+J386+J378+J514+J502</f>
        <v>0</v>
      </c>
      <c r="L517" s="97">
        <f>L458+L450+L386+L378+L514+L502</f>
        <v>16119518.93</v>
      </c>
      <c r="N517" s="97">
        <f>N458+N450+N386+N378+N514+N502</f>
        <v>-863785.69000000006</v>
      </c>
      <c r="P517" s="97">
        <f>P458+P450+P386+P378+P514+P502</f>
        <v>-976008.00999999989</v>
      </c>
      <c r="R517" s="97">
        <f>R458+R450+R386+R378+R514+R502</f>
        <v>-2090740042.3800001</v>
      </c>
    </row>
    <row r="518" spans="1:19" ht="13.5" thickTop="1" x14ac:dyDescent="0.2"/>
  </sheetData>
  <mergeCells count="3">
    <mergeCell ref="A1:R1"/>
    <mergeCell ref="A2:R2"/>
    <mergeCell ref="A3:R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3" manualBreakCount="3">
    <brk id="166" max="16383" man="1"/>
    <brk id="389" max="16383" man="1"/>
    <brk id="459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50"/>
  </sheetPr>
  <dimension ref="A1:AA51"/>
  <sheetViews>
    <sheetView zoomScale="80" zoomScaleNormal="80" workbookViewId="0">
      <pane xSplit="3" ySplit="7" topLeftCell="D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3.7109375" style="3" bestFit="1" customWidth="1"/>
    <col min="2" max="2" width="17.7109375" style="3" customWidth="1"/>
    <col min="3" max="3" width="1.7109375" style="31" customWidth="1"/>
    <col min="4" max="4" width="17.7109375" style="3" customWidth="1"/>
    <col min="5" max="5" width="1.7109375" style="31" customWidth="1"/>
    <col min="6" max="6" width="17.7109375" style="3" customWidth="1"/>
    <col min="7" max="7" width="1.7109375" style="31" customWidth="1"/>
    <col min="8" max="8" width="17.7109375" style="3" customWidth="1"/>
    <col min="9" max="9" width="1.7109375" style="31" customWidth="1"/>
    <col min="10" max="10" width="17.7109375" style="3" customWidth="1"/>
    <col min="11" max="11" width="1.7109375" style="31" customWidth="1"/>
    <col min="12" max="12" width="17.7109375" style="3" customWidth="1"/>
    <col min="13" max="13" width="1.7109375" style="31" customWidth="1"/>
    <col min="14" max="14" width="17.7109375" style="3" customWidth="1"/>
    <col min="15" max="15" width="1.7109375" style="31" customWidth="1"/>
    <col min="16" max="16" width="17.7109375" style="3" customWidth="1"/>
    <col min="17" max="17" width="1.7109375" style="31" customWidth="1"/>
    <col min="18" max="18" width="17.7109375" style="3" customWidth="1"/>
    <col min="19" max="16384" width="9.140625" style="3"/>
  </cols>
  <sheetData>
    <row r="1" spans="1:27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W1" s="137"/>
    </row>
    <row r="2" spans="1:27" s="132" customFormat="1" ht="15.75" x14ac:dyDescent="0.25">
      <c r="A2" s="210" t="s">
        <v>3347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W2" s="137"/>
    </row>
    <row r="3" spans="1:27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07"/>
      <c r="T3" s="107"/>
      <c r="U3" s="107"/>
      <c r="V3" s="107"/>
      <c r="W3" s="107"/>
      <c r="X3" s="107"/>
      <c r="Y3" s="107"/>
      <c r="Z3" s="107"/>
      <c r="AA3" s="107"/>
    </row>
    <row r="4" spans="1:27" x14ac:dyDescent="0.2">
      <c r="A4" s="5"/>
      <c r="B4" s="5"/>
      <c r="C4" s="116"/>
      <c r="D4" s="5"/>
      <c r="E4" s="116"/>
      <c r="F4" s="5"/>
      <c r="G4" s="116"/>
      <c r="H4" s="5"/>
      <c r="I4" s="116"/>
      <c r="J4" s="5"/>
      <c r="K4" s="116"/>
      <c r="L4" s="5"/>
      <c r="M4" s="116"/>
      <c r="N4" s="5"/>
      <c r="O4" s="116"/>
      <c r="P4" s="5"/>
      <c r="Q4" s="116"/>
      <c r="R4" s="5"/>
      <c r="S4" s="107"/>
      <c r="T4" s="107"/>
      <c r="U4" s="107"/>
      <c r="V4" s="107"/>
      <c r="W4" s="107"/>
      <c r="X4" s="107"/>
      <c r="Y4" s="107"/>
      <c r="Z4" s="107"/>
      <c r="AA4" s="107"/>
    </row>
    <row r="6" spans="1:27" x14ac:dyDescent="0.2">
      <c r="B6" s="8" t="s">
        <v>3</v>
      </c>
      <c r="D6" s="138"/>
      <c r="F6" s="138"/>
      <c r="H6" s="8" t="s">
        <v>4</v>
      </c>
      <c r="I6" s="18"/>
      <c r="J6" s="8" t="s">
        <v>67</v>
      </c>
      <c r="K6" s="18"/>
      <c r="L6" s="18" t="s">
        <v>68</v>
      </c>
      <c r="P6" s="8" t="s">
        <v>69</v>
      </c>
      <c r="Q6" s="18"/>
      <c r="R6" s="8" t="s">
        <v>5</v>
      </c>
      <c r="S6" s="8"/>
      <c r="U6" s="8"/>
    </row>
    <row r="7" spans="1:27" x14ac:dyDescent="0.2">
      <c r="B7" s="12" t="s">
        <v>7</v>
      </c>
      <c r="D7" s="12" t="s">
        <v>70</v>
      </c>
      <c r="F7" s="12" t="s">
        <v>9</v>
      </c>
      <c r="H7" s="12" t="s">
        <v>10</v>
      </c>
      <c r="I7" s="18"/>
      <c r="J7" s="12" t="s">
        <v>72</v>
      </c>
      <c r="K7" s="18"/>
      <c r="L7" s="12" t="s">
        <v>73</v>
      </c>
      <c r="M7" s="18"/>
      <c r="N7" s="12" t="s">
        <v>74</v>
      </c>
      <c r="O7" s="18"/>
      <c r="P7" s="12" t="s">
        <v>75</v>
      </c>
      <c r="Q7" s="18"/>
      <c r="R7" s="12" t="s">
        <v>7</v>
      </c>
    </row>
    <row r="9" spans="1:27" x14ac:dyDescent="0.2">
      <c r="A9" s="10" t="s">
        <v>18</v>
      </c>
      <c r="B9" s="145"/>
      <c r="C9" s="146"/>
      <c r="D9" s="145"/>
      <c r="E9" s="146"/>
      <c r="F9" s="145"/>
      <c r="G9" s="146"/>
      <c r="H9" s="145"/>
      <c r="I9" s="146"/>
      <c r="J9" s="145"/>
      <c r="K9" s="146"/>
      <c r="L9" s="145"/>
      <c r="M9" s="146"/>
      <c r="N9" s="145"/>
      <c r="O9" s="146"/>
      <c r="P9" s="145"/>
      <c r="Q9" s="146"/>
      <c r="R9" s="145"/>
    </row>
    <row r="10" spans="1:27" x14ac:dyDescent="0.2">
      <c r="A10" s="133" t="s">
        <v>3348</v>
      </c>
      <c r="B10" s="149">
        <v>0</v>
      </c>
      <c r="C10" s="135"/>
      <c r="D10" s="149">
        <v>0</v>
      </c>
      <c r="E10" s="135"/>
      <c r="F10" s="149">
        <v>0</v>
      </c>
      <c r="G10" s="135"/>
      <c r="H10" s="149">
        <v>0</v>
      </c>
      <c r="I10" s="135"/>
      <c r="J10" s="149">
        <v>0</v>
      </c>
      <c r="K10" s="135"/>
      <c r="L10" s="149">
        <v>0</v>
      </c>
      <c r="M10" s="135"/>
      <c r="N10" s="149">
        <v>0</v>
      </c>
      <c r="O10" s="135"/>
      <c r="P10" s="149">
        <v>0</v>
      </c>
      <c r="Q10" s="135"/>
      <c r="R10" s="149">
        <f>SUM(B10:P10)</f>
        <v>0</v>
      </c>
      <c r="S10" s="138"/>
      <c r="T10" s="138"/>
      <c r="U10" s="138"/>
    </row>
    <row r="11" spans="1:27" x14ac:dyDescent="0.2">
      <c r="B11" s="135">
        <f>SUM(B10:B10)</f>
        <v>0</v>
      </c>
      <c r="C11" s="135"/>
      <c r="D11" s="135">
        <f>SUM(D10:D10)</f>
        <v>0</v>
      </c>
      <c r="E11" s="135"/>
      <c r="F11" s="135">
        <f>SUM(F10:F10)</f>
        <v>0</v>
      </c>
      <c r="G11" s="135"/>
      <c r="H11" s="135">
        <f>SUM(H10:H10)</f>
        <v>0</v>
      </c>
      <c r="I11" s="135"/>
      <c r="J11" s="135">
        <f>SUM(J10:J10)</f>
        <v>0</v>
      </c>
      <c r="K11" s="135"/>
      <c r="L11" s="135">
        <f>SUM(L10:L10)</f>
        <v>0</v>
      </c>
      <c r="M11" s="135"/>
      <c r="N11" s="135">
        <f>SUM(N10:N10)</f>
        <v>0</v>
      </c>
      <c r="O11" s="135"/>
      <c r="P11" s="135">
        <f>SUM(P10:P10)</f>
        <v>0</v>
      </c>
      <c r="Q11" s="135"/>
      <c r="R11" s="135">
        <f>SUM(R10:R10)</f>
        <v>0</v>
      </c>
      <c r="S11" s="138"/>
      <c r="T11" s="138"/>
      <c r="U11" s="138"/>
    </row>
    <row r="12" spans="1:27" x14ac:dyDescent="0.2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8"/>
      <c r="T12" s="138"/>
      <c r="U12" s="138"/>
    </row>
    <row r="13" spans="1:27" x14ac:dyDescent="0.2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8"/>
      <c r="U13" s="138"/>
    </row>
    <row r="14" spans="1:27" x14ac:dyDescent="0.2">
      <c r="A14" s="10" t="s">
        <v>24</v>
      </c>
      <c r="B14" s="138"/>
      <c r="C14" s="135"/>
      <c r="D14" s="138"/>
      <c r="E14" s="135"/>
      <c r="F14" s="138"/>
      <c r="G14" s="135"/>
      <c r="H14" s="138"/>
      <c r="I14" s="135"/>
      <c r="J14" s="138"/>
      <c r="K14" s="135"/>
      <c r="L14" s="138"/>
      <c r="M14" s="135"/>
      <c r="N14" s="138"/>
      <c r="O14" s="135"/>
      <c r="P14" s="138"/>
      <c r="Q14" s="135"/>
      <c r="R14" s="138"/>
      <c r="S14" s="138"/>
      <c r="T14" s="138"/>
      <c r="U14" s="138"/>
    </row>
    <row r="15" spans="1:27" x14ac:dyDescent="0.2">
      <c r="A15" s="133" t="s">
        <v>3349</v>
      </c>
      <c r="B15" s="135">
        <v>-328997.58999999997</v>
      </c>
      <c r="C15" s="135"/>
      <c r="D15" s="135">
        <v>-9809.16</v>
      </c>
      <c r="E15" s="135"/>
      <c r="F15" s="135">
        <v>0</v>
      </c>
      <c r="G15" s="135"/>
      <c r="H15" s="135">
        <v>0</v>
      </c>
      <c r="I15" s="135"/>
      <c r="J15" s="138">
        <v>0</v>
      </c>
      <c r="K15" s="135"/>
      <c r="L15" s="135">
        <v>0</v>
      </c>
      <c r="M15" s="135"/>
      <c r="N15" s="135">
        <v>0</v>
      </c>
      <c r="O15" s="135"/>
      <c r="P15" s="135">
        <v>0</v>
      </c>
      <c r="Q15" s="135"/>
      <c r="R15" s="135">
        <f t="shared" ref="R15:R21" si="0">SUM(B15:P15)</f>
        <v>-338806.74999999994</v>
      </c>
      <c r="S15" s="138"/>
      <c r="T15" s="138"/>
      <c r="U15" s="138"/>
    </row>
    <row r="16" spans="1:27" x14ac:dyDescent="0.2">
      <c r="A16" s="133" t="s">
        <v>3350</v>
      </c>
      <c r="B16" s="135">
        <v>0</v>
      </c>
      <c r="C16" s="135"/>
      <c r="D16" s="135">
        <v>0</v>
      </c>
      <c r="E16" s="135"/>
      <c r="F16" s="135">
        <v>0</v>
      </c>
      <c r="G16" s="135"/>
      <c r="H16" s="135">
        <v>0</v>
      </c>
      <c r="I16" s="135"/>
      <c r="J16" s="138">
        <v>0</v>
      </c>
      <c r="K16" s="135"/>
      <c r="L16" s="135">
        <v>0</v>
      </c>
      <c r="M16" s="135"/>
      <c r="N16" s="135">
        <v>0</v>
      </c>
      <c r="O16" s="135"/>
      <c r="P16" s="135">
        <v>0</v>
      </c>
      <c r="Q16" s="135"/>
      <c r="R16" s="135">
        <f t="shared" si="0"/>
        <v>0</v>
      </c>
      <c r="S16" s="138"/>
      <c r="T16" s="138"/>
      <c r="U16" s="138"/>
    </row>
    <row r="17" spans="1:21" x14ac:dyDescent="0.2">
      <c r="A17" s="133" t="s">
        <v>3351</v>
      </c>
      <c r="B17" s="135">
        <v>-291025.05000000005</v>
      </c>
      <c r="C17" s="135"/>
      <c r="D17" s="135">
        <v>-126461.39</v>
      </c>
      <c r="E17" s="135"/>
      <c r="F17" s="135">
        <v>543.51</v>
      </c>
      <c r="G17" s="135"/>
      <c r="H17" s="135">
        <v>0</v>
      </c>
      <c r="I17" s="135"/>
      <c r="J17" s="138">
        <v>0</v>
      </c>
      <c r="K17" s="135"/>
      <c r="L17" s="135">
        <v>-0.21</v>
      </c>
      <c r="M17" s="135"/>
      <c r="N17" s="135">
        <v>-39.19</v>
      </c>
      <c r="O17" s="135"/>
      <c r="P17" s="135">
        <v>0</v>
      </c>
      <c r="Q17" s="135"/>
      <c r="R17" s="135">
        <f t="shared" si="0"/>
        <v>-416982.33000000007</v>
      </c>
      <c r="S17" s="138"/>
      <c r="T17" s="138"/>
      <c r="U17" s="138"/>
    </row>
    <row r="18" spans="1:21" x14ac:dyDescent="0.2">
      <c r="A18" s="133" t="s">
        <v>3352</v>
      </c>
      <c r="B18" s="135">
        <v>-7309700.0900000008</v>
      </c>
      <c r="C18" s="135"/>
      <c r="D18" s="135">
        <v>-276429.33</v>
      </c>
      <c r="E18" s="135"/>
      <c r="F18" s="135">
        <v>18063.5</v>
      </c>
      <c r="G18" s="135"/>
      <c r="H18" s="135">
        <v>0</v>
      </c>
      <c r="I18" s="135"/>
      <c r="J18" s="138">
        <v>0</v>
      </c>
      <c r="K18" s="135"/>
      <c r="L18" s="135">
        <v>8755.42</v>
      </c>
      <c r="M18" s="135"/>
      <c r="N18" s="135">
        <v>-1.22</v>
      </c>
      <c r="O18" s="135"/>
      <c r="P18" s="135">
        <v>0</v>
      </c>
      <c r="Q18" s="135"/>
      <c r="R18" s="135">
        <f t="shared" si="0"/>
        <v>-7559311.7200000007</v>
      </c>
      <c r="S18" s="138"/>
      <c r="T18" s="138"/>
      <c r="U18" s="138"/>
    </row>
    <row r="19" spans="1:21" x14ac:dyDescent="0.2">
      <c r="A19" s="133" t="s">
        <v>3353</v>
      </c>
      <c r="B19" s="135">
        <v>-4999235.1600000011</v>
      </c>
      <c r="C19" s="135"/>
      <c r="D19" s="135">
        <v>-237454.56</v>
      </c>
      <c r="E19" s="135"/>
      <c r="F19" s="135">
        <v>0</v>
      </c>
      <c r="G19" s="135"/>
      <c r="H19" s="135">
        <v>0</v>
      </c>
      <c r="I19" s="135"/>
      <c r="J19" s="138">
        <v>0</v>
      </c>
      <c r="K19" s="135"/>
      <c r="L19" s="135">
        <v>0</v>
      </c>
      <c r="M19" s="135"/>
      <c r="N19" s="135">
        <v>0</v>
      </c>
      <c r="O19" s="135"/>
      <c r="P19" s="135">
        <v>0</v>
      </c>
      <c r="Q19" s="135"/>
      <c r="R19" s="135">
        <f t="shared" si="0"/>
        <v>-5236689.7200000007</v>
      </c>
      <c r="S19" s="138"/>
      <c r="T19" s="138"/>
      <c r="U19" s="138"/>
    </row>
    <row r="20" spans="1:21" x14ac:dyDescent="0.2">
      <c r="A20" s="133" t="s">
        <v>3354</v>
      </c>
      <c r="B20" s="135">
        <v>-1336692.4500000002</v>
      </c>
      <c r="C20" s="135"/>
      <c r="D20" s="135">
        <v>-340648.48</v>
      </c>
      <c r="E20" s="135"/>
      <c r="F20" s="135">
        <v>0</v>
      </c>
      <c r="G20" s="135"/>
      <c r="H20" s="135">
        <v>0</v>
      </c>
      <c r="I20" s="135"/>
      <c r="J20" s="138">
        <v>0</v>
      </c>
      <c r="K20" s="135"/>
      <c r="L20" s="135">
        <v>0</v>
      </c>
      <c r="M20" s="135"/>
      <c r="N20" s="135">
        <v>0</v>
      </c>
      <c r="O20" s="135"/>
      <c r="P20" s="135">
        <v>0</v>
      </c>
      <c r="Q20" s="135"/>
      <c r="R20" s="135">
        <f t="shared" si="0"/>
        <v>-1677340.9300000002</v>
      </c>
      <c r="S20" s="138"/>
      <c r="T20" s="138"/>
      <c r="U20" s="138"/>
    </row>
    <row r="21" spans="1:21" x14ac:dyDescent="0.2">
      <c r="A21" s="133" t="s">
        <v>3355</v>
      </c>
      <c r="B21" s="149">
        <v>-3381114.64</v>
      </c>
      <c r="C21" s="135"/>
      <c r="D21" s="135">
        <v>-152517.79999999999</v>
      </c>
      <c r="E21" s="135"/>
      <c r="F21" s="149">
        <v>23578.69</v>
      </c>
      <c r="G21" s="135"/>
      <c r="H21" s="149">
        <v>0</v>
      </c>
      <c r="I21" s="135"/>
      <c r="J21" s="138">
        <v>0</v>
      </c>
      <c r="K21" s="135"/>
      <c r="L21" s="149">
        <v>16068.54</v>
      </c>
      <c r="M21" s="135"/>
      <c r="N21" s="149">
        <v>-3397.06</v>
      </c>
      <c r="O21" s="135"/>
      <c r="P21" s="149">
        <v>0</v>
      </c>
      <c r="Q21" s="135"/>
      <c r="R21" s="149">
        <f t="shared" si="0"/>
        <v>-3497382.27</v>
      </c>
      <c r="S21" s="138"/>
      <c r="T21" s="138"/>
      <c r="U21" s="138"/>
    </row>
    <row r="22" spans="1:21" x14ac:dyDescent="0.2">
      <c r="B22" s="135">
        <f>SUM(B15:B21)</f>
        <v>-17646764.98</v>
      </c>
      <c r="C22" s="135"/>
      <c r="D22" s="148">
        <f>SUM(D15:D21)</f>
        <v>-1143320.72</v>
      </c>
      <c r="E22" s="135"/>
      <c r="F22" s="148">
        <f>SUM(F15:F21)</f>
        <v>42185.7</v>
      </c>
      <c r="G22" s="135"/>
      <c r="H22" s="148">
        <f>SUM(H15:H21)</f>
        <v>0</v>
      </c>
      <c r="I22" s="135"/>
      <c r="J22" s="148">
        <f>SUM(J15:J21)</f>
        <v>0</v>
      </c>
      <c r="K22" s="135"/>
      <c r="L22" s="148">
        <f>SUM(L15:L21)</f>
        <v>24823.75</v>
      </c>
      <c r="M22" s="135"/>
      <c r="N22" s="148">
        <f>SUM(N15:N21)</f>
        <v>-3437.47</v>
      </c>
      <c r="O22" s="135"/>
      <c r="P22" s="148">
        <f>SUM(P15:P21)</f>
        <v>0</v>
      </c>
      <c r="Q22" s="135"/>
      <c r="R22" s="135">
        <f>SUM(R15:R21)</f>
        <v>-18726513.720000003</v>
      </c>
      <c r="S22" s="135"/>
      <c r="T22" s="138"/>
      <c r="U22" s="138"/>
    </row>
    <row r="23" spans="1:21" x14ac:dyDescent="0.2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8"/>
      <c r="U23" s="138"/>
    </row>
    <row r="24" spans="1:21" x14ac:dyDescent="0.2">
      <c r="B24" s="138"/>
      <c r="C24" s="135"/>
      <c r="D24" s="138"/>
      <c r="E24" s="135"/>
      <c r="F24" s="138"/>
      <c r="G24" s="135"/>
      <c r="H24" s="138"/>
      <c r="I24" s="135"/>
      <c r="J24" s="138"/>
      <c r="K24" s="135"/>
      <c r="L24" s="138"/>
      <c r="M24" s="135"/>
      <c r="N24" s="138"/>
      <c r="O24" s="135"/>
      <c r="P24" s="138"/>
      <c r="Q24" s="135"/>
      <c r="R24" s="138"/>
      <c r="S24" s="138"/>
      <c r="T24" s="138"/>
      <c r="U24" s="138"/>
    </row>
    <row r="25" spans="1:21" ht="13.5" thickBot="1" x14ac:dyDescent="0.25">
      <c r="A25" s="10" t="s">
        <v>3252</v>
      </c>
      <c r="B25" s="143">
        <f>B22+B11</f>
        <v>-17646764.98</v>
      </c>
      <c r="C25" s="135"/>
      <c r="D25" s="143">
        <f>D22+D11</f>
        <v>-1143320.72</v>
      </c>
      <c r="E25" s="135"/>
      <c r="F25" s="143">
        <f>F22+F11</f>
        <v>42185.7</v>
      </c>
      <c r="G25" s="135"/>
      <c r="H25" s="143">
        <f>H22+H11</f>
        <v>0</v>
      </c>
      <c r="I25" s="135"/>
      <c r="J25" s="143">
        <f>J22+J11</f>
        <v>0</v>
      </c>
      <c r="K25" s="135"/>
      <c r="L25" s="143">
        <f>L22+L11</f>
        <v>24823.75</v>
      </c>
      <c r="M25" s="135"/>
      <c r="N25" s="143">
        <f>N22+N11</f>
        <v>-3437.47</v>
      </c>
      <c r="O25" s="135"/>
      <c r="P25" s="143">
        <f>P22+P11</f>
        <v>0</v>
      </c>
      <c r="Q25" s="135"/>
      <c r="R25" s="143">
        <f>R22+R11</f>
        <v>-18726513.720000003</v>
      </c>
      <c r="S25" s="138"/>
      <c r="T25" s="138"/>
      <c r="U25" s="138"/>
    </row>
    <row r="26" spans="1:21" ht="13.5" thickTop="1" x14ac:dyDescent="0.2">
      <c r="B26" s="145"/>
      <c r="C26" s="146"/>
      <c r="D26" s="145"/>
      <c r="E26" s="146"/>
      <c r="F26" s="145"/>
      <c r="G26" s="146"/>
      <c r="H26" s="145"/>
      <c r="I26" s="146"/>
      <c r="J26" s="145"/>
      <c r="K26" s="146"/>
      <c r="L26" s="145"/>
      <c r="M26" s="146"/>
      <c r="N26" s="145"/>
      <c r="O26" s="146"/>
      <c r="P26" s="145"/>
      <c r="Q26" s="146"/>
      <c r="R26" s="145"/>
    </row>
    <row r="28" spans="1:21" x14ac:dyDescent="0.2">
      <c r="A28" s="10" t="s">
        <v>30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31"/>
      <c r="T28" s="31"/>
      <c r="U28" s="31"/>
    </row>
    <row r="29" spans="1:21" x14ac:dyDescent="0.2">
      <c r="A29" s="133" t="s">
        <v>3356</v>
      </c>
      <c r="B29" s="138">
        <v>-134858.28999999998</v>
      </c>
      <c r="C29" s="135"/>
      <c r="D29" s="135">
        <v>-27351.72</v>
      </c>
      <c r="E29" s="135"/>
      <c r="F29" s="135">
        <v>0</v>
      </c>
      <c r="G29" s="135"/>
      <c r="H29" s="135">
        <v>0</v>
      </c>
      <c r="I29" s="135"/>
      <c r="J29" s="135">
        <v>0</v>
      </c>
      <c r="K29" s="135"/>
      <c r="L29" s="135">
        <v>0</v>
      </c>
      <c r="M29" s="135"/>
      <c r="N29" s="135">
        <v>0</v>
      </c>
      <c r="O29" s="135"/>
      <c r="P29" s="135">
        <v>0</v>
      </c>
      <c r="Q29" s="135"/>
      <c r="R29" s="138">
        <f t="shared" ref="R29:R35" si="1">SUM(B29:P29)</f>
        <v>-162210.00999999998</v>
      </c>
      <c r="S29" s="31"/>
      <c r="T29" s="31"/>
      <c r="U29" s="31"/>
    </row>
    <row r="30" spans="1:21" x14ac:dyDescent="0.2">
      <c r="A30" s="133" t="s">
        <v>3357</v>
      </c>
      <c r="B30" s="138">
        <v>-306523.93000000011</v>
      </c>
      <c r="C30" s="135"/>
      <c r="D30" s="135">
        <v>-17149.080000000002</v>
      </c>
      <c r="E30" s="135"/>
      <c r="F30" s="135">
        <v>0</v>
      </c>
      <c r="G30" s="135"/>
      <c r="H30" s="135">
        <v>0</v>
      </c>
      <c r="I30" s="135"/>
      <c r="J30" s="135">
        <v>0</v>
      </c>
      <c r="K30" s="135"/>
      <c r="L30" s="135">
        <v>0</v>
      </c>
      <c r="M30" s="135"/>
      <c r="N30" s="135">
        <v>0</v>
      </c>
      <c r="O30" s="135"/>
      <c r="P30" s="135">
        <v>0</v>
      </c>
      <c r="Q30" s="135"/>
      <c r="R30" s="138">
        <f t="shared" si="1"/>
        <v>-323673.01000000013</v>
      </c>
      <c r="S30" s="31"/>
      <c r="T30" s="31"/>
      <c r="U30" s="31"/>
    </row>
    <row r="31" spans="1:21" x14ac:dyDescent="0.2">
      <c r="A31" s="133" t="s">
        <v>3358</v>
      </c>
      <c r="B31" s="138">
        <v>0</v>
      </c>
      <c r="C31" s="135"/>
      <c r="D31" s="135">
        <v>0</v>
      </c>
      <c r="E31" s="135"/>
      <c r="F31" s="135">
        <v>0</v>
      </c>
      <c r="G31" s="135"/>
      <c r="H31" s="135">
        <v>0</v>
      </c>
      <c r="I31" s="135"/>
      <c r="J31" s="135">
        <v>0</v>
      </c>
      <c r="K31" s="135"/>
      <c r="L31" s="135">
        <v>0</v>
      </c>
      <c r="M31" s="135"/>
      <c r="N31" s="135">
        <v>0</v>
      </c>
      <c r="O31" s="135"/>
      <c r="P31" s="135">
        <v>0</v>
      </c>
      <c r="Q31" s="135"/>
      <c r="R31" s="138">
        <f t="shared" si="1"/>
        <v>0</v>
      </c>
      <c r="S31" s="31"/>
      <c r="T31" s="31"/>
      <c r="U31" s="31"/>
    </row>
    <row r="32" spans="1:21" x14ac:dyDescent="0.2">
      <c r="A32" s="133" t="s">
        <v>3359</v>
      </c>
      <c r="B32" s="138">
        <v>-232238.03999999995</v>
      </c>
      <c r="C32" s="135"/>
      <c r="D32" s="135">
        <v>-74294.149999999994</v>
      </c>
      <c r="E32" s="135"/>
      <c r="F32" s="135">
        <v>0</v>
      </c>
      <c r="G32" s="135"/>
      <c r="H32" s="135">
        <v>0</v>
      </c>
      <c r="I32" s="135"/>
      <c r="J32" s="135">
        <v>0</v>
      </c>
      <c r="K32" s="135"/>
      <c r="L32" s="135">
        <v>0</v>
      </c>
      <c r="M32" s="135"/>
      <c r="N32" s="135">
        <v>0</v>
      </c>
      <c r="O32" s="135"/>
      <c r="P32" s="135">
        <v>0</v>
      </c>
      <c r="Q32" s="135"/>
      <c r="R32" s="138">
        <f t="shared" si="1"/>
        <v>-306532.18999999994</v>
      </c>
      <c r="S32" s="31"/>
      <c r="T32" s="31"/>
      <c r="U32" s="31"/>
    </row>
    <row r="33" spans="1:21" x14ac:dyDescent="0.2">
      <c r="A33" s="133" t="s">
        <v>3360</v>
      </c>
      <c r="B33" s="138">
        <v>-722377.93999999983</v>
      </c>
      <c r="C33" s="135"/>
      <c r="D33" s="135">
        <v>-89490.14</v>
      </c>
      <c r="E33" s="135"/>
      <c r="F33" s="135">
        <v>3610.57</v>
      </c>
      <c r="G33" s="135"/>
      <c r="H33" s="135">
        <v>0</v>
      </c>
      <c r="I33" s="135"/>
      <c r="J33" s="135">
        <v>0</v>
      </c>
      <c r="K33" s="135"/>
      <c r="L33" s="135">
        <v>10334.08</v>
      </c>
      <c r="M33" s="135"/>
      <c r="N33" s="135">
        <v>0</v>
      </c>
      <c r="O33" s="135"/>
      <c r="P33" s="135">
        <v>0</v>
      </c>
      <c r="Q33" s="135"/>
      <c r="R33" s="138">
        <f>SUM(B33:P33)</f>
        <v>-797923.42999999993</v>
      </c>
      <c r="S33" s="31"/>
      <c r="T33" s="31"/>
      <c r="U33" s="31"/>
    </row>
    <row r="34" spans="1:21" x14ac:dyDescent="0.2">
      <c r="A34" s="133" t="s">
        <v>3292</v>
      </c>
      <c r="B34" s="138">
        <v>0</v>
      </c>
      <c r="C34" s="135"/>
      <c r="D34" s="135">
        <v>0</v>
      </c>
      <c r="E34" s="135"/>
      <c r="F34" s="135">
        <v>0</v>
      </c>
      <c r="G34" s="135"/>
      <c r="H34" s="135">
        <v>0</v>
      </c>
      <c r="I34" s="135"/>
      <c r="J34" s="135">
        <v>0</v>
      </c>
      <c r="K34" s="135"/>
      <c r="L34" s="135">
        <v>0</v>
      </c>
      <c r="M34" s="135"/>
      <c r="N34" s="135">
        <v>0</v>
      </c>
      <c r="O34" s="135"/>
      <c r="P34" s="135">
        <v>0</v>
      </c>
      <c r="Q34" s="135"/>
      <c r="R34" s="138">
        <f t="shared" si="1"/>
        <v>0</v>
      </c>
      <c r="S34" s="31"/>
      <c r="T34" s="31"/>
      <c r="U34" s="31"/>
    </row>
    <row r="35" spans="1:21" x14ac:dyDescent="0.2">
      <c r="A35" s="133" t="s">
        <v>3361</v>
      </c>
      <c r="B35" s="149">
        <v>-56408.239999999991</v>
      </c>
      <c r="C35" s="135"/>
      <c r="D35" s="135">
        <v>-39020.480000000003</v>
      </c>
      <c r="E35" s="135"/>
      <c r="F35" s="135">
        <v>0</v>
      </c>
      <c r="G35" s="135"/>
      <c r="H35" s="135">
        <v>-381.96</v>
      </c>
      <c r="I35" s="135"/>
      <c r="J35" s="135">
        <v>0</v>
      </c>
      <c r="K35" s="135"/>
      <c r="L35" s="135">
        <v>0</v>
      </c>
      <c r="M35" s="135"/>
      <c r="N35" s="135">
        <v>0</v>
      </c>
      <c r="O35" s="135"/>
      <c r="P35" s="135">
        <v>0</v>
      </c>
      <c r="Q35" s="135"/>
      <c r="R35" s="149">
        <f t="shared" si="1"/>
        <v>-95810.680000000008</v>
      </c>
      <c r="S35" s="31"/>
      <c r="T35" s="31"/>
      <c r="U35" s="31"/>
    </row>
    <row r="36" spans="1:21" x14ac:dyDescent="0.2">
      <c r="B36" s="39">
        <f>SUM(B29:B35)</f>
        <v>-1452406.4399999997</v>
      </c>
      <c r="D36" s="117">
        <f>SUM(D29:D35)</f>
        <v>-247305.57</v>
      </c>
      <c r="F36" s="117">
        <f>SUM(F29:F35)</f>
        <v>3610.57</v>
      </c>
      <c r="H36" s="117">
        <f>SUM(H29:H35)</f>
        <v>-381.96</v>
      </c>
      <c r="J36" s="117">
        <f>SUM(J29:J35)</f>
        <v>0</v>
      </c>
      <c r="L36" s="117">
        <f>SUM(L29:L35)</f>
        <v>10334.08</v>
      </c>
      <c r="N36" s="117">
        <f>SUM(N29:N35)</f>
        <v>0</v>
      </c>
      <c r="P36" s="117">
        <f>SUM(P29:P35)</f>
        <v>0</v>
      </c>
      <c r="R36" s="39">
        <f>SUM(R29:R35)</f>
        <v>-1686149.32</v>
      </c>
    </row>
    <row r="39" spans="1:21" ht="13.5" thickBot="1" x14ac:dyDescent="0.25">
      <c r="A39" s="10" t="s">
        <v>3301</v>
      </c>
      <c r="B39" s="143">
        <f>B36+B24</f>
        <v>-1452406.4399999997</v>
      </c>
      <c r="C39" s="135"/>
      <c r="D39" s="143">
        <f>D36+D24</f>
        <v>-247305.57</v>
      </c>
      <c r="E39" s="135"/>
      <c r="F39" s="143">
        <f>F36+F24</f>
        <v>3610.57</v>
      </c>
      <c r="G39" s="135"/>
      <c r="H39" s="143">
        <f>H36+H24</f>
        <v>-381.96</v>
      </c>
      <c r="I39" s="135"/>
      <c r="J39" s="143">
        <f>J36+J24</f>
        <v>0</v>
      </c>
      <c r="K39" s="135"/>
      <c r="L39" s="143">
        <f>L36+L24</f>
        <v>10334.08</v>
      </c>
      <c r="M39" s="135"/>
      <c r="N39" s="143">
        <f>N36+N24</f>
        <v>0</v>
      </c>
      <c r="O39" s="135"/>
      <c r="P39" s="143">
        <f>P36+P24</f>
        <v>0</v>
      </c>
      <c r="Q39" s="135"/>
      <c r="R39" s="143">
        <f>R36+R24</f>
        <v>-1686149.32</v>
      </c>
      <c r="S39" s="138"/>
      <c r="T39" s="138"/>
      <c r="U39" s="138"/>
    </row>
    <row r="40" spans="1:21" ht="13.5" thickTop="1" x14ac:dyDescent="0.2"/>
    <row r="42" spans="1:21" x14ac:dyDescent="0.2">
      <c r="A42" s="10" t="s">
        <v>14</v>
      </c>
    </row>
    <row r="43" spans="1:21" x14ac:dyDescent="0.2">
      <c r="A43" s="3" t="s">
        <v>3362</v>
      </c>
      <c r="B43" s="138">
        <v>25178.539999999899</v>
      </c>
      <c r="C43" s="135"/>
      <c r="D43" s="135">
        <v>-9775.44</v>
      </c>
      <c r="E43" s="135"/>
      <c r="F43" s="135">
        <v>0</v>
      </c>
      <c r="G43" s="135"/>
      <c r="H43" s="135">
        <v>0</v>
      </c>
      <c r="I43" s="135"/>
      <c r="J43" s="138">
        <v>0</v>
      </c>
      <c r="K43" s="135"/>
      <c r="L43" s="135">
        <v>0</v>
      </c>
      <c r="M43" s="135"/>
      <c r="N43" s="135">
        <v>0</v>
      </c>
      <c r="O43" s="135"/>
      <c r="P43" s="135">
        <v>0</v>
      </c>
      <c r="Q43" s="135"/>
      <c r="R43" s="138">
        <f>SUM(B43:P43)</f>
        <v>15403.099999999899</v>
      </c>
      <c r="S43" s="138"/>
    </row>
    <row r="44" spans="1:21" x14ac:dyDescent="0.2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8"/>
    </row>
    <row r="45" spans="1:21" x14ac:dyDescent="0.2">
      <c r="B45" s="138"/>
      <c r="C45" s="135"/>
      <c r="D45" s="138"/>
      <c r="E45" s="135"/>
      <c r="F45" s="138"/>
      <c r="G45" s="135"/>
      <c r="H45" s="138"/>
      <c r="I45" s="135"/>
      <c r="J45" s="138"/>
      <c r="K45" s="135"/>
      <c r="L45" s="138"/>
      <c r="M45" s="135"/>
      <c r="N45" s="138"/>
      <c r="O45" s="135"/>
      <c r="P45" s="138"/>
      <c r="Q45" s="135"/>
      <c r="R45" s="138"/>
      <c r="S45" s="138"/>
    </row>
    <row r="46" spans="1:21" ht="13.5" thickBot="1" x14ac:dyDescent="0.25">
      <c r="A46" s="10" t="s">
        <v>3339</v>
      </c>
      <c r="B46" s="143">
        <f>B43</f>
        <v>25178.539999999899</v>
      </c>
      <c r="C46" s="135"/>
      <c r="D46" s="143">
        <f>D43</f>
        <v>-9775.44</v>
      </c>
      <c r="E46" s="135"/>
      <c r="F46" s="143">
        <f>F43</f>
        <v>0</v>
      </c>
      <c r="G46" s="135"/>
      <c r="H46" s="143">
        <f>H43</f>
        <v>0</v>
      </c>
      <c r="I46" s="135"/>
      <c r="J46" s="143">
        <f>J43</f>
        <v>0</v>
      </c>
      <c r="K46" s="135"/>
      <c r="L46" s="143">
        <f>L43</f>
        <v>0</v>
      </c>
      <c r="M46" s="135"/>
      <c r="N46" s="143">
        <f>N43</f>
        <v>0</v>
      </c>
      <c r="O46" s="135"/>
      <c r="P46" s="143">
        <f>P43</f>
        <v>0</v>
      </c>
      <c r="Q46" s="135"/>
      <c r="R46" s="143">
        <f>R43</f>
        <v>15403.099999999899</v>
      </c>
      <c r="S46" s="138"/>
    </row>
    <row r="47" spans="1:21" ht="13.5" thickTop="1" x14ac:dyDescent="0.2"/>
    <row r="50" spans="1:18" ht="13.5" thickBot="1" x14ac:dyDescent="0.25">
      <c r="A50" s="10" t="s">
        <v>3363</v>
      </c>
      <c r="B50" s="97">
        <f>B39+B25+B46</f>
        <v>-19073992.880000003</v>
      </c>
      <c r="D50" s="97">
        <f>D39+D25+D46</f>
        <v>-1400401.73</v>
      </c>
      <c r="F50" s="97">
        <f>F39+F25+F46</f>
        <v>45796.27</v>
      </c>
      <c r="H50" s="97">
        <f>H39+H25+H46</f>
        <v>-381.96</v>
      </c>
      <c r="J50" s="97">
        <f>J39+J25+J46</f>
        <v>0</v>
      </c>
      <c r="L50" s="97">
        <f>L39+L25+L46</f>
        <v>35157.83</v>
      </c>
      <c r="N50" s="97">
        <f>N39+N25+N46</f>
        <v>-3437.47</v>
      </c>
      <c r="P50" s="97">
        <f>P39+P25+P46</f>
        <v>0</v>
      </c>
      <c r="R50" s="97">
        <f>R39+R25+R46</f>
        <v>-20397259.940000001</v>
      </c>
    </row>
    <row r="51" spans="1:18" ht="13.5" thickTop="1" x14ac:dyDescent="0.2"/>
  </sheetData>
  <mergeCells count="3">
    <mergeCell ref="A1:R1"/>
    <mergeCell ref="A2:R2"/>
    <mergeCell ref="A3:R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9" tint="0.39997558519241921"/>
  </sheetPr>
  <dimension ref="A1:AB318"/>
  <sheetViews>
    <sheetView zoomScale="80" zoomScaleNormal="80" workbookViewId="0">
      <pane xSplit="2" ySplit="8" topLeftCell="C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8.140625" style="3" customWidth="1"/>
    <col min="2" max="2" width="38.140625" style="3" customWidth="1"/>
    <col min="3" max="3" width="18.7109375" style="3" bestFit="1" customWidth="1"/>
    <col min="4" max="4" width="1.7109375" style="3" customWidth="1"/>
    <col min="5" max="5" width="17.7109375" style="3" customWidth="1"/>
    <col min="6" max="6" width="1.7109375" style="3" customWidth="1"/>
    <col min="7" max="7" width="17.7109375" style="3" customWidth="1"/>
    <col min="8" max="8" width="1.7109375" style="3" customWidth="1"/>
    <col min="9" max="9" width="17.7109375" style="3" customWidth="1"/>
    <col min="10" max="10" width="1.7109375" style="3" customWidth="1"/>
    <col min="11" max="11" width="18.7109375" style="3" bestFit="1" customWidth="1"/>
    <col min="12" max="12" width="1.7109375" style="3" customWidth="1"/>
    <col min="13" max="13" width="17.7109375" style="3" customWidth="1"/>
    <col min="14" max="14" width="1.7109375" style="3" customWidth="1"/>
    <col min="15" max="15" width="17.7109375" style="3" customWidth="1"/>
    <col min="16" max="16" width="1.7109375" style="3" customWidth="1"/>
    <col min="17" max="17" width="17.7109375" style="3" customWidth="1"/>
    <col min="18" max="18" width="1.7109375" style="3" customWidth="1"/>
    <col min="19" max="19" width="17.7109375" style="3" customWidth="1"/>
    <col min="20" max="20" width="1.7109375" style="3" customWidth="1"/>
    <col min="21" max="21" width="19.85546875" style="3" bestFit="1" customWidth="1"/>
    <col min="22" max="22" width="2.7109375" style="3" customWidth="1"/>
    <col min="23" max="16384" width="9.140625" style="3"/>
  </cols>
  <sheetData>
    <row r="1" spans="1:22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30"/>
    </row>
    <row r="2" spans="1:22" x14ac:dyDescent="0.2">
      <c r="A2" s="213" t="s">
        <v>3364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30"/>
    </row>
    <row r="3" spans="1:22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5"/>
    </row>
    <row r="4" spans="1:2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6" spans="1:22" x14ac:dyDescent="0.2">
      <c r="C6" s="8" t="s">
        <v>3</v>
      </c>
      <c r="E6" s="15"/>
      <c r="G6" s="15"/>
      <c r="I6" s="8" t="s">
        <v>4</v>
      </c>
      <c r="J6" s="8"/>
      <c r="K6" s="8" t="s">
        <v>66</v>
      </c>
      <c r="M6" s="8" t="s">
        <v>67</v>
      </c>
      <c r="O6" s="18" t="s">
        <v>68</v>
      </c>
      <c r="Q6" s="8"/>
      <c r="S6" s="8" t="s">
        <v>69</v>
      </c>
      <c r="U6" s="8" t="s">
        <v>5</v>
      </c>
      <c r="V6" s="8"/>
    </row>
    <row r="7" spans="1:22" x14ac:dyDescent="0.2">
      <c r="C7" s="12" t="s">
        <v>7</v>
      </c>
      <c r="E7" s="12" t="s">
        <v>70</v>
      </c>
      <c r="G7" s="12" t="s">
        <v>9</v>
      </c>
      <c r="I7" s="12" t="s">
        <v>10</v>
      </c>
      <c r="J7" s="18"/>
      <c r="K7" s="12" t="s">
        <v>71</v>
      </c>
      <c r="M7" s="12" t="s">
        <v>72</v>
      </c>
      <c r="O7" s="12" t="s">
        <v>73</v>
      </c>
      <c r="Q7" s="12" t="s">
        <v>74</v>
      </c>
      <c r="S7" s="12" t="s">
        <v>75</v>
      </c>
      <c r="U7" s="12" t="s">
        <v>7</v>
      </c>
      <c r="V7" s="12"/>
    </row>
    <row r="8" spans="1:22" x14ac:dyDescent="0.2">
      <c r="C8" s="18"/>
      <c r="E8" s="18"/>
      <c r="G8" s="18"/>
      <c r="I8" s="18"/>
      <c r="J8" s="18"/>
      <c r="K8" s="18"/>
      <c r="M8" s="18"/>
      <c r="O8" s="18"/>
      <c r="Q8" s="18"/>
      <c r="S8" s="18"/>
      <c r="U8" s="18"/>
      <c r="V8" s="18"/>
    </row>
    <row r="9" spans="1:22" x14ac:dyDescent="0.2">
      <c r="A9" s="10" t="s">
        <v>76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">
      <c r="B10" s="3" t="s">
        <v>14</v>
      </c>
      <c r="C10" s="17">
        <f>+'Summary - Reserve - PG 2 (Reg)'!C10</f>
        <v>-90277222.729999989</v>
      </c>
      <c r="D10" s="15"/>
      <c r="E10" s="17">
        <f>+'Summary - Reserve - PG 2 (Reg)'!E10</f>
        <v>-10060793.949999999</v>
      </c>
      <c r="F10" s="15"/>
      <c r="G10" s="17">
        <f>+'Summary - Reserve - PG 2 (Reg)'!G10</f>
        <v>20362956.43</v>
      </c>
      <c r="H10" s="15"/>
      <c r="I10" s="17">
        <f>+'Summary - Reserve - PG 2 (Reg)'!I10</f>
        <v>1342.38</v>
      </c>
      <c r="J10" s="15"/>
      <c r="K10" s="17">
        <f>+'Summary - Reserve - PG 2 (Reg)'!K10</f>
        <v>0</v>
      </c>
      <c r="L10" s="15"/>
      <c r="M10" s="17">
        <f>+'Summary - Reserve - PG 2 (Reg)'!M10</f>
        <v>0</v>
      </c>
      <c r="N10" s="15"/>
      <c r="O10" s="17">
        <f>+'Summary - Reserve - PG 2 (Reg)'!O10</f>
        <v>0</v>
      </c>
      <c r="P10" s="15"/>
      <c r="Q10" s="17">
        <f>+'Summary - Reserve - PG 2 (Reg)'!Q10</f>
        <v>0</v>
      </c>
      <c r="R10" s="15"/>
      <c r="S10" s="17">
        <f>+'Summary - Reserve - PG 2 (Reg)'!S10</f>
        <v>0</v>
      </c>
      <c r="T10" s="15"/>
      <c r="U10" s="15">
        <f t="shared" ref="U10:U32" si="0">S10+Q10+O10+M10+I10+G10+E10+C10</f>
        <v>-79973717.86999999</v>
      </c>
      <c r="V10" s="15"/>
    </row>
    <row r="11" spans="1:22" x14ac:dyDescent="0.2">
      <c r="B11" s="3" t="s">
        <v>77</v>
      </c>
      <c r="C11" s="17">
        <f>+'Summary - Reserve - PG 2 (Reg)'!C11</f>
        <v>0</v>
      </c>
      <c r="D11" s="15"/>
      <c r="E11" s="17">
        <f>+'Summary - Reserve - PG 2 (Reg)'!E11</f>
        <v>0</v>
      </c>
      <c r="F11" s="15"/>
      <c r="G11" s="17">
        <f>+'Summary - Reserve - PG 2 (Reg)'!G11</f>
        <v>0</v>
      </c>
      <c r="H11" s="15"/>
      <c r="I11" s="17">
        <f>+'Summary - Reserve - PG 2 (Reg)'!I11</f>
        <v>0</v>
      </c>
      <c r="J11" s="15"/>
      <c r="K11" s="17">
        <f>+'Summary - Reserve - PG 2 (Reg)'!K11</f>
        <v>0</v>
      </c>
      <c r="L11" s="15"/>
      <c r="M11" s="17">
        <f>+'Summary - Reserve - PG 2 (Reg)'!M11</f>
        <v>0</v>
      </c>
      <c r="N11" s="15"/>
      <c r="O11" s="17">
        <f>+'Summary - Reserve - PG 2 (Reg)'!O11</f>
        <v>0</v>
      </c>
      <c r="P11" s="15"/>
      <c r="Q11" s="17">
        <f>+'Summary - Reserve - PG 2 (Reg)'!Q11</f>
        <v>0</v>
      </c>
      <c r="R11" s="15"/>
      <c r="S11" s="17">
        <f>+'Summary - Reserve - PG 2 (Reg)'!S11</f>
        <v>0</v>
      </c>
      <c r="T11" s="15"/>
      <c r="U11" s="15">
        <f t="shared" si="0"/>
        <v>0</v>
      </c>
      <c r="V11" s="15"/>
    </row>
    <row r="12" spans="1:22" x14ac:dyDescent="0.2">
      <c r="B12" s="3" t="s">
        <v>18</v>
      </c>
      <c r="C12" s="17">
        <f>+'Summary - Reserve - PG 2 (Reg)'!C12</f>
        <v>-342879796.25</v>
      </c>
      <c r="D12" s="15"/>
      <c r="E12" s="17">
        <f>+'Summary - Reserve - PG 2 (Reg)'!E12</f>
        <v>-24235413.379999999</v>
      </c>
      <c r="F12" s="15"/>
      <c r="G12" s="17">
        <f>+'Summary - Reserve - PG 2 (Reg)'!G12</f>
        <v>10202649.220000001</v>
      </c>
      <c r="H12" s="15"/>
      <c r="I12" s="17">
        <f>+'Summary - Reserve - PG 2 (Reg)'!I12</f>
        <v>48347.59</v>
      </c>
      <c r="J12" s="15"/>
      <c r="K12" s="17">
        <f>+'Summary - Reserve - PG 2 (Reg)'!K12</f>
        <v>0</v>
      </c>
      <c r="L12" s="15"/>
      <c r="M12" s="17">
        <f>+'Summary - Reserve - PG 2 (Reg)'!M12</f>
        <v>0</v>
      </c>
      <c r="N12" s="15"/>
      <c r="O12" s="17">
        <f>+'Summary - Reserve - PG 2 (Reg)'!O12</f>
        <v>0</v>
      </c>
      <c r="P12" s="15"/>
      <c r="Q12" s="17">
        <f>+'Summary - Reserve - PG 2 (Reg)'!Q12</f>
        <v>0</v>
      </c>
      <c r="R12" s="15"/>
      <c r="S12" s="17">
        <f>+'Summary - Reserve - PG 2 (Reg)'!S12</f>
        <v>0</v>
      </c>
      <c r="T12" s="15"/>
      <c r="U12" s="15">
        <f t="shared" si="0"/>
        <v>-356864212.81999999</v>
      </c>
      <c r="V12" s="15"/>
    </row>
    <row r="13" spans="1:22" x14ac:dyDescent="0.2">
      <c r="B13" s="3" t="s">
        <v>78</v>
      </c>
      <c r="C13" s="17">
        <f>+'Summary - Reserve - PG 2 (Reg)'!C13</f>
        <v>-42568.650000000067</v>
      </c>
      <c r="D13" s="15"/>
      <c r="E13" s="17">
        <f>+'Summary - Reserve - PG 2 (Reg)'!E13</f>
        <v>-7460.06</v>
      </c>
      <c r="F13" s="15"/>
      <c r="G13" s="17">
        <f>+'Summary - Reserve - PG 2 (Reg)'!G13</f>
        <v>0</v>
      </c>
      <c r="H13" s="15"/>
      <c r="I13" s="17">
        <f>+'Summary - Reserve - PG 2 (Reg)'!I13</f>
        <v>0</v>
      </c>
      <c r="J13" s="15"/>
      <c r="K13" s="17">
        <f>+'Summary - Reserve - PG 2 (Reg)'!K13</f>
        <v>0</v>
      </c>
      <c r="L13" s="15"/>
      <c r="M13" s="17">
        <f>+'Summary - Reserve - PG 2 (Reg)'!M13</f>
        <v>0</v>
      </c>
      <c r="N13" s="15"/>
      <c r="O13" s="17">
        <f>+'Summary - Reserve - PG 2 (Reg)'!O13</f>
        <v>0</v>
      </c>
      <c r="P13" s="15"/>
      <c r="Q13" s="17">
        <f>+'Summary - Reserve - PG 2 (Reg)'!Q13</f>
        <v>0</v>
      </c>
      <c r="R13" s="15"/>
      <c r="S13" s="17">
        <f>+'Summary - Reserve - PG 2 (Reg)'!S13</f>
        <v>0</v>
      </c>
      <c r="T13" s="15"/>
      <c r="U13" s="15">
        <f t="shared" si="0"/>
        <v>-50028.710000000065</v>
      </c>
      <c r="V13" s="15"/>
    </row>
    <row r="14" spans="1:22" x14ac:dyDescent="0.2">
      <c r="B14" s="3" t="s">
        <v>19</v>
      </c>
      <c r="C14" s="17">
        <f>+'Summary - Reserve - PG 2 (Reg)'!C14</f>
        <v>-7511140.4899999984</v>
      </c>
      <c r="D14" s="15"/>
      <c r="E14" s="17">
        <f>+'Summary - Reserve - PG 2 (Reg)'!E14</f>
        <v>-1735391.42</v>
      </c>
      <c r="F14" s="15"/>
      <c r="G14" s="17">
        <f>+'Summary - Reserve - PG 2 (Reg)'!G14</f>
        <v>575538.23</v>
      </c>
      <c r="H14" s="15"/>
      <c r="I14" s="17">
        <f>+'Summary - Reserve - PG 2 (Reg)'!I14</f>
        <v>-370194.9</v>
      </c>
      <c r="J14" s="15"/>
      <c r="K14" s="17">
        <f>+'Summary - Reserve - PG 2 (Reg)'!K14</f>
        <v>0</v>
      </c>
      <c r="L14" s="15"/>
      <c r="M14" s="17">
        <f>+'Summary - Reserve - PG 2 (Reg)'!M14</f>
        <v>0</v>
      </c>
      <c r="N14" s="15"/>
      <c r="O14" s="17">
        <f>+'Summary - Reserve - PG 2 (Reg)'!O14</f>
        <v>0</v>
      </c>
      <c r="P14" s="15"/>
      <c r="Q14" s="17">
        <f>+'Summary - Reserve - PG 2 (Reg)'!Q14</f>
        <v>0</v>
      </c>
      <c r="R14" s="15"/>
      <c r="S14" s="17">
        <f>+'Summary - Reserve - PG 2 (Reg)'!S14</f>
        <v>0</v>
      </c>
      <c r="T14" s="15"/>
      <c r="U14" s="15">
        <f t="shared" si="0"/>
        <v>-9041188.5799999982</v>
      </c>
      <c r="V14" s="15"/>
    </row>
    <row r="15" spans="1:22" x14ac:dyDescent="0.2">
      <c r="B15" s="3" t="s">
        <v>20</v>
      </c>
      <c r="C15" s="17">
        <f>+'Summary - Reserve - PG 2 (Reg)'!C15</f>
        <v>-15869434.650000002</v>
      </c>
      <c r="D15" s="15"/>
      <c r="E15" s="17">
        <f>+'Summary - Reserve - PG 2 (Reg)'!E15</f>
        <v>-2840451.53</v>
      </c>
      <c r="F15" s="15"/>
      <c r="G15" s="17">
        <f>+'Summary - Reserve - PG 2 (Reg)'!G15</f>
        <v>135429.89000000001</v>
      </c>
      <c r="H15" s="15"/>
      <c r="I15" s="17">
        <f>+'Summary - Reserve - PG 2 (Reg)'!I15</f>
        <v>0</v>
      </c>
      <c r="J15" s="15"/>
      <c r="K15" s="17">
        <f>+'Summary - Reserve - PG 2 (Reg)'!K15</f>
        <v>0</v>
      </c>
      <c r="L15" s="15"/>
      <c r="M15" s="17">
        <f>+'Summary - Reserve - PG 2 (Reg)'!M15</f>
        <v>0</v>
      </c>
      <c r="N15" s="15"/>
      <c r="O15" s="17">
        <f>+'Summary - Reserve - PG 2 (Reg)'!O15</f>
        <v>0</v>
      </c>
      <c r="P15" s="15"/>
      <c r="Q15" s="17">
        <f>+'Summary - Reserve - PG 2 (Reg)'!Q15</f>
        <v>0</v>
      </c>
      <c r="R15" s="15"/>
      <c r="S15" s="17">
        <f>+'Summary - Reserve - PG 2 (Reg)'!S15</f>
        <v>0</v>
      </c>
      <c r="T15" s="15"/>
      <c r="U15" s="15">
        <f t="shared" si="0"/>
        <v>-18574456.290000003</v>
      </c>
      <c r="V15" s="15"/>
    </row>
    <row r="16" spans="1:22" x14ac:dyDescent="0.2">
      <c r="B16" s="3" t="s">
        <v>79</v>
      </c>
      <c r="C16" s="17">
        <f>+'Summary - Reserve - PG 2 (Reg)'!C16</f>
        <v>-5910.2300000000105</v>
      </c>
      <c r="D16" s="15"/>
      <c r="E16" s="17">
        <f>+'Summary - Reserve - PG 2 (Reg)'!E16</f>
        <v>-4728.41</v>
      </c>
      <c r="F16" s="15"/>
      <c r="G16" s="17">
        <f>+'Summary - Reserve - PG 2 (Reg)'!G16</f>
        <v>0</v>
      </c>
      <c r="H16" s="15"/>
      <c r="I16" s="17">
        <f>+'Summary - Reserve - PG 2 (Reg)'!I16</f>
        <v>0</v>
      </c>
      <c r="J16" s="15"/>
      <c r="K16" s="17">
        <f>+'Summary - Reserve - PG 2 (Reg)'!K16</f>
        <v>0</v>
      </c>
      <c r="L16" s="15"/>
      <c r="M16" s="17">
        <f>+'Summary - Reserve - PG 2 (Reg)'!M16</f>
        <v>0</v>
      </c>
      <c r="N16" s="15"/>
      <c r="O16" s="17">
        <f>+'Summary - Reserve - PG 2 (Reg)'!O16</f>
        <v>0</v>
      </c>
      <c r="P16" s="15"/>
      <c r="Q16" s="17">
        <f>+'Summary - Reserve - PG 2 (Reg)'!Q16</f>
        <v>0</v>
      </c>
      <c r="R16" s="15"/>
      <c r="S16" s="17">
        <f>+'Summary - Reserve - PG 2 (Reg)'!S16</f>
        <v>0</v>
      </c>
      <c r="T16" s="15"/>
      <c r="U16" s="15">
        <f t="shared" si="0"/>
        <v>-10638.64000000001</v>
      </c>
      <c r="V16" s="15"/>
    </row>
    <row r="17" spans="2:22" x14ac:dyDescent="0.2">
      <c r="B17" s="3" t="s">
        <v>22</v>
      </c>
      <c r="C17" s="17">
        <f>+'Summary - Reserve - PG 2 (Reg)'!C17</f>
        <v>-103883604.21000001</v>
      </c>
      <c r="D17" s="15"/>
      <c r="E17" s="17">
        <f>+'Summary - Reserve - PG 2 (Reg)'!E17</f>
        <v>-13539571.99</v>
      </c>
      <c r="F17" s="15"/>
      <c r="G17" s="17">
        <f>+'Summary - Reserve - PG 2 (Reg)'!G17</f>
        <v>290230.69</v>
      </c>
      <c r="H17" s="15"/>
      <c r="I17" s="17">
        <f>+'Summary - Reserve - PG 2 (Reg)'!I17</f>
        <v>0</v>
      </c>
      <c r="J17" s="15"/>
      <c r="K17" s="17">
        <f>+'Summary - Reserve - PG 2 (Reg)'!K17</f>
        <v>0</v>
      </c>
      <c r="L17" s="15"/>
      <c r="M17" s="17">
        <f>+'Summary - Reserve - PG 2 (Reg)'!M17</f>
        <v>0</v>
      </c>
      <c r="N17" s="15"/>
      <c r="O17" s="17">
        <f>+'Summary - Reserve - PG 2 (Reg)'!O17</f>
        <v>0</v>
      </c>
      <c r="P17" s="15"/>
      <c r="Q17" s="17">
        <f>+'Summary - Reserve - PG 2 (Reg)'!Q17</f>
        <v>0</v>
      </c>
      <c r="R17" s="15"/>
      <c r="S17" s="17">
        <f>+'Summary - Reserve - PG 2 (Reg)'!S17</f>
        <v>0</v>
      </c>
      <c r="T17" s="15"/>
      <c r="U17" s="15">
        <f t="shared" si="0"/>
        <v>-117132945.51000001</v>
      </c>
      <c r="V17" s="15"/>
    </row>
    <row r="18" spans="2:22" x14ac:dyDescent="0.2">
      <c r="B18" s="3" t="s">
        <v>80</v>
      </c>
      <c r="C18" s="17">
        <f>+'Summary - Reserve - PG 2 (Reg)'!C18</f>
        <v>-5839.0800000001236</v>
      </c>
      <c r="D18" s="15"/>
      <c r="E18" s="17">
        <f>+'Summary - Reserve - PG 2 (Reg)'!E18</f>
        <v>-3137.93</v>
      </c>
      <c r="F18" s="15"/>
      <c r="G18" s="17">
        <f>+'Summary - Reserve - PG 2 (Reg)'!G18</f>
        <v>0</v>
      </c>
      <c r="H18" s="15"/>
      <c r="I18" s="17">
        <f>+'Summary - Reserve - PG 2 (Reg)'!I18</f>
        <v>0</v>
      </c>
      <c r="J18" s="15"/>
      <c r="K18" s="17">
        <f>+'Summary - Reserve - PG 2 (Reg)'!K18</f>
        <v>0</v>
      </c>
      <c r="L18" s="15"/>
      <c r="M18" s="17">
        <f>+'Summary - Reserve - PG 2 (Reg)'!M18</f>
        <v>0</v>
      </c>
      <c r="N18" s="15"/>
      <c r="O18" s="17">
        <f>+'Summary - Reserve - PG 2 (Reg)'!O18</f>
        <v>0</v>
      </c>
      <c r="P18" s="15"/>
      <c r="Q18" s="17">
        <f>+'Summary - Reserve - PG 2 (Reg)'!Q18</f>
        <v>0</v>
      </c>
      <c r="R18" s="15"/>
      <c r="S18" s="17">
        <f>+'Summary - Reserve - PG 2 (Reg)'!S18</f>
        <v>0</v>
      </c>
      <c r="T18" s="15"/>
      <c r="U18" s="15">
        <f>S18+Q18+O18+M18+I18+G18+E18+C18</f>
        <v>-8977.0100000001239</v>
      </c>
      <c r="V18" s="15"/>
    </row>
    <row r="19" spans="2:22" x14ac:dyDescent="0.2">
      <c r="B19" s="3" t="s">
        <v>23</v>
      </c>
      <c r="C19" s="17">
        <f>+'Summary - Reserve - PG 2 (Reg)'!C19</f>
        <v>-751940758.83000004</v>
      </c>
      <c r="D19" s="15"/>
      <c r="E19" s="17">
        <f>+'Summary - Reserve - PG 2 (Reg)'!E19</f>
        <v>-56328130.93</v>
      </c>
      <c r="F19" s="15"/>
      <c r="G19" s="17">
        <f>+'Summary - Reserve - PG 2 (Reg)'!G19</f>
        <v>73521604.209999993</v>
      </c>
      <c r="H19" s="15"/>
      <c r="I19" s="17">
        <f>+'Summary - Reserve - PG 2 (Reg)'!I19</f>
        <v>76448.429999999993</v>
      </c>
      <c r="J19" s="15"/>
      <c r="K19" s="17">
        <f>+'Summary - Reserve - PG 2 (Reg)'!K19</f>
        <v>0</v>
      </c>
      <c r="L19" s="15"/>
      <c r="M19" s="17">
        <f>+'Summary - Reserve - PG 2 (Reg)'!M19</f>
        <v>0</v>
      </c>
      <c r="N19" s="15"/>
      <c r="O19" s="17">
        <f>+'Summary - Reserve - PG 2 (Reg)'!O19</f>
        <v>0</v>
      </c>
      <c r="P19" s="15"/>
      <c r="Q19" s="17">
        <f>+'Summary - Reserve - PG 2 (Reg)'!Q19</f>
        <v>0</v>
      </c>
      <c r="R19" s="15"/>
      <c r="S19" s="17">
        <f>+'Summary - Reserve - PG 2 (Reg)'!S19</f>
        <v>0</v>
      </c>
      <c r="T19" s="15"/>
      <c r="U19" s="15">
        <f>S19+Q19+O19+M19+I19+G19+E19+C19</f>
        <v>-734670837.12</v>
      </c>
      <c r="V19" s="15"/>
    </row>
    <row r="20" spans="2:22" x14ac:dyDescent="0.2">
      <c r="B20" s="3" t="s">
        <v>81</v>
      </c>
      <c r="C20" s="17">
        <f>+'Summary - Reserve - PG 2 (Reg)'!C20</f>
        <v>-21563814.689999998</v>
      </c>
      <c r="D20" s="15"/>
      <c r="E20" s="17">
        <f>+'Summary - Reserve - PG 2 (Reg)'!E20</f>
        <v>-19024259.27</v>
      </c>
      <c r="F20" s="15"/>
      <c r="G20" s="17">
        <f>+'Summary - Reserve - PG 2 (Reg)'!G20</f>
        <v>765926.26</v>
      </c>
      <c r="H20" s="15"/>
      <c r="I20" s="17">
        <f>+'Summary - Reserve - PG 2 (Reg)'!I20</f>
        <v>0</v>
      </c>
      <c r="J20" s="15"/>
      <c r="K20" s="17">
        <f>+'Summary - Reserve - PG 2 (Reg)'!K20</f>
        <v>0</v>
      </c>
      <c r="L20" s="15"/>
      <c r="M20" s="17">
        <f>+'Summary - Reserve - PG 2 (Reg)'!M20</f>
        <v>0</v>
      </c>
      <c r="N20" s="15"/>
      <c r="O20" s="17">
        <f>+'Summary - Reserve - PG 2 (Reg)'!O20</f>
        <v>0</v>
      </c>
      <c r="P20" s="15"/>
      <c r="Q20" s="17">
        <f>+'Summary - Reserve - PG 2 (Reg)'!Q20</f>
        <v>0</v>
      </c>
      <c r="R20" s="15"/>
      <c r="S20" s="17">
        <f>+'Summary - Reserve - PG 2 (Reg)'!S20</f>
        <v>0</v>
      </c>
      <c r="T20" s="15"/>
      <c r="U20" s="15">
        <f>S20+Q20+O20+M20+I20+G20+E20+C20</f>
        <v>-39822147.699999996</v>
      </c>
      <c r="V20" s="15"/>
    </row>
    <row r="21" spans="2:22" x14ac:dyDescent="0.2">
      <c r="B21" s="3" t="s">
        <v>24</v>
      </c>
      <c r="C21" s="17">
        <f>+'Summary - Reserve - PG 2 (Reg)'!C21</f>
        <v>-131166295.53999999</v>
      </c>
      <c r="D21" s="15"/>
      <c r="E21" s="17">
        <f>+'Summary - Reserve - PG 2 (Reg)'!E21</f>
        <v>-6107462.46</v>
      </c>
      <c r="F21" s="15"/>
      <c r="G21" s="17">
        <f>+'Summary - Reserve - PG 2 (Reg)'!G21</f>
        <v>2416860.85</v>
      </c>
      <c r="H21" s="15"/>
      <c r="I21" s="17">
        <f>+'Summary - Reserve - PG 2 (Reg)'!I21</f>
        <v>-48347.59</v>
      </c>
      <c r="J21" s="15"/>
      <c r="K21" s="17">
        <f>+'Summary - Reserve - PG 2 (Reg)'!K21</f>
        <v>0</v>
      </c>
      <c r="L21" s="15"/>
      <c r="M21" s="17">
        <f>+'Summary - Reserve - PG 2 (Reg)'!M21</f>
        <v>0</v>
      </c>
      <c r="N21" s="15"/>
      <c r="O21" s="17">
        <f>+'Summary - Reserve - PG 2 (Reg)'!O21</f>
        <v>0</v>
      </c>
      <c r="P21" s="15"/>
      <c r="Q21" s="17">
        <f>+'Summary - Reserve - PG 2 (Reg)'!Q21</f>
        <v>0</v>
      </c>
      <c r="R21" s="15"/>
      <c r="S21" s="17">
        <f>+'Summary - Reserve - PG 2 (Reg)'!S21</f>
        <v>0</v>
      </c>
      <c r="T21" s="15"/>
      <c r="U21" s="15">
        <f t="shared" si="0"/>
        <v>-134905244.73999998</v>
      </c>
      <c r="V21" s="15"/>
    </row>
    <row r="22" spans="2:22" x14ac:dyDescent="0.2">
      <c r="B22" s="3" t="s">
        <v>82</v>
      </c>
      <c r="C22" s="17">
        <f>+'Summary - Reserve - PG 2 (Reg)'!C22</f>
        <v>-24596.489999999998</v>
      </c>
      <c r="D22" s="15"/>
      <c r="E22" s="17">
        <f>+'Summary - Reserve - PG 2 (Reg)'!E22</f>
        <v>-5564.8</v>
      </c>
      <c r="F22" s="15"/>
      <c r="G22" s="17">
        <f>+'Summary - Reserve - PG 2 (Reg)'!G22</f>
        <v>0</v>
      </c>
      <c r="H22" s="15"/>
      <c r="I22" s="17">
        <f>+'Summary - Reserve - PG 2 (Reg)'!I22</f>
        <v>0</v>
      </c>
      <c r="J22" s="15"/>
      <c r="K22" s="17">
        <f>+'Summary - Reserve - PG 2 (Reg)'!K22</f>
        <v>0</v>
      </c>
      <c r="L22" s="15"/>
      <c r="M22" s="17">
        <f>+'Summary - Reserve - PG 2 (Reg)'!M22</f>
        <v>0</v>
      </c>
      <c r="N22" s="15"/>
      <c r="O22" s="17">
        <f>+'Summary - Reserve - PG 2 (Reg)'!O22</f>
        <v>0</v>
      </c>
      <c r="P22" s="15"/>
      <c r="Q22" s="17">
        <f>+'Summary - Reserve - PG 2 (Reg)'!Q22</f>
        <v>0</v>
      </c>
      <c r="R22" s="15"/>
      <c r="S22" s="17">
        <f>+'Summary - Reserve - PG 2 (Reg)'!S22</f>
        <v>0</v>
      </c>
      <c r="T22" s="15"/>
      <c r="U22" s="15">
        <f t="shared" si="0"/>
        <v>-30161.289999999997</v>
      </c>
      <c r="V22" s="15"/>
    </row>
    <row r="23" spans="2:22" x14ac:dyDescent="0.2">
      <c r="B23" s="3" t="s">
        <v>27</v>
      </c>
      <c r="C23" s="17">
        <f>+'Summary - Reserve - PG 2 (Reg)'!C23</f>
        <v>-162540313.63000005</v>
      </c>
      <c r="D23" s="15"/>
      <c r="E23" s="17">
        <f>+'Summary - Reserve - PG 2 (Reg)'!E23</f>
        <v>-17404032.07</v>
      </c>
      <c r="F23" s="15"/>
      <c r="G23" s="17">
        <f>+'Summary - Reserve - PG 2 (Reg)'!G23</f>
        <v>8491708.0600000005</v>
      </c>
      <c r="H23" s="15"/>
      <c r="I23" s="17">
        <f>+'Summary - Reserve - PG 2 (Reg)'!I23</f>
        <v>-962.14</v>
      </c>
      <c r="J23" s="15"/>
      <c r="K23" s="17">
        <f>+'Summary - Reserve - PG 2 (Reg)'!K23</f>
        <v>0</v>
      </c>
      <c r="L23" s="15"/>
      <c r="M23" s="17">
        <f>+'Summary - Reserve - PG 2 (Reg)'!M23</f>
        <v>0</v>
      </c>
      <c r="N23" s="15"/>
      <c r="O23" s="17">
        <f>+'Summary - Reserve - PG 2 (Reg)'!O23</f>
        <v>0</v>
      </c>
      <c r="P23" s="15"/>
      <c r="Q23" s="17">
        <f>+'Summary - Reserve - PG 2 (Reg)'!Q23</f>
        <v>0</v>
      </c>
      <c r="R23" s="15"/>
      <c r="S23" s="17">
        <f>+'Summary - Reserve - PG 2 (Reg)'!S23</f>
        <v>0</v>
      </c>
      <c r="T23" s="15"/>
      <c r="U23" s="15">
        <f t="shared" si="0"/>
        <v>-171453599.78000006</v>
      </c>
      <c r="V23" s="15"/>
    </row>
    <row r="24" spans="2:22" x14ac:dyDescent="0.2">
      <c r="B24" s="3" t="s">
        <v>83</v>
      </c>
      <c r="C24" s="17">
        <f>+'Summary - Reserve - PG 2 (Reg)'!C24</f>
        <v>-1243743.4399999992</v>
      </c>
      <c r="D24" s="15"/>
      <c r="E24" s="17">
        <f>+'Summary - Reserve - PG 2 (Reg)'!E24</f>
        <v>-622075.52</v>
      </c>
      <c r="F24" s="15"/>
      <c r="G24" s="17">
        <f>+'Summary - Reserve - PG 2 (Reg)'!G24</f>
        <v>487435.15</v>
      </c>
      <c r="H24" s="15"/>
      <c r="I24" s="17">
        <f>+'Summary - Reserve - PG 2 (Reg)'!I24</f>
        <v>0</v>
      </c>
      <c r="J24" s="15"/>
      <c r="K24" s="17">
        <f>+'Summary - Reserve - PG 2 (Reg)'!K24</f>
        <v>0</v>
      </c>
      <c r="L24" s="15"/>
      <c r="M24" s="17">
        <f>+'Summary - Reserve - PG 2 (Reg)'!M24</f>
        <v>0</v>
      </c>
      <c r="N24" s="15"/>
      <c r="O24" s="17">
        <f>+'Summary - Reserve - PG 2 (Reg)'!O24</f>
        <v>0</v>
      </c>
      <c r="P24" s="15"/>
      <c r="Q24" s="17">
        <f>+'Summary - Reserve - PG 2 (Reg)'!Q24</f>
        <v>0</v>
      </c>
      <c r="R24" s="15"/>
      <c r="S24" s="17">
        <f>+'Summary - Reserve - PG 2 (Reg)'!S24</f>
        <v>0</v>
      </c>
      <c r="T24" s="15"/>
      <c r="U24" s="15">
        <f t="shared" si="0"/>
        <v>-1378383.8099999991</v>
      </c>
      <c r="V24" s="15"/>
    </row>
    <row r="25" spans="2:22" x14ac:dyDescent="0.2">
      <c r="B25" s="3" t="s">
        <v>28</v>
      </c>
      <c r="C25" s="17">
        <f>+'Summary - Reserve - PG 2 (Reg)'!C25</f>
        <v>-5798498.0999999996</v>
      </c>
      <c r="D25" s="15"/>
      <c r="E25" s="17">
        <f>+'Summary - Reserve - PG 2 (Reg)'!E25</f>
        <v>-630687.13</v>
      </c>
      <c r="F25" s="15"/>
      <c r="G25" s="17">
        <f>+'Summary - Reserve - PG 2 (Reg)'!G25</f>
        <v>421851.46</v>
      </c>
      <c r="H25" s="15"/>
      <c r="I25" s="17">
        <f>+'Summary - Reserve - PG 2 (Reg)'!I25</f>
        <v>-2996.9100000000035</v>
      </c>
      <c r="J25" s="15"/>
      <c r="K25" s="17">
        <f>+'Summary - Reserve - PG 2 (Reg)'!K25</f>
        <v>0</v>
      </c>
      <c r="L25" s="15"/>
      <c r="M25" s="17">
        <f>+'Summary - Reserve - PG 2 (Reg)'!M25</f>
        <v>0</v>
      </c>
      <c r="N25" s="15"/>
      <c r="O25" s="17">
        <f>+'Summary - Reserve - PG 2 (Reg)'!O25</f>
        <v>0</v>
      </c>
      <c r="P25" s="15"/>
      <c r="Q25" s="17">
        <f>+'Summary - Reserve - PG 2 (Reg)'!Q25</f>
        <v>0</v>
      </c>
      <c r="R25" s="15"/>
      <c r="S25" s="17">
        <f>+'Summary - Reserve - PG 2 (Reg)'!S25</f>
        <v>0</v>
      </c>
      <c r="T25" s="15"/>
      <c r="U25" s="15">
        <f t="shared" si="0"/>
        <v>-6010330.6799999997</v>
      </c>
      <c r="V25" s="15"/>
    </row>
    <row r="26" spans="2:22" x14ac:dyDescent="0.2">
      <c r="B26" s="3" t="s">
        <v>30</v>
      </c>
      <c r="C26" s="17">
        <f>+'Summary - Reserve - PG 2 (Reg)'!C26</f>
        <v>-36041847.840000004</v>
      </c>
      <c r="D26" s="15"/>
      <c r="E26" s="17">
        <f>+'Summary - Reserve - PG 2 (Reg)'!E26</f>
        <v>-2637818.63</v>
      </c>
      <c r="F26" s="15"/>
      <c r="G26" s="17">
        <f>+'Summary - Reserve - PG 2 (Reg)'!G26</f>
        <v>451160.9</v>
      </c>
      <c r="H26" s="15"/>
      <c r="I26" s="17">
        <f>+'Summary - Reserve - PG 2 (Reg)'!I26</f>
        <v>2616.67</v>
      </c>
      <c r="J26" s="15"/>
      <c r="K26" s="17">
        <f>+'Summary - Reserve - PG 2 (Reg)'!K26</f>
        <v>0</v>
      </c>
      <c r="L26" s="15"/>
      <c r="M26" s="17">
        <f>+'Summary - Reserve - PG 2 (Reg)'!M26</f>
        <v>0</v>
      </c>
      <c r="N26" s="15"/>
      <c r="O26" s="17">
        <f>+'Summary - Reserve - PG 2 (Reg)'!O26</f>
        <v>0</v>
      </c>
      <c r="P26" s="15"/>
      <c r="Q26" s="17">
        <f>+'Summary - Reserve - PG 2 (Reg)'!Q26</f>
        <v>0</v>
      </c>
      <c r="R26" s="15"/>
      <c r="S26" s="17">
        <f>+'Summary - Reserve - PG 2 (Reg)'!S26</f>
        <v>0</v>
      </c>
      <c r="T26" s="15"/>
      <c r="U26" s="15">
        <f t="shared" si="0"/>
        <v>-38225888.900000006</v>
      </c>
      <c r="V26" s="15"/>
    </row>
    <row r="27" spans="2:22" x14ac:dyDescent="0.2">
      <c r="B27" s="3" t="s">
        <v>84</v>
      </c>
      <c r="C27" s="17">
        <f>+'Summary - Reserve - PG 2 (Reg)'!C27</f>
        <v>-827718.63</v>
      </c>
      <c r="D27" s="15"/>
      <c r="E27" s="17">
        <f>+'Summary - Reserve - PG 2 (Reg)'!E27</f>
        <v>-203291.15</v>
      </c>
      <c r="F27" s="15"/>
      <c r="G27" s="17">
        <f>+'Summary - Reserve - PG 2 (Reg)'!G27</f>
        <v>57317.95</v>
      </c>
      <c r="H27" s="15"/>
      <c r="I27" s="17">
        <f>+'Summary - Reserve - PG 2 (Reg)'!I27</f>
        <v>0</v>
      </c>
      <c r="J27" s="15"/>
      <c r="K27" s="17">
        <f>+'Summary - Reserve - PG 2 (Reg)'!K27</f>
        <v>0</v>
      </c>
      <c r="L27" s="15"/>
      <c r="M27" s="17">
        <f>+'Summary - Reserve - PG 2 (Reg)'!M27</f>
        <v>0</v>
      </c>
      <c r="N27" s="15"/>
      <c r="O27" s="17">
        <f>+'Summary - Reserve - PG 2 (Reg)'!O27</f>
        <v>0</v>
      </c>
      <c r="P27" s="15"/>
      <c r="Q27" s="17">
        <f>+'Summary - Reserve - PG 2 (Reg)'!Q27</f>
        <v>0</v>
      </c>
      <c r="R27" s="15"/>
      <c r="S27" s="17">
        <f>+'Summary - Reserve - PG 2 (Reg)'!S27</f>
        <v>0</v>
      </c>
      <c r="T27" s="15"/>
      <c r="U27" s="15">
        <f t="shared" si="0"/>
        <v>-973691.83000000007</v>
      </c>
      <c r="V27" s="15"/>
    </row>
    <row r="28" spans="2:22" x14ac:dyDescent="0.2">
      <c r="B28" s="3" t="s">
        <v>51</v>
      </c>
      <c r="C28" s="17">
        <f>+'Summary - Reserve - PG 2 (Reg)'!C28</f>
        <v>0</v>
      </c>
      <c r="D28" s="15"/>
      <c r="E28" s="17">
        <f>+'Summary - Reserve - PG 2 (Reg)'!E28</f>
        <v>0</v>
      </c>
      <c r="F28" s="15"/>
      <c r="G28" s="17">
        <f>+'Summary - Reserve - PG 2 (Reg)'!G28</f>
        <v>0</v>
      </c>
      <c r="H28" s="15"/>
      <c r="I28" s="17">
        <f>+'Summary - Reserve - PG 2 (Reg)'!I28</f>
        <v>0</v>
      </c>
      <c r="J28" s="15"/>
      <c r="K28" s="17">
        <f>+'Summary - Reserve - PG 2 (Reg)'!K28</f>
        <v>0</v>
      </c>
      <c r="L28" s="15"/>
      <c r="M28" s="17">
        <f>+'Summary - Reserve - PG 2 (Reg)'!M28</f>
        <v>0</v>
      </c>
      <c r="N28" s="15"/>
      <c r="O28" s="17">
        <f>+'Summary - Reserve - PG 2 (Reg)'!O28</f>
        <v>0</v>
      </c>
      <c r="P28" s="15"/>
      <c r="Q28" s="17">
        <f>+'Summary - Reserve - PG 2 (Reg)'!Q28</f>
        <v>0</v>
      </c>
      <c r="R28" s="15"/>
      <c r="S28" s="17">
        <f>+'Summary - Reserve - PG 2 (Reg)'!S28</f>
        <v>0</v>
      </c>
      <c r="T28" s="15"/>
      <c r="U28" s="15">
        <f t="shared" si="0"/>
        <v>0</v>
      </c>
      <c r="V28" s="15"/>
    </row>
    <row r="29" spans="2:22" x14ac:dyDescent="0.2">
      <c r="B29" s="3" t="s">
        <v>31</v>
      </c>
      <c r="C29" s="17">
        <f>+'Summary - Reserve - PG 2 (Reg)'!C29</f>
        <v>-9504819.1000000034</v>
      </c>
      <c r="D29" s="17"/>
      <c r="E29" s="17">
        <f>+'Summary - Reserve - PG 2 (Reg)'!E29</f>
        <v>-371734.96</v>
      </c>
      <c r="F29" s="17"/>
      <c r="G29" s="17">
        <f>+'Summary - Reserve - PG 2 (Reg)'!G29</f>
        <v>88991</v>
      </c>
      <c r="H29" s="17"/>
      <c r="I29" s="17">
        <f>+'Summary - Reserve - PG 2 (Reg)'!I29</f>
        <v>0</v>
      </c>
      <c r="J29" s="17"/>
      <c r="K29" s="17">
        <f>+'Summary - Reserve - PG 2 (Reg)'!K29</f>
        <v>0</v>
      </c>
      <c r="L29" s="17"/>
      <c r="M29" s="17">
        <f>+'Summary - Reserve - PG 2 (Reg)'!M29</f>
        <v>0</v>
      </c>
      <c r="N29" s="17"/>
      <c r="O29" s="17">
        <f>+'Summary - Reserve - PG 2 (Reg)'!O29</f>
        <v>0</v>
      </c>
      <c r="P29" s="17"/>
      <c r="Q29" s="17">
        <f>+'Summary - Reserve - PG 2 (Reg)'!Q29</f>
        <v>0</v>
      </c>
      <c r="R29" s="17"/>
      <c r="S29" s="17">
        <f>+'Summary - Reserve - PG 2 (Reg)'!S29</f>
        <v>0</v>
      </c>
      <c r="T29" s="17"/>
      <c r="U29" s="17">
        <f t="shared" si="0"/>
        <v>-9787563.0600000042</v>
      </c>
      <c r="V29" s="17"/>
    </row>
    <row r="30" spans="2:22" x14ac:dyDescent="0.2">
      <c r="B30" s="3" t="s">
        <v>85</v>
      </c>
      <c r="C30" s="17">
        <f>+'Summary - Reserve - PG 2 (Reg)'!C30</f>
        <v>-304501.31</v>
      </c>
      <c r="D30" s="17"/>
      <c r="E30" s="17">
        <f>+'Summary - Reserve - PG 2 (Reg)'!E30</f>
        <v>-40027.08</v>
      </c>
      <c r="F30" s="17"/>
      <c r="G30" s="17">
        <f>+'Summary - Reserve - PG 2 (Reg)'!G30</f>
        <v>2851.93</v>
      </c>
      <c r="H30" s="17"/>
      <c r="I30" s="17">
        <f>+'Summary - Reserve - PG 2 (Reg)'!I30</f>
        <v>0</v>
      </c>
      <c r="J30" s="17"/>
      <c r="K30" s="17">
        <f>+'Summary - Reserve - PG 2 (Reg)'!K30</f>
        <v>0</v>
      </c>
      <c r="L30" s="17"/>
      <c r="M30" s="17">
        <f>+'Summary - Reserve - PG 2 (Reg)'!M30</f>
        <v>0</v>
      </c>
      <c r="N30" s="17"/>
      <c r="O30" s="17">
        <f>+'Summary - Reserve - PG 2 (Reg)'!O30</f>
        <v>0</v>
      </c>
      <c r="P30" s="17"/>
      <c r="Q30" s="17">
        <f>+'Summary - Reserve - PG 2 (Reg)'!Q30</f>
        <v>0</v>
      </c>
      <c r="R30" s="17"/>
      <c r="S30" s="17">
        <f>+'Summary - Reserve - PG 2 (Reg)'!S30</f>
        <v>0</v>
      </c>
      <c r="T30" s="17"/>
      <c r="U30" s="17">
        <f t="shared" si="0"/>
        <v>-341676.46</v>
      </c>
      <c r="V30" s="17"/>
    </row>
    <row r="31" spans="2:22" x14ac:dyDescent="0.2">
      <c r="B31" s="22" t="s">
        <v>202</v>
      </c>
      <c r="C31" s="17">
        <f>+'Summary - Reserve - PG 2 (Reg)'!C31</f>
        <v>0</v>
      </c>
      <c r="D31" s="17"/>
      <c r="E31" s="17">
        <f>+'Summary - Reserve - PG 2 (Reg)'!E31</f>
        <v>0</v>
      </c>
      <c r="F31" s="17"/>
      <c r="G31" s="17">
        <f>+'Summary - Reserve - PG 2 (Reg)'!G31</f>
        <v>0</v>
      </c>
      <c r="H31" s="17"/>
      <c r="I31" s="17">
        <f>+'Summary - Reserve - PG 2 (Reg)'!I31</f>
        <v>0</v>
      </c>
      <c r="J31" s="17"/>
      <c r="K31" s="17">
        <f>+'Summary - Reserve - PG 2 (Reg)'!K31</f>
        <v>0</v>
      </c>
      <c r="L31" s="17"/>
      <c r="M31" s="17">
        <f>+'Summary - Reserve - PG 2 (Reg)'!M31</f>
        <v>0</v>
      </c>
      <c r="N31" s="17"/>
      <c r="O31" s="17">
        <f>+'Summary - Reserve - PG 2 (Reg)'!O31</f>
        <v>0</v>
      </c>
      <c r="P31" s="17"/>
      <c r="Q31" s="17">
        <f>+'Summary - Reserve - PG 2 (Reg)'!Q31</f>
        <v>0</v>
      </c>
      <c r="R31" s="17"/>
      <c r="S31" s="17">
        <f>+'Summary - Reserve - PG 2 (Reg)'!S31</f>
        <v>0</v>
      </c>
      <c r="T31" s="17"/>
      <c r="U31" s="17">
        <f t="shared" si="0"/>
        <v>0</v>
      </c>
      <c r="V31" s="17"/>
    </row>
    <row r="32" spans="2:22" x14ac:dyDescent="0.2">
      <c r="B32" s="22" t="s">
        <v>88</v>
      </c>
      <c r="C32" s="16">
        <f>+'Summary - Reserve - PG 2 (Reg)'!C32</f>
        <v>-63361.850000000006</v>
      </c>
      <c r="D32" s="17"/>
      <c r="E32" s="16">
        <f>+'Summary - Reserve - PG 2 (Reg)'!E32</f>
        <v>0</v>
      </c>
      <c r="F32" s="17"/>
      <c r="G32" s="16">
        <f>+'Summary - Reserve - PG 2 (Reg)'!G32</f>
        <v>0</v>
      </c>
      <c r="H32" s="17"/>
      <c r="I32" s="16">
        <f>+'Summary - Reserve - PG 2 (Reg)'!I32</f>
        <v>1.49</v>
      </c>
      <c r="J32" s="17"/>
      <c r="K32" s="16">
        <f>+'Summary - Reserve - PG 2 (Reg)'!K32</f>
        <v>0</v>
      </c>
      <c r="L32" s="17"/>
      <c r="M32" s="16">
        <f>+'Summary - Reserve - PG 2 (Reg)'!M32</f>
        <v>0</v>
      </c>
      <c r="N32" s="17"/>
      <c r="O32" s="16">
        <f>+'Summary - Reserve - PG 2 (Reg)'!O32</f>
        <v>0</v>
      </c>
      <c r="P32" s="17"/>
      <c r="Q32" s="16">
        <f>+'Summary - Reserve - PG 2 (Reg)'!Q32</f>
        <v>0</v>
      </c>
      <c r="R32" s="17"/>
      <c r="S32" s="16">
        <f>+'Summary - Reserve - PG 2 (Reg)'!S32</f>
        <v>0</v>
      </c>
      <c r="T32" s="17"/>
      <c r="U32" s="16">
        <f t="shared" si="0"/>
        <v>-63360.360000000008</v>
      </c>
      <c r="V32" s="17"/>
    </row>
    <row r="33" spans="1:28" x14ac:dyDescent="0.2">
      <c r="B33" s="19"/>
      <c r="C33" s="17">
        <f>SUM(C10:C32)</f>
        <v>-1681495785.74</v>
      </c>
      <c r="D33" s="17"/>
      <c r="E33" s="17">
        <f>SUM(E10:E32)</f>
        <v>-155802032.67000002</v>
      </c>
      <c r="F33" s="17"/>
      <c r="G33" s="17">
        <f>SUM(G10:G32)</f>
        <v>118272512.23</v>
      </c>
      <c r="H33" s="17"/>
      <c r="I33" s="17">
        <f>SUM(I10:I32)</f>
        <v>-293744.98000000016</v>
      </c>
      <c r="J33" s="17"/>
      <c r="K33" s="17">
        <f>SUM(K10:K32)</f>
        <v>0</v>
      </c>
      <c r="L33" s="17"/>
      <c r="M33" s="17">
        <f>SUM(M10:M32)</f>
        <v>0</v>
      </c>
      <c r="N33" s="17"/>
      <c r="O33" s="17">
        <f>SUM(O10:O32)</f>
        <v>0</v>
      </c>
      <c r="P33" s="17"/>
      <c r="Q33" s="17">
        <f>SUM(Q10:Q32)</f>
        <v>0</v>
      </c>
      <c r="R33" s="17"/>
      <c r="S33" s="17">
        <f>SUM(S10:S32)</f>
        <v>0</v>
      </c>
      <c r="T33" s="17"/>
      <c r="U33" s="17">
        <f>SUM(U10:U32)</f>
        <v>-1719319051.1599998</v>
      </c>
      <c r="V33" s="17"/>
    </row>
    <row r="34" spans="1:28" x14ac:dyDescent="0.2">
      <c r="C34" s="31"/>
      <c r="D34" s="31"/>
      <c r="E34" s="31"/>
      <c r="F34" s="31"/>
      <c r="G34" s="31"/>
      <c r="H34" s="31"/>
      <c r="I34" s="32"/>
      <c r="J34" s="32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8" ht="15" x14ac:dyDescent="0.35">
      <c r="A35" s="10" t="s">
        <v>89</v>
      </c>
      <c r="C35" s="34"/>
      <c r="D35" s="35"/>
      <c r="E35" s="34"/>
      <c r="F35" s="35"/>
      <c r="G35" s="34"/>
      <c r="H35" s="35"/>
      <c r="I35" s="34"/>
      <c r="J35" s="34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4"/>
    </row>
    <row r="36" spans="1:28" x14ac:dyDescent="0.2">
      <c r="B36" s="3" t="s">
        <v>14</v>
      </c>
      <c r="C36" s="17">
        <f>+'Summary - Reserve - PG 2 (Reg)'!C36</f>
        <v>-1331586.2</v>
      </c>
      <c r="D36" s="17"/>
      <c r="E36" s="17">
        <f>+'Summary - Reserve - PG 2 (Reg)'!E36</f>
        <v>-226303.64</v>
      </c>
      <c r="F36" s="17"/>
      <c r="G36" s="17">
        <f>+'Summary - Reserve - PG 2 (Reg)'!G36</f>
        <v>0</v>
      </c>
      <c r="H36" s="17"/>
      <c r="I36" s="17">
        <f>+'Summary - Reserve - PG 2 (Reg)'!I36</f>
        <v>-907.88</v>
      </c>
      <c r="J36" s="17"/>
      <c r="K36" s="17">
        <f>+'Summary - Reserve - PG 2 (Reg)'!K36</f>
        <v>0</v>
      </c>
      <c r="L36" s="17"/>
      <c r="M36" s="17">
        <f>+'Summary - Reserve - PG 2 (Reg)'!M36</f>
        <v>0</v>
      </c>
      <c r="N36" s="17"/>
      <c r="O36" s="17">
        <f>+'Summary - Reserve - PG 2 (Reg)'!O36</f>
        <v>150892.29999999999</v>
      </c>
      <c r="P36" s="17"/>
      <c r="Q36" s="17">
        <f>+'Summary - Reserve - PG 2 (Reg)'!Q36</f>
        <v>0</v>
      </c>
      <c r="R36" s="17"/>
      <c r="S36" s="17">
        <f>+'Summary - Reserve - PG 2 (Reg)'!S36</f>
        <v>0</v>
      </c>
      <c r="T36" s="17"/>
      <c r="U36" s="17">
        <f t="shared" ref="U36:U50" si="1">S36+Q36+O36+M36+I36+G36+E36+C36</f>
        <v>-1407905.42</v>
      </c>
      <c r="V36" s="17"/>
    </row>
    <row r="37" spans="1:28" x14ac:dyDescent="0.2">
      <c r="B37" s="3" t="s">
        <v>18</v>
      </c>
      <c r="C37" s="17">
        <f>+'Summary - Reserve - PG 2 (Reg)'!C37</f>
        <v>-159145186.31000003</v>
      </c>
      <c r="D37" s="17"/>
      <c r="E37" s="17">
        <f>+'Summary - Reserve - PG 2 (Reg)'!E37</f>
        <v>-9875795.7599999998</v>
      </c>
      <c r="F37" s="17"/>
      <c r="G37" s="17">
        <f>+'Summary - Reserve - PG 2 (Reg)'!G37</f>
        <v>0</v>
      </c>
      <c r="H37" s="17"/>
      <c r="I37" s="17">
        <f>+'Summary - Reserve - PG 2 (Reg)'!I37</f>
        <v>24051.51</v>
      </c>
      <c r="J37" s="17"/>
      <c r="K37" s="17">
        <f>+'Summary - Reserve - PG 2 (Reg)'!K37</f>
        <v>0</v>
      </c>
      <c r="L37" s="17"/>
      <c r="M37" s="17">
        <f>+'Summary - Reserve - PG 2 (Reg)'!M37</f>
        <v>0</v>
      </c>
      <c r="N37" s="17"/>
      <c r="O37" s="17">
        <f>+'Summary - Reserve - PG 2 (Reg)'!O37</f>
        <v>7580571.1699999999</v>
      </c>
      <c r="P37" s="17"/>
      <c r="Q37" s="17">
        <f>+'Summary - Reserve - PG 2 (Reg)'!Q37</f>
        <v>0</v>
      </c>
      <c r="R37" s="17"/>
      <c r="S37" s="17">
        <f>+'Summary - Reserve - PG 2 (Reg)'!S37</f>
        <v>-713431.35</v>
      </c>
      <c r="T37" s="17"/>
      <c r="U37" s="17">
        <f t="shared" si="1"/>
        <v>-162129790.74000004</v>
      </c>
      <c r="V37" s="17"/>
    </row>
    <row r="38" spans="1:28" x14ac:dyDescent="0.2">
      <c r="B38" s="3" t="s">
        <v>19</v>
      </c>
      <c r="C38" s="17">
        <f>+'Summary - Reserve - PG 2 (Reg)'!C38</f>
        <v>3866.64</v>
      </c>
      <c r="D38" s="17"/>
      <c r="E38" s="17">
        <f>+'Summary - Reserve - PG 2 (Reg)'!E38</f>
        <v>0</v>
      </c>
      <c r="F38" s="17"/>
      <c r="G38" s="17">
        <f>+'Summary - Reserve - PG 2 (Reg)'!G38</f>
        <v>0</v>
      </c>
      <c r="H38" s="17"/>
      <c r="I38" s="17">
        <f>+'Summary - Reserve - PG 2 (Reg)'!I38</f>
        <v>0</v>
      </c>
      <c r="J38" s="17"/>
      <c r="K38" s="17">
        <f>+'Summary - Reserve - PG 2 (Reg)'!K38</f>
        <v>0</v>
      </c>
      <c r="L38" s="17"/>
      <c r="M38" s="17">
        <f>+'Summary - Reserve - PG 2 (Reg)'!M38</f>
        <v>0</v>
      </c>
      <c r="N38" s="17"/>
      <c r="O38" s="17">
        <f>+'Summary - Reserve - PG 2 (Reg)'!O38</f>
        <v>0</v>
      </c>
      <c r="P38" s="17"/>
      <c r="Q38" s="17">
        <f>+'Summary - Reserve - PG 2 (Reg)'!Q38</f>
        <v>0</v>
      </c>
      <c r="R38" s="17"/>
      <c r="S38" s="17">
        <f>+'Summary - Reserve - PG 2 (Reg)'!S38</f>
        <v>0</v>
      </c>
      <c r="T38" s="17"/>
      <c r="U38" s="17">
        <f t="shared" si="1"/>
        <v>3866.64</v>
      </c>
      <c r="V38" s="17"/>
    </row>
    <row r="39" spans="1:28" x14ac:dyDescent="0.2">
      <c r="B39" s="3" t="s">
        <v>20</v>
      </c>
      <c r="C39" s="17">
        <f>+'Summary - Reserve - PG 2 (Reg)'!C39</f>
        <v>1676117.03</v>
      </c>
      <c r="D39" s="17"/>
      <c r="E39" s="17">
        <f>+'Summary - Reserve - PG 2 (Reg)'!E39</f>
        <v>-102710.98</v>
      </c>
      <c r="F39" s="17"/>
      <c r="G39" s="17">
        <f>+'Summary - Reserve - PG 2 (Reg)'!G39</f>
        <v>0</v>
      </c>
      <c r="H39" s="17"/>
      <c r="I39" s="17">
        <f>+'Summary - Reserve - PG 2 (Reg)'!I39</f>
        <v>0</v>
      </c>
      <c r="J39" s="17"/>
      <c r="K39" s="17">
        <f>+'Summary - Reserve - PG 2 (Reg)'!K39</f>
        <v>0</v>
      </c>
      <c r="L39" s="17"/>
      <c r="M39" s="17">
        <f>+'Summary - Reserve - PG 2 (Reg)'!M39</f>
        <v>0</v>
      </c>
      <c r="N39" s="17"/>
      <c r="O39" s="17">
        <f>+'Summary - Reserve - PG 2 (Reg)'!O39</f>
        <v>15985.87</v>
      </c>
      <c r="P39" s="17"/>
      <c r="Q39" s="17">
        <f>+'Summary - Reserve - PG 2 (Reg)'!Q39</f>
        <v>0</v>
      </c>
      <c r="R39" s="17"/>
      <c r="S39" s="17">
        <f>+'Summary - Reserve - PG 2 (Reg)'!S39</f>
        <v>0</v>
      </c>
      <c r="T39" s="17"/>
      <c r="U39" s="17">
        <f t="shared" si="1"/>
        <v>1589391.92</v>
      </c>
      <c r="V39" s="17"/>
    </row>
    <row r="40" spans="1:28" x14ac:dyDescent="0.2">
      <c r="B40" s="3" t="s">
        <v>22</v>
      </c>
      <c r="C40" s="17">
        <f>+'Summary - Reserve - PG 2 (Reg)'!C40</f>
        <v>-3603371.0100000007</v>
      </c>
      <c r="D40" s="17"/>
      <c r="E40" s="17">
        <f>+'Summary - Reserve - PG 2 (Reg)'!E40</f>
        <v>-595898.91</v>
      </c>
      <c r="F40" s="17"/>
      <c r="G40" s="17">
        <f>+'Summary - Reserve - PG 2 (Reg)'!G40</f>
        <v>0</v>
      </c>
      <c r="H40" s="17"/>
      <c r="I40" s="17">
        <f>+'Summary - Reserve - PG 2 (Reg)'!I40</f>
        <v>0</v>
      </c>
      <c r="J40" s="17"/>
      <c r="K40" s="17">
        <f>+'Summary - Reserve - PG 2 (Reg)'!K40</f>
        <v>0</v>
      </c>
      <c r="L40" s="17"/>
      <c r="M40" s="17">
        <f>+'Summary - Reserve - PG 2 (Reg)'!M40</f>
        <v>0</v>
      </c>
      <c r="N40" s="17"/>
      <c r="O40" s="17">
        <f>+'Summary - Reserve - PG 2 (Reg)'!O40</f>
        <v>39115.85</v>
      </c>
      <c r="P40" s="17"/>
      <c r="Q40" s="17">
        <f>+'Summary - Reserve - PG 2 (Reg)'!Q40</f>
        <v>0</v>
      </c>
      <c r="R40" s="17"/>
      <c r="S40" s="17">
        <f>+'Summary - Reserve - PG 2 (Reg)'!S40</f>
        <v>0</v>
      </c>
      <c r="T40" s="17"/>
      <c r="U40" s="17">
        <f t="shared" si="1"/>
        <v>-4160154.0700000008</v>
      </c>
      <c r="V40" s="17"/>
    </row>
    <row r="41" spans="1:28" s="144" customFormat="1" x14ac:dyDescent="0.2">
      <c r="A41" s="3"/>
      <c r="B41" s="3" t="s">
        <v>23</v>
      </c>
      <c r="C41" s="17">
        <f>+'Summary - Reserve - PG 2 (Reg)'!C41</f>
        <v>-122806127.67</v>
      </c>
      <c r="D41" s="17"/>
      <c r="E41" s="17">
        <f>+'Summary - Reserve - PG 2 (Reg)'!E41</f>
        <v>-5877860.96</v>
      </c>
      <c r="F41" s="17"/>
      <c r="G41" s="17">
        <f>+'Summary - Reserve - PG 2 (Reg)'!G41</f>
        <v>0</v>
      </c>
      <c r="H41" s="17"/>
      <c r="I41" s="17">
        <f>+'Summary - Reserve - PG 2 (Reg)'!I41</f>
        <v>0</v>
      </c>
      <c r="J41" s="17"/>
      <c r="K41" s="17">
        <f>+'Summary - Reserve - PG 2 (Reg)'!K41</f>
        <v>0</v>
      </c>
      <c r="L41" s="17"/>
      <c r="M41" s="17">
        <f>+'Summary - Reserve - PG 2 (Reg)'!M41</f>
        <v>0</v>
      </c>
      <c r="N41" s="17"/>
      <c r="O41" s="17">
        <f>+'Summary - Reserve - PG 2 (Reg)'!O41</f>
        <v>3641835.22</v>
      </c>
      <c r="P41" s="17"/>
      <c r="Q41" s="17">
        <f>+'Summary - Reserve - PG 2 (Reg)'!Q41</f>
        <v>0</v>
      </c>
      <c r="R41" s="17"/>
      <c r="S41" s="17">
        <f>+'Summary - Reserve - PG 2 (Reg)'!S41</f>
        <v>-264723.98</v>
      </c>
      <c r="T41" s="17"/>
      <c r="U41" s="17">
        <f t="shared" si="1"/>
        <v>-125306877.39</v>
      </c>
      <c r="V41" s="17"/>
      <c r="W41" s="3"/>
      <c r="X41" s="3"/>
      <c r="Y41" s="3"/>
      <c r="Z41" s="3"/>
      <c r="AA41" s="3"/>
      <c r="AB41" s="3"/>
    </row>
    <row r="42" spans="1:28" s="144" customFormat="1" x14ac:dyDescent="0.2">
      <c r="A42" s="3"/>
      <c r="B42" s="124" t="s">
        <v>81</v>
      </c>
      <c r="C42" s="17">
        <v>0</v>
      </c>
      <c r="D42" s="17"/>
      <c r="E42" s="17">
        <v>0</v>
      </c>
      <c r="F42" s="17"/>
      <c r="G42" s="17">
        <v>0</v>
      </c>
      <c r="H42" s="17"/>
      <c r="I42" s="17">
        <v>0</v>
      </c>
      <c r="J42" s="17"/>
      <c r="K42" s="17">
        <v>0</v>
      </c>
      <c r="L42" s="17"/>
      <c r="M42" s="17">
        <v>0</v>
      </c>
      <c r="N42" s="17"/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/>
      <c r="U42" s="17">
        <f t="shared" si="1"/>
        <v>0</v>
      </c>
      <c r="V42" s="17"/>
      <c r="W42" s="3"/>
      <c r="X42" s="3"/>
      <c r="Y42" s="3"/>
      <c r="Z42" s="3"/>
      <c r="AA42" s="3"/>
      <c r="AB42" s="3"/>
    </row>
    <row r="43" spans="1:28" s="144" customFormat="1" x14ac:dyDescent="0.2">
      <c r="A43" s="3"/>
      <c r="B43" s="3" t="s">
        <v>24</v>
      </c>
      <c r="C43" s="17">
        <f>+'Summary - Reserve - PG 2 (Reg)'!C42</f>
        <v>-25494116.360000003</v>
      </c>
      <c r="D43" s="17"/>
      <c r="E43" s="17">
        <f>+'Summary - Reserve - PG 2 (Reg)'!E42</f>
        <v>-2014427.03</v>
      </c>
      <c r="F43" s="17"/>
      <c r="G43" s="17">
        <f>+'Summary - Reserve - PG 2 (Reg)'!G42</f>
        <v>0</v>
      </c>
      <c r="H43" s="17"/>
      <c r="I43" s="17">
        <f>+'Summary - Reserve - PG 2 (Reg)'!I42</f>
        <v>2848.49</v>
      </c>
      <c r="J43" s="17"/>
      <c r="K43" s="17">
        <f>+'Summary - Reserve - PG 2 (Reg)'!K42</f>
        <v>0</v>
      </c>
      <c r="L43" s="17"/>
      <c r="M43" s="17">
        <f>+'Summary - Reserve - PG 2 (Reg)'!M42</f>
        <v>0</v>
      </c>
      <c r="N43" s="17"/>
      <c r="O43" s="17">
        <f>+'Summary - Reserve - PG 2 (Reg)'!O42</f>
        <v>1730797.34</v>
      </c>
      <c r="P43" s="17"/>
      <c r="Q43" s="17">
        <f>+'Summary - Reserve - PG 2 (Reg)'!Q42</f>
        <v>0</v>
      </c>
      <c r="R43" s="17"/>
      <c r="S43" s="17">
        <f>+'Summary - Reserve - PG 2 (Reg)'!S42</f>
        <v>-2798.5399999999991</v>
      </c>
      <c r="T43" s="17"/>
      <c r="U43" s="17">
        <f t="shared" si="1"/>
        <v>-25777696.100000001</v>
      </c>
      <c r="V43" s="17"/>
      <c r="W43" s="3"/>
      <c r="X43" s="3"/>
      <c r="Y43" s="3"/>
      <c r="Z43" s="3"/>
      <c r="AA43" s="3"/>
      <c r="AB43" s="3"/>
    </row>
    <row r="44" spans="1:28" s="144" customFormat="1" x14ac:dyDescent="0.2">
      <c r="A44" s="3"/>
      <c r="B44" s="3" t="s">
        <v>27</v>
      </c>
      <c r="C44" s="17">
        <f>+'Summary - Reserve - PG 2 (Reg)'!C43</f>
        <v>-77876680.659999996</v>
      </c>
      <c r="D44" s="17"/>
      <c r="E44" s="17">
        <f>+'Summary - Reserve - PG 2 (Reg)'!E43</f>
        <v>-6926488.0199999996</v>
      </c>
      <c r="F44" s="17"/>
      <c r="G44" s="17">
        <f>+'Summary - Reserve - PG 2 (Reg)'!G43</f>
        <v>0</v>
      </c>
      <c r="H44" s="17"/>
      <c r="I44" s="17">
        <f>+'Summary - Reserve - PG 2 (Reg)'!I43</f>
        <v>-63.76</v>
      </c>
      <c r="J44" s="17"/>
      <c r="K44" s="17">
        <f>+'Summary - Reserve - PG 2 (Reg)'!K43</f>
        <v>0</v>
      </c>
      <c r="L44" s="17"/>
      <c r="M44" s="17">
        <f>+'Summary - Reserve - PG 2 (Reg)'!M43</f>
        <v>0</v>
      </c>
      <c r="N44" s="17"/>
      <c r="O44" s="17">
        <f>+'Summary - Reserve - PG 2 (Reg)'!O43</f>
        <v>2342563.54</v>
      </c>
      <c r="P44" s="17"/>
      <c r="Q44" s="17">
        <f>+'Summary - Reserve - PG 2 (Reg)'!Q43</f>
        <v>0</v>
      </c>
      <c r="R44" s="17"/>
      <c r="S44" s="17">
        <f>+'Summary - Reserve - PG 2 (Reg)'!S43</f>
        <v>4945.8599999999997</v>
      </c>
      <c r="T44" s="17"/>
      <c r="U44" s="17">
        <f t="shared" si="1"/>
        <v>-82455723.039999992</v>
      </c>
      <c r="V44" s="17"/>
      <c r="W44" s="3"/>
      <c r="X44" s="3"/>
      <c r="Y44" s="3"/>
      <c r="Z44" s="3"/>
      <c r="AA44" s="3"/>
      <c r="AB44" s="3"/>
    </row>
    <row r="45" spans="1:28" s="144" customFormat="1" x14ac:dyDescent="0.2">
      <c r="A45" s="3"/>
      <c r="B45" s="3" t="s">
        <v>28</v>
      </c>
      <c r="C45" s="17">
        <f>+'Summary - Reserve - PG 2 (Reg)'!C44</f>
        <v>111.56</v>
      </c>
      <c r="D45" s="17"/>
      <c r="E45" s="17">
        <f>+'Summary - Reserve - PG 2 (Reg)'!E44</f>
        <v>0</v>
      </c>
      <c r="F45" s="17"/>
      <c r="G45" s="17">
        <f>+'Summary - Reserve - PG 2 (Reg)'!G44</f>
        <v>0</v>
      </c>
      <c r="H45" s="17"/>
      <c r="I45" s="17">
        <f>+'Summary - Reserve - PG 2 (Reg)'!I44</f>
        <v>1545.44</v>
      </c>
      <c r="J45" s="17"/>
      <c r="K45" s="17">
        <f>+'Summary - Reserve - PG 2 (Reg)'!K44</f>
        <v>0</v>
      </c>
      <c r="L45" s="17"/>
      <c r="M45" s="17">
        <f>+'Summary - Reserve - PG 2 (Reg)'!M44</f>
        <v>0</v>
      </c>
      <c r="N45" s="17"/>
      <c r="O45" s="17">
        <f>+'Summary - Reserve - PG 2 (Reg)'!O44</f>
        <v>-1568.4</v>
      </c>
      <c r="P45" s="17"/>
      <c r="Q45" s="17">
        <f>+'Summary - Reserve - PG 2 (Reg)'!Q44</f>
        <v>0</v>
      </c>
      <c r="R45" s="17"/>
      <c r="S45" s="17">
        <f>+'Summary - Reserve - PG 2 (Reg)'!S44</f>
        <v>0</v>
      </c>
      <c r="T45" s="17"/>
      <c r="U45" s="17">
        <f t="shared" si="1"/>
        <v>88.599999999999966</v>
      </c>
      <c r="V45" s="17"/>
      <c r="W45" s="3"/>
      <c r="X45" s="3"/>
      <c r="Y45" s="3"/>
      <c r="Z45" s="3"/>
      <c r="AA45" s="3"/>
      <c r="AB45" s="3"/>
    </row>
    <row r="46" spans="1:28" s="144" customFormat="1" x14ac:dyDescent="0.2">
      <c r="A46" s="3"/>
      <c r="B46" s="3" t="s">
        <v>30</v>
      </c>
      <c r="C46" s="17">
        <f>+'Summary - Reserve - PG 2 (Reg)'!C45</f>
        <v>-1257455.6800000006</v>
      </c>
      <c r="D46" s="17"/>
      <c r="E46" s="17">
        <f>+'Summary - Reserve - PG 2 (Reg)'!E45</f>
        <v>-286738.92</v>
      </c>
      <c r="F46" s="17"/>
      <c r="G46" s="17">
        <f>+'Summary - Reserve - PG 2 (Reg)'!G45</f>
        <v>0</v>
      </c>
      <c r="H46" s="17"/>
      <c r="I46" s="17">
        <f>+'Summary - Reserve - PG 2 (Reg)'!I45</f>
        <v>-1.72</v>
      </c>
      <c r="J46" s="17"/>
      <c r="K46" s="17">
        <f>+'Summary - Reserve - PG 2 (Reg)'!K45</f>
        <v>0</v>
      </c>
      <c r="L46" s="17"/>
      <c r="M46" s="17">
        <f>+'Summary - Reserve - PG 2 (Reg)'!M45</f>
        <v>0</v>
      </c>
      <c r="N46" s="17"/>
      <c r="O46" s="17">
        <f>+'Summary - Reserve - PG 2 (Reg)'!O45</f>
        <v>593252.31999999995</v>
      </c>
      <c r="P46" s="17"/>
      <c r="Q46" s="17">
        <f>+'Summary - Reserve - PG 2 (Reg)'!Q45</f>
        <v>0</v>
      </c>
      <c r="R46" s="17"/>
      <c r="S46" s="17">
        <f>+'Summary - Reserve - PG 2 (Reg)'!S45</f>
        <v>0</v>
      </c>
      <c r="T46" s="17"/>
      <c r="U46" s="17">
        <f t="shared" si="1"/>
        <v>-950944.0000000007</v>
      </c>
      <c r="V46" s="17"/>
      <c r="W46" s="3"/>
      <c r="X46" s="3"/>
      <c r="Y46" s="3"/>
      <c r="Z46" s="3"/>
      <c r="AA46" s="3"/>
      <c r="AB46" s="3"/>
    </row>
    <row r="47" spans="1:28" s="144" customFormat="1" x14ac:dyDescent="0.2">
      <c r="A47" s="3"/>
      <c r="B47" s="124" t="s">
        <v>84</v>
      </c>
      <c r="C47" s="17">
        <v>0</v>
      </c>
      <c r="D47" s="17"/>
      <c r="E47" s="17">
        <v>0</v>
      </c>
      <c r="F47" s="17"/>
      <c r="G47" s="17">
        <v>0</v>
      </c>
      <c r="H47" s="17"/>
      <c r="I47" s="17">
        <v>0</v>
      </c>
      <c r="J47" s="17"/>
      <c r="K47" s="17">
        <v>0</v>
      </c>
      <c r="L47" s="17"/>
      <c r="M47" s="17">
        <v>0</v>
      </c>
      <c r="N47" s="17"/>
      <c r="O47" s="17">
        <v>0</v>
      </c>
      <c r="P47" s="17"/>
      <c r="Q47" s="17">
        <v>0</v>
      </c>
      <c r="R47" s="17"/>
      <c r="S47" s="17">
        <v>0</v>
      </c>
      <c r="T47" s="17"/>
      <c r="U47" s="17">
        <f t="shared" si="1"/>
        <v>0</v>
      </c>
      <c r="V47" s="17"/>
      <c r="W47" s="3"/>
      <c r="X47" s="3"/>
      <c r="Y47" s="3"/>
      <c r="Z47" s="3"/>
      <c r="AA47" s="3"/>
      <c r="AB47" s="3"/>
    </row>
    <row r="48" spans="1:28" s="144" customFormat="1" x14ac:dyDescent="0.2">
      <c r="A48" s="3"/>
      <c r="B48" s="3" t="s">
        <v>51</v>
      </c>
      <c r="C48" s="17">
        <f>+'Summary - Reserve - PG 2 (Reg)'!C46</f>
        <v>0</v>
      </c>
      <c r="D48" s="17"/>
      <c r="E48" s="17">
        <f>+'Summary - Reserve - PG 2 (Reg)'!E46</f>
        <v>0</v>
      </c>
      <c r="F48" s="17"/>
      <c r="G48" s="17">
        <f>+'Summary - Reserve - PG 2 (Reg)'!G46</f>
        <v>0</v>
      </c>
      <c r="H48" s="17"/>
      <c r="I48" s="17">
        <f>+'Summary - Reserve - PG 2 (Reg)'!I46</f>
        <v>0</v>
      </c>
      <c r="J48" s="17"/>
      <c r="K48" s="17">
        <f>+'Summary - Reserve - PG 2 (Reg)'!K46</f>
        <v>0</v>
      </c>
      <c r="L48" s="17"/>
      <c r="M48" s="17">
        <f>+'Summary - Reserve - PG 2 (Reg)'!M46</f>
        <v>0</v>
      </c>
      <c r="N48" s="17"/>
      <c r="O48" s="17">
        <f>+'Summary - Reserve - PG 2 (Reg)'!O46</f>
        <v>0</v>
      </c>
      <c r="P48" s="17"/>
      <c r="Q48" s="17">
        <f>+'Summary - Reserve - PG 2 (Reg)'!Q46</f>
        <v>0</v>
      </c>
      <c r="R48" s="17"/>
      <c r="S48" s="17">
        <f>+'Summary - Reserve - PG 2 (Reg)'!S46</f>
        <v>0</v>
      </c>
      <c r="T48" s="17"/>
      <c r="U48" s="17">
        <f t="shared" si="1"/>
        <v>0</v>
      </c>
      <c r="V48" s="17"/>
      <c r="W48" s="3"/>
      <c r="X48" s="3"/>
      <c r="Y48" s="3"/>
      <c r="Z48" s="3"/>
      <c r="AA48" s="3"/>
      <c r="AB48" s="3"/>
    </row>
    <row r="49" spans="1:28" s="144" customFormat="1" x14ac:dyDescent="0.2">
      <c r="A49" s="3"/>
      <c r="B49" s="3" t="s">
        <v>31</v>
      </c>
      <c r="C49" s="17">
        <f>+'Summary - Reserve - PG 2 (Reg)'!C47</f>
        <v>-2009727.9699999997</v>
      </c>
      <c r="D49" s="17"/>
      <c r="E49" s="17">
        <f>+'Summary - Reserve - PG 2 (Reg)'!E47</f>
        <v>-41264.67</v>
      </c>
      <c r="F49" s="17"/>
      <c r="G49" s="17">
        <f>+'Summary - Reserve - PG 2 (Reg)'!G47</f>
        <v>0</v>
      </c>
      <c r="H49" s="17"/>
      <c r="I49" s="17">
        <f>+'Summary - Reserve - PG 2 (Reg)'!I47</f>
        <v>0</v>
      </c>
      <c r="J49" s="17"/>
      <c r="K49" s="17">
        <f>+'Summary - Reserve - PG 2 (Reg)'!K47</f>
        <v>0</v>
      </c>
      <c r="L49" s="17"/>
      <c r="M49" s="17">
        <f>+'Summary - Reserve - PG 2 (Reg)'!M47</f>
        <v>0</v>
      </c>
      <c r="N49" s="17"/>
      <c r="O49" s="17">
        <f>+'Summary - Reserve - PG 2 (Reg)'!O47</f>
        <v>61231.55</v>
      </c>
      <c r="P49" s="17"/>
      <c r="Q49" s="17">
        <f>+'Summary - Reserve - PG 2 (Reg)'!Q47</f>
        <v>0</v>
      </c>
      <c r="R49" s="17"/>
      <c r="S49" s="17">
        <f>+'Summary - Reserve - PG 2 (Reg)'!S47</f>
        <v>0</v>
      </c>
      <c r="T49" s="17"/>
      <c r="U49" s="17">
        <f t="shared" si="1"/>
        <v>-1989761.0899999999</v>
      </c>
      <c r="V49" s="17"/>
      <c r="W49" s="3"/>
      <c r="X49" s="3"/>
      <c r="Y49" s="3"/>
      <c r="Z49" s="3"/>
      <c r="AA49" s="3"/>
      <c r="AB49" s="3"/>
    </row>
    <row r="50" spans="1:28" s="144" customFormat="1" x14ac:dyDescent="0.2">
      <c r="A50" s="3"/>
      <c r="B50" s="3" t="s">
        <v>54</v>
      </c>
      <c r="C50" s="16">
        <f>+'Summary - Reserve - PG 2 (Reg)'!C48</f>
        <v>1.2734258092450546E-13</v>
      </c>
      <c r="D50" s="17"/>
      <c r="E50" s="16">
        <f>+'Summary - Reserve - PG 2 (Reg)'!E48</f>
        <v>0</v>
      </c>
      <c r="F50" s="17"/>
      <c r="G50" s="16">
        <f>+'Summary - Reserve - PG 2 (Reg)'!G48</f>
        <v>0</v>
      </c>
      <c r="H50" s="17"/>
      <c r="I50" s="16">
        <f>+'Summary - Reserve - PG 2 (Reg)'!I48</f>
        <v>0</v>
      </c>
      <c r="J50" s="17"/>
      <c r="K50" s="16">
        <f>+'Summary - Reserve - PG 2 (Reg)'!K48</f>
        <v>0</v>
      </c>
      <c r="L50" s="17"/>
      <c r="M50" s="16">
        <f>+'Summary - Reserve - PG 2 (Reg)'!M48</f>
        <v>0</v>
      </c>
      <c r="N50" s="17"/>
      <c r="O50" s="16">
        <f>+'Summary - Reserve - PG 2 (Reg)'!O48</f>
        <v>0</v>
      </c>
      <c r="P50" s="17"/>
      <c r="Q50" s="16">
        <f>+'Summary - Reserve - PG 2 (Reg)'!Q48</f>
        <v>0</v>
      </c>
      <c r="R50" s="17"/>
      <c r="S50" s="16">
        <f>+'Summary - Reserve - PG 2 (Reg)'!S48</f>
        <v>0</v>
      </c>
      <c r="T50" s="17"/>
      <c r="U50" s="16">
        <f t="shared" si="1"/>
        <v>1.2734258092450546E-13</v>
      </c>
      <c r="V50" s="17"/>
      <c r="W50" s="3"/>
      <c r="X50" s="3"/>
      <c r="Y50" s="3"/>
      <c r="Z50" s="3"/>
      <c r="AA50" s="3"/>
      <c r="AB50" s="3"/>
    </row>
    <row r="51" spans="1:28" s="144" customFormat="1" x14ac:dyDescent="0.2">
      <c r="A51" s="3"/>
      <c r="B51" s="19"/>
      <c r="C51" s="17">
        <f>SUM(C36:C50)</f>
        <v>-391844156.63000011</v>
      </c>
      <c r="D51" s="17"/>
      <c r="E51" s="17">
        <f>SUM(E36:E50)</f>
        <v>-25947488.890000004</v>
      </c>
      <c r="F51" s="17"/>
      <c r="G51" s="17">
        <f>SUM(G36:G50)</f>
        <v>0</v>
      </c>
      <c r="H51" s="17"/>
      <c r="I51" s="17">
        <f>SUM(I36:I50)</f>
        <v>27472.079999999994</v>
      </c>
      <c r="J51" s="17"/>
      <c r="K51" s="17">
        <f>SUM(K36:K50)</f>
        <v>0</v>
      </c>
      <c r="L51" s="17"/>
      <c r="M51" s="17">
        <f>SUM(M36:M50)</f>
        <v>0</v>
      </c>
      <c r="N51" s="17"/>
      <c r="O51" s="17">
        <f>SUM(O36:O50)</f>
        <v>16154676.76</v>
      </c>
      <c r="P51" s="17"/>
      <c r="Q51" s="17">
        <f>SUM(Q36:Q50)</f>
        <v>0</v>
      </c>
      <c r="R51" s="17"/>
      <c r="S51" s="17">
        <f>SUM(S36:S50)</f>
        <v>-976008.01</v>
      </c>
      <c r="T51" s="17"/>
      <c r="U51" s="17">
        <f>SUM(U36:U50)</f>
        <v>-402585504.69</v>
      </c>
      <c r="V51" s="17"/>
      <c r="W51" s="3"/>
      <c r="X51" s="3"/>
      <c r="Y51" s="3"/>
      <c r="Z51" s="3"/>
      <c r="AA51" s="3"/>
      <c r="AB51" s="3"/>
    </row>
    <row r="52" spans="1:28" s="144" customFormat="1" x14ac:dyDescent="0.2">
      <c r="A52" s="3"/>
      <c r="B52" s="3"/>
      <c r="C52" s="31"/>
      <c r="D52" s="31"/>
      <c r="E52" s="31"/>
      <c r="F52" s="31"/>
      <c r="G52" s="31"/>
      <c r="H52" s="31"/>
      <c r="I52" s="32"/>
      <c r="J52" s="32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"/>
      <c r="X52" s="3"/>
      <c r="Y52" s="3"/>
      <c r="Z52" s="3"/>
      <c r="AA52" s="3"/>
      <c r="AB52" s="3"/>
    </row>
    <row r="53" spans="1:28" s="144" customFormat="1" ht="15" x14ac:dyDescent="0.35">
      <c r="A53" s="10" t="s">
        <v>90</v>
      </c>
      <c r="B53" s="3"/>
      <c r="C53" s="34"/>
      <c r="D53" s="35"/>
      <c r="E53" s="34"/>
      <c r="F53" s="35"/>
      <c r="G53" s="34"/>
      <c r="H53" s="35"/>
      <c r="I53" s="34"/>
      <c r="J53" s="34"/>
      <c r="K53" s="34"/>
      <c r="L53" s="35"/>
      <c r="M53" s="34"/>
      <c r="N53" s="35"/>
      <c r="O53" s="34"/>
      <c r="P53" s="35"/>
      <c r="Q53" s="34"/>
      <c r="R53" s="35"/>
      <c r="S53" s="34"/>
      <c r="T53" s="35"/>
      <c r="U53" s="34"/>
      <c r="V53" s="34"/>
      <c r="W53" s="3"/>
      <c r="X53" s="3"/>
      <c r="Y53" s="3"/>
      <c r="Z53" s="3"/>
      <c r="AA53" s="3"/>
      <c r="AB53" s="3"/>
    </row>
    <row r="54" spans="1:28" s="144" customFormat="1" x14ac:dyDescent="0.2">
      <c r="A54" s="3"/>
      <c r="B54" s="3" t="s">
        <v>14</v>
      </c>
      <c r="C54" s="17">
        <f>+'Summary - Reserve - PG 2 (Reg)'!C52</f>
        <v>276891.90999999997</v>
      </c>
      <c r="D54" s="17"/>
      <c r="E54" s="17">
        <f>+'Summary - Reserve - PG 2 (Reg)'!E52</f>
        <v>253.1</v>
      </c>
      <c r="F54" s="17"/>
      <c r="G54" s="17">
        <f>+'Summary - Reserve - PG 2 (Reg)'!G52</f>
        <v>0</v>
      </c>
      <c r="H54" s="17"/>
      <c r="I54" s="17">
        <f>+'Summary - Reserve - PG 2 (Reg)'!I52</f>
        <v>0</v>
      </c>
      <c r="J54" s="17"/>
      <c r="K54" s="17">
        <f>+'Summary - Reserve - PG 2 (Reg)'!K52</f>
        <v>0</v>
      </c>
      <c r="L54" s="17"/>
      <c r="M54" s="17">
        <f>+'Summary - Reserve - PG 2 (Reg)'!M52</f>
        <v>0</v>
      </c>
      <c r="N54" s="17"/>
      <c r="O54" s="17">
        <f>+'Summary - Reserve - PG 2 (Reg)'!O52</f>
        <v>0</v>
      </c>
      <c r="P54" s="17"/>
      <c r="Q54" s="17">
        <f>+'Summary - Reserve - PG 2 (Reg)'!Q52</f>
        <v>-1397.96</v>
      </c>
      <c r="R54" s="17"/>
      <c r="S54" s="17">
        <f>+'Summary - Reserve - PG 2 (Reg)'!S52</f>
        <v>0</v>
      </c>
      <c r="T54" s="17"/>
      <c r="U54" s="17">
        <f t="shared" ref="U54:U66" si="2">S54+Q54+O54+M54+I54+G54+E54+C54</f>
        <v>275747.05</v>
      </c>
      <c r="V54" s="17"/>
      <c r="W54" s="3"/>
      <c r="X54" s="3"/>
      <c r="Y54" s="3"/>
      <c r="Z54" s="3"/>
      <c r="AA54" s="3"/>
      <c r="AB54" s="3"/>
    </row>
    <row r="55" spans="1:28" s="144" customFormat="1" x14ac:dyDescent="0.2">
      <c r="A55" s="3"/>
      <c r="B55" s="3" t="s">
        <v>18</v>
      </c>
      <c r="C55" s="17">
        <f>+'Summary - Reserve - PG 2 (Reg)'!C53</f>
        <v>20117939</v>
      </c>
      <c r="D55" s="17"/>
      <c r="E55" s="17">
        <f>+'Summary - Reserve - PG 2 (Reg)'!E53</f>
        <v>683306.81</v>
      </c>
      <c r="F55" s="17"/>
      <c r="G55" s="17">
        <f>+'Summary - Reserve - PG 2 (Reg)'!G53</f>
        <v>0</v>
      </c>
      <c r="H55" s="17"/>
      <c r="I55" s="17">
        <f>+'Summary - Reserve - PG 2 (Reg)'!I53</f>
        <v>0</v>
      </c>
      <c r="J55" s="17"/>
      <c r="K55" s="17">
        <f>+'Summary - Reserve - PG 2 (Reg)'!K53</f>
        <v>0</v>
      </c>
      <c r="L55" s="17"/>
      <c r="M55" s="17">
        <f>+'Summary - Reserve - PG 2 (Reg)'!M53</f>
        <v>0</v>
      </c>
      <c r="N55" s="17"/>
      <c r="O55" s="17">
        <f>+'Summary - Reserve - PG 2 (Reg)'!O53</f>
        <v>0</v>
      </c>
      <c r="P55" s="17"/>
      <c r="Q55" s="17">
        <f>+'Summary - Reserve - PG 2 (Reg)'!Q53</f>
        <v>-174072.58</v>
      </c>
      <c r="R55" s="17"/>
      <c r="S55" s="17">
        <f>+'Summary - Reserve - PG 2 (Reg)'!S53</f>
        <v>0</v>
      </c>
      <c r="T55" s="17"/>
      <c r="U55" s="17">
        <f t="shared" si="2"/>
        <v>20627173.23</v>
      </c>
      <c r="V55" s="17"/>
      <c r="W55" s="3"/>
      <c r="X55" s="3"/>
      <c r="Y55" s="3"/>
      <c r="Z55" s="3"/>
      <c r="AA55" s="3"/>
      <c r="AB55" s="3"/>
    </row>
    <row r="56" spans="1:28" s="144" customFormat="1" x14ac:dyDescent="0.2">
      <c r="A56" s="3"/>
      <c r="B56" s="3" t="s">
        <v>19</v>
      </c>
      <c r="C56" s="17">
        <f>+'Summary - Reserve - PG 2 (Reg)'!C54</f>
        <v>150030.12</v>
      </c>
      <c r="D56" s="17"/>
      <c r="E56" s="17">
        <f>+'Summary - Reserve - PG 2 (Reg)'!E54</f>
        <v>1660.33</v>
      </c>
      <c r="F56" s="17"/>
      <c r="G56" s="17">
        <f>+'Summary - Reserve - PG 2 (Reg)'!G54</f>
        <v>0</v>
      </c>
      <c r="H56" s="17"/>
      <c r="I56" s="17">
        <f>+'Summary - Reserve - PG 2 (Reg)'!I54</f>
        <v>0</v>
      </c>
      <c r="J56" s="17"/>
      <c r="K56" s="17">
        <f>+'Summary - Reserve - PG 2 (Reg)'!K54</f>
        <v>0</v>
      </c>
      <c r="L56" s="17"/>
      <c r="M56" s="17">
        <f>+'Summary - Reserve - PG 2 (Reg)'!M54</f>
        <v>0</v>
      </c>
      <c r="N56" s="17"/>
      <c r="O56" s="17">
        <f>+'Summary - Reserve - PG 2 (Reg)'!O54</f>
        <v>0</v>
      </c>
      <c r="P56" s="17"/>
      <c r="Q56" s="17">
        <f>+'Summary - Reserve - PG 2 (Reg)'!Q54</f>
        <v>0</v>
      </c>
      <c r="R56" s="17"/>
      <c r="S56" s="17">
        <f>+'Summary - Reserve - PG 2 (Reg)'!S54</f>
        <v>0</v>
      </c>
      <c r="T56" s="17"/>
      <c r="U56" s="17">
        <f t="shared" si="2"/>
        <v>151690.44999999998</v>
      </c>
      <c r="V56" s="17"/>
      <c r="W56" s="3"/>
      <c r="X56" s="3"/>
      <c r="Y56" s="3"/>
      <c r="Z56" s="3"/>
      <c r="AA56" s="3"/>
      <c r="AB56" s="3"/>
    </row>
    <row r="57" spans="1:28" s="144" customFormat="1" x14ac:dyDescent="0.2">
      <c r="A57" s="3"/>
      <c r="B57" s="3" t="s">
        <v>20</v>
      </c>
      <c r="C57" s="17">
        <f>+'Summary - Reserve - PG 2 (Reg)'!C55</f>
        <v>420519.30999999994</v>
      </c>
      <c r="D57" s="17"/>
      <c r="E57" s="17">
        <f>+'Summary - Reserve - PG 2 (Reg)'!E55</f>
        <v>21488.11</v>
      </c>
      <c r="F57" s="17"/>
      <c r="G57" s="17">
        <f>+'Summary - Reserve - PG 2 (Reg)'!G55</f>
        <v>0</v>
      </c>
      <c r="H57" s="17"/>
      <c r="I57" s="17">
        <f>+'Summary - Reserve - PG 2 (Reg)'!I55</f>
        <v>0</v>
      </c>
      <c r="J57" s="17"/>
      <c r="K57" s="17">
        <f>+'Summary - Reserve - PG 2 (Reg)'!K55</f>
        <v>0</v>
      </c>
      <c r="L57" s="17"/>
      <c r="M57" s="17">
        <f>+'Summary - Reserve - PG 2 (Reg)'!M55</f>
        <v>0</v>
      </c>
      <c r="N57" s="17"/>
      <c r="O57" s="17">
        <f>+'Summary - Reserve - PG 2 (Reg)'!O55</f>
        <v>0</v>
      </c>
      <c r="P57" s="17"/>
      <c r="Q57" s="17">
        <f>+'Summary - Reserve - PG 2 (Reg)'!Q55</f>
        <v>-110.96</v>
      </c>
      <c r="R57" s="17"/>
      <c r="S57" s="17">
        <f>+'Summary - Reserve - PG 2 (Reg)'!S55</f>
        <v>0</v>
      </c>
      <c r="T57" s="17"/>
      <c r="U57" s="17">
        <f t="shared" si="2"/>
        <v>441896.45999999996</v>
      </c>
      <c r="V57" s="17"/>
      <c r="W57" s="3"/>
      <c r="X57" s="3"/>
      <c r="Y57" s="3"/>
      <c r="Z57" s="3"/>
      <c r="AA57" s="3"/>
      <c r="AB57" s="3"/>
    </row>
    <row r="58" spans="1:28" s="144" customFormat="1" x14ac:dyDescent="0.2">
      <c r="A58" s="3"/>
      <c r="B58" s="3" t="s">
        <v>22</v>
      </c>
      <c r="C58" s="17">
        <f>+'Summary - Reserve - PG 2 (Reg)'!C56</f>
        <v>229366.72</v>
      </c>
      <c r="D58" s="17"/>
      <c r="E58" s="17">
        <f>+'Summary - Reserve - PG 2 (Reg)'!E56</f>
        <v>111138.87</v>
      </c>
      <c r="F58" s="17"/>
      <c r="G58" s="17">
        <f>+'Summary - Reserve - PG 2 (Reg)'!G56</f>
        <v>0</v>
      </c>
      <c r="H58" s="17"/>
      <c r="I58" s="17">
        <f>+'Summary - Reserve - PG 2 (Reg)'!I56</f>
        <v>0</v>
      </c>
      <c r="J58" s="17"/>
      <c r="K58" s="17">
        <f>+'Summary - Reserve - PG 2 (Reg)'!K56</f>
        <v>0</v>
      </c>
      <c r="L58" s="17"/>
      <c r="M58" s="17">
        <f>+'Summary - Reserve - PG 2 (Reg)'!M56</f>
        <v>0</v>
      </c>
      <c r="N58" s="17"/>
      <c r="O58" s="17">
        <f>+'Summary - Reserve - PG 2 (Reg)'!O56</f>
        <v>0</v>
      </c>
      <c r="P58" s="17"/>
      <c r="Q58" s="17">
        <f>+'Summary - Reserve - PG 2 (Reg)'!Q56</f>
        <v>-1433.84</v>
      </c>
      <c r="R58" s="17"/>
      <c r="S58" s="17">
        <f>+'Summary - Reserve - PG 2 (Reg)'!S56</f>
        <v>0</v>
      </c>
      <c r="T58" s="17"/>
      <c r="U58" s="17">
        <f t="shared" si="2"/>
        <v>339071.75</v>
      </c>
      <c r="V58" s="17"/>
      <c r="W58" s="3"/>
      <c r="X58" s="3"/>
      <c r="Y58" s="3"/>
      <c r="Z58" s="3"/>
      <c r="AA58" s="3"/>
      <c r="AB58" s="3"/>
    </row>
    <row r="59" spans="1:28" s="144" customFormat="1" x14ac:dyDescent="0.2">
      <c r="A59" s="3"/>
      <c r="B59" s="3" t="s">
        <v>23</v>
      </c>
      <c r="C59" s="17">
        <f>+'Summary - Reserve - PG 2 (Reg)'!C57</f>
        <v>27764727.52</v>
      </c>
      <c r="D59" s="17"/>
      <c r="E59" s="17">
        <f>+'Summary - Reserve - PG 2 (Reg)'!E57</f>
        <v>1043312.34</v>
      </c>
      <c r="F59" s="17"/>
      <c r="G59" s="17">
        <f>+'Summary - Reserve - PG 2 (Reg)'!G57</f>
        <v>0</v>
      </c>
      <c r="H59" s="17"/>
      <c r="I59" s="17">
        <f>+'Summary - Reserve - PG 2 (Reg)'!I57</f>
        <v>0</v>
      </c>
      <c r="J59" s="17"/>
      <c r="K59" s="17">
        <f>+'Summary - Reserve - PG 2 (Reg)'!K57</f>
        <v>0</v>
      </c>
      <c r="L59" s="17"/>
      <c r="M59" s="17">
        <f>+'Summary - Reserve - PG 2 (Reg)'!M57</f>
        <v>0</v>
      </c>
      <c r="N59" s="17"/>
      <c r="O59" s="17">
        <f>+'Summary - Reserve - PG 2 (Reg)'!O57</f>
        <v>0</v>
      </c>
      <c r="P59" s="17"/>
      <c r="Q59" s="17">
        <f>+'Summary - Reserve - PG 2 (Reg)'!Q57</f>
        <v>-463028.95</v>
      </c>
      <c r="R59" s="17"/>
      <c r="S59" s="17">
        <f>+'Summary - Reserve - PG 2 (Reg)'!S57</f>
        <v>0</v>
      </c>
      <c r="T59" s="17"/>
      <c r="U59" s="17">
        <f t="shared" si="2"/>
        <v>28345010.91</v>
      </c>
      <c r="V59" s="17"/>
      <c r="W59" s="3"/>
      <c r="X59" s="3"/>
      <c r="Y59" s="3"/>
      <c r="Z59" s="3"/>
      <c r="AA59" s="3"/>
      <c r="AB59" s="3"/>
    </row>
    <row r="60" spans="1:28" s="144" customFormat="1" x14ac:dyDescent="0.2">
      <c r="A60" s="3"/>
      <c r="B60" s="3" t="s">
        <v>24</v>
      </c>
      <c r="C60" s="17">
        <f>+'Summary - Reserve - PG 2 (Reg)'!C58</f>
        <v>6628958.7399999993</v>
      </c>
      <c r="D60" s="17"/>
      <c r="E60" s="17">
        <f>+'Summary - Reserve - PG 2 (Reg)'!E58</f>
        <v>236882.53</v>
      </c>
      <c r="F60" s="17"/>
      <c r="G60" s="17">
        <f>+'Summary - Reserve - PG 2 (Reg)'!G58</f>
        <v>0</v>
      </c>
      <c r="H60" s="17"/>
      <c r="I60" s="17">
        <f>+'Summary - Reserve - PG 2 (Reg)'!I58</f>
        <v>0</v>
      </c>
      <c r="J60" s="17"/>
      <c r="K60" s="17">
        <f>+'Summary - Reserve - PG 2 (Reg)'!K58</f>
        <v>0</v>
      </c>
      <c r="L60" s="17"/>
      <c r="M60" s="17">
        <f>+'Summary - Reserve - PG 2 (Reg)'!M58</f>
        <v>0</v>
      </c>
      <c r="N60" s="17"/>
      <c r="O60" s="17">
        <f>+'Summary - Reserve - PG 2 (Reg)'!O58</f>
        <v>0</v>
      </c>
      <c r="P60" s="17"/>
      <c r="Q60" s="17">
        <f>+'Summary - Reserve - PG 2 (Reg)'!Q58</f>
        <v>-179939.95</v>
      </c>
      <c r="R60" s="17"/>
      <c r="S60" s="17">
        <f>+'Summary - Reserve - PG 2 (Reg)'!S58</f>
        <v>0</v>
      </c>
      <c r="T60" s="17"/>
      <c r="U60" s="17">
        <f t="shared" si="2"/>
        <v>6685901.3199999994</v>
      </c>
      <c r="V60" s="17"/>
      <c r="W60" s="3"/>
      <c r="X60" s="3"/>
      <c r="Y60" s="3"/>
      <c r="Z60" s="3"/>
      <c r="AA60" s="3"/>
      <c r="AB60" s="3"/>
    </row>
    <row r="61" spans="1:28" s="144" customFormat="1" x14ac:dyDescent="0.2">
      <c r="A61" s="3"/>
      <c r="B61" s="3" t="s">
        <v>27</v>
      </c>
      <c r="C61" s="17">
        <f>+'Summary - Reserve - PG 2 (Reg)'!C59</f>
        <v>4331533.53</v>
      </c>
      <c r="D61" s="17"/>
      <c r="E61" s="17">
        <f>+'Summary - Reserve - PG 2 (Reg)'!E59</f>
        <v>135517.89000000001</v>
      </c>
      <c r="F61" s="17"/>
      <c r="G61" s="17">
        <f>+'Summary - Reserve - PG 2 (Reg)'!G59</f>
        <v>0</v>
      </c>
      <c r="H61" s="17"/>
      <c r="I61" s="17">
        <f>+'Summary - Reserve - PG 2 (Reg)'!I59</f>
        <v>0</v>
      </c>
      <c r="J61" s="17"/>
      <c r="K61" s="17">
        <f>+'Summary - Reserve - PG 2 (Reg)'!K59</f>
        <v>0</v>
      </c>
      <c r="L61" s="17"/>
      <c r="M61" s="17">
        <f>+'Summary - Reserve - PG 2 (Reg)'!M59</f>
        <v>0</v>
      </c>
      <c r="N61" s="17"/>
      <c r="O61" s="17">
        <f>+'Summary - Reserve - PG 2 (Reg)'!O59</f>
        <v>0</v>
      </c>
      <c r="P61" s="17"/>
      <c r="Q61" s="17">
        <f>+'Summary - Reserve - PG 2 (Reg)'!Q59</f>
        <v>-2550.4699999999998</v>
      </c>
      <c r="R61" s="17"/>
      <c r="S61" s="17">
        <f>+'Summary - Reserve - PG 2 (Reg)'!S59</f>
        <v>0</v>
      </c>
      <c r="T61" s="17"/>
      <c r="U61" s="17">
        <f t="shared" si="2"/>
        <v>4464500.95</v>
      </c>
      <c r="V61" s="17"/>
      <c r="W61" s="3"/>
      <c r="X61" s="3"/>
      <c r="Y61" s="3"/>
      <c r="Z61" s="3"/>
      <c r="AA61" s="3"/>
      <c r="AB61" s="3"/>
    </row>
    <row r="62" spans="1:28" s="144" customFormat="1" x14ac:dyDescent="0.2">
      <c r="A62" s="3"/>
      <c r="B62" s="3" t="s">
        <v>28</v>
      </c>
      <c r="C62" s="17">
        <f>+'Summary - Reserve - PG 2 (Reg)'!C60</f>
        <v>236217.59000000003</v>
      </c>
      <c r="D62" s="17"/>
      <c r="E62" s="17">
        <f>+'Summary - Reserve - PG 2 (Reg)'!E60</f>
        <v>2167.5300000000002</v>
      </c>
      <c r="F62" s="17"/>
      <c r="G62" s="17">
        <f>+'Summary - Reserve - PG 2 (Reg)'!G60</f>
        <v>0</v>
      </c>
      <c r="H62" s="17"/>
      <c r="I62" s="17">
        <f>+'Summary - Reserve - PG 2 (Reg)'!I60</f>
        <v>43607.11</v>
      </c>
      <c r="J62" s="17"/>
      <c r="K62" s="17">
        <f>+'Summary - Reserve - PG 2 (Reg)'!K60</f>
        <v>0</v>
      </c>
      <c r="L62" s="17"/>
      <c r="M62" s="17">
        <f>+'Summary - Reserve - PG 2 (Reg)'!M60</f>
        <v>0</v>
      </c>
      <c r="N62" s="17"/>
      <c r="O62" s="17">
        <f>+'Summary - Reserve - PG 2 (Reg)'!O60</f>
        <v>0</v>
      </c>
      <c r="P62" s="17"/>
      <c r="Q62" s="17">
        <f>+'Summary - Reserve - PG 2 (Reg)'!Q60</f>
        <v>-44255</v>
      </c>
      <c r="R62" s="17"/>
      <c r="S62" s="17">
        <f>+'Summary - Reserve - PG 2 (Reg)'!S60</f>
        <v>0</v>
      </c>
      <c r="T62" s="17"/>
      <c r="U62" s="17">
        <f t="shared" si="2"/>
        <v>237737.23000000004</v>
      </c>
      <c r="V62" s="17"/>
      <c r="W62" s="3"/>
      <c r="X62" s="3"/>
      <c r="Y62" s="3"/>
      <c r="Z62" s="3"/>
      <c r="AA62" s="3"/>
      <c r="AB62" s="3"/>
    </row>
    <row r="63" spans="1:28" s="144" customFormat="1" x14ac:dyDescent="0.2">
      <c r="A63" s="3"/>
      <c r="B63" s="3" t="s">
        <v>30</v>
      </c>
      <c r="C63" s="17">
        <f>+'Summary - Reserve - PG 2 (Reg)'!C61</f>
        <v>409204.43999999994</v>
      </c>
      <c r="D63" s="17"/>
      <c r="E63" s="17">
        <f>+'Summary - Reserve - PG 2 (Reg)'!E61</f>
        <v>44582.28</v>
      </c>
      <c r="F63" s="17"/>
      <c r="G63" s="17">
        <f>+'Summary - Reserve - PG 2 (Reg)'!G61</f>
        <v>0</v>
      </c>
      <c r="H63" s="17"/>
      <c r="I63" s="17">
        <f>+'Summary - Reserve - PG 2 (Reg)'!I61</f>
        <v>0</v>
      </c>
      <c r="J63" s="17"/>
      <c r="K63" s="17">
        <f>+'Summary - Reserve - PG 2 (Reg)'!K61</f>
        <v>0</v>
      </c>
      <c r="L63" s="17"/>
      <c r="M63" s="17">
        <f>+'Summary - Reserve - PG 2 (Reg)'!M61</f>
        <v>0</v>
      </c>
      <c r="N63" s="17"/>
      <c r="O63" s="17">
        <f>+'Summary - Reserve - PG 2 (Reg)'!O61</f>
        <v>0</v>
      </c>
      <c r="P63" s="17"/>
      <c r="Q63" s="17">
        <f>+'Summary - Reserve - PG 2 (Reg)'!Q61</f>
        <v>-433.45</v>
      </c>
      <c r="R63" s="17"/>
      <c r="S63" s="17">
        <f>+'Summary - Reserve - PG 2 (Reg)'!S61</f>
        <v>0</v>
      </c>
      <c r="T63" s="17"/>
      <c r="U63" s="17">
        <f t="shared" si="2"/>
        <v>453353.26999999996</v>
      </c>
      <c r="V63" s="17"/>
      <c r="W63" s="3"/>
      <c r="X63" s="3"/>
      <c r="Y63" s="3"/>
      <c r="Z63" s="3"/>
      <c r="AA63" s="3"/>
      <c r="AB63" s="3"/>
    </row>
    <row r="64" spans="1:28" s="144" customFormat="1" x14ac:dyDescent="0.2">
      <c r="A64" s="3"/>
      <c r="B64" s="3" t="s">
        <v>51</v>
      </c>
      <c r="C64" s="17">
        <f>+'Summary - Reserve - PG 2 (Reg)'!C62</f>
        <v>0</v>
      </c>
      <c r="D64" s="17"/>
      <c r="E64" s="17">
        <f>+'Summary - Reserve - PG 2 (Reg)'!E62</f>
        <v>0</v>
      </c>
      <c r="F64" s="17"/>
      <c r="G64" s="17">
        <f>+'Summary - Reserve - PG 2 (Reg)'!G62</f>
        <v>0</v>
      </c>
      <c r="H64" s="17"/>
      <c r="I64" s="17">
        <f>+'Summary - Reserve - PG 2 (Reg)'!I62</f>
        <v>0</v>
      </c>
      <c r="J64" s="17"/>
      <c r="K64" s="17">
        <f>+'Summary - Reserve - PG 2 (Reg)'!K62</f>
        <v>0</v>
      </c>
      <c r="L64" s="17"/>
      <c r="M64" s="17">
        <f>+'Summary - Reserve - PG 2 (Reg)'!M62</f>
        <v>0</v>
      </c>
      <c r="N64" s="17"/>
      <c r="O64" s="17">
        <f>+'Summary - Reserve - PG 2 (Reg)'!O62</f>
        <v>0</v>
      </c>
      <c r="P64" s="17"/>
      <c r="Q64" s="17">
        <f>+'Summary - Reserve - PG 2 (Reg)'!Q62</f>
        <v>0</v>
      </c>
      <c r="R64" s="17"/>
      <c r="S64" s="17">
        <f>+'Summary - Reserve - PG 2 (Reg)'!S62</f>
        <v>0</v>
      </c>
      <c r="T64" s="17"/>
      <c r="U64" s="17">
        <f t="shared" si="2"/>
        <v>0</v>
      </c>
      <c r="V64" s="17"/>
      <c r="W64" s="3"/>
      <c r="X64" s="3"/>
      <c r="Y64" s="3"/>
      <c r="Z64" s="3"/>
      <c r="AA64" s="3"/>
      <c r="AB64" s="3"/>
    </row>
    <row r="65" spans="1:28" s="144" customFormat="1" x14ac:dyDescent="0.2">
      <c r="A65" s="3"/>
      <c r="B65" s="3" t="s">
        <v>31</v>
      </c>
      <c r="C65" s="17">
        <f>+'Summary - Reserve - PG 2 (Reg)'!C63</f>
        <v>240896.06</v>
      </c>
      <c r="D65" s="17"/>
      <c r="E65" s="17">
        <f>+'Summary - Reserve - PG 2 (Reg)'!E63</f>
        <v>5158.07</v>
      </c>
      <c r="F65" s="17"/>
      <c r="G65" s="17">
        <f>+'Summary - Reserve - PG 2 (Reg)'!G63</f>
        <v>0</v>
      </c>
      <c r="H65" s="17"/>
      <c r="I65" s="17">
        <f>+'Summary - Reserve - PG 2 (Reg)'!I63</f>
        <v>0</v>
      </c>
      <c r="J65" s="17"/>
      <c r="K65" s="17">
        <f>+'Summary - Reserve - PG 2 (Reg)'!K63</f>
        <v>0</v>
      </c>
      <c r="L65" s="17"/>
      <c r="M65" s="17">
        <f>+'Summary - Reserve - PG 2 (Reg)'!M63</f>
        <v>0</v>
      </c>
      <c r="N65" s="17"/>
      <c r="O65" s="17">
        <f>+'Summary - Reserve - PG 2 (Reg)'!O63</f>
        <v>0</v>
      </c>
      <c r="P65" s="17"/>
      <c r="Q65" s="17">
        <f>+'Summary - Reserve - PG 2 (Reg)'!Q63</f>
        <v>0</v>
      </c>
      <c r="R65" s="17"/>
      <c r="S65" s="17">
        <f>+'Summary - Reserve - PG 2 (Reg)'!S63</f>
        <v>0</v>
      </c>
      <c r="T65" s="17"/>
      <c r="U65" s="17">
        <f t="shared" si="2"/>
        <v>246054.13</v>
      </c>
      <c r="V65" s="17"/>
      <c r="W65" s="3"/>
      <c r="X65" s="3"/>
      <c r="Y65" s="3"/>
      <c r="Z65" s="3"/>
      <c r="AA65" s="3"/>
      <c r="AB65" s="3"/>
    </row>
    <row r="66" spans="1:28" s="144" customFormat="1" x14ac:dyDescent="0.2">
      <c r="A66" s="3"/>
      <c r="B66" s="3" t="s">
        <v>54</v>
      </c>
      <c r="C66" s="16">
        <f>+'Summary - Reserve - PG 2 (Reg)'!C64</f>
        <v>0</v>
      </c>
      <c r="D66" s="17"/>
      <c r="E66" s="16">
        <f>+'Summary - Reserve - PG 2 (Reg)'!E64</f>
        <v>0</v>
      </c>
      <c r="F66" s="17"/>
      <c r="G66" s="16">
        <f>+'Summary - Reserve - PG 2 (Reg)'!G64</f>
        <v>0</v>
      </c>
      <c r="H66" s="17"/>
      <c r="I66" s="16">
        <f>+'Summary - Reserve - PG 2 (Reg)'!I64</f>
        <v>0</v>
      </c>
      <c r="J66" s="17"/>
      <c r="K66" s="16">
        <f>+'Summary - Reserve - PG 2 (Reg)'!K64</f>
        <v>0</v>
      </c>
      <c r="L66" s="17"/>
      <c r="M66" s="16">
        <f>+'Summary - Reserve - PG 2 (Reg)'!M64</f>
        <v>0</v>
      </c>
      <c r="N66" s="17"/>
      <c r="O66" s="16">
        <f>+'Summary - Reserve - PG 2 (Reg)'!O64</f>
        <v>0</v>
      </c>
      <c r="P66" s="17"/>
      <c r="Q66" s="16">
        <f>+'Summary - Reserve - PG 2 (Reg)'!Q64</f>
        <v>0</v>
      </c>
      <c r="R66" s="17"/>
      <c r="S66" s="16">
        <f>+'Summary - Reserve - PG 2 (Reg)'!S64</f>
        <v>0</v>
      </c>
      <c r="T66" s="17"/>
      <c r="U66" s="16">
        <f t="shared" si="2"/>
        <v>0</v>
      </c>
      <c r="V66" s="17"/>
      <c r="W66" s="3"/>
      <c r="X66" s="3"/>
      <c r="Y66" s="3"/>
      <c r="Z66" s="3"/>
      <c r="AA66" s="3"/>
      <c r="AB66" s="3"/>
    </row>
    <row r="67" spans="1:28" s="144" customFormat="1" x14ac:dyDescent="0.2">
      <c r="A67" s="3"/>
      <c r="B67" s="19"/>
      <c r="C67" s="17">
        <f>SUM(C54:C66)</f>
        <v>60806284.940000005</v>
      </c>
      <c r="D67" s="17"/>
      <c r="E67" s="17">
        <f>SUM(E54:E66)</f>
        <v>2285467.8599999994</v>
      </c>
      <c r="F67" s="17"/>
      <c r="G67" s="17">
        <f>SUM(G54:G66)</f>
        <v>0</v>
      </c>
      <c r="H67" s="17"/>
      <c r="I67" s="17">
        <f>SUM(I54:I66)</f>
        <v>43607.11</v>
      </c>
      <c r="J67" s="17"/>
      <c r="K67" s="17">
        <f>SUM(K54:K66)</f>
        <v>0</v>
      </c>
      <c r="L67" s="17"/>
      <c r="M67" s="17">
        <f>SUM(M54:M66)</f>
        <v>0</v>
      </c>
      <c r="N67" s="17"/>
      <c r="O67" s="17">
        <f>SUM(O54:O66)</f>
        <v>0</v>
      </c>
      <c r="P67" s="17"/>
      <c r="Q67" s="17">
        <f>SUM(Q54:Q66)</f>
        <v>-867223.15999999992</v>
      </c>
      <c r="R67" s="17"/>
      <c r="S67" s="17">
        <f>SUM(S54:S66)</f>
        <v>0</v>
      </c>
      <c r="T67" s="17"/>
      <c r="U67" s="17">
        <f>SUM(U54:U66)</f>
        <v>62268136.750000007</v>
      </c>
      <c r="V67" s="17"/>
      <c r="W67" s="3"/>
      <c r="X67" s="3"/>
      <c r="Y67" s="3"/>
      <c r="Z67" s="3"/>
      <c r="AA67" s="3"/>
      <c r="AB67" s="3"/>
    </row>
    <row r="68" spans="1:28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8" x14ac:dyDescent="0.2">
      <c r="A69" s="10" t="s">
        <v>91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8" x14ac:dyDescent="0.2">
      <c r="B70" s="3" t="s">
        <v>13</v>
      </c>
      <c r="C70" s="15">
        <f>C54+C36+C10+C11+C66+C50+C32+C31</f>
        <v>-91395278.86999999</v>
      </c>
      <c r="D70" s="15"/>
      <c r="E70" s="15">
        <f>E54+E36+E10+E11+E66+E50+E32+E31</f>
        <v>-10286844.489999998</v>
      </c>
      <c r="F70" s="15"/>
      <c r="G70" s="15">
        <f>G54+G36+G10+G11+G66+G50+G32+G31</f>
        <v>20362956.43</v>
      </c>
      <c r="H70" s="15"/>
      <c r="I70" s="15">
        <f>I54+I36+I10+I11+I66+I50+I32+I31</f>
        <v>435.99000000000012</v>
      </c>
      <c r="J70" s="15"/>
      <c r="K70" s="15">
        <f>K54+K36+K10+K11+K66+K50+K32+K31</f>
        <v>0</v>
      </c>
      <c r="L70" s="15"/>
      <c r="M70" s="15">
        <f>M54+M36+M10+M11+M66+M50+M32+M31</f>
        <v>0</v>
      </c>
      <c r="N70" s="15"/>
      <c r="O70" s="15">
        <f>O54+O36+O10+O11+O66+O50+O32+O31</f>
        <v>150892.29999999999</v>
      </c>
      <c r="P70" s="15"/>
      <c r="Q70" s="15">
        <f>Q54+Q36+Q10+Q11+Q66+Q50+Q32+Q31</f>
        <v>-1397.96</v>
      </c>
      <c r="R70" s="15"/>
      <c r="S70" s="15">
        <f>S54+S36+S10+S11+S66+S50+S32+S31</f>
        <v>0</v>
      </c>
      <c r="T70" s="15"/>
      <c r="U70" s="15">
        <f>U54+U36+U10+U11+U66+U50+U32+U31</f>
        <v>-81169236.599999994</v>
      </c>
      <c r="V70" s="15"/>
    </row>
    <row r="71" spans="1:28" x14ac:dyDescent="0.2">
      <c r="B71" s="3" t="s">
        <v>17</v>
      </c>
      <c r="C71" s="17">
        <f>C55+C56+C57+C58+C59+C60+C37+C38+C39+C40+C41+C43+C12+C13+C14+C15+C16+C17+C18+C19+C20+C21+C22+C42</f>
        <v>-1628951035.3800001</v>
      </c>
      <c r="D71" s="17"/>
      <c r="E71" s="17">
        <f>E55+E56+E57+E58+E59+E60+E37+E38+E39+E40+E41+E43+E12+E13+E14+E15+E16+E17+E18+E19+E20+E21+E22+E42</f>
        <v>-140200476.83000001</v>
      </c>
      <c r="F71" s="17"/>
      <c r="G71" s="17">
        <f>G55+G56+G57+G58+G59+G60+G37+G38+G39+G40+G41+G43+G12+G13+G14+G15+G16+G17+G18+G19+G20+G21+G22+G42</f>
        <v>87908239.349999994</v>
      </c>
      <c r="H71" s="17"/>
      <c r="I71" s="17">
        <f>I55+I56+I57+I58+I59+I60+I37+I38+I39+I40+I41+I43+I12+I13+I14+I15+I16+I17+I18+I19+I20+I21+I22+I42</f>
        <v>-266846.47000000009</v>
      </c>
      <c r="J71" s="17"/>
      <c r="K71" s="17">
        <f>K55+K56+K57+K58+K59+K60+K37+K38+K39+K40+K41+K43+K12+K13+K14+K15+K16+K17+K18+K19+K20+K21+K22+K42</f>
        <v>0</v>
      </c>
      <c r="L71" s="17"/>
      <c r="M71" s="17">
        <f>M55+M56+M57+M58+M59+M60+M37+M38+M39+M40+M41+M43+M12+M13+M14+M15+M16+M17+M18+M19+M20+M21+M22+M42</f>
        <v>0</v>
      </c>
      <c r="N71" s="17"/>
      <c r="O71" s="17">
        <f>O55+O56+O57+O58+O59+O60+O37+O38+O39+O40+O41+O43+O12+O13+O14+O15+O16+O17+O18+O19+O20+O21+O22+O42</f>
        <v>13008305.449999999</v>
      </c>
      <c r="P71" s="17"/>
      <c r="Q71" s="17">
        <f>Q55+Q56+Q57+Q58+Q59+Q60+Q37+Q38+Q39+Q40+Q41+Q43+Q12+Q13+Q14+Q15+Q16+Q17+Q18+Q19+Q20+Q21+Q22+Q42</f>
        <v>-818586.28</v>
      </c>
      <c r="R71" s="17"/>
      <c r="S71" s="17">
        <f>S55+S56+S57+S58+S59+S60+S37+S38+S39+S40+S41+S43+S12+S13+S14+S15+S16+S17+S18+S19+S20+S21+S22+S42</f>
        <v>-980953.87</v>
      </c>
      <c r="T71" s="17"/>
      <c r="U71" s="17">
        <f>U55+U56+U57+U58+U59+U60+U37+U38+U39+U40+U41+U43+U12+U13+U14+U15+U16+U17+U18+U19+U20+U21+U22+U42</f>
        <v>-1670301354.0300002</v>
      </c>
      <c r="V71" s="17"/>
    </row>
    <row r="72" spans="1:28" x14ac:dyDescent="0.2">
      <c r="B72" s="3" t="s">
        <v>26</v>
      </c>
      <c r="C72" s="16">
        <f>C61+C62+C63+C64+C65+C44+C45+C46+C48+C49+C23+C24+C25+C26+C27+C28+C29+C30+C47</f>
        <v>-292187343.18000007</v>
      </c>
      <c r="D72" s="17"/>
      <c r="E72" s="16">
        <f>E61+E62+E63+E64+E65+E44+E45+E46+E48+E49+E23+E24+E25+E26+E27+E28+E29+E30+E47</f>
        <v>-28976732.379999995</v>
      </c>
      <c r="F72" s="17"/>
      <c r="G72" s="16">
        <f>G61+G62+G63+G64+G65+G44+G45+G46+G48+G49+G23+G24+G25+G26+G27+G28+G29+G30+G47</f>
        <v>10001316.450000001</v>
      </c>
      <c r="H72" s="17"/>
      <c r="I72" s="16">
        <f>I61+I62+I63+I64+I65+I44+I45+I46+I48+I49+I23+I24+I25+I26+I27+I28+I29+I30+I47</f>
        <v>43744.689999999995</v>
      </c>
      <c r="J72" s="17"/>
      <c r="K72" s="16">
        <f>K61+K62+K63+K64+K65+K44+K45+K46+K48+K49+K23+K24+K25+K26+K27+K28+K29+K30+K47</f>
        <v>0</v>
      </c>
      <c r="L72" s="17"/>
      <c r="M72" s="16">
        <f>M61+M62+M63+M64+M65+M44+M45+M46+M48+M49+M23+M24+M25+M26+M27+M28+M29+M30+M47</f>
        <v>0</v>
      </c>
      <c r="N72" s="17"/>
      <c r="O72" s="16">
        <f>O61+O62+O63+O64+O65+O44+O45+O46+O48+O49+O23+O24+O25+O26+O27+O28+O29+O30+O47</f>
        <v>2995479.01</v>
      </c>
      <c r="P72" s="17"/>
      <c r="Q72" s="16">
        <f>Q61+Q62+Q63+Q64+Q65+Q44+Q45+Q46+Q48+Q49+Q23+Q24+Q25+Q26+Q27+Q28+Q29+Q30+Q47</f>
        <v>-47238.92</v>
      </c>
      <c r="R72" s="17"/>
      <c r="S72" s="16">
        <f>S61+S62+S63+S64+S65+S44+S45+S46+S48+S49+S23+S24+S25+S26+S27+S28+S29+S30+S47</f>
        <v>4945.8599999999997</v>
      </c>
      <c r="T72" s="17"/>
      <c r="U72" s="16">
        <f>U61+U62+U63+U64+U65+U44+U45+U46+U48+U49+U23+U24+U25+U26+U27+U28+U29+U30+U47</f>
        <v>-308165828.47000009</v>
      </c>
      <c r="V72" s="17"/>
    </row>
    <row r="73" spans="1:28" x14ac:dyDescent="0.2">
      <c r="B73" s="19"/>
      <c r="C73" s="17">
        <f>SUM(C70:C72)</f>
        <v>-2012533657.4300001</v>
      </c>
      <c r="D73" s="17"/>
      <c r="E73" s="17">
        <f>SUM(E70:E72)</f>
        <v>-179464053.70000002</v>
      </c>
      <c r="F73" s="17"/>
      <c r="G73" s="17">
        <f>SUM(G70:G72)</f>
        <v>118272512.23</v>
      </c>
      <c r="H73" s="17"/>
      <c r="I73" s="17">
        <f>SUM(I70:I72)</f>
        <v>-222665.7900000001</v>
      </c>
      <c r="J73" s="17"/>
      <c r="K73" s="17">
        <f>SUM(K70:K72)</f>
        <v>0</v>
      </c>
      <c r="L73" s="17"/>
      <c r="M73" s="17">
        <f>SUM(M70:M72)</f>
        <v>0</v>
      </c>
      <c r="N73" s="17"/>
      <c r="O73" s="17">
        <f>SUM(O70:O72)</f>
        <v>16154676.76</v>
      </c>
      <c r="P73" s="17"/>
      <c r="Q73" s="17">
        <f>SUM(Q70:Q72)</f>
        <v>-867223.16</v>
      </c>
      <c r="R73" s="17"/>
      <c r="S73" s="17">
        <f>SUM(S70:S72)</f>
        <v>-976008.01</v>
      </c>
      <c r="T73" s="17"/>
      <c r="U73" s="17">
        <f>SUM(U70:U72)</f>
        <v>-2059636419.1000001</v>
      </c>
      <c r="V73" s="17"/>
    </row>
    <row r="74" spans="1:28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8" x14ac:dyDescent="0.2">
      <c r="A75" s="10" t="s">
        <v>93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8" x14ac:dyDescent="0.2">
      <c r="B76" s="3" t="s">
        <v>13</v>
      </c>
      <c r="C76" s="17">
        <f>+'Summary - Reserve - PG 2 (Reg)'!C74</f>
        <v>150607.13999999996</v>
      </c>
      <c r="D76" s="15"/>
      <c r="E76" s="17">
        <f>+'Summary - Reserve - PG 2 (Reg)'!E74</f>
        <v>0</v>
      </c>
      <c r="F76" s="15"/>
      <c r="G76" s="17">
        <f>+'Summary - Reserve - PG 2 (Reg)'!G74</f>
        <v>0</v>
      </c>
      <c r="H76" s="15"/>
      <c r="I76" s="17">
        <f>+'Summary - Reserve - PG 2 (Reg)'!I74</f>
        <v>0</v>
      </c>
      <c r="J76" s="15"/>
      <c r="K76" s="17">
        <f>+'Summary - Reserve - PG 2 (Reg)'!K74</f>
        <v>0</v>
      </c>
      <c r="L76" s="15"/>
      <c r="M76" s="17">
        <f>+'Summary - Reserve - PG 2 (Reg)'!M74</f>
        <v>-149494.34</v>
      </c>
      <c r="N76" s="15"/>
      <c r="O76" s="17">
        <f>+'Summary - Reserve - PG 2 (Reg)'!O74</f>
        <v>141067.25</v>
      </c>
      <c r="P76" s="15"/>
      <c r="Q76" s="17">
        <f>+'Summary - Reserve - PG 2 (Reg)'!Q74</f>
        <v>-12650</v>
      </c>
      <c r="R76" s="15"/>
      <c r="S76" s="17">
        <f>+'Summary - Reserve - PG 2 (Reg)'!S74</f>
        <v>189610.73</v>
      </c>
      <c r="T76" s="15"/>
      <c r="U76" s="15">
        <f>S76+Q76+O76+M76+I76+G76+E76+C76+K76</f>
        <v>319140.77999999991</v>
      </c>
      <c r="V76" s="15"/>
    </row>
    <row r="77" spans="1:28" x14ac:dyDescent="0.2">
      <c r="B77" s="3" t="s">
        <v>17</v>
      </c>
      <c r="C77" s="17">
        <f>+'Summary - Reserve - PG 2 (Reg)'!C75</f>
        <v>39614101.059999995</v>
      </c>
      <c r="D77" s="15"/>
      <c r="E77" s="17">
        <f>+'Summary - Reserve - PG 2 (Reg)'!E75</f>
        <v>0</v>
      </c>
      <c r="F77" s="15"/>
      <c r="G77" s="17">
        <f>+'Summary - Reserve - PG 2 (Reg)'!G75</f>
        <v>0</v>
      </c>
      <c r="H77" s="15"/>
      <c r="I77" s="17">
        <f>+'Summary - Reserve - PG 2 (Reg)'!I75</f>
        <v>9160.81</v>
      </c>
      <c r="J77" s="15"/>
      <c r="K77" s="17">
        <f>+'Summary - Reserve - PG 2 (Reg)'!K75</f>
        <v>-863330.08</v>
      </c>
      <c r="L77" s="15"/>
      <c r="M77" s="17">
        <f>+'Summary - Reserve - PG 2 (Reg)'!M75</f>
        <v>-10345435.219999997</v>
      </c>
      <c r="N77" s="15"/>
      <c r="O77" s="17">
        <f>+'Summary - Reserve - PG 2 (Reg)'!O75</f>
        <v>27555886.109999999</v>
      </c>
      <c r="P77" s="15"/>
      <c r="Q77" s="17">
        <f>+'Summary - Reserve - PG 2 (Reg)'!Q75</f>
        <v>-1781290.1199999999</v>
      </c>
      <c r="R77" s="15"/>
      <c r="S77" s="17">
        <f>+'Summary - Reserve - PG 2 (Reg)'!S75</f>
        <v>-402172.62000000005</v>
      </c>
      <c r="T77" s="15"/>
      <c r="U77" s="15">
        <f>S77+Q77+O77+M77+I77+G77+E77+C77+K77</f>
        <v>53786919.939999998</v>
      </c>
      <c r="V77" s="15"/>
    </row>
    <row r="78" spans="1:28" x14ac:dyDescent="0.2">
      <c r="B78" s="3" t="s">
        <v>26</v>
      </c>
      <c r="C78" s="16">
        <f>+'Summary - Reserve - PG 2 (Reg)'!C76</f>
        <v>3981749.2600000007</v>
      </c>
      <c r="D78" s="15"/>
      <c r="E78" s="16">
        <f>+'Summary - Reserve - PG 2 (Reg)'!E76</f>
        <v>0</v>
      </c>
      <c r="F78" s="15"/>
      <c r="G78" s="16">
        <f>+'Summary - Reserve - PG 2 (Reg)'!G76</f>
        <v>0</v>
      </c>
      <c r="H78" s="15"/>
      <c r="I78" s="16">
        <f>+'Summary - Reserve - PG 2 (Reg)'!I76</f>
        <v>0</v>
      </c>
      <c r="J78" s="15"/>
      <c r="K78" s="16">
        <f>+'Summary - Reserve - PG 2 (Reg)'!K76</f>
        <v>-2054147.46</v>
      </c>
      <c r="L78" s="15"/>
      <c r="M78" s="16">
        <f>+'Summary - Reserve - PG 2 (Reg)'!M76</f>
        <v>-899038.49000000022</v>
      </c>
      <c r="N78" s="15"/>
      <c r="O78" s="16">
        <f>+'Summary - Reserve - PG 2 (Reg)'!O76</f>
        <v>2918541.65</v>
      </c>
      <c r="P78" s="15"/>
      <c r="Q78" s="16">
        <f>+'Summary - Reserve - PG 2 (Reg)'!Q76</f>
        <v>-7620.4399999999987</v>
      </c>
      <c r="R78" s="15"/>
      <c r="S78" s="16">
        <f>+'Summary - Reserve - PG 2 (Reg)'!S76</f>
        <v>0</v>
      </c>
      <c r="T78" s="15"/>
      <c r="U78" s="15">
        <f>S78+Q78+O78+M78+I78+G78+E78+C78+K78</f>
        <v>3939484.5200000005</v>
      </c>
      <c r="V78" s="15"/>
    </row>
    <row r="79" spans="1:28" x14ac:dyDescent="0.2">
      <c r="B79" s="19"/>
      <c r="C79" s="21">
        <f>SUM(C76:C78)</f>
        <v>43746457.459999993</v>
      </c>
      <c r="D79" s="15"/>
      <c r="E79" s="21">
        <f>SUM(E76:E78)</f>
        <v>0</v>
      </c>
      <c r="F79" s="15"/>
      <c r="G79" s="21">
        <f>SUM(G76:G78)</f>
        <v>0</v>
      </c>
      <c r="H79" s="15"/>
      <c r="I79" s="21">
        <f>SUM(I76:I78)</f>
        <v>9160.81</v>
      </c>
      <c r="J79" s="17"/>
      <c r="K79" s="21">
        <f>SUM(K76:K78)</f>
        <v>-2917477.54</v>
      </c>
      <c r="L79" s="15"/>
      <c r="M79" s="21">
        <f>SUM(M76:M78)</f>
        <v>-11393968.049999997</v>
      </c>
      <c r="N79" s="15"/>
      <c r="O79" s="21">
        <f>SUM(O76:O78)</f>
        <v>30615495.009999998</v>
      </c>
      <c r="P79" s="15"/>
      <c r="Q79" s="21">
        <f>SUM(Q76:Q78)</f>
        <v>-1801560.5599999998</v>
      </c>
      <c r="R79" s="15"/>
      <c r="S79" s="21">
        <f>SUM(S76:S78)</f>
        <v>-212561.89000000004</v>
      </c>
      <c r="T79" s="15"/>
      <c r="U79" s="21">
        <f>SUM(U76:U78)</f>
        <v>58045545.240000002</v>
      </c>
      <c r="V79" s="17"/>
    </row>
    <row r="80" spans="1:28" x14ac:dyDescent="0.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x14ac:dyDescent="0.2">
      <c r="B81" s="19" t="s">
        <v>94</v>
      </c>
      <c r="C81" s="16">
        <f>C73+C79</f>
        <v>-1968787199.97</v>
      </c>
      <c r="D81" s="15"/>
      <c r="E81" s="16">
        <f>E73+E79</f>
        <v>-179464053.70000002</v>
      </c>
      <c r="F81" s="15"/>
      <c r="G81" s="16">
        <f>G73+G79</f>
        <v>118272512.23</v>
      </c>
      <c r="H81" s="15"/>
      <c r="I81" s="16">
        <f>I73+I79</f>
        <v>-213504.9800000001</v>
      </c>
      <c r="J81" s="17"/>
      <c r="K81" s="16">
        <f>K73+K79</f>
        <v>-2917477.54</v>
      </c>
      <c r="L81" s="15"/>
      <c r="M81" s="16">
        <f>M73+M79</f>
        <v>-11393968.049999997</v>
      </c>
      <c r="N81" s="15"/>
      <c r="O81" s="16">
        <f>O73+O79</f>
        <v>46770171.769999996</v>
      </c>
      <c r="P81" s="15"/>
      <c r="Q81" s="16">
        <f>Q73+Q79</f>
        <v>-2668783.7199999997</v>
      </c>
      <c r="R81" s="15"/>
      <c r="S81" s="16">
        <f>S73+S79</f>
        <v>-1188569.9000000001</v>
      </c>
      <c r="T81" s="15"/>
      <c r="U81" s="16">
        <f>U73+U79</f>
        <v>-2001590873.8600001</v>
      </c>
      <c r="V81" s="17"/>
    </row>
    <row r="82" spans="1:22" x14ac:dyDescent="0.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x14ac:dyDescent="0.2">
      <c r="A83" s="10" t="s">
        <v>95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x14ac:dyDescent="0.2">
      <c r="B84" s="3" t="s">
        <v>13</v>
      </c>
      <c r="C84" s="17">
        <f>+'Summary - Reserve - PG 2 (Reg)'!C82</f>
        <v>-47213499.239999995</v>
      </c>
      <c r="D84" s="15"/>
      <c r="E84" s="17">
        <f>+'Summary - Reserve - PG 2 (Reg)'!E82</f>
        <v>-11392872.48</v>
      </c>
      <c r="F84" s="15"/>
      <c r="G84" s="17">
        <f>+'Summary - Reserve - PG 2 (Reg)'!G82</f>
        <v>7105652.6600000001</v>
      </c>
      <c r="H84" s="15"/>
      <c r="I84" s="17">
        <f>+'Summary - Reserve - PG 2 (Reg)'!I82</f>
        <v>0</v>
      </c>
      <c r="J84" s="15"/>
      <c r="K84" s="17">
        <f>+'Summary - Reserve - PG 2 (Reg)'!K82</f>
        <v>0</v>
      </c>
      <c r="L84" s="15"/>
      <c r="M84" s="17">
        <f>+'Summary - Reserve - PG 2 (Reg)'!M82</f>
        <v>0</v>
      </c>
      <c r="N84" s="15"/>
      <c r="O84" s="17">
        <f>+'Summary - Reserve - PG 2 (Reg)'!O82</f>
        <v>0</v>
      </c>
      <c r="P84" s="15"/>
      <c r="Q84" s="17">
        <f>+'Summary - Reserve - PG 2 (Reg)'!Q82</f>
        <v>0</v>
      </c>
      <c r="R84" s="15"/>
      <c r="S84" s="17">
        <f>+'Summary - Reserve - PG 2 (Reg)'!S82</f>
        <v>0</v>
      </c>
      <c r="T84" s="15"/>
      <c r="U84" s="15">
        <f>S84+Q84+O84+M84+I84+G84+E84+C84</f>
        <v>-51500719.059999995</v>
      </c>
      <c r="V84" s="15"/>
    </row>
    <row r="85" spans="1:22" x14ac:dyDescent="0.2">
      <c r="B85" s="3" t="s">
        <v>17</v>
      </c>
      <c r="C85" s="17">
        <f>+'Summary - Reserve - PG 2 (Reg)'!C83</f>
        <v>0</v>
      </c>
      <c r="D85" s="15"/>
      <c r="E85" s="17">
        <f>+'Summary - Reserve - PG 2 (Reg)'!E83</f>
        <v>0</v>
      </c>
      <c r="F85" s="15"/>
      <c r="G85" s="17">
        <f>+'Summary - Reserve - PG 2 (Reg)'!G83</f>
        <v>0</v>
      </c>
      <c r="H85" s="15"/>
      <c r="I85" s="17">
        <f>+'Summary - Reserve - PG 2 (Reg)'!I83</f>
        <v>0</v>
      </c>
      <c r="J85" s="15"/>
      <c r="K85" s="17">
        <f>+'Summary - Reserve - PG 2 (Reg)'!K83</f>
        <v>0</v>
      </c>
      <c r="L85" s="15"/>
      <c r="M85" s="17">
        <f>+'Summary - Reserve - PG 2 (Reg)'!M83</f>
        <v>0</v>
      </c>
      <c r="N85" s="15"/>
      <c r="O85" s="17">
        <f>+'Summary - Reserve - PG 2 (Reg)'!O83</f>
        <v>0</v>
      </c>
      <c r="P85" s="15"/>
      <c r="Q85" s="17">
        <f>+'Summary - Reserve - PG 2 (Reg)'!Q83</f>
        <v>0</v>
      </c>
      <c r="R85" s="15"/>
      <c r="S85" s="17">
        <f>+'Summary - Reserve - PG 2 (Reg)'!S83</f>
        <v>0</v>
      </c>
      <c r="T85" s="15"/>
      <c r="U85" s="15">
        <f>S85+Q85+O85+M85+I85+G85+E85+C85</f>
        <v>0</v>
      </c>
      <c r="V85" s="15"/>
    </row>
    <row r="86" spans="1:22" x14ac:dyDescent="0.2">
      <c r="B86" s="3" t="s">
        <v>26</v>
      </c>
      <c r="C86" s="16">
        <f>+'Summary - Reserve - PG 2 (Reg)'!C84</f>
        <v>-123.12000000000003</v>
      </c>
      <c r="D86" s="15"/>
      <c r="E86" s="16">
        <f>+'Summary - Reserve - PG 2 (Reg)'!E84</f>
        <v>-41.04</v>
      </c>
      <c r="F86" s="15"/>
      <c r="G86" s="16">
        <f>+'Summary - Reserve - PG 2 (Reg)'!G84</f>
        <v>0</v>
      </c>
      <c r="H86" s="15"/>
      <c r="I86" s="16">
        <f>+'Summary - Reserve - PG 2 (Reg)'!I84</f>
        <v>0</v>
      </c>
      <c r="J86" s="17"/>
      <c r="K86" s="16">
        <f>+'Summary - Reserve - PG 2 (Reg)'!K84</f>
        <v>0</v>
      </c>
      <c r="L86" s="15"/>
      <c r="M86" s="16">
        <f>+'Summary - Reserve - PG 2 (Reg)'!M84</f>
        <v>0</v>
      </c>
      <c r="N86" s="15"/>
      <c r="O86" s="16">
        <f>+'Summary - Reserve - PG 2 (Reg)'!O84</f>
        <v>0</v>
      </c>
      <c r="P86" s="15"/>
      <c r="Q86" s="16">
        <f>+'Summary - Reserve - PG 2 (Reg)'!Q84</f>
        <v>0</v>
      </c>
      <c r="R86" s="15"/>
      <c r="S86" s="16">
        <f>+'Summary - Reserve - PG 2 (Reg)'!S84</f>
        <v>0</v>
      </c>
      <c r="T86" s="15"/>
      <c r="U86" s="16">
        <f>S86+Q86+O86+M86+I86+G86+E86+C86</f>
        <v>-164.16000000000003</v>
      </c>
      <c r="V86" s="17"/>
    </row>
    <row r="87" spans="1:22" x14ac:dyDescent="0.2">
      <c r="B87" s="19" t="s">
        <v>99</v>
      </c>
      <c r="C87" s="17">
        <f>SUM(C84:C86)</f>
        <v>-47213622.359999992</v>
      </c>
      <c r="D87" s="17"/>
      <c r="E87" s="17">
        <f>SUM(E84:E86)</f>
        <v>-11392913.52</v>
      </c>
      <c r="F87" s="17"/>
      <c r="G87" s="17">
        <f>SUM(G84:G86)</f>
        <v>7105652.6600000001</v>
      </c>
      <c r="H87" s="17"/>
      <c r="I87" s="17">
        <f>SUM(I84:I86)</f>
        <v>0</v>
      </c>
      <c r="J87" s="17"/>
      <c r="K87" s="17">
        <f>SUM(K84:K86)</f>
        <v>0</v>
      </c>
      <c r="L87" s="17"/>
      <c r="M87" s="17">
        <f>SUM(M84:M86)</f>
        <v>0</v>
      </c>
      <c r="N87" s="17"/>
      <c r="O87" s="17">
        <f>SUM(O84:O86)</f>
        <v>0</v>
      </c>
      <c r="P87" s="17"/>
      <c r="Q87" s="17">
        <f>SUM(Q84:Q86)</f>
        <v>0</v>
      </c>
      <c r="R87" s="17"/>
      <c r="S87" s="17">
        <f>SUM(S84:S86)</f>
        <v>0</v>
      </c>
      <c r="T87" s="17"/>
      <c r="U87" s="17">
        <f>SUM(U84:U86)</f>
        <v>-51500883.219999991</v>
      </c>
      <c r="V87" s="17"/>
    </row>
    <row r="88" spans="1:22" x14ac:dyDescent="0.2">
      <c r="B88" s="19"/>
      <c r="C88" s="17"/>
      <c r="D88" s="15"/>
      <c r="E88" s="17"/>
      <c r="F88" s="15"/>
      <c r="G88" s="17"/>
      <c r="H88" s="15"/>
      <c r="I88" s="17"/>
      <c r="J88" s="17"/>
      <c r="K88" s="17"/>
      <c r="L88" s="15"/>
      <c r="M88" s="17"/>
      <c r="N88" s="15"/>
      <c r="O88" s="17"/>
      <c r="P88" s="15"/>
      <c r="Q88" s="17"/>
      <c r="R88" s="15"/>
      <c r="S88" s="17"/>
      <c r="T88" s="15"/>
      <c r="U88" s="17"/>
      <c r="V88" s="17"/>
    </row>
    <row r="89" spans="1:22" x14ac:dyDescent="0.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3.5" thickBot="1" x14ac:dyDescent="0.25">
      <c r="B90" s="19" t="s">
        <v>100</v>
      </c>
      <c r="C90" s="41">
        <f>C81+C87</f>
        <v>-2016000822.3299999</v>
      </c>
      <c r="D90" s="15"/>
      <c r="E90" s="41">
        <f>E81+E87</f>
        <v>-190856967.22000003</v>
      </c>
      <c r="F90" s="15"/>
      <c r="G90" s="41">
        <f>G81+G87</f>
        <v>125378164.89</v>
      </c>
      <c r="H90" s="15"/>
      <c r="I90" s="41">
        <f>I81+I87</f>
        <v>-213504.9800000001</v>
      </c>
      <c r="J90" s="17"/>
      <c r="K90" s="41">
        <f>K81+K87</f>
        <v>-2917477.54</v>
      </c>
      <c r="L90" s="15"/>
      <c r="M90" s="41">
        <f>M81+M87</f>
        <v>-11393968.049999997</v>
      </c>
      <c r="N90" s="15"/>
      <c r="O90" s="41">
        <f>O81+O87</f>
        <v>46770171.769999996</v>
      </c>
      <c r="P90" s="15"/>
      <c r="Q90" s="41">
        <f>Q81+Q87</f>
        <v>-2668783.7199999997</v>
      </c>
      <c r="R90" s="15"/>
      <c r="S90" s="41">
        <f>S81+S87</f>
        <v>-1188569.9000000001</v>
      </c>
      <c r="T90" s="15"/>
      <c r="U90" s="41">
        <f>U81+U87</f>
        <v>-2053091757.0800002</v>
      </c>
      <c r="V90" s="17"/>
    </row>
    <row r="91" spans="1:22" ht="13.5" thickTop="1" x14ac:dyDescent="0.2">
      <c r="B91" s="19"/>
      <c r="C91" s="17"/>
      <c r="D91" s="15"/>
      <c r="E91" s="17"/>
      <c r="F91" s="15"/>
      <c r="G91" s="17"/>
      <c r="H91" s="15"/>
      <c r="I91" s="17"/>
      <c r="J91" s="17"/>
      <c r="K91" s="17"/>
      <c r="L91" s="15"/>
      <c r="M91" s="17"/>
      <c r="N91" s="15"/>
      <c r="O91" s="17"/>
      <c r="P91" s="15"/>
      <c r="Q91" s="17"/>
      <c r="R91" s="15"/>
      <c r="S91" s="17"/>
      <c r="T91" s="15"/>
      <c r="U91" s="17"/>
      <c r="V91" s="17"/>
    </row>
    <row r="92" spans="1:22" ht="13.5" thickBot="1" x14ac:dyDescent="0.25">
      <c r="B92" s="19" t="s">
        <v>101</v>
      </c>
      <c r="C92" s="17"/>
      <c r="D92" s="15"/>
      <c r="E92" s="17"/>
      <c r="F92" s="15"/>
      <c r="G92" s="17"/>
      <c r="H92" s="15"/>
      <c r="I92" s="17"/>
      <c r="J92" s="17"/>
      <c r="K92" s="17"/>
      <c r="L92" s="15"/>
      <c r="M92" s="17"/>
      <c r="N92" s="15"/>
      <c r="O92" s="17"/>
      <c r="P92" s="15"/>
      <c r="Q92" s="17"/>
      <c r="R92" s="15"/>
      <c r="S92" s="17"/>
      <c r="T92" s="15"/>
      <c r="U92" s="24">
        <f>U90-U32</f>
        <v>-2053028396.7200003</v>
      </c>
      <c r="V92" s="17"/>
    </row>
    <row r="93" spans="1:22" ht="13.5" thickTop="1" x14ac:dyDescent="0.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x14ac:dyDescent="0.2">
      <c r="A94" s="10" t="s">
        <v>102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13.5" thickBot="1" x14ac:dyDescent="0.25">
      <c r="A95" s="10" t="s">
        <v>103</v>
      </c>
      <c r="C95" s="41">
        <f>'Summary - Cost - PG 1 (Reg)'!D133+C90-C32</f>
        <v>4507488976.0800018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41">
        <f>'Summary - Cost - PG 1 (Reg)'!N133+'Depr Study Summary Pg2'!U90-U32</f>
        <v>4716068886.5700006</v>
      </c>
      <c r="V95" s="17"/>
    </row>
    <row r="96" spans="1:22" ht="13.5" thickTop="1" x14ac:dyDescent="0.2">
      <c r="C96" s="15"/>
      <c r="D96" s="15"/>
      <c r="E96" s="15"/>
      <c r="F96" s="15"/>
      <c r="G96" s="15"/>
      <c r="H96" s="15"/>
      <c r="I96" s="15"/>
      <c r="J96" s="15"/>
      <c r="K96" s="15"/>
      <c r="L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8" x14ac:dyDescent="0.2">
      <c r="F97" s="15"/>
      <c r="G97" s="15"/>
      <c r="H97" s="15"/>
      <c r="I97" s="15"/>
      <c r="J97" s="15"/>
      <c r="N97" s="42"/>
      <c r="O97" s="42"/>
      <c r="P97" s="42"/>
      <c r="Q97" s="42"/>
      <c r="R97" s="42"/>
      <c r="S97" s="42"/>
      <c r="T97" s="42"/>
      <c r="U97" s="42"/>
      <c r="V97" s="43"/>
    </row>
    <row r="98" spans="1:28" x14ac:dyDescent="0.2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8" x14ac:dyDescent="0.2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8" x14ac:dyDescent="0.2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8" x14ac:dyDescent="0.2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8" x14ac:dyDescent="0.2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8" s="144" customFormat="1" x14ac:dyDescent="0.2">
      <c r="A103" s="3"/>
      <c r="B103" s="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3"/>
      <c r="X103" s="3"/>
      <c r="Y103" s="3"/>
      <c r="Z103" s="3"/>
      <c r="AA103" s="3"/>
      <c r="AB103" s="3"/>
    </row>
    <row r="104" spans="1:28" s="144" customFormat="1" x14ac:dyDescent="0.2">
      <c r="A104" s="3"/>
      <c r="B104" s="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3"/>
      <c r="X104" s="3"/>
      <c r="Y104" s="3"/>
      <c r="Z104" s="3"/>
      <c r="AA104" s="3"/>
      <c r="AB104" s="3"/>
    </row>
    <row r="105" spans="1:28" s="144" customFormat="1" x14ac:dyDescent="0.2">
      <c r="A105" s="3"/>
      <c r="B105" s="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3"/>
      <c r="X105" s="3"/>
      <c r="Y105" s="3"/>
      <c r="Z105" s="3"/>
      <c r="AA105" s="3"/>
      <c r="AB105" s="3"/>
    </row>
    <row r="106" spans="1:28" s="144" customFormat="1" x14ac:dyDescent="0.2">
      <c r="A106" s="3"/>
      <c r="B106" s="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3"/>
      <c r="X106" s="3"/>
      <c r="Y106" s="3"/>
      <c r="Z106" s="3"/>
      <c r="AA106" s="3"/>
      <c r="AB106" s="3"/>
    </row>
    <row r="107" spans="1:28" s="144" customFormat="1" x14ac:dyDescent="0.2">
      <c r="A107" s="3"/>
      <c r="B107" s="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3"/>
      <c r="X107" s="3"/>
      <c r="Y107" s="3"/>
      <c r="Z107" s="3"/>
      <c r="AA107" s="3"/>
      <c r="AB107" s="3"/>
    </row>
    <row r="108" spans="1:28" s="144" customFormat="1" x14ac:dyDescent="0.2">
      <c r="A108" s="3"/>
      <c r="B108" s="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3"/>
      <c r="X108" s="3"/>
      <c r="Y108" s="3"/>
      <c r="Z108" s="3"/>
      <c r="AA108" s="3"/>
      <c r="AB108" s="3"/>
    </row>
    <row r="109" spans="1:28" s="144" customFormat="1" x14ac:dyDescent="0.2">
      <c r="A109" s="3"/>
      <c r="B109" s="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3"/>
      <c r="X109" s="3"/>
      <c r="Y109" s="3"/>
      <c r="Z109" s="3"/>
      <c r="AA109" s="3"/>
      <c r="AB109" s="3"/>
    </row>
    <row r="110" spans="1:28" s="144" customFormat="1" x14ac:dyDescent="0.2">
      <c r="A110" s="3"/>
      <c r="B110" s="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3"/>
      <c r="X110" s="3"/>
      <c r="Y110" s="3"/>
      <c r="Z110" s="3"/>
      <c r="AA110" s="3"/>
      <c r="AB110" s="3"/>
    </row>
    <row r="111" spans="1:28" s="144" customFormat="1" x14ac:dyDescent="0.2">
      <c r="A111" s="3"/>
      <c r="B111" s="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3"/>
      <c r="X111" s="3"/>
      <c r="Y111" s="3"/>
      <c r="Z111" s="3"/>
      <c r="AA111" s="3"/>
      <c r="AB111" s="3"/>
    </row>
    <row r="112" spans="1:28" s="144" customFormat="1" x14ac:dyDescent="0.2">
      <c r="A112" s="3"/>
      <c r="B112" s="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3"/>
      <c r="X112" s="3"/>
      <c r="Y112" s="3"/>
      <c r="Z112" s="3"/>
      <c r="AA112" s="3"/>
      <c r="AB112" s="3"/>
    </row>
    <row r="113" spans="1:28" s="144" customFormat="1" x14ac:dyDescent="0.2">
      <c r="A113" s="3"/>
      <c r="B113" s="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3"/>
      <c r="X113" s="3"/>
      <c r="Y113" s="3"/>
      <c r="Z113" s="3"/>
      <c r="AA113" s="3"/>
      <c r="AB113" s="3"/>
    </row>
    <row r="114" spans="1:28" s="144" customFormat="1" x14ac:dyDescent="0.2">
      <c r="A114" s="3"/>
      <c r="B114" s="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3"/>
      <c r="X114" s="3"/>
      <c r="Y114" s="3"/>
      <c r="Z114" s="3"/>
      <c r="AA114" s="3"/>
      <c r="AB114" s="3"/>
    </row>
    <row r="115" spans="1:28" s="144" customFormat="1" x14ac:dyDescent="0.2">
      <c r="A115" s="3"/>
      <c r="B115" s="3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3"/>
      <c r="X115" s="3"/>
      <c r="Y115" s="3"/>
      <c r="Z115" s="3"/>
      <c r="AA115" s="3"/>
      <c r="AB115" s="3"/>
    </row>
    <row r="116" spans="1:28" s="144" customFormat="1" x14ac:dyDescent="0.2">
      <c r="A116" s="3"/>
      <c r="B116" s="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3"/>
      <c r="X116" s="3"/>
      <c r="Y116" s="3"/>
      <c r="Z116" s="3"/>
      <c r="AA116" s="3"/>
      <c r="AB116" s="3"/>
    </row>
    <row r="117" spans="1:28" s="144" customFormat="1" x14ac:dyDescent="0.2">
      <c r="A117" s="3"/>
      <c r="B117" s="3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3"/>
      <c r="X117" s="3"/>
      <c r="Y117" s="3"/>
      <c r="Z117" s="3"/>
      <c r="AA117" s="3"/>
      <c r="AB117" s="3"/>
    </row>
    <row r="118" spans="1:28" s="144" customFormat="1" x14ac:dyDescent="0.2">
      <c r="A118" s="3"/>
      <c r="B118" s="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3"/>
      <c r="X118" s="3"/>
      <c r="Y118" s="3"/>
      <c r="Z118" s="3"/>
      <c r="AA118" s="3"/>
      <c r="AB118" s="3"/>
    </row>
    <row r="119" spans="1:28" s="144" customFormat="1" x14ac:dyDescent="0.2">
      <c r="A119" s="3"/>
      <c r="B119" s="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3"/>
      <c r="X119" s="3"/>
      <c r="Y119" s="3"/>
      <c r="Z119" s="3"/>
      <c r="AA119" s="3"/>
      <c r="AB119" s="3"/>
    </row>
    <row r="120" spans="1:28" s="144" customFormat="1" x14ac:dyDescent="0.2">
      <c r="A120" s="3"/>
      <c r="B120" s="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3"/>
      <c r="X120" s="3"/>
      <c r="Y120" s="3"/>
      <c r="Z120" s="3"/>
      <c r="AA120" s="3"/>
      <c r="AB120" s="3"/>
    </row>
    <row r="121" spans="1:28" s="144" customFormat="1" x14ac:dyDescent="0.2">
      <c r="A121" s="3"/>
      <c r="B121" s="3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3"/>
      <c r="X121" s="3"/>
      <c r="Y121" s="3"/>
      <c r="Z121" s="3"/>
      <c r="AA121" s="3"/>
      <c r="AB121" s="3"/>
    </row>
    <row r="122" spans="1:28" s="144" customFormat="1" x14ac:dyDescent="0.2">
      <c r="A122" s="3"/>
      <c r="B122" s="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3"/>
      <c r="X122" s="3"/>
      <c r="Y122" s="3"/>
      <c r="Z122" s="3"/>
      <c r="AA122" s="3"/>
      <c r="AB122" s="3"/>
    </row>
    <row r="123" spans="1:28" s="144" customFormat="1" x14ac:dyDescent="0.2">
      <c r="A123" s="3"/>
      <c r="B123" s="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3"/>
      <c r="X123" s="3"/>
      <c r="Y123" s="3"/>
      <c r="Z123" s="3"/>
      <c r="AA123" s="3"/>
      <c r="AB123" s="3"/>
    </row>
    <row r="124" spans="1:28" s="144" customFormat="1" x14ac:dyDescent="0.2">
      <c r="A124" s="3"/>
      <c r="B124" s="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3"/>
      <c r="X124" s="3"/>
      <c r="Y124" s="3"/>
      <c r="Z124" s="3"/>
      <c r="AA124" s="3"/>
      <c r="AB124" s="3"/>
    </row>
    <row r="125" spans="1:28" s="144" customFormat="1" x14ac:dyDescent="0.2">
      <c r="A125" s="3"/>
      <c r="B125" s="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3"/>
      <c r="X125" s="3"/>
      <c r="Y125" s="3"/>
      <c r="Z125" s="3"/>
      <c r="AA125" s="3"/>
      <c r="AB125" s="3"/>
    </row>
    <row r="126" spans="1:28" s="144" customFormat="1" x14ac:dyDescent="0.2">
      <c r="A126" s="3"/>
      <c r="B126" s="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3"/>
      <c r="X126" s="3"/>
      <c r="Y126" s="3"/>
      <c r="Z126" s="3"/>
      <c r="AA126" s="3"/>
      <c r="AB126" s="3"/>
    </row>
    <row r="127" spans="1:28" s="144" customFormat="1" x14ac:dyDescent="0.2">
      <c r="A127" s="3"/>
      <c r="B127" s="3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3"/>
      <c r="X127" s="3"/>
      <c r="Y127" s="3"/>
      <c r="Z127" s="3"/>
      <c r="AA127" s="3"/>
      <c r="AB127" s="3"/>
    </row>
    <row r="128" spans="1:28" s="144" customFormat="1" x14ac:dyDescent="0.2">
      <c r="A128" s="3"/>
      <c r="B128" s="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3"/>
      <c r="X128" s="3"/>
      <c r="Y128" s="3"/>
      <c r="Z128" s="3"/>
      <c r="AA128" s="3"/>
      <c r="AB128" s="3"/>
    </row>
    <row r="129" spans="1:28" s="144" customFormat="1" x14ac:dyDescent="0.2">
      <c r="A129" s="3"/>
      <c r="B129" s="3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3"/>
      <c r="X129" s="3"/>
      <c r="Y129" s="3"/>
      <c r="Z129" s="3"/>
      <c r="AA129" s="3"/>
      <c r="AB129" s="3"/>
    </row>
    <row r="130" spans="1:28" s="144" customFormat="1" x14ac:dyDescent="0.2">
      <c r="A130" s="3"/>
      <c r="B130" s="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3"/>
      <c r="X130" s="3"/>
      <c r="Y130" s="3"/>
      <c r="Z130" s="3"/>
      <c r="AA130" s="3"/>
      <c r="AB130" s="3"/>
    </row>
    <row r="131" spans="1:28" s="144" customFormat="1" x14ac:dyDescent="0.2">
      <c r="A131" s="3"/>
      <c r="B131" s="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3"/>
      <c r="X131" s="3"/>
      <c r="Y131" s="3"/>
      <c r="Z131" s="3"/>
      <c r="AA131" s="3"/>
      <c r="AB131" s="3"/>
    </row>
    <row r="132" spans="1:28" s="144" customFormat="1" x14ac:dyDescent="0.2">
      <c r="A132" s="3"/>
      <c r="B132" s="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3"/>
      <c r="X132" s="3"/>
      <c r="Y132" s="3"/>
      <c r="Z132" s="3"/>
      <c r="AA132" s="3"/>
      <c r="AB132" s="3"/>
    </row>
    <row r="133" spans="1:28" s="144" customFormat="1" x14ac:dyDescent="0.2">
      <c r="A133" s="3"/>
      <c r="B133" s="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3"/>
      <c r="X133" s="3"/>
      <c r="Y133" s="3"/>
      <c r="Z133" s="3"/>
      <c r="AA133" s="3"/>
      <c r="AB133" s="3"/>
    </row>
    <row r="134" spans="1:28" s="144" customFormat="1" x14ac:dyDescent="0.2">
      <c r="A134" s="3"/>
      <c r="B134" s="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3"/>
      <c r="X134" s="3"/>
      <c r="Y134" s="3"/>
      <c r="Z134" s="3"/>
      <c r="AA134" s="3"/>
      <c r="AB134" s="3"/>
    </row>
    <row r="135" spans="1:28" s="144" customFormat="1" x14ac:dyDescent="0.2">
      <c r="A135" s="3"/>
      <c r="B135" s="3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3"/>
      <c r="X135" s="3"/>
      <c r="Y135" s="3"/>
      <c r="Z135" s="3"/>
      <c r="AA135" s="3"/>
      <c r="AB135" s="3"/>
    </row>
    <row r="136" spans="1:28" s="144" customFormat="1" x14ac:dyDescent="0.2">
      <c r="A136" s="3"/>
      <c r="B136" s="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3"/>
      <c r="X136" s="3"/>
      <c r="Y136" s="3"/>
      <c r="Z136" s="3"/>
      <c r="AA136" s="3"/>
      <c r="AB136" s="3"/>
    </row>
    <row r="137" spans="1:28" s="144" customFormat="1" x14ac:dyDescent="0.2">
      <c r="A137" s="3"/>
      <c r="B137" s="3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3"/>
      <c r="X137" s="3"/>
      <c r="Y137" s="3"/>
      <c r="Z137" s="3"/>
      <c r="AA137" s="3"/>
      <c r="AB137" s="3"/>
    </row>
    <row r="138" spans="1:28" s="144" customFormat="1" x14ac:dyDescent="0.2">
      <c r="A138" s="3"/>
      <c r="B138" s="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3"/>
      <c r="X138" s="3"/>
      <c r="Y138" s="3"/>
      <c r="Z138" s="3"/>
      <c r="AA138" s="3"/>
      <c r="AB138" s="3"/>
    </row>
    <row r="139" spans="1:28" s="144" customFormat="1" x14ac:dyDescent="0.2">
      <c r="A139" s="3"/>
      <c r="B139" s="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3"/>
      <c r="X139" s="3"/>
      <c r="Y139" s="3"/>
      <c r="Z139" s="3"/>
      <c r="AA139" s="3"/>
      <c r="AB139" s="3"/>
    </row>
    <row r="140" spans="1:28" s="144" customFormat="1" x14ac:dyDescent="0.2">
      <c r="A140" s="3"/>
      <c r="B140" s="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3"/>
      <c r="X140" s="3"/>
      <c r="Y140" s="3"/>
      <c r="Z140" s="3"/>
      <c r="AA140" s="3"/>
      <c r="AB140" s="3"/>
    </row>
    <row r="141" spans="1:28" s="144" customFormat="1" x14ac:dyDescent="0.2">
      <c r="A141" s="3"/>
      <c r="B141" s="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3"/>
      <c r="X141" s="3"/>
      <c r="Y141" s="3"/>
      <c r="Z141" s="3"/>
      <c r="AA141" s="3"/>
      <c r="AB141" s="3"/>
    </row>
    <row r="142" spans="1:28" s="144" customFormat="1" x14ac:dyDescent="0.2">
      <c r="A142" s="3"/>
      <c r="B142" s="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3"/>
      <c r="X142" s="3"/>
      <c r="Y142" s="3"/>
      <c r="Z142" s="3"/>
      <c r="AA142" s="3"/>
      <c r="AB142" s="3"/>
    </row>
    <row r="143" spans="1:28" s="144" customFormat="1" x14ac:dyDescent="0.2">
      <c r="A143" s="3"/>
      <c r="B143" s="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3"/>
      <c r="X143" s="3"/>
      <c r="Y143" s="3"/>
      <c r="Z143" s="3"/>
      <c r="AA143" s="3"/>
      <c r="AB143" s="3"/>
    </row>
    <row r="144" spans="1:28" s="144" customFormat="1" x14ac:dyDescent="0.2">
      <c r="A144" s="3"/>
      <c r="B144" s="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3"/>
      <c r="X144" s="3"/>
      <c r="Y144" s="3"/>
      <c r="Z144" s="3"/>
      <c r="AA144" s="3"/>
      <c r="AB144" s="3"/>
    </row>
    <row r="145" spans="1:28" s="144" customFormat="1" x14ac:dyDescent="0.2">
      <c r="A145" s="3"/>
      <c r="B145" s="3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3"/>
      <c r="X145" s="3"/>
      <c r="Y145" s="3"/>
      <c r="Z145" s="3"/>
      <c r="AA145" s="3"/>
      <c r="AB145" s="3"/>
    </row>
    <row r="146" spans="1:28" s="144" customFormat="1" x14ac:dyDescent="0.2">
      <c r="A146" s="3"/>
      <c r="B146" s="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3"/>
      <c r="X146" s="3"/>
      <c r="Y146" s="3"/>
      <c r="Z146" s="3"/>
      <c r="AA146" s="3"/>
      <c r="AB146" s="3"/>
    </row>
    <row r="147" spans="1:28" s="144" customFormat="1" x14ac:dyDescent="0.2">
      <c r="A147" s="3"/>
      <c r="B147" s="3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3"/>
      <c r="X147" s="3"/>
      <c r="Y147" s="3"/>
      <c r="Z147" s="3"/>
      <c r="AA147" s="3"/>
      <c r="AB147" s="3"/>
    </row>
    <row r="148" spans="1:28" s="144" customFormat="1" x14ac:dyDescent="0.2">
      <c r="A148" s="3"/>
      <c r="B148" s="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3"/>
      <c r="X148" s="3"/>
      <c r="Y148" s="3"/>
      <c r="Z148" s="3"/>
      <c r="AA148" s="3"/>
      <c r="AB148" s="3"/>
    </row>
    <row r="149" spans="1:28" s="144" customFormat="1" x14ac:dyDescent="0.2">
      <c r="A149" s="3"/>
      <c r="B149" s="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3"/>
      <c r="X149" s="3"/>
      <c r="Y149" s="3"/>
      <c r="Z149" s="3"/>
      <c r="AA149" s="3"/>
      <c r="AB149" s="3"/>
    </row>
    <row r="150" spans="1:28" s="144" customFormat="1" x14ac:dyDescent="0.2">
      <c r="A150" s="3"/>
      <c r="B150" s="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3"/>
      <c r="X150" s="3"/>
      <c r="Y150" s="3"/>
      <c r="Z150" s="3"/>
      <c r="AA150" s="3"/>
      <c r="AB150" s="3"/>
    </row>
    <row r="151" spans="1:28" s="144" customFormat="1" x14ac:dyDescent="0.2">
      <c r="A151" s="3"/>
      <c r="B151" s="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3"/>
      <c r="X151" s="3"/>
      <c r="Y151" s="3"/>
      <c r="Z151" s="3"/>
      <c r="AA151" s="3"/>
      <c r="AB151" s="3"/>
    </row>
    <row r="152" spans="1:28" s="144" customFormat="1" x14ac:dyDescent="0.2">
      <c r="A152" s="3"/>
      <c r="B152" s="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3"/>
      <c r="X152" s="3"/>
      <c r="Y152" s="3"/>
      <c r="Z152" s="3"/>
      <c r="AA152" s="3"/>
      <c r="AB152" s="3"/>
    </row>
    <row r="153" spans="1:28" s="144" customFormat="1" x14ac:dyDescent="0.2">
      <c r="A153" s="3"/>
      <c r="B153" s="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3"/>
      <c r="X153" s="3"/>
      <c r="Y153" s="3"/>
      <c r="Z153" s="3"/>
      <c r="AA153" s="3"/>
      <c r="AB153" s="3"/>
    </row>
    <row r="154" spans="1:28" s="144" customFormat="1" x14ac:dyDescent="0.2">
      <c r="A154" s="3"/>
      <c r="B154" s="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3"/>
      <c r="X154" s="3"/>
      <c r="Y154" s="3"/>
      <c r="Z154" s="3"/>
      <c r="AA154" s="3"/>
      <c r="AB154" s="3"/>
    </row>
    <row r="155" spans="1:28" s="144" customFormat="1" x14ac:dyDescent="0.2">
      <c r="A155" s="3"/>
      <c r="B155" s="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3"/>
      <c r="X155" s="3"/>
      <c r="Y155" s="3"/>
      <c r="Z155" s="3"/>
      <c r="AA155" s="3"/>
      <c r="AB155" s="3"/>
    </row>
    <row r="156" spans="1:28" s="144" customFormat="1" x14ac:dyDescent="0.2">
      <c r="A156" s="3"/>
      <c r="B156" s="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3"/>
      <c r="X156" s="3"/>
      <c r="Y156" s="3"/>
      <c r="Z156" s="3"/>
      <c r="AA156" s="3"/>
      <c r="AB156" s="3"/>
    </row>
    <row r="157" spans="1:28" s="144" customFormat="1" x14ac:dyDescent="0.2">
      <c r="A157" s="3"/>
      <c r="B157" s="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3"/>
      <c r="X157" s="3"/>
      <c r="Y157" s="3"/>
      <c r="Z157" s="3"/>
      <c r="AA157" s="3"/>
      <c r="AB157" s="3"/>
    </row>
    <row r="158" spans="1:28" s="144" customFormat="1" x14ac:dyDescent="0.2">
      <c r="A158" s="3"/>
      <c r="B158" s="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3"/>
      <c r="X158" s="3"/>
      <c r="Y158" s="3"/>
      <c r="Z158" s="3"/>
      <c r="AA158" s="3"/>
      <c r="AB158" s="3"/>
    </row>
    <row r="159" spans="1:28" s="144" customFormat="1" x14ac:dyDescent="0.2">
      <c r="A159" s="3"/>
      <c r="B159" s="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3"/>
      <c r="X159" s="3"/>
      <c r="Y159" s="3"/>
      <c r="Z159" s="3"/>
      <c r="AA159" s="3"/>
      <c r="AB159" s="3"/>
    </row>
    <row r="160" spans="1:28" s="144" customFormat="1" x14ac:dyDescent="0.2">
      <c r="A160" s="3"/>
      <c r="B160" s="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3"/>
      <c r="X160" s="3"/>
      <c r="Y160" s="3"/>
      <c r="Z160" s="3"/>
      <c r="AA160" s="3"/>
      <c r="AB160" s="3"/>
    </row>
    <row r="161" spans="1:28" s="144" customFormat="1" x14ac:dyDescent="0.2">
      <c r="A161" s="3"/>
      <c r="B161" s="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3"/>
      <c r="X161" s="3"/>
      <c r="Y161" s="3"/>
      <c r="Z161" s="3"/>
      <c r="AA161" s="3"/>
      <c r="AB161" s="3"/>
    </row>
    <row r="162" spans="1:28" s="144" customFormat="1" x14ac:dyDescent="0.2">
      <c r="A162" s="3"/>
      <c r="B162" s="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3"/>
      <c r="X162" s="3"/>
      <c r="Y162" s="3"/>
      <c r="Z162" s="3"/>
      <c r="AA162" s="3"/>
      <c r="AB162" s="3"/>
    </row>
    <row r="163" spans="1:28" s="144" customFormat="1" x14ac:dyDescent="0.2">
      <c r="A163" s="3"/>
      <c r="B163" s="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3"/>
      <c r="X163" s="3"/>
      <c r="Y163" s="3"/>
      <c r="Z163" s="3"/>
      <c r="AA163" s="3"/>
      <c r="AB163" s="3"/>
    </row>
    <row r="164" spans="1:28" s="144" customFormat="1" x14ac:dyDescent="0.2">
      <c r="A164" s="3"/>
      <c r="B164" s="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3"/>
      <c r="X164" s="3"/>
      <c r="Y164" s="3"/>
      <c r="Z164" s="3"/>
      <c r="AA164" s="3"/>
      <c r="AB164" s="3"/>
    </row>
    <row r="165" spans="1:28" s="144" customFormat="1" x14ac:dyDescent="0.2">
      <c r="A165" s="3"/>
      <c r="B165" s="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3"/>
      <c r="X165" s="3"/>
      <c r="Y165" s="3"/>
      <c r="Z165" s="3"/>
      <c r="AA165" s="3"/>
      <c r="AB165" s="3"/>
    </row>
    <row r="166" spans="1:28" s="144" customFormat="1" x14ac:dyDescent="0.2">
      <c r="A166" s="3"/>
      <c r="B166" s="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3"/>
      <c r="X166" s="3"/>
      <c r="Y166" s="3"/>
      <c r="Z166" s="3"/>
      <c r="AA166" s="3"/>
      <c r="AB166" s="3"/>
    </row>
    <row r="167" spans="1:28" s="144" customFormat="1" x14ac:dyDescent="0.2">
      <c r="A167" s="3"/>
      <c r="B167" s="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3"/>
      <c r="X167" s="3"/>
      <c r="Y167" s="3"/>
      <c r="Z167" s="3"/>
      <c r="AA167" s="3"/>
      <c r="AB167" s="3"/>
    </row>
    <row r="168" spans="1:28" s="144" customFormat="1" x14ac:dyDescent="0.2">
      <c r="A168" s="3"/>
      <c r="B168" s="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3"/>
      <c r="X168" s="3"/>
      <c r="Y168" s="3"/>
      <c r="Z168" s="3"/>
      <c r="AA168" s="3"/>
      <c r="AB168" s="3"/>
    </row>
    <row r="169" spans="1:28" s="144" customFormat="1" x14ac:dyDescent="0.2">
      <c r="A169" s="3"/>
      <c r="B169" s="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3"/>
      <c r="X169" s="3"/>
      <c r="Y169" s="3"/>
      <c r="Z169" s="3"/>
      <c r="AA169" s="3"/>
      <c r="AB169" s="3"/>
    </row>
    <row r="170" spans="1:28" s="144" customFormat="1" x14ac:dyDescent="0.2">
      <c r="A170" s="3"/>
      <c r="B170" s="3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3"/>
      <c r="X170" s="3"/>
      <c r="Y170" s="3"/>
      <c r="Z170" s="3"/>
      <c r="AA170" s="3"/>
      <c r="AB170" s="3"/>
    </row>
    <row r="171" spans="1:28" s="144" customFormat="1" x14ac:dyDescent="0.2">
      <c r="A171" s="3"/>
      <c r="B171" s="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3"/>
      <c r="X171" s="3"/>
      <c r="Y171" s="3"/>
      <c r="Z171" s="3"/>
      <c r="AA171" s="3"/>
      <c r="AB171" s="3"/>
    </row>
    <row r="172" spans="1:28" s="144" customFormat="1" x14ac:dyDescent="0.2">
      <c r="A172" s="3"/>
      <c r="B172" s="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3"/>
      <c r="X172" s="3"/>
      <c r="Y172" s="3"/>
      <c r="Z172" s="3"/>
      <c r="AA172" s="3"/>
      <c r="AB172" s="3"/>
    </row>
    <row r="173" spans="1:28" s="144" customFormat="1" x14ac:dyDescent="0.2">
      <c r="A173" s="3"/>
      <c r="B173" s="3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3"/>
      <c r="X173" s="3"/>
      <c r="Y173" s="3"/>
      <c r="Z173" s="3"/>
      <c r="AA173" s="3"/>
      <c r="AB173" s="3"/>
    </row>
    <row r="174" spans="1:28" s="144" customFormat="1" x14ac:dyDescent="0.2">
      <c r="A174" s="3"/>
      <c r="B174" s="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3"/>
      <c r="X174" s="3"/>
      <c r="Y174" s="3"/>
      <c r="Z174" s="3"/>
      <c r="AA174" s="3"/>
      <c r="AB174" s="3"/>
    </row>
    <row r="175" spans="1:28" s="144" customFormat="1" x14ac:dyDescent="0.2">
      <c r="A175" s="3"/>
      <c r="B175" s="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3"/>
      <c r="X175" s="3"/>
      <c r="Y175" s="3"/>
      <c r="Z175" s="3"/>
      <c r="AA175" s="3"/>
      <c r="AB175" s="3"/>
    </row>
    <row r="176" spans="1:28" s="144" customFormat="1" x14ac:dyDescent="0.2">
      <c r="A176" s="3"/>
      <c r="B176" s="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3"/>
      <c r="X176" s="3"/>
      <c r="Y176" s="3"/>
      <c r="Z176" s="3"/>
      <c r="AA176" s="3"/>
      <c r="AB176" s="3"/>
    </row>
    <row r="177" spans="1:28" s="144" customFormat="1" x14ac:dyDescent="0.2">
      <c r="A177" s="3"/>
      <c r="B177" s="3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3"/>
      <c r="X177" s="3"/>
      <c r="Y177" s="3"/>
      <c r="Z177" s="3"/>
      <c r="AA177" s="3"/>
      <c r="AB177" s="3"/>
    </row>
    <row r="178" spans="1:28" s="144" customFormat="1" x14ac:dyDescent="0.2">
      <c r="A178" s="3"/>
      <c r="B178" s="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3"/>
      <c r="X178" s="3"/>
      <c r="Y178" s="3"/>
      <c r="Z178" s="3"/>
      <c r="AA178" s="3"/>
      <c r="AB178" s="3"/>
    </row>
    <row r="179" spans="1:28" s="144" customFormat="1" x14ac:dyDescent="0.2">
      <c r="A179" s="3"/>
      <c r="B179" s="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3"/>
      <c r="X179" s="3"/>
      <c r="Y179" s="3"/>
      <c r="Z179" s="3"/>
      <c r="AA179" s="3"/>
      <c r="AB179" s="3"/>
    </row>
    <row r="180" spans="1:28" s="144" customFormat="1" x14ac:dyDescent="0.2">
      <c r="A180" s="3"/>
      <c r="B180" s="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3"/>
      <c r="X180" s="3"/>
      <c r="Y180" s="3"/>
      <c r="Z180" s="3"/>
      <c r="AA180" s="3"/>
      <c r="AB180" s="3"/>
    </row>
    <row r="181" spans="1:28" s="144" customFormat="1" x14ac:dyDescent="0.2">
      <c r="A181" s="3"/>
      <c r="B181" s="3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3"/>
      <c r="X181" s="3"/>
      <c r="Y181" s="3"/>
      <c r="Z181" s="3"/>
      <c r="AA181" s="3"/>
      <c r="AB181" s="3"/>
    </row>
    <row r="182" spans="1:28" s="144" customFormat="1" x14ac:dyDescent="0.2">
      <c r="A182" s="3"/>
      <c r="B182" s="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3"/>
      <c r="X182" s="3"/>
      <c r="Y182" s="3"/>
      <c r="Z182" s="3"/>
      <c r="AA182" s="3"/>
      <c r="AB182" s="3"/>
    </row>
    <row r="183" spans="1:28" s="144" customFormat="1" x14ac:dyDescent="0.2">
      <c r="A183" s="3"/>
      <c r="B183" s="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3"/>
      <c r="X183" s="3"/>
      <c r="Y183" s="3"/>
      <c r="Z183" s="3"/>
      <c r="AA183" s="3"/>
      <c r="AB183" s="3"/>
    </row>
    <row r="184" spans="1:28" s="144" customFormat="1" x14ac:dyDescent="0.2">
      <c r="A184" s="3"/>
      <c r="B184" s="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3"/>
      <c r="X184" s="3"/>
      <c r="Y184" s="3"/>
      <c r="Z184" s="3"/>
      <c r="AA184" s="3"/>
      <c r="AB184" s="3"/>
    </row>
    <row r="185" spans="1:28" s="144" customFormat="1" x14ac:dyDescent="0.2">
      <c r="A185" s="3"/>
      <c r="B185" s="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3"/>
      <c r="X185" s="3"/>
      <c r="Y185" s="3"/>
      <c r="Z185" s="3"/>
      <c r="AA185" s="3"/>
      <c r="AB185" s="3"/>
    </row>
    <row r="186" spans="1:28" s="144" customFormat="1" x14ac:dyDescent="0.2">
      <c r="A186" s="3"/>
      <c r="B186" s="3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3"/>
      <c r="X186" s="3"/>
      <c r="Y186" s="3"/>
      <c r="Z186" s="3"/>
      <c r="AA186" s="3"/>
      <c r="AB186" s="3"/>
    </row>
    <row r="187" spans="1:28" s="144" customFormat="1" x14ac:dyDescent="0.2">
      <c r="A187" s="3"/>
      <c r="B187" s="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3"/>
      <c r="X187" s="3"/>
      <c r="Y187" s="3"/>
      <c r="Z187" s="3"/>
      <c r="AA187" s="3"/>
      <c r="AB187" s="3"/>
    </row>
    <row r="188" spans="1:28" s="144" customFormat="1" x14ac:dyDescent="0.2">
      <c r="A188" s="3"/>
      <c r="B188" s="3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3"/>
      <c r="X188" s="3"/>
      <c r="Y188" s="3"/>
      <c r="Z188" s="3"/>
      <c r="AA188" s="3"/>
      <c r="AB188" s="3"/>
    </row>
    <row r="189" spans="1:28" s="144" customFormat="1" x14ac:dyDescent="0.2">
      <c r="A189" s="3"/>
      <c r="B189" s="3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3"/>
      <c r="X189" s="3"/>
      <c r="Y189" s="3"/>
      <c r="Z189" s="3"/>
      <c r="AA189" s="3"/>
      <c r="AB189" s="3"/>
    </row>
    <row r="190" spans="1:28" s="144" customFormat="1" x14ac:dyDescent="0.2">
      <c r="A190" s="3"/>
      <c r="B190" s="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3"/>
      <c r="X190" s="3"/>
      <c r="Y190" s="3"/>
      <c r="Z190" s="3"/>
      <c r="AA190" s="3"/>
      <c r="AB190" s="3"/>
    </row>
    <row r="191" spans="1:28" s="144" customFormat="1" x14ac:dyDescent="0.2">
      <c r="A191" s="3"/>
      <c r="B191" s="3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3"/>
      <c r="X191" s="3"/>
      <c r="Y191" s="3"/>
      <c r="Z191" s="3"/>
      <c r="AA191" s="3"/>
      <c r="AB191" s="3"/>
    </row>
    <row r="192" spans="1:28" s="144" customFormat="1" x14ac:dyDescent="0.2">
      <c r="A192" s="3"/>
      <c r="B192" s="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3"/>
      <c r="X192" s="3"/>
      <c r="Y192" s="3"/>
      <c r="Z192" s="3"/>
      <c r="AA192" s="3"/>
      <c r="AB192" s="3"/>
    </row>
    <row r="193" spans="1:28" s="144" customFormat="1" x14ac:dyDescent="0.2">
      <c r="A193" s="3"/>
      <c r="B193" s="3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3"/>
      <c r="X193" s="3"/>
      <c r="Y193" s="3"/>
      <c r="Z193" s="3"/>
      <c r="AA193" s="3"/>
      <c r="AB193" s="3"/>
    </row>
    <row r="194" spans="1:28" s="144" customFormat="1" x14ac:dyDescent="0.2">
      <c r="A194" s="3"/>
      <c r="B194" s="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3"/>
      <c r="X194" s="3"/>
      <c r="Y194" s="3"/>
      <c r="Z194" s="3"/>
      <c r="AA194" s="3"/>
      <c r="AB194" s="3"/>
    </row>
    <row r="195" spans="1:28" s="144" customFormat="1" x14ac:dyDescent="0.2">
      <c r="A195" s="3"/>
      <c r="B195" s="3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3"/>
      <c r="X195" s="3"/>
      <c r="Y195" s="3"/>
      <c r="Z195" s="3"/>
      <c r="AA195" s="3"/>
      <c r="AB195" s="3"/>
    </row>
    <row r="196" spans="1:28" s="144" customFormat="1" x14ac:dyDescent="0.2">
      <c r="A196" s="3"/>
      <c r="B196" s="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3"/>
      <c r="X196" s="3"/>
      <c r="Y196" s="3"/>
      <c r="Z196" s="3"/>
      <c r="AA196" s="3"/>
      <c r="AB196" s="3"/>
    </row>
    <row r="197" spans="1:28" s="144" customFormat="1" x14ac:dyDescent="0.2">
      <c r="A197" s="3"/>
      <c r="B197" s="3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3"/>
      <c r="X197" s="3"/>
      <c r="Y197" s="3"/>
      <c r="Z197" s="3"/>
      <c r="AA197" s="3"/>
      <c r="AB197" s="3"/>
    </row>
    <row r="198" spans="1:28" s="144" customFormat="1" x14ac:dyDescent="0.2">
      <c r="A198" s="3"/>
      <c r="B198" s="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3"/>
      <c r="X198" s="3"/>
      <c r="Y198" s="3"/>
      <c r="Z198" s="3"/>
      <c r="AA198" s="3"/>
      <c r="AB198" s="3"/>
    </row>
    <row r="199" spans="1:28" s="144" customFormat="1" x14ac:dyDescent="0.2">
      <c r="A199" s="3"/>
      <c r="B199" s="3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3"/>
      <c r="X199" s="3"/>
      <c r="Y199" s="3"/>
      <c r="Z199" s="3"/>
      <c r="AA199" s="3"/>
      <c r="AB199" s="3"/>
    </row>
    <row r="200" spans="1:28" s="144" customFormat="1" x14ac:dyDescent="0.2">
      <c r="A200" s="3"/>
      <c r="B200" s="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3"/>
      <c r="X200" s="3"/>
      <c r="Y200" s="3"/>
      <c r="Z200" s="3"/>
      <c r="AA200" s="3"/>
      <c r="AB200" s="3"/>
    </row>
    <row r="201" spans="1:28" s="144" customFormat="1" x14ac:dyDescent="0.2">
      <c r="A201" s="3"/>
      <c r="B201" s="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3"/>
      <c r="X201" s="3"/>
      <c r="Y201" s="3"/>
      <c r="Z201" s="3"/>
      <c r="AA201" s="3"/>
      <c r="AB201" s="3"/>
    </row>
    <row r="202" spans="1:28" s="144" customFormat="1" x14ac:dyDescent="0.2">
      <c r="A202" s="3"/>
      <c r="B202" s="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3"/>
      <c r="X202" s="3"/>
      <c r="Y202" s="3"/>
      <c r="Z202" s="3"/>
      <c r="AA202" s="3"/>
      <c r="AB202" s="3"/>
    </row>
    <row r="203" spans="1:28" s="144" customFormat="1" x14ac:dyDescent="0.2">
      <c r="A203" s="3"/>
      <c r="B203" s="3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3"/>
      <c r="X203" s="3"/>
      <c r="Y203" s="3"/>
      <c r="Z203" s="3"/>
      <c r="AA203" s="3"/>
      <c r="AB203" s="3"/>
    </row>
    <row r="204" spans="1:28" s="144" customFormat="1" x14ac:dyDescent="0.2">
      <c r="A204" s="3"/>
      <c r="B204" s="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3"/>
      <c r="X204" s="3"/>
      <c r="Y204" s="3"/>
      <c r="Z204" s="3"/>
      <c r="AA204" s="3"/>
      <c r="AB204" s="3"/>
    </row>
    <row r="205" spans="1:28" s="144" customFormat="1" x14ac:dyDescent="0.2">
      <c r="A205" s="3"/>
      <c r="B205" s="3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3"/>
      <c r="X205" s="3"/>
      <c r="Y205" s="3"/>
      <c r="Z205" s="3"/>
      <c r="AA205" s="3"/>
      <c r="AB205" s="3"/>
    </row>
    <row r="206" spans="1:28" s="144" customFormat="1" x14ac:dyDescent="0.2">
      <c r="A206" s="3"/>
      <c r="B206" s="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3"/>
      <c r="X206" s="3"/>
      <c r="Y206" s="3"/>
      <c r="Z206" s="3"/>
      <c r="AA206" s="3"/>
      <c r="AB206" s="3"/>
    </row>
    <row r="207" spans="1:28" s="144" customFormat="1" x14ac:dyDescent="0.2">
      <c r="A207" s="3"/>
      <c r="B207" s="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3"/>
      <c r="X207" s="3"/>
      <c r="Y207" s="3"/>
      <c r="Z207" s="3"/>
      <c r="AA207" s="3"/>
      <c r="AB207" s="3"/>
    </row>
    <row r="208" spans="1:28" s="144" customFormat="1" x14ac:dyDescent="0.2">
      <c r="A208" s="3"/>
      <c r="B208" s="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3"/>
      <c r="X208" s="3"/>
      <c r="Y208" s="3"/>
      <c r="Z208" s="3"/>
      <c r="AA208" s="3"/>
      <c r="AB208" s="3"/>
    </row>
    <row r="209" spans="1:28" s="144" customFormat="1" x14ac:dyDescent="0.2">
      <c r="A209" s="3"/>
      <c r="B209" s="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3"/>
      <c r="X209" s="3"/>
      <c r="Y209" s="3"/>
      <c r="Z209" s="3"/>
      <c r="AA209" s="3"/>
      <c r="AB209" s="3"/>
    </row>
    <row r="210" spans="1:28" s="144" customFormat="1" x14ac:dyDescent="0.2">
      <c r="A210" s="3"/>
      <c r="B210" s="3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3"/>
      <c r="X210" s="3"/>
      <c r="Y210" s="3"/>
      <c r="Z210" s="3"/>
      <c r="AA210" s="3"/>
      <c r="AB210" s="3"/>
    </row>
    <row r="211" spans="1:28" s="144" customFormat="1" x14ac:dyDescent="0.2">
      <c r="A211" s="3"/>
      <c r="B211" s="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3"/>
      <c r="X211" s="3"/>
      <c r="Y211" s="3"/>
      <c r="Z211" s="3"/>
      <c r="AA211" s="3"/>
      <c r="AB211" s="3"/>
    </row>
    <row r="212" spans="1:28" s="144" customFormat="1" x14ac:dyDescent="0.2">
      <c r="A212" s="3"/>
      <c r="B212" s="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3"/>
      <c r="X212" s="3"/>
      <c r="Y212" s="3"/>
      <c r="Z212" s="3"/>
      <c r="AA212" s="3"/>
      <c r="AB212" s="3"/>
    </row>
    <row r="213" spans="1:28" s="144" customFormat="1" x14ac:dyDescent="0.2">
      <c r="A213" s="3"/>
      <c r="B213" s="3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3"/>
      <c r="X213" s="3"/>
      <c r="Y213" s="3"/>
      <c r="Z213" s="3"/>
      <c r="AA213" s="3"/>
      <c r="AB213" s="3"/>
    </row>
    <row r="214" spans="1:28" s="144" customFormat="1" x14ac:dyDescent="0.2">
      <c r="A214" s="3"/>
      <c r="B214" s="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3"/>
      <c r="X214" s="3"/>
      <c r="Y214" s="3"/>
      <c r="Z214" s="3"/>
      <c r="AA214" s="3"/>
      <c r="AB214" s="3"/>
    </row>
    <row r="215" spans="1:28" s="144" customFormat="1" x14ac:dyDescent="0.2">
      <c r="A215" s="3"/>
      <c r="B215" s="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3"/>
      <c r="X215" s="3"/>
      <c r="Y215" s="3"/>
      <c r="Z215" s="3"/>
      <c r="AA215" s="3"/>
      <c r="AB215" s="3"/>
    </row>
    <row r="216" spans="1:28" s="144" customFormat="1" x14ac:dyDescent="0.2">
      <c r="A216" s="3"/>
      <c r="B216" s="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3"/>
      <c r="X216" s="3"/>
      <c r="Y216" s="3"/>
      <c r="Z216" s="3"/>
      <c r="AA216" s="3"/>
      <c r="AB216" s="3"/>
    </row>
    <row r="217" spans="1:28" s="144" customFormat="1" x14ac:dyDescent="0.2">
      <c r="A217" s="3"/>
      <c r="B217" s="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3"/>
      <c r="X217" s="3"/>
      <c r="Y217" s="3"/>
      <c r="Z217" s="3"/>
      <c r="AA217" s="3"/>
      <c r="AB217" s="3"/>
    </row>
    <row r="218" spans="1:28" s="144" customFormat="1" x14ac:dyDescent="0.2">
      <c r="A218" s="3"/>
      <c r="B218" s="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3"/>
      <c r="X218" s="3"/>
      <c r="Y218" s="3"/>
      <c r="Z218" s="3"/>
      <c r="AA218" s="3"/>
      <c r="AB218" s="3"/>
    </row>
    <row r="219" spans="1:28" s="144" customFormat="1" x14ac:dyDescent="0.2">
      <c r="A219" s="3"/>
      <c r="B219" s="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3"/>
      <c r="X219" s="3"/>
      <c r="Y219" s="3"/>
      <c r="Z219" s="3"/>
      <c r="AA219" s="3"/>
      <c r="AB219" s="3"/>
    </row>
    <row r="220" spans="1:28" s="144" customFormat="1" x14ac:dyDescent="0.2">
      <c r="A220" s="3"/>
      <c r="B220" s="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3"/>
      <c r="X220" s="3"/>
      <c r="Y220" s="3"/>
      <c r="Z220" s="3"/>
      <c r="AA220" s="3"/>
      <c r="AB220" s="3"/>
    </row>
    <row r="221" spans="1:28" s="144" customFormat="1" x14ac:dyDescent="0.2">
      <c r="A221" s="3"/>
      <c r="B221" s="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3"/>
      <c r="X221" s="3"/>
      <c r="Y221" s="3"/>
      <c r="Z221" s="3"/>
      <c r="AA221" s="3"/>
      <c r="AB221" s="3"/>
    </row>
    <row r="222" spans="1:28" s="144" customFormat="1" x14ac:dyDescent="0.2">
      <c r="A222" s="3"/>
      <c r="B222" s="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3"/>
      <c r="X222" s="3"/>
      <c r="Y222" s="3"/>
      <c r="Z222" s="3"/>
      <c r="AA222" s="3"/>
      <c r="AB222" s="3"/>
    </row>
    <row r="223" spans="1:28" s="144" customFormat="1" x14ac:dyDescent="0.2">
      <c r="A223" s="3"/>
      <c r="B223" s="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3"/>
      <c r="X223" s="3"/>
      <c r="Y223" s="3"/>
      <c r="Z223" s="3"/>
      <c r="AA223" s="3"/>
      <c r="AB223" s="3"/>
    </row>
    <row r="224" spans="1:28" s="144" customFormat="1" x14ac:dyDescent="0.2">
      <c r="A224" s="3"/>
      <c r="B224" s="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3"/>
      <c r="X224" s="3"/>
      <c r="Y224" s="3"/>
      <c r="Z224" s="3"/>
      <c r="AA224" s="3"/>
      <c r="AB224" s="3"/>
    </row>
    <row r="225" spans="1:28" s="144" customFormat="1" x14ac:dyDescent="0.2">
      <c r="A225" s="3"/>
      <c r="B225" s="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3"/>
      <c r="X225" s="3"/>
      <c r="Y225" s="3"/>
      <c r="Z225" s="3"/>
      <c r="AA225" s="3"/>
      <c r="AB225" s="3"/>
    </row>
    <row r="226" spans="1:28" s="144" customFormat="1" x14ac:dyDescent="0.2">
      <c r="A226" s="3"/>
      <c r="B226" s="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3"/>
      <c r="X226" s="3"/>
      <c r="Y226" s="3"/>
      <c r="Z226" s="3"/>
      <c r="AA226" s="3"/>
      <c r="AB226" s="3"/>
    </row>
    <row r="227" spans="1:28" s="144" customFormat="1" x14ac:dyDescent="0.2">
      <c r="A227" s="3"/>
      <c r="B227" s="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3"/>
      <c r="X227" s="3"/>
      <c r="Y227" s="3"/>
      <c r="Z227" s="3"/>
      <c r="AA227" s="3"/>
      <c r="AB227" s="3"/>
    </row>
    <row r="228" spans="1:28" s="144" customFormat="1" x14ac:dyDescent="0.2">
      <c r="A228" s="3"/>
      <c r="B228" s="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3"/>
      <c r="X228" s="3"/>
      <c r="Y228" s="3"/>
      <c r="Z228" s="3"/>
      <c r="AA228" s="3"/>
      <c r="AB228" s="3"/>
    </row>
    <row r="229" spans="1:28" s="144" customFormat="1" x14ac:dyDescent="0.2">
      <c r="A229" s="3"/>
      <c r="B229" s="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3"/>
      <c r="X229" s="3"/>
      <c r="Y229" s="3"/>
      <c r="Z229" s="3"/>
      <c r="AA229" s="3"/>
      <c r="AB229" s="3"/>
    </row>
    <row r="230" spans="1:28" s="144" customFormat="1" x14ac:dyDescent="0.2">
      <c r="A230" s="3"/>
      <c r="B230" s="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3"/>
      <c r="X230" s="3"/>
      <c r="Y230" s="3"/>
      <c r="Z230" s="3"/>
      <c r="AA230" s="3"/>
      <c r="AB230" s="3"/>
    </row>
    <row r="231" spans="1:28" s="144" customFormat="1" x14ac:dyDescent="0.2">
      <c r="A231" s="3"/>
      <c r="B231" s="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3"/>
      <c r="X231" s="3"/>
      <c r="Y231" s="3"/>
      <c r="Z231" s="3"/>
      <c r="AA231" s="3"/>
      <c r="AB231" s="3"/>
    </row>
    <row r="232" spans="1:28" s="144" customFormat="1" x14ac:dyDescent="0.2">
      <c r="A232" s="3"/>
      <c r="B232" s="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3"/>
      <c r="X232" s="3"/>
      <c r="Y232" s="3"/>
      <c r="Z232" s="3"/>
      <c r="AA232" s="3"/>
      <c r="AB232" s="3"/>
    </row>
    <row r="233" spans="1:28" s="144" customFormat="1" x14ac:dyDescent="0.2">
      <c r="A233" s="3"/>
      <c r="B233" s="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3"/>
      <c r="X233" s="3"/>
      <c r="Y233" s="3"/>
      <c r="Z233" s="3"/>
      <c r="AA233" s="3"/>
      <c r="AB233" s="3"/>
    </row>
    <row r="234" spans="1:28" s="144" customFormat="1" x14ac:dyDescent="0.2">
      <c r="A234" s="3"/>
      <c r="B234" s="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3"/>
      <c r="X234" s="3"/>
      <c r="Y234" s="3"/>
      <c r="Z234" s="3"/>
      <c r="AA234" s="3"/>
      <c r="AB234" s="3"/>
    </row>
    <row r="235" spans="1:28" s="144" customFormat="1" x14ac:dyDescent="0.2">
      <c r="A235" s="3"/>
      <c r="B235" s="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3"/>
      <c r="X235" s="3"/>
      <c r="Y235" s="3"/>
      <c r="Z235" s="3"/>
      <c r="AA235" s="3"/>
      <c r="AB235" s="3"/>
    </row>
    <row r="236" spans="1:28" s="144" customFormat="1" x14ac:dyDescent="0.2">
      <c r="A236" s="3"/>
      <c r="B236" s="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3"/>
      <c r="X236" s="3"/>
      <c r="Y236" s="3"/>
      <c r="Z236" s="3"/>
      <c r="AA236" s="3"/>
      <c r="AB236" s="3"/>
    </row>
    <row r="237" spans="1:28" s="144" customFormat="1" x14ac:dyDescent="0.2">
      <c r="A237" s="3"/>
      <c r="B237" s="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3"/>
      <c r="X237" s="3"/>
      <c r="Y237" s="3"/>
      <c r="Z237" s="3"/>
      <c r="AA237" s="3"/>
      <c r="AB237" s="3"/>
    </row>
    <row r="238" spans="1:28" s="144" customFormat="1" x14ac:dyDescent="0.2">
      <c r="A238" s="3"/>
      <c r="B238" s="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3"/>
      <c r="X238" s="3"/>
      <c r="Y238" s="3"/>
      <c r="Z238" s="3"/>
      <c r="AA238" s="3"/>
      <c r="AB238" s="3"/>
    </row>
    <row r="239" spans="1:28" s="144" customFormat="1" x14ac:dyDescent="0.2">
      <c r="A239" s="3"/>
      <c r="B239" s="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3"/>
      <c r="X239" s="3"/>
      <c r="Y239" s="3"/>
      <c r="Z239" s="3"/>
      <c r="AA239" s="3"/>
      <c r="AB239" s="3"/>
    </row>
    <row r="240" spans="1:28" s="144" customFormat="1" x14ac:dyDescent="0.2">
      <c r="A240" s="3"/>
      <c r="B240" s="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3"/>
      <c r="X240" s="3"/>
      <c r="Y240" s="3"/>
      <c r="Z240" s="3"/>
      <c r="AA240" s="3"/>
      <c r="AB240" s="3"/>
    </row>
    <row r="241" spans="1:28" s="144" customFormat="1" x14ac:dyDescent="0.2">
      <c r="A241" s="3"/>
      <c r="B241" s="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3"/>
      <c r="X241" s="3"/>
      <c r="Y241" s="3"/>
      <c r="Z241" s="3"/>
      <c r="AA241" s="3"/>
      <c r="AB241" s="3"/>
    </row>
    <row r="242" spans="1:28" s="144" customFormat="1" x14ac:dyDescent="0.2">
      <c r="A242" s="3"/>
      <c r="B242" s="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3"/>
      <c r="X242" s="3"/>
      <c r="Y242" s="3"/>
      <c r="Z242" s="3"/>
      <c r="AA242" s="3"/>
      <c r="AB242" s="3"/>
    </row>
    <row r="243" spans="1:28" s="144" customFormat="1" x14ac:dyDescent="0.2">
      <c r="A243" s="3"/>
      <c r="B243" s="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3"/>
      <c r="X243" s="3"/>
      <c r="Y243" s="3"/>
      <c r="Z243" s="3"/>
      <c r="AA243" s="3"/>
      <c r="AB243" s="3"/>
    </row>
    <row r="244" spans="1:28" s="144" customFormat="1" x14ac:dyDescent="0.2">
      <c r="A244" s="3"/>
      <c r="B244" s="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3"/>
      <c r="X244" s="3"/>
      <c r="Y244" s="3"/>
      <c r="Z244" s="3"/>
      <c r="AA244" s="3"/>
      <c r="AB244" s="3"/>
    </row>
    <row r="245" spans="1:28" s="144" customFormat="1" x14ac:dyDescent="0.2">
      <c r="A245" s="3"/>
      <c r="B245" s="3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3"/>
      <c r="X245" s="3"/>
      <c r="Y245" s="3"/>
      <c r="Z245" s="3"/>
      <c r="AA245" s="3"/>
      <c r="AB245" s="3"/>
    </row>
    <row r="246" spans="1:28" s="144" customFormat="1" x14ac:dyDescent="0.2">
      <c r="A246" s="3"/>
      <c r="B246" s="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3"/>
      <c r="X246" s="3"/>
      <c r="Y246" s="3"/>
      <c r="Z246" s="3"/>
      <c r="AA246" s="3"/>
      <c r="AB246" s="3"/>
    </row>
    <row r="247" spans="1:28" s="144" customFormat="1" x14ac:dyDescent="0.2">
      <c r="A247" s="3"/>
      <c r="B247" s="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3"/>
      <c r="X247" s="3"/>
      <c r="Y247" s="3"/>
      <c r="Z247" s="3"/>
      <c r="AA247" s="3"/>
      <c r="AB247" s="3"/>
    </row>
    <row r="248" spans="1:28" s="144" customFormat="1" x14ac:dyDescent="0.2">
      <c r="A248" s="3"/>
      <c r="B248" s="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3"/>
      <c r="X248" s="3"/>
      <c r="Y248" s="3"/>
      <c r="Z248" s="3"/>
      <c r="AA248" s="3"/>
      <c r="AB248" s="3"/>
    </row>
    <row r="249" spans="1:28" s="144" customFormat="1" x14ac:dyDescent="0.2">
      <c r="A249" s="3"/>
      <c r="B249" s="3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3"/>
      <c r="X249" s="3"/>
      <c r="Y249" s="3"/>
      <c r="Z249" s="3"/>
      <c r="AA249" s="3"/>
      <c r="AB249" s="3"/>
    </row>
    <row r="250" spans="1:28" s="144" customFormat="1" x14ac:dyDescent="0.2">
      <c r="A250" s="3"/>
      <c r="B250" s="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3"/>
      <c r="X250" s="3"/>
      <c r="Y250" s="3"/>
      <c r="Z250" s="3"/>
      <c r="AA250" s="3"/>
      <c r="AB250" s="3"/>
    </row>
    <row r="251" spans="1:28" s="144" customFormat="1" x14ac:dyDescent="0.2">
      <c r="A251" s="3"/>
      <c r="B251" s="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3"/>
      <c r="X251" s="3"/>
      <c r="Y251" s="3"/>
      <c r="Z251" s="3"/>
      <c r="AA251" s="3"/>
      <c r="AB251" s="3"/>
    </row>
    <row r="252" spans="1:28" s="144" customFormat="1" x14ac:dyDescent="0.2">
      <c r="A252" s="3"/>
      <c r="B252" s="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3"/>
      <c r="X252" s="3"/>
      <c r="Y252" s="3"/>
      <c r="Z252" s="3"/>
      <c r="AA252" s="3"/>
      <c r="AB252" s="3"/>
    </row>
    <row r="253" spans="1:28" s="144" customFormat="1" x14ac:dyDescent="0.2">
      <c r="A253" s="3"/>
      <c r="B253" s="3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3"/>
      <c r="X253" s="3"/>
      <c r="Y253" s="3"/>
      <c r="Z253" s="3"/>
      <c r="AA253" s="3"/>
      <c r="AB253" s="3"/>
    </row>
    <row r="254" spans="1:28" s="144" customFormat="1" x14ac:dyDescent="0.2">
      <c r="A254" s="3"/>
      <c r="B254" s="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3"/>
      <c r="X254" s="3"/>
      <c r="Y254" s="3"/>
      <c r="Z254" s="3"/>
      <c r="AA254" s="3"/>
      <c r="AB254" s="3"/>
    </row>
    <row r="255" spans="1:28" s="144" customFormat="1" x14ac:dyDescent="0.2">
      <c r="A255" s="3"/>
      <c r="B255" s="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3"/>
      <c r="X255" s="3"/>
      <c r="Y255" s="3"/>
      <c r="Z255" s="3"/>
      <c r="AA255" s="3"/>
      <c r="AB255" s="3"/>
    </row>
    <row r="256" spans="1:28" s="144" customFormat="1" x14ac:dyDescent="0.2">
      <c r="A256" s="3"/>
      <c r="B256" s="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3"/>
      <c r="X256" s="3"/>
      <c r="Y256" s="3"/>
      <c r="Z256" s="3"/>
      <c r="AA256" s="3"/>
      <c r="AB256" s="3"/>
    </row>
    <row r="257" spans="1:28" s="144" customFormat="1" x14ac:dyDescent="0.2">
      <c r="A257" s="3"/>
      <c r="B257" s="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3"/>
      <c r="X257" s="3"/>
      <c r="Y257" s="3"/>
      <c r="Z257" s="3"/>
      <c r="AA257" s="3"/>
      <c r="AB257" s="3"/>
    </row>
    <row r="258" spans="1:28" s="144" customFormat="1" x14ac:dyDescent="0.2">
      <c r="A258" s="3"/>
      <c r="B258" s="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3"/>
      <c r="X258" s="3"/>
      <c r="Y258" s="3"/>
      <c r="Z258" s="3"/>
      <c r="AA258" s="3"/>
      <c r="AB258" s="3"/>
    </row>
    <row r="259" spans="1:28" s="144" customFormat="1" x14ac:dyDescent="0.2">
      <c r="A259" s="3"/>
      <c r="B259" s="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3"/>
      <c r="X259" s="3"/>
      <c r="Y259" s="3"/>
      <c r="Z259" s="3"/>
      <c r="AA259" s="3"/>
      <c r="AB259" s="3"/>
    </row>
    <row r="260" spans="1:28" s="144" customFormat="1" x14ac:dyDescent="0.2">
      <c r="A260" s="3"/>
      <c r="B260" s="3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3"/>
      <c r="X260" s="3"/>
      <c r="Y260" s="3"/>
      <c r="Z260" s="3"/>
      <c r="AA260" s="3"/>
      <c r="AB260" s="3"/>
    </row>
    <row r="261" spans="1:28" s="144" customFormat="1" x14ac:dyDescent="0.2">
      <c r="A261" s="3"/>
      <c r="B261" s="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3"/>
      <c r="X261" s="3"/>
      <c r="Y261" s="3"/>
      <c r="Z261" s="3"/>
      <c r="AA261" s="3"/>
      <c r="AB261" s="3"/>
    </row>
    <row r="262" spans="1:28" s="144" customFormat="1" x14ac:dyDescent="0.2">
      <c r="A262" s="3"/>
      <c r="B262" s="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3"/>
      <c r="X262" s="3"/>
      <c r="Y262" s="3"/>
      <c r="Z262" s="3"/>
      <c r="AA262" s="3"/>
      <c r="AB262" s="3"/>
    </row>
    <row r="263" spans="1:28" s="144" customFormat="1" x14ac:dyDescent="0.2">
      <c r="A263" s="3"/>
      <c r="B263" s="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3"/>
      <c r="X263" s="3"/>
      <c r="Y263" s="3"/>
      <c r="Z263" s="3"/>
      <c r="AA263" s="3"/>
      <c r="AB263" s="3"/>
    </row>
    <row r="264" spans="1:28" s="144" customFormat="1" x14ac:dyDescent="0.2">
      <c r="A264" s="3"/>
      <c r="B264" s="3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3"/>
      <c r="X264" s="3"/>
      <c r="Y264" s="3"/>
      <c r="Z264" s="3"/>
      <c r="AA264" s="3"/>
      <c r="AB264" s="3"/>
    </row>
    <row r="265" spans="1:28" s="144" customFormat="1" x14ac:dyDescent="0.2">
      <c r="A265" s="3"/>
      <c r="B265" s="3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3"/>
      <c r="X265" s="3"/>
      <c r="Y265" s="3"/>
      <c r="Z265" s="3"/>
      <c r="AA265" s="3"/>
      <c r="AB265" s="3"/>
    </row>
    <row r="266" spans="1:28" s="144" customFormat="1" x14ac:dyDescent="0.2">
      <c r="A266" s="3"/>
      <c r="B266" s="3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3"/>
      <c r="X266" s="3"/>
      <c r="Y266" s="3"/>
      <c r="Z266" s="3"/>
      <c r="AA266" s="3"/>
      <c r="AB266" s="3"/>
    </row>
    <row r="267" spans="1:28" s="144" customFormat="1" x14ac:dyDescent="0.2">
      <c r="A267" s="3"/>
      <c r="B267" s="3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3"/>
      <c r="X267" s="3"/>
      <c r="Y267" s="3"/>
      <c r="Z267" s="3"/>
      <c r="AA267" s="3"/>
      <c r="AB267" s="3"/>
    </row>
    <row r="268" spans="1:28" s="144" customFormat="1" x14ac:dyDescent="0.2">
      <c r="A268" s="3"/>
      <c r="B268" s="3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3"/>
      <c r="X268" s="3"/>
      <c r="Y268" s="3"/>
      <c r="Z268" s="3"/>
      <c r="AA268" s="3"/>
      <c r="AB268" s="3"/>
    </row>
    <row r="269" spans="1:28" s="144" customFormat="1" x14ac:dyDescent="0.2">
      <c r="A269" s="3"/>
      <c r="B269" s="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3"/>
      <c r="X269" s="3"/>
      <c r="Y269" s="3"/>
      <c r="Z269" s="3"/>
      <c r="AA269" s="3"/>
      <c r="AB269" s="3"/>
    </row>
    <row r="270" spans="1:28" s="144" customFormat="1" x14ac:dyDescent="0.2">
      <c r="A270" s="3"/>
      <c r="B270" s="3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3"/>
      <c r="X270" s="3"/>
      <c r="Y270" s="3"/>
      <c r="Z270" s="3"/>
      <c r="AA270" s="3"/>
      <c r="AB270" s="3"/>
    </row>
    <row r="271" spans="1:28" s="144" customFormat="1" x14ac:dyDescent="0.2">
      <c r="A271" s="3"/>
      <c r="B271" s="3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3"/>
      <c r="X271" s="3"/>
      <c r="Y271" s="3"/>
      <c r="Z271" s="3"/>
      <c r="AA271" s="3"/>
      <c r="AB271" s="3"/>
    </row>
    <row r="272" spans="1:28" s="144" customFormat="1" x14ac:dyDescent="0.2">
      <c r="A272" s="3"/>
      <c r="B272" s="3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3"/>
      <c r="X272" s="3"/>
      <c r="Y272" s="3"/>
      <c r="Z272" s="3"/>
      <c r="AA272" s="3"/>
      <c r="AB272" s="3"/>
    </row>
    <row r="273" spans="1:28" s="144" customFormat="1" x14ac:dyDescent="0.2">
      <c r="A273" s="3"/>
      <c r="B273" s="3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3"/>
      <c r="X273" s="3"/>
      <c r="Y273" s="3"/>
      <c r="Z273" s="3"/>
      <c r="AA273" s="3"/>
      <c r="AB273" s="3"/>
    </row>
    <row r="274" spans="1:28" s="144" customFormat="1" x14ac:dyDescent="0.2">
      <c r="A274" s="3"/>
      <c r="B274" s="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3"/>
      <c r="X274" s="3"/>
      <c r="Y274" s="3"/>
      <c r="Z274" s="3"/>
      <c r="AA274" s="3"/>
      <c r="AB274" s="3"/>
    </row>
    <row r="275" spans="1:28" s="144" customFormat="1" x14ac:dyDescent="0.2">
      <c r="A275" s="3"/>
      <c r="B275" s="3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3"/>
      <c r="X275" s="3"/>
      <c r="Y275" s="3"/>
      <c r="Z275" s="3"/>
      <c r="AA275" s="3"/>
      <c r="AB275" s="3"/>
    </row>
    <row r="276" spans="1:28" s="144" customFormat="1" x14ac:dyDescent="0.2">
      <c r="A276" s="3"/>
      <c r="B276" s="3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3"/>
      <c r="X276" s="3"/>
      <c r="Y276" s="3"/>
      <c r="Z276" s="3"/>
      <c r="AA276" s="3"/>
      <c r="AB276" s="3"/>
    </row>
    <row r="277" spans="1:28" s="144" customFormat="1" x14ac:dyDescent="0.2">
      <c r="A277" s="3"/>
      <c r="B277" s="3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3"/>
      <c r="X277" s="3"/>
      <c r="Y277" s="3"/>
      <c r="Z277" s="3"/>
      <c r="AA277" s="3"/>
      <c r="AB277" s="3"/>
    </row>
    <row r="278" spans="1:28" s="144" customFormat="1" x14ac:dyDescent="0.2">
      <c r="A278" s="3"/>
      <c r="B278" s="3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3"/>
      <c r="X278" s="3"/>
      <c r="Y278" s="3"/>
      <c r="Z278" s="3"/>
      <c r="AA278" s="3"/>
      <c r="AB278" s="3"/>
    </row>
    <row r="279" spans="1:28" s="144" customFormat="1" x14ac:dyDescent="0.2">
      <c r="A279" s="3"/>
      <c r="B279" s="3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3"/>
      <c r="X279" s="3"/>
      <c r="Y279" s="3"/>
      <c r="Z279" s="3"/>
      <c r="AA279" s="3"/>
      <c r="AB279" s="3"/>
    </row>
    <row r="280" spans="1:28" s="144" customFormat="1" x14ac:dyDescent="0.2">
      <c r="A280" s="3"/>
      <c r="B280" s="3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3"/>
      <c r="X280" s="3"/>
      <c r="Y280" s="3"/>
      <c r="Z280" s="3"/>
      <c r="AA280" s="3"/>
      <c r="AB280" s="3"/>
    </row>
    <row r="281" spans="1:28" s="144" customFormat="1" x14ac:dyDescent="0.2">
      <c r="A281" s="3"/>
      <c r="B281" s="3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3"/>
      <c r="X281" s="3"/>
      <c r="Y281" s="3"/>
      <c r="Z281" s="3"/>
      <c r="AA281" s="3"/>
      <c r="AB281" s="3"/>
    </row>
    <row r="282" spans="1:28" s="144" customFormat="1" x14ac:dyDescent="0.2">
      <c r="A282" s="3"/>
      <c r="B282" s="3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3"/>
      <c r="X282" s="3"/>
      <c r="Y282" s="3"/>
      <c r="Z282" s="3"/>
      <c r="AA282" s="3"/>
      <c r="AB282" s="3"/>
    </row>
    <row r="283" spans="1:28" s="144" customFormat="1" x14ac:dyDescent="0.2">
      <c r="A283" s="3"/>
      <c r="B283" s="3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3"/>
      <c r="X283" s="3"/>
      <c r="Y283" s="3"/>
      <c r="Z283" s="3"/>
      <c r="AA283" s="3"/>
      <c r="AB283" s="3"/>
    </row>
    <row r="284" spans="1:28" s="144" customFormat="1" x14ac:dyDescent="0.2">
      <c r="A284" s="3"/>
      <c r="B284" s="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3"/>
      <c r="X284" s="3"/>
      <c r="Y284" s="3"/>
      <c r="Z284" s="3"/>
      <c r="AA284" s="3"/>
      <c r="AB284" s="3"/>
    </row>
    <row r="285" spans="1:28" s="144" customFormat="1" x14ac:dyDescent="0.2">
      <c r="A285" s="3"/>
      <c r="B285" s="3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3"/>
      <c r="X285" s="3"/>
      <c r="Y285" s="3"/>
      <c r="Z285" s="3"/>
      <c r="AA285" s="3"/>
      <c r="AB285" s="3"/>
    </row>
    <row r="286" spans="1:28" s="144" customFormat="1" x14ac:dyDescent="0.2">
      <c r="A286" s="3"/>
      <c r="B286" s="3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3"/>
      <c r="X286" s="3"/>
      <c r="Y286" s="3"/>
      <c r="Z286" s="3"/>
      <c r="AA286" s="3"/>
      <c r="AB286" s="3"/>
    </row>
    <row r="287" spans="1:28" s="144" customFormat="1" x14ac:dyDescent="0.2">
      <c r="A287" s="3"/>
      <c r="B287" s="3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3"/>
      <c r="X287" s="3"/>
      <c r="Y287" s="3"/>
      <c r="Z287" s="3"/>
      <c r="AA287" s="3"/>
      <c r="AB287" s="3"/>
    </row>
    <row r="288" spans="1:28" s="144" customFormat="1" x14ac:dyDescent="0.2">
      <c r="A288" s="3"/>
      <c r="B288" s="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3"/>
      <c r="X288" s="3"/>
      <c r="Y288" s="3"/>
      <c r="Z288" s="3"/>
      <c r="AA288" s="3"/>
      <c r="AB288" s="3"/>
    </row>
    <row r="289" spans="1:28" s="144" customFormat="1" x14ac:dyDescent="0.2">
      <c r="A289" s="3"/>
      <c r="B289" s="3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3"/>
      <c r="X289" s="3"/>
      <c r="Y289" s="3"/>
      <c r="Z289" s="3"/>
      <c r="AA289" s="3"/>
      <c r="AB289" s="3"/>
    </row>
    <row r="290" spans="1:28" s="144" customFormat="1" x14ac:dyDescent="0.2">
      <c r="A290" s="3"/>
      <c r="B290" s="3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3"/>
      <c r="X290" s="3"/>
      <c r="Y290" s="3"/>
      <c r="Z290" s="3"/>
      <c r="AA290" s="3"/>
      <c r="AB290" s="3"/>
    </row>
    <row r="291" spans="1:28" s="144" customFormat="1" x14ac:dyDescent="0.2">
      <c r="A291" s="3"/>
      <c r="B291" s="3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3"/>
      <c r="X291" s="3"/>
      <c r="Y291" s="3"/>
      <c r="Z291" s="3"/>
      <c r="AA291" s="3"/>
      <c r="AB291" s="3"/>
    </row>
    <row r="292" spans="1:28" s="144" customFormat="1" x14ac:dyDescent="0.2">
      <c r="A292" s="3"/>
      <c r="B292" s="3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3"/>
      <c r="X292" s="3"/>
      <c r="Y292" s="3"/>
      <c r="Z292" s="3"/>
      <c r="AA292" s="3"/>
      <c r="AB292" s="3"/>
    </row>
    <row r="293" spans="1:28" s="144" customFormat="1" x14ac:dyDescent="0.2">
      <c r="A293" s="3"/>
      <c r="B293" s="3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3"/>
      <c r="X293" s="3"/>
      <c r="Y293" s="3"/>
      <c r="Z293" s="3"/>
      <c r="AA293" s="3"/>
      <c r="AB293" s="3"/>
    </row>
    <row r="294" spans="1:28" s="144" customFormat="1" x14ac:dyDescent="0.2">
      <c r="A294" s="3"/>
      <c r="B294" s="3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3"/>
      <c r="X294" s="3"/>
      <c r="Y294" s="3"/>
      <c r="Z294" s="3"/>
      <c r="AA294" s="3"/>
      <c r="AB294" s="3"/>
    </row>
    <row r="295" spans="1:28" s="144" customFormat="1" x14ac:dyDescent="0.2">
      <c r="A295" s="3"/>
      <c r="B295" s="3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3"/>
      <c r="X295" s="3"/>
      <c r="Y295" s="3"/>
      <c r="Z295" s="3"/>
      <c r="AA295" s="3"/>
      <c r="AB295" s="3"/>
    </row>
    <row r="296" spans="1:28" s="144" customFormat="1" x14ac:dyDescent="0.2">
      <c r="A296" s="3"/>
      <c r="B296" s="3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3"/>
      <c r="X296" s="3"/>
      <c r="Y296" s="3"/>
      <c r="Z296" s="3"/>
      <c r="AA296" s="3"/>
      <c r="AB296" s="3"/>
    </row>
    <row r="297" spans="1:28" s="144" customFormat="1" x14ac:dyDescent="0.2">
      <c r="A297" s="3"/>
      <c r="B297" s="3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3"/>
      <c r="X297" s="3"/>
      <c r="Y297" s="3"/>
      <c r="Z297" s="3"/>
      <c r="AA297" s="3"/>
      <c r="AB297" s="3"/>
    </row>
    <row r="298" spans="1:28" s="144" customFormat="1" x14ac:dyDescent="0.2">
      <c r="A298" s="3"/>
      <c r="B298" s="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3"/>
      <c r="X298" s="3"/>
      <c r="Y298" s="3"/>
      <c r="Z298" s="3"/>
      <c r="AA298" s="3"/>
      <c r="AB298" s="3"/>
    </row>
    <row r="299" spans="1:28" s="144" customFormat="1" x14ac:dyDescent="0.2">
      <c r="A299" s="3"/>
      <c r="B299" s="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3"/>
      <c r="X299" s="3"/>
      <c r="Y299" s="3"/>
      <c r="Z299" s="3"/>
      <c r="AA299" s="3"/>
      <c r="AB299" s="3"/>
    </row>
    <row r="300" spans="1:28" s="144" customFormat="1" x14ac:dyDescent="0.2">
      <c r="A300" s="3"/>
      <c r="B300" s="3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3"/>
      <c r="X300" s="3"/>
      <c r="Y300" s="3"/>
      <c r="Z300" s="3"/>
      <c r="AA300" s="3"/>
      <c r="AB300" s="3"/>
    </row>
    <row r="301" spans="1:28" s="144" customFormat="1" x14ac:dyDescent="0.2">
      <c r="A301" s="3"/>
      <c r="B301" s="3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3"/>
      <c r="X301" s="3"/>
      <c r="Y301" s="3"/>
      <c r="Z301" s="3"/>
      <c r="AA301" s="3"/>
      <c r="AB301" s="3"/>
    </row>
    <row r="302" spans="1:28" s="144" customFormat="1" x14ac:dyDescent="0.2">
      <c r="A302" s="3"/>
      <c r="B302" s="3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3"/>
      <c r="X302" s="3"/>
      <c r="Y302" s="3"/>
      <c r="Z302" s="3"/>
      <c r="AA302" s="3"/>
      <c r="AB302" s="3"/>
    </row>
    <row r="303" spans="1:28" s="144" customFormat="1" x14ac:dyDescent="0.2">
      <c r="A303" s="3"/>
      <c r="B303" s="3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3"/>
      <c r="X303" s="3"/>
      <c r="Y303" s="3"/>
      <c r="Z303" s="3"/>
      <c r="AA303" s="3"/>
      <c r="AB303" s="3"/>
    </row>
    <row r="304" spans="1:28" s="144" customFormat="1" x14ac:dyDescent="0.2">
      <c r="A304" s="3"/>
      <c r="B304" s="3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3"/>
      <c r="X304" s="3"/>
      <c r="Y304" s="3"/>
      <c r="Z304" s="3"/>
      <c r="AA304" s="3"/>
      <c r="AB304" s="3"/>
    </row>
    <row r="305" spans="1:28" s="144" customFormat="1" x14ac:dyDescent="0.2">
      <c r="A305" s="3"/>
      <c r="B305" s="3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3"/>
      <c r="X305" s="3"/>
      <c r="Y305" s="3"/>
      <c r="Z305" s="3"/>
      <c r="AA305" s="3"/>
      <c r="AB305" s="3"/>
    </row>
    <row r="306" spans="1:28" s="144" customFormat="1" x14ac:dyDescent="0.2">
      <c r="A306" s="3"/>
      <c r="B306" s="3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3"/>
      <c r="X306" s="3"/>
      <c r="Y306" s="3"/>
      <c r="Z306" s="3"/>
      <c r="AA306" s="3"/>
      <c r="AB306" s="3"/>
    </row>
    <row r="307" spans="1:28" s="144" customFormat="1" x14ac:dyDescent="0.2">
      <c r="A307" s="3"/>
      <c r="B307" s="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3"/>
      <c r="X307" s="3"/>
      <c r="Y307" s="3"/>
      <c r="Z307" s="3"/>
      <c r="AA307" s="3"/>
      <c r="AB307" s="3"/>
    </row>
    <row r="308" spans="1:28" s="144" customFormat="1" x14ac:dyDescent="0.2">
      <c r="A308" s="3"/>
      <c r="B308" s="3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3"/>
      <c r="X308" s="3"/>
      <c r="Y308" s="3"/>
      <c r="Z308" s="3"/>
      <c r="AA308" s="3"/>
      <c r="AB308" s="3"/>
    </row>
    <row r="309" spans="1:28" s="144" customFormat="1" x14ac:dyDescent="0.2">
      <c r="A309" s="3"/>
      <c r="B309" s="3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3"/>
      <c r="X309" s="3"/>
      <c r="Y309" s="3"/>
      <c r="Z309" s="3"/>
      <c r="AA309" s="3"/>
      <c r="AB309" s="3"/>
    </row>
    <row r="310" spans="1:28" s="144" customFormat="1" x14ac:dyDescent="0.2">
      <c r="A310" s="3"/>
      <c r="B310" s="3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3"/>
      <c r="X310" s="3"/>
      <c r="Y310" s="3"/>
      <c r="Z310" s="3"/>
      <c r="AA310" s="3"/>
      <c r="AB310" s="3"/>
    </row>
    <row r="311" spans="1:28" s="144" customFormat="1" x14ac:dyDescent="0.2">
      <c r="A311" s="3"/>
      <c r="B311" s="3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3"/>
      <c r="X311" s="3"/>
      <c r="Y311" s="3"/>
      <c r="Z311" s="3"/>
      <c r="AA311" s="3"/>
      <c r="AB311" s="3"/>
    </row>
    <row r="312" spans="1:28" s="144" customFormat="1" x14ac:dyDescent="0.2">
      <c r="A312" s="3"/>
      <c r="B312" s="3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3"/>
      <c r="X312" s="3"/>
      <c r="Y312" s="3"/>
      <c r="Z312" s="3"/>
      <c r="AA312" s="3"/>
      <c r="AB312" s="3"/>
    </row>
    <row r="313" spans="1:28" s="144" customFormat="1" x14ac:dyDescent="0.2">
      <c r="A313" s="3"/>
      <c r="B313" s="3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3"/>
      <c r="X313" s="3"/>
      <c r="Y313" s="3"/>
      <c r="Z313" s="3"/>
      <c r="AA313" s="3"/>
      <c r="AB313" s="3"/>
    </row>
    <row r="314" spans="1:28" s="144" customFormat="1" x14ac:dyDescent="0.2">
      <c r="A314" s="3"/>
      <c r="B314" s="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3"/>
      <c r="X314" s="3"/>
      <c r="Y314" s="3"/>
      <c r="Z314" s="3"/>
      <c r="AA314" s="3"/>
      <c r="AB314" s="3"/>
    </row>
    <row r="315" spans="1:28" s="144" customFormat="1" x14ac:dyDescent="0.2">
      <c r="A315" s="3"/>
      <c r="B315" s="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3"/>
      <c r="X315" s="3"/>
      <c r="Y315" s="3"/>
      <c r="Z315" s="3"/>
      <c r="AA315" s="3"/>
      <c r="AB315" s="3"/>
    </row>
    <row r="316" spans="1:28" s="144" customFormat="1" x14ac:dyDescent="0.2">
      <c r="A316" s="3"/>
      <c r="B316" s="3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3"/>
      <c r="X316" s="3"/>
      <c r="Y316" s="3"/>
      <c r="Z316" s="3"/>
      <c r="AA316" s="3"/>
      <c r="AB316" s="3"/>
    </row>
    <row r="317" spans="1:28" s="144" customFormat="1" x14ac:dyDescent="0.2">
      <c r="A317" s="3"/>
      <c r="B317" s="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3"/>
      <c r="X317" s="3"/>
      <c r="Y317" s="3"/>
      <c r="Z317" s="3"/>
      <c r="AA317" s="3"/>
      <c r="AB317" s="3"/>
    </row>
    <row r="318" spans="1:28" s="144" customFormat="1" x14ac:dyDescent="0.2">
      <c r="A318" s="3"/>
      <c r="B318" s="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3"/>
      <c r="X318" s="3"/>
      <c r="Y318" s="3"/>
      <c r="Z318" s="3"/>
      <c r="AA318" s="3"/>
      <c r="AB318" s="3"/>
    </row>
  </sheetData>
  <mergeCells count="3">
    <mergeCell ref="A1:U1"/>
    <mergeCell ref="A2:U2"/>
    <mergeCell ref="A3:U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2" manualBreakCount="2">
    <brk id="52" max="16383" man="1"/>
    <brk id="11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 tint="0.59999389629810485"/>
  </sheetPr>
  <dimension ref="A1:W515"/>
  <sheetViews>
    <sheetView zoomScale="80" zoomScaleNormal="80" workbookViewId="0">
      <pane xSplit="3" ySplit="8" topLeftCell="D65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47.5703125" style="3" bestFit="1" customWidth="1"/>
    <col min="2" max="2" width="19" style="3" bestFit="1" customWidth="1"/>
    <col min="3" max="3" width="1.7109375" style="31" customWidth="1"/>
    <col min="4" max="4" width="17.7109375" style="3" customWidth="1"/>
    <col min="5" max="5" width="1.7109375" style="31" customWidth="1"/>
    <col min="6" max="6" width="17.7109375" style="3" customWidth="1"/>
    <col min="7" max="7" width="1.7109375" style="31" customWidth="1"/>
    <col min="8" max="8" width="17.7109375" style="3" customWidth="1"/>
    <col min="9" max="9" width="1.7109375" style="31" customWidth="1"/>
    <col min="10" max="10" width="17.7109375" style="3" customWidth="1"/>
    <col min="11" max="11" width="1.7109375" style="31" customWidth="1"/>
    <col min="12" max="12" width="17.7109375" style="3" customWidth="1"/>
    <col min="13" max="13" width="1.7109375" style="31" customWidth="1"/>
    <col min="14" max="14" width="17.7109375" style="3" customWidth="1"/>
    <col min="15" max="15" width="1.7109375" style="31" customWidth="1"/>
    <col min="16" max="16" width="17.7109375" style="3" customWidth="1"/>
    <col min="17" max="17" width="1.7109375" style="31" customWidth="1"/>
    <col min="18" max="18" width="19.7109375" style="3" bestFit="1" customWidth="1"/>
    <col min="19" max="16384" width="9.140625" style="3"/>
  </cols>
  <sheetData>
    <row r="1" spans="1:2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137"/>
    </row>
    <row r="2" spans="1:23" s="132" customFormat="1" ht="15.75" x14ac:dyDescent="0.25">
      <c r="A2" s="214" t="s">
        <v>3365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137"/>
    </row>
    <row r="3" spans="1:2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07"/>
      <c r="T3" s="107"/>
      <c r="U3" s="107"/>
      <c r="V3" s="107"/>
      <c r="W3" s="107"/>
    </row>
    <row r="4" spans="1:23" x14ac:dyDescent="0.2">
      <c r="A4" s="5"/>
      <c r="B4" s="5"/>
      <c r="C4" s="116"/>
      <c r="D4" s="5"/>
      <c r="E4" s="116"/>
      <c r="F4" s="5"/>
      <c r="G4" s="116"/>
      <c r="H4" s="5"/>
      <c r="I4" s="116"/>
      <c r="J4" s="5"/>
      <c r="K4" s="116"/>
      <c r="L4" s="5"/>
      <c r="M4" s="116"/>
      <c r="N4" s="5"/>
      <c r="O4" s="116"/>
      <c r="P4" s="5"/>
      <c r="Q4" s="116"/>
      <c r="R4" s="5"/>
      <c r="S4" s="107"/>
      <c r="T4" s="107"/>
      <c r="U4" s="107"/>
      <c r="V4" s="107"/>
      <c r="W4" s="107"/>
    </row>
    <row r="6" spans="1:23" x14ac:dyDescent="0.2">
      <c r="B6" s="8" t="s">
        <v>3</v>
      </c>
      <c r="D6" s="15"/>
      <c r="F6" s="15"/>
      <c r="H6" s="8" t="s">
        <v>4</v>
      </c>
      <c r="I6" s="18"/>
      <c r="J6" s="8" t="s">
        <v>67</v>
      </c>
      <c r="K6" s="18"/>
      <c r="L6" s="18" t="s">
        <v>68</v>
      </c>
      <c r="P6" s="8" t="s">
        <v>69</v>
      </c>
      <c r="Q6" s="18"/>
      <c r="R6" s="8" t="s">
        <v>5</v>
      </c>
    </row>
    <row r="7" spans="1:23" x14ac:dyDescent="0.2">
      <c r="B7" s="12" t="s">
        <v>7</v>
      </c>
      <c r="D7" s="12" t="s">
        <v>70</v>
      </c>
      <c r="F7" s="12" t="s">
        <v>9</v>
      </c>
      <c r="H7" s="12" t="s">
        <v>10</v>
      </c>
      <c r="I7" s="18"/>
      <c r="J7" s="12" t="s">
        <v>72</v>
      </c>
      <c r="K7" s="18"/>
      <c r="L7" s="12" t="s">
        <v>73</v>
      </c>
      <c r="M7" s="18"/>
      <c r="N7" s="12" t="s">
        <v>74</v>
      </c>
      <c r="O7" s="18"/>
      <c r="P7" s="12" t="s">
        <v>75</v>
      </c>
      <c r="Q7" s="18"/>
      <c r="R7" s="12" t="s">
        <v>7</v>
      </c>
    </row>
    <row r="9" spans="1:23" x14ac:dyDescent="0.2">
      <c r="A9" s="10" t="s">
        <v>18</v>
      </c>
      <c r="B9" s="145"/>
      <c r="C9" s="146"/>
      <c r="D9" s="145"/>
      <c r="E9" s="146"/>
      <c r="F9" s="145"/>
      <c r="G9" s="146"/>
      <c r="H9" s="145"/>
      <c r="I9" s="146"/>
      <c r="J9" s="145"/>
      <c r="K9" s="146"/>
      <c r="L9" s="145"/>
      <c r="M9" s="146"/>
      <c r="N9" s="145"/>
      <c r="O9" s="146"/>
      <c r="P9" s="145"/>
      <c r="Q9" s="146"/>
      <c r="R9" s="145"/>
    </row>
    <row r="10" spans="1:23" x14ac:dyDescent="0.2">
      <c r="A10" s="3" t="s">
        <v>3366</v>
      </c>
      <c r="B10" s="135">
        <f>+'KY_Res by Plant Acct-P29 (Reg)'!B10</f>
        <v>0</v>
      </c>
      <c r="C10" s="135"/>
      <c r="D10" s="135">
        <f>+'KY_Res by Plant Acct-P29 (Reg)'!D10</f>
        <v>0</v>
      </c>
      <c r="E10" s="135"/>
      <c r="F10" s="135">
        <f>+'KY_Res by Plant Acct-P29 (Reg)'!F10</f>
        <v>0</v>
      </c>
      <c r="G10" s="135"/>
      <c r="H10" s="135">
        <f>+'KY_Res by Plant Acct-P29 (Reg)'!H10</f>
        <v>0</v>
      </c>
      <c r="I10" s="135"/>
      <c r="J10" s="135">
        <f>+'KY_Res by Plant Acct-P29 (Reg)'!J10</f>
        <v>0</v>
      </c>
      <c r="K10" s="135"/>
      <c r="L10" s="135">
        <f>+'KY_Res by Plant Acct-P29 (Reg)'!L10</f>
        <v>0</v>
      </c>
      <c r="M10" s="135"/>
      <c r="N10" s="135">
        <f>+'KY_Res by Plant Acct-P29 (Reg)'!N10</f>
        <v>0</v>
      </c>
      <c r="O10" s="135"/>
      <c r="P10" s="135">
        <f>+'KY_Res by Plant Acct-P29 (Reg)'!P10</f>
        <v>0</v>
      </c>
      <c r="Q10" s="135"/>
      <c r="R10" s="138">
        <f>SUM(B10:P10)</f>
        <v>0</v>
      </c>
    </row>
    <row r="11" spans="1:23" x14ac:dyDescent="0.2">
      <c r="A11" s="3" t="s">
        <v>3367</v>
      </c>
      <c r="B11" s="135">
        <f>+'KY_Res by Plant Acct-P29 (Reg)'!B11</f>
        <v>-31.340000000000003</v>
      </c>
      <c r="C11" s="135"/>
      <c r="D11" s="135">
        <f>+'KY_Res by Plant Acct-P29 (Reg)'!D11</f>
        <v>0</v>
      </c>
      <c r="E11" s="135"/>
      <c r="F11" s="135">
        <f>+'KY_Res by Plant Acct-P29 (Reg)'!F11</f>
        <v>0</v>
      </c>
      <c r="G11" s="135"/>
      <c r="H11" s="135">
        <f>+'KY_Res by Plant Acct-P29 (Reg)'!H11</f>
        <v>31.34</v>
      </c>
      <c r="I11" s="135"/>
      <c r="J11" s="135">
        <f>+'KY_Res by Plant Acct-P29 (Reg)'!J11</f>
        <v>0</v>
      </c>
      <c r="K11" s="135"/>
      <c r="L11" s="135">
        <f>+'KY_Res by Plant Acct-P29 (Reg)'!L11</f>
        <v>0</v>
      </c>
      <c r="M11" s="135"/>
      <c r="N11" s="135">
        <f>+'KY_Res by Plant Acct-P29 (Reg)'!N11</f>
        <v>0</v>
      </c>
      <c r="O11" s="135"/>
      <c r="P11" s="135">
        <f>+'KY_Res by Plant Acct-P29 (Reg)'!P11</f>
        <v>0</v>
      </c>
      <c r="Q11" s="135"/>
      <c r="R11" s="138">
        <f t="shared" ref="R11:R26" si="0">SUM(B11:P11)</f>
        <v>-3.5527136788005009E-15</v>
      </c>
    </row>
    <row r="12" spans="1:23" x14ac:dyDescent="0.2">
      <c r="A12" s="3" t="s">
        <v>2904</v>
      </c>
      <c r="B12" s="135">
        <f>+'KY_Res by Plant Acct-P29 (Reg)'!B12</f>
        <v>-2161463.36</v>
      </c>
      <c r="C12" s="135"/>
      <c r="D12" s="135">
        <f>+'KY_Res by Plant Acct-P29 (Reg)'!D12</f>
        <v>-118332.09</v>
      </c>
      <c r="E12" s="135"/>
      <c r="F12" s="135">
        <f>+'KY_Res by Plant Acct-P29 (Reg)'!F12</f>
        <v>25028.79</v>
      </c>
      <c r="G12" s="135"/>
      <c r="H12" s="135">
        <f>+'KY_Res by Plant Acct-P29 (Reg)'!H12</f>
        <v>0</v>
      </c>
      <c r="I12" s="135"/>
      <c r="J12" s="135">
        <f>+'KY_Res by Plant Acct-P29 (Reg)'!J12</f>
        <v>0</v>
      </c>
      <c r="K12" s="135"/>
      <c r="L12" s="135">
        <f>+'KY_Res by Plant Acct-P29 (Reg)'!L12</f>
        <v>3096.17</v>
      </c>
      <c r="M12" s="135"/>
      <c r="N12" s="135">
        <f>+'KY_Res by Plant Acct-P29 (Reg)'!N12</f>
        <v>-753.03</v>
      </c>
      <c r="O12" s="135"/>
      <c r="P12" s="135">
        <f>+'KY_Res by Plant Acct-P29 (Reg)'!P12</f>
        <v>0</v>
      </c>
      <c r="Q12" s="135"/>
      <c r="R12" s="138">
        <f t="shared" si="0"/>
        <v>-2252423.5199999996</v>
      </c>
    </row>
    <row r="13" spans="1:23" x14ac:dyDescent="0.2">
      <c r="A13" s="3" t="s">
        <v>3368</v>
      </c>
      <c r="B13" s="135">
        <f>+'KY_Res by Plant Acct-P29 (Reg)'!B13+'IN_Res by Plant Acct-P30 (Reg)'!B10</f>
        <v>-41811130.000000007</v>
      </c>
      <c r="C13" s="135"/>
      <c r="D13" s="135">
        <f>+'KY_Res by Plant Acct-P29 (Reg)'!D13+'IN_Res by Plant Acct-P30 (Reg)'!D10</f>
        <v>-2743572.26</v>
      </c>
      <c r="E13" s="135"/>
      <c r="F13" s="135">
        <f>+'KY_Res by Plant Acct-P29 (Reg)'!F13+'IN_Res by Plant Acct-P30 (Reg)'!F10</f>
        <v>595619.43000000005</v>
      </c>
      <c r="G13" s="135"/>
      <c r="H13" s="135">
        <f>+'KY_Res by Plant Acct-P29 (Reg)'!H13+'IN_Res by Plant Acct-P30 (Reg)'!H10</f>
        <v>139716.01</v>
      </c>
      <c r="I13" s="135"/>
      <c r="J13" s="135">
        <f>+'KY_Res by Plant Acct-P29 (Reg)'!J13+'IN_Res by Plant Acct-P30 (Reg)'!J10</f>
        <v>0</v>
      </c>
      <c r="K13" s="135"/>
      <c r="L13" s="135">
        <f>+'KY_Res by Plant Acct-P29 (Reg)'!L13+'IN_Res by Plant Acct-P30 (Reg)'!L10</f>
        <v>140160.75</v>
      </c>
      <c r="M13" s="135"/>
      <c r="N13" s="135">
        <f>+'KY_Res by Plant Acct-P29 (Reg)'!N13+'IN_Res by Plant Acct-P30 (Reg)'!N10</f>
        <v>-9.19</v>
      </c>
      <c r="O13" s="135"/>
      <c r="P13" s="135">
        <f>+'KY_Res by Plant Acct-P29 (Reg)'!P13+'IN_Res by Plant Acct-P30 (Reg)'!P10</f>
        <v>0</v>
      </c>
      <c r="Q13" s="135"/>
      <c r="R13" s="138">
        <f t="shared" si="0"/>
        <v>-43679215.260000005</v>
      </c>
    </row>
    <row r="14" spans="1:23" x14ac:dyDescent="0.2">
      <c r="A14" s="3" t="s">
        <v>3369</v>
      </c>
      <c r="B14" s="135">
        <f>+'KY_Res by Plant Acct-P29 (Reg)'!B14</f>
        <v>-9.889999999999997</v>
      </c>
      <c r="C14" s="135"/>
      <c r="D14" s="135">
        <f>+'KY_Res by Plant Acct-P29 (Reg)'!D14</f>
        <v>0</v>
      </c>
      <c r="E14" s="135"/>
      <c r="F14" s="135">
        <f>+'KY_Res by Plant Acct-P29 (Reg)'!F14</f>
        <v>0</v>
      </c>
      <c r="G14" s="135"/>
      <c r="H14" s="135">
        <f>+'KY_Res by Plant Acct-P29 (Reg)'!H14</f>
        <v>0</v>
      </c>
      <c r="I14" s="135"/>
      <c r="J14" s="135">
        <f>+'KY_Res by Plant Acct-P29 (Reg)'!J14</f>
        <v>0</v>
      </c>
      <c r="K14" s="135"/>
      <c r="L14" s="135">
        <f>+'KY_Res by Plant Acct-P29 (Reg)'!L14</f>
        <v>0</v>
      </c>
      <c r="M14" s="135"/>
      <c r="N14" s="135">
        <f>+'KY_Res by Plant Acct-P29 (Reg)'!N14</f>
        <v>0</v>
      </c>
      <c r="O14" s="135"/>
      <c r="P14" s="135">
        <f>+'KY_Res by Plant Acct-P29 (Reg)'!P14</f>
        <v>0</v>
      </c>
      <c r="Q14" s="135"/>
      <c r="R14" s="138">
        <f t="shared" si="0"/>
        <v>-9.889999999999997</v>
      </c>
    </row>
    <row r="15" spans="1:23" x14ac:dyDescent="0.2">
      <c r="A15" s="3" t="s">
        <v>3370</v>
      </c>
      <c r="B15" s="135">
        <f>+'KY_Res by Plant Acct-P29 (Reg)'!B15</f>
        <v>-76980979.760000005</v>
      </c>
      <c r="C15" s="135"/>
      <c r="D15" s="135">
        <f>+'KY_Res by Plant Acct-P29 (Reg)'!D15</f>
        <v>-6357584.7000000002</v>
      </c>
      <c r="E15" s="135"/>
      <c r="F15" s="135">
        <f>+'KY_Res by Plant Acct-P29 (Reg)'!F15</f>
        <v>1437598.99</v>
      </c>
      <c r="G15" s="135"/>
      <c r="H15" s="135">
        <f>+'KY_Res by Plant Acct-P29 (Reg)'!H15</f>
        <v>0</v>
      </c>
      <c r="I15" s="135"/>
      <c r="J15" s="135">
        <f>+'KY_Res by Plant Acct-P29 (Reg)'!J15</f>
        <v>0</v>
      </c>
      <c r="K15" s="135"/>
      <c r="L15" s="135">
        <f>+'KY_Res by Plant Acct-P29 (Reg)'!L15</f>
        <v>1678986.3099999998</v>
      </c>
      <c r="M15" s="135"/>
      <c r="N15" s="135">
        <f>+'KY_Res by Plant Acct-P29 (Reg)'!N15</f>
        <v>-18342.91</v>
      </c>
      <c r="O15" s="135"/>
      <c r="P15" s="135">
        <f>+'KY_Res by Plant Acct-P29 (Reg)'!P15</f>
        <v>-115869.65999999999</v>
      </c>
      <c r="Q15" s="135"/>
      <c r="R15" s="138">
        <f t="shared" si="0"/>
        <v>-80356191.730000004</v>
      </c>
    </row>
    <row r="16" spans="1:23" x14ac:dyDescent="0.2">
      <c r="A16" s="3" t="s">
        <v>3371</v>
      </c>
      <c r="B16" s="135">
        <f>+'KY_Res by Plant Acct-P29 (Reg)'!B16</f>
        <v>-112310961.35999997</v>
      </c>
      <c r="C16" s="135"/>
      <c r="D16" s="135">
        <f>+'KY_Res by Plant Acct-P29 (Reg)'!D16</f>
        <v>-9040994.1500000004</v>
      </c>
      <c r="E16" s="135"/>
      <c r="F16" s="135">
        <f>+'KY_Res by Plant Acct-P29 (Reg)'!F16</f>
        <v>2273790.48</v>
      </c>
      <c r="G16" s="135"/>
      <c r="H16" s="135">
        <f>+'KY_Res by Plant Acct-P29 (Reg)'!H16</f>
        <v>0</v>
      </c>
      <c r="I16" s="135"/>
      <c r="J16" s="135">
        <f>+'KY_Res by Plant Acct-P29 (Reg)'!J16</f>
        <v>0</v>
      </c>
      <c r="K16" s="135"/>
      <c r="L16" s="135">
        <f>+'KY_Res by Plant Acct-P29 (Reg)'!L16</f>
        <v>2584747.44</v>
      </c>
      <c r="M16" s="135"/>
      <c r="N16" s="135">
        <f>+'KY_Res by Plant Acct-P29 (Reg)'!N16</f>
        <v>-42437.62</v>
      </c>
      <c r="O16" s="135"/>
      <c r="P16" s="135">
        <f>+'KY_Res by Plant Acct-P29 (Reg)'!P16</f>
        <v>-361772.38</v>
      </c>
      <c r="Q16" s="135"/>
      <c r="R16" s="138">
        <f t="shared" si="0"/>
        <v>-116897627.58999997</v>
      </c>
    </row>
    <row r="17" spans="1:18" x14ac:dyDescent="0.2">
      <c r="A17" s="3" t="s">
        <v>3372</v>
      </c>
      <c r="B17" s="135">
        <f>+'KY_Res by Plant Acct-P29 (Reg)'!B17</f>
        <v>-30229423.609999996</v>
      </c>
      <c r="C17" s="135"/>
      <c r="D17" s="135">
        <f>+'KY_Res by Plant Acct-P29 (Reg)'!D17</f>
        <v>-1229193.99</v>
      </c>
      <c r="E17" s="135"/>
      <c r="F17" s="135">
        <f>+'KY_Res by Plant Acct-P29 (Reg)'!F17</f>
        <v>188472.62</v>
      </c>
      <c r="G17" s="135"/>
      <c r="H17" s="135">
        <f>+'KY_Res by Plant Acct-P29 (Reg)'!H17</f>
        <v>-67348.25</v>
      </c>
      <c r="I17" s="135"/>
      <c r="J17" s="135">
        <f>+'KY_Res by Plant Acct-P29 (Reg)'!J17</f>
        <v>0</v>
      </c>
      <c r="K17" s="135"/>
      <c r="L17" s="135">
        <f>+'KY_Res by Plant Acct-P29 (Reg)'!L17</f>
        <v>32393.439999999999</v>
      </c>
      <c r="M17" s="135"/>
      <c r="N17" s="135">
        <f>+'KY_Res by Plant Acct-P29 (Reg)'!N17</f>
        <v>-1152.98</v>
      </c>
      <c r="O17" s="135"/>
      <c r="P17" s="135">
        <f>+'KY_Res by Plant Acct-P29 (Reg)'!P17</f>
        <v>-606.82000000000005</v>
      </c>
      <c r="Q17" s="135"/>
      <c r="R17" s="138">
        <f t="shared" si="0"/>
        <v>-31306859.589999992</v>
      </c>
    </row>
    <row r="18" spans="1:18" x14ac:dyDescent="0.2">
      <c r="A18" s="3" t="s">
        <v>3373</v>
      </c>
      <c r="B18" s="135">
        <f>+'KY_Res by Plant Acct-P29 (Reg)'!B18</f>
        <v>-57425952.250000022</v>
      </c>
      <c r="C18" s="135"/>
      <c r="D18" s="135">
        <f>+'KY_Res by Plant Acct-P29 (Reg)'!D18</f>
        <v>-4046760.71</v>
      </c>
      <c r="E18" s="135"/>
      <c r="F18" s="135">
        <f>+'KY_Res by Plant Acct-P29 (Reg)'!F18</f>
        <v>1261866.46</v>
      </c>
      <c r="G18" s="135"/>
      <c r="H18" s="135">
        <f>+'KY_Res by Plant Acct-P29 (Reg)'!H18</f>
        <v>0</v>
      </c>
      <c r="I18" s="135"/>
      <c r="J18" s="135">
        <f>+'KY_Res by Plant Acct-P29 (Reg)'!J18</f>
        <v>0</v>
      </c>
      <c r="K18" s="135"/>
      <c r="L18" s="135">
        <f>+'KY_Res by Plant Acct-P29 (Reg)'!L18</f>
        <v>1399917.97</v>
      </c>
      <c r="M18" s="135"/>
      <c r="N18" s="135">
        <f>+'KY_Res by Plant Acct-P29 (Reg)'!N18</f>
        <v>-67518.899999999994</v>
      </c>
      <c r="O18" s="135"/>
      <c r="P18" s="135">
        <f>+'KY_Res by Plant Acct-P29 (Reg)'!P18</f>
        <v>-202968.67</v>
      </c>
      <c r="Q18" s="135"/>
      <c r="R18" s="138">
        <f t="shared" si="0"/>
        <v>-59081416.100000024</v>
      </c>
    </row>
    <row r="19" spans="1:18" x14ac:dyDescent="0.2">
      <c r="A19" s="3" t="s">
        <v>2911</v>
      </c>
      <c r="B19" s="135">
        <f>+'KY_Res by Plant Acct-P29 (Reg)'!B19</f>
        <v>-73969647.299999997</v>
      </c>
      <c r="C19" s="135"/>
      <c r="D19" s="135">
        <f>+'KY_Res by Plant Acct-P29 (Reg)'!D19</f>
        <v>-3824016</v>
      </c>
      <c r="E19" s="135"/>
      <c r="F19" s="135">
        <f>+'KY_Res by Plant Acct-P29 (Reg)'!F19</f>
        <v>334282.64</v>
      </c>
      <c r="G19" s="135"/>
      <c r="H19" s="135">
        <f>+'KY_Res by Plant Acct-P29 (Reg)'!H19</f>
        <v>0</v>
      </c>
      <c r="I19" s="135"/>
      <c r="J19" s="135">
        <f>+'KY_Res by Plant Acct-P29 (Reg)'!J19</f>
        <v>0</v>
      </c>
      <c r="K19" s="135"/>
      <c r="L19" s="135">
        <f>+'KY_Res by Plant Acct-P29 (Reg)'!L19</f>
        <v>273457.21000000002</v>
      </c>
      <c r="M19" s="135"/>
      <c r="N19" s="135">
        <f>+'KY_Res by Plant Acct-P29 (Reg)'!N19</f>
        <v>-27688.01</v>
      </c>
      <c r="O19" s="135"/>
      <c r="P19" s="135">
        <f>+'KY_Res by Plant Acct-P29 (Reg)'!P19</f>
        <v>-31209.420000000002</v>
      </c>
      <c r="Q19" s="135"/>
      <c r="R19" s="138">
        <f t="shared" si="0"/>
        <v>-77244820.88000001</v>
      </c>
    </row>
    <row r="20" spans="1:18" x14ac:dyDescent="0.2">
      <c r="A20" s="3" t="s">
        <v>3374</v>
      </c>
      <c r="B20" s="135">
        <f>+'KY_Res by Plant Acct-P29 (Reg)'!B20</f>
        <v>-1632318.6599999995</v>
      </c>
      <c r="C20" s="135"/>
      <c r="D20" s="135">
        <f>+'KY_Res by Plant Acct-P29 (Reg)'!D20</f>
        <v>-275476.23</v>
      </c>
      <c r="E20" s="135"/>
      <c r="F20" s="135">
        <f>+'KY_Res by Plant Acct-P29 (Reg)'!F20</f>
        <v>26404.25</v>
      </c>
      <c r="G20" s="135"/>
      <c r="H20" s="135">
        <f>+'KY_Res by Plant Acct-P29 (Reg)'!H20</f>
        <v>0</v>
      </c>
      <c r="I20" s="135"/>
      <c r="J20" s="135">
        <f>+'KY_Res by Plant Acct-P29 (Reg)'!J20</f>
        <v>0</v>
      </c>
      <c r="K20" s="135"/>
      <c r="L20" s="135">
        <f>+'KY_Res by Plant Acct-P29 (Reg)'!L20</f>
        <v>199096.65</v>
      </c>
      <c r="M20" s="135"/>
      <c r="N20" s="135">
        <f>+'KY_Res by Plant Acct-P29 (Reg)'!N20</f>
        <v>0</v>
      </c>
      <c r="O20" s="135"/>
      <c r="P20" s="135">
        <f>+'KY_Res by Plant Acct-P29 (Reg)'!P20</f>
        <v>0</v>
      </c>
      <c r="Q20" s="135"/>
      <c r="R20" s="138">
        <f t="shared" si="0"/>
        <v>-1682293.9899999995</v>
      </c>
    </row>
    <row r="21" spans="1:18" x14ac:dyDescent="0.2">
      <c r="A21" s="3" t="s">
        <v>3375</v>
      </c>
      <c r="B21" s="135">
        <f>+'KY_Res by Plant Acct-P29 (Reg)'!B21</f>
        <v>-22883144.760000005</v>
      </c>
      <c r="C21" s="135"/>
      <c r="D21" s="135">
        <f>+'KY_Res by Plant Acct-P29 (Reg)'!D21</f>
        <v>-821541.58</v>
      </c>
      <c r="E21" s="135"/>
      <c r="F21" s="135">
        <f>+'KY_Res by Plant Acct-P29 (Reg)'!F21</f>
        <v>112759.03</v>
      </c>
      <c r="G21" s="135"/>
      <c r="H21" s="135">
        <f>+'KY_Res by Plant Acct-P29 (Reg)'!H21</f>
        <v>0</v>
      </c>
      <c r="I21" s="135"/>
      <c r="J21" s="135">
        <f>+'KY_Res by Plant Acct-P29 (Reg)'!J21</f>
        <v>0</v>
      </c>
      <c r="K21" s="135"/>
      <c r="L21" s="135">
        <f>+'KY_Res by Plant Acct-P29 (Reg)'!L21</f>
        <v>135824.59</v>
      </c>
      <c r="M21" s="135"/>
      <c r="N21" s="135">
        <f>+'KY_Res by Plant Acct-P29 (Reg)'!N21</f>
        <v>0</v>
      </c>
      <c r="O21" s="135"/>
      <c r="P21" s="135">
        <f>+'KY_Res by Plant Acct-P29 (Reg)'!P21</f>
        <v>0</v>
      </c>
      <c r="Q21" s="135"/>
      <c r="R21" s="138">
        <f t="shared" si="0"/>
        <v>-23456102.720000003</v>
      </c>
    </row>
    <row r="22" spans="1:18" x14ac:dyDescent="0.2">
      <c r="A22" s="3" t="s">
        <v>2914</v>
      </c>
      <c r="B22" s="135">
        <f>+'KY_Res by Plant Acct-P29 (Reg)'!B22</f>
        <v>-24397749.299999997</v>
      </c>
      <c r="C22" s="135"/>
      <c r="D22" s="135">
        <f>+'KY_Res by Plant Acct-P29 (Reg)'!D22</f>
        <v>-1229823.69</v>
      </c>
      <c r="E22" s="135"/>
      <c r="F22" s="135">
        <f>+'KY_Res by Plant Acct-P29 (Reg)'!F22</f>
        <v>523208.86</v>
      </c>
      <c r="G22" s="135"/>
      <c r="H22" s="135">
        <f>+'KY_Res by Plant Acct-P29 (Reg)'!H22</f>
        <v>0</v>
      </c>
      <c r="I22" s="135"/>
      <c r="J22" s="135">
        <f>+'KY_Res by Plant Acct-P29 (Reg)'!J22</f>
        <v>0</v>
      </c>
      <c r="K22" s="135"/>
      <c r="L22" s="135">
        <f>+'KY_Res by Plant Acct-P29 (Reg)'!L22</f>
        <v>0</v>
      </c>
      <c r="M22" s="135"/>
      <c r="N22" s="135">
        <f>+'KY_Res by Plant Acct-P29 (Reg)'!N22</f>
        <v>-5209.87</v>
      </c>
      <c r="O22" s="135"/>
      <c r="P22" s="135">
        <f>+'KY_Res by Plant Acct-P29 (Reg)'!P22</f>
        <v>0</v>
      </c>
      <c r="Q22" s="135"/>
      <c r="R22" s="138">
        <f t="shared" si="0"/>
        <v>-25109574</v>
      </c>
    </row>
    <row r="23" spans="1:18" x14ac:dyDescent="0.2">
      <c r="A23" s="3" t="s">
        <v>3376</v>
      </c>
      <c r="B23" s="135">
        <f>+'KY_Res by Plant Acct-P29 (Reg)'!B23</f>
        <v>-8470.5300000000007</v>
      </c>
      <c r="C23" s="135"/>
      <c r="D23" s="135">
        <f>+'KY_Res by Plant Acct-P29 (Reg)'!D23</f>
        <v>-46707.51</v>
      </c>
      <c r="E23" s="135">
        <f>+'KY_Res by Plant Acct-P29 (Reg)'!E23</f>
        <v>0</v>
      </c>
      <c r="F23" s="135">
        <f>+'KY_Res by Plant Acct-P29 (Reg)'!F23</f>
        <v>0</v>
      </c>
      <c r="G23" s="135">
        <f>+'KY_Res by Plant Acct-P29 (Reg)'!G23</f>
        <v>0</v>
      </c>
      <c r="H23" s="135">
        <f>+'KY_Res by Plant Acct-P29 (Reg)'!H23</f>
        <v>0</v>
      </c>
      <c r="I23" s="135">
        <f>+'KY_Res by Plant Acct-P29 (Reg)'!I23</f>
        <v>0</v>
      </c>
      <c r="J23" s="135">
        <f>+'KY_Res by Plant Acct-P29 (Reg)'!J23</f>
        <v>0</v>
      </c>
      <c r="K23" s="135">
        <f>+'KY_Res by Plant Acct-P29 (Reg)'!K23</f>
        <v>0</v>
      </c>
      <c r="L23" s="135">
        <f>+'KY_Res by Plant Acct-P29 (Reg)'!L23</f>
        <v>0</v>
      </c>
      <c r="M23" s="135">
        <f>+'KY_Res by Plant Acct-P29 (Reg)'!M23</f>
        <v>0</v>
      </c>
      <c r="N23" s="135">
        <f>+'KY_Res by Plant Acct-P29 (Reg)'!N23</f>
        <v>0</v>
      </c>
      <c r="O23" s="135">
        <f>+'KY_Res by Plant Acct-P29 (Reg)'!O23</f>
        <v>0</v>
      </c>
      <c r="P23" s="135">
        <f>+'KY_Res by Plant Acct-P29 (Reg)'!P23</f>
        <v>0</v>
      </c>
      <c r="Q23" s="135"/>
      <c r="R23" s="138">
        <f t="shared" si="0"/>
        <v>-55178.04</v>
      </c>
    </row>
    <row r="24" spans="1:18" x14ac:dyDescent="0.2">
      <c r="A24" s="3" t="s">
        <v>3377</v>
      </c>
      <c r="B24" s="135">
        <f>+'KY_Res by Plant Acct-P29 (Reg)'!B25</f>
        <v>-12097349.300000001</v>
      </c>
      <c r="C24" s="135"/>
      <c r="D24" s="135">
        <f>+'KY_Res by Plant Acct-P29 (Reg)'!D25</f>
        <v>-1693396.39</v>
      </c>
      <c r="E24" s="135"/>
      <c r="F24" s="135">
        <f>+'KY_Res by Plant Acct-P29 (Reg)'!F25</f>
        <v>1823106.25</v>
      </c>
      <c r="G24" s="135"/>
      <c r="H24" s="135">
        <f>+'KY_Res by Plant Acct-P29 (Reg)'!H25</f>
        <v>0</v>
      </c>
      <c r="I24" s="135"/>
      <c r="J24" s="135">
        <f>+'KY_Res by Plant Acct-P29 (Reg)'!J25</f>
        <v>0</v>
      </c>
      <c r="K24" s="135"/>
      <c r="L24" s="135">
        <f>+'KY_Res by Plant Acct-P29 (Reg)'!L25</f>
        <v>943964.46</v>
      </c>
      <c r="M24" s="135"/>
      <c r="N24" s="135">
        <f>+'KY_Res by Plant Acct-P29 (Reg)'!N25</f>
        <v>-6820.6</v>
      </c>
      <c r="O24" s="135"/>
      <c r="P24" s="135">
        <f>+'KY_Res by Plant Acct-P29 (Reg)'!P25</f>
        <v>-986.33</v>
      </c>
      <c r="Q24" s="135"/>
      <c r="R24" s="138">
        <f t="shared" si="0"/>
        <v>-11031481.91</v>
      </c>
    </row>
    <row r="25" spans="1:18" x14ac:dyDescent="0.2">
      <c r="A25" s="3" t="s">
        <v>3378</v>
      </c>
      <c r="B25" s="135">
        <f>+'KY_Res by Plant Acct-P29 (Reg)'!B26</f>
        <v>-25998412.140000004</v>
      </c>
      <c r="C25" s="135"/>
      <c r="D25" s="135">
        <f>+'KY_Res by Plant Acct-P29 (Reg)'!D26</f>
        <v>-2000503.03</v>
      </c>
      <c r="E25" s="135"/>
      <c r="F25" s="135">
        <f>+'KY_Res by Plant Acct-P29 (Reg)'!F26</f>
        <v>1600511.42</v>
      </c>
      <c r="G25" s="135"/>
      <c r="H25" s="135">
        <f>+'KY_Res by Plant Acct-P29 (Reg)'!H26</f>
        <v>0</v>
      </c>
      <c r="I25" s="135"/>
      <c r="J25" s="135">
        <f>+'KY_Res by Plant Acct-P29 (Reg)'!J26</f>
        <v>0</v>
      </c>
      <c r="K25" s="135"/>
      <c r="L25" s="135">
        <f>+'KY_Res by Plant Acct-P29 (Reg)'!L26</f>
        <v>188926.18</v>
      </c>
      <c r="M25" s="135"/>
      <c r="N25" s="135">
        <f>+'KY_Res by Plant Acct-P29 (Reg)'!N26</f>
        <v>-4139.47</v>
      </c>
      <c r="O25" s="135"/>
      <c r="P25" s="135">
        <f>+'KY_Res by Plant Acct-P29 (Reg)'!P26</f>
        <v>-18.07</v>
      </c>
      <c r="Q25" s="135"/>
      <c r="R25" s="138">
        <f t="shared" si="0"/>
        <v>-26213635.110000007</v>
      </c>
    </row>
    <row r="26" spans="1:18" x14ac:dyDescent="0.2">
      <c r="A26" s="3" t="s">
        <v>3379</v>
      </c>
      <c r="B26" s="135">
        <f>+'KY_Res by Plant Acct-P29 (Reg)'!B27</f>
        <v>0</v>
      </c>
      <c r="C26" s="135"/>
      <c r="D26" s="135">
        <f>+'KY_Res by Plant Acct-P29 (Reg)'!D27</f>
        <v>0</v>
      </c>
      <c r="E26" s="135"/>
      <c r="F26" s="135">
        <f>+'KY_Res by Plant Acct-P29 (Reg)'!F27</f>
        <v>0</v>
      </c>
      <c r="G26" s="135"/>
      <c r="H26" s="135">
        <f>+'KY_Res by Plant Acct-P29 (Reg)'!H27</f>
        <v>0</v>
      </c>
      <c r="I26" s="135"/>
      <c r="J26" s="135">
        <f>+'KY_Res by Plant Acct-P29 (Reg)'!J27</f>
        <v>0</v>
      </c>
      <c r="K26" s="135"/>
      <c r="L26" s="135">
        <f>+'KY_Res by Plant Acct-P29 (Reg)'!L27</f>
        <v>0</v>
      </c>
      <c r="M26" s="135"/>
      <c r="N26" s="135">
        <f>+'KY_Res by Plant Acct-P29 (Reg)'!N27</f>
        <v>0</v>
      </c>
      <c r="O26" s="135"/>
      <c r="P26" s="135">
        <f>+'KY_Res by Plant Acct-P29 (Reg)'!P27</f>
        <v>0</v>
      </c>
      <c r="Q26" s="135"/>
      <c r="R26" s="138">
        <f t="shared" si="0"/>
        <v>0</v>
      </c>
    </row>
    <row r="27" spans="1:18" x14ac:dyDescent="0.2">
      <c r="A27" s="3" t="s">
        <v>2920</v>
      </c>
      <c r="B27" s="135">
        <f>+'KY_Res by Plant Acct-P29 (Reg)'!B28</f>
        <v>-29529.090000000066</v>
      </c>
      <c r="C27" s="135"/>
      <c r="D27" s="135">
        <f>+'KY_Res by Plant Acct-P29 (Reg)'!D28</f>
        <v>-4962.3900000000003</v>
      </c>
      <c r="E27" s="135"/>
      <c r="F27" s="135">
        <f>+'KY_Res by Plant Acct-P29 (Reg)'!F28</f>
        <v>0</v>
      </c>
      <c r="G27" s="135"/>
      <c r="H27" s="135">
        <f>+'KY_Res by Plant Acct-P29 (Reg)'!H28</f>
        <v>0</v>
      </c>
      <c r="I27" s="135"/>
      <c r="J27" s="135">
        <f>+'KY_Res by Plant Acct-P29 (Reg)'!J28</f>
        <v>0</v>
      </c>
      <c r="K27" s="135"/>
      <c r="L27" s="135">
        <f>+'KY_Res by Plant Acct-P29 (Reg)'!L28</f>
        <v>0</v>
      </c>
      <c r="M27" s="135"/>
      <c r="N27" s="135">
        <f>+'KY_Res by Plant Acct-P29 (Reg)'!N28</f>
        <v>0</v>
      </c>
      <c r="O27" s="135"/>
      <c r="P27" s="135">
        <f>+'KY_Res by Plant Acct-P29 (Reg)'!P28</f>
        <v>0</v>
      </c>
      <c r="Q27" s="135"/>
      <c r="R27" s="138">
        <f>SUM(B27:P27)</f>
        <v>-34491.480000000069</v>
      </c>
    </row>
    <row r="28" spans="1:18" s="22" customFormat="1" x14ac:dyDescent="0.2">
      <c r="A28" s="124" t="s">
        <v>2921</v>
      </c>
      <c r="B28" s="147">
        <f>+'KY_Res by Plant Acct-P29 (Reg)'!B29</f>
        <v>-13039.559999999998</v>
      </c>
      <c r="C28" s="86"/>
      <c r="D28" s="147">
        <f>+'KY_Res by Plant Acct-P29 (Reg)'!D29</f>
        <v>-2497.67</v>
      </c>
      <c r="E28" s="86"/>
      <c r="F28" s="147">
        <f>+'KY_Res by Plant Acct-P29 (Reg)'!F29</f>
        <v>0</v>
      </c>
      <c r="G28" s="86"/>
      <c r="H28" s="147">
        <f>+'KY_Res by Plant Acct-P29 (Reg)'!H29</f>
        <v>0</v>
      </c>
      <c r="I28" s="86"/>
      <c r="J28" s="147">
        <f>+'KY_Res by Plant Acct-P29 (Reg)'!J29</f>
        <v>0</v>
      </c>
      <c r="K28" s="86"/>
      <c r="L28" s="147">
        <f>+'KY_Res by Plant Acct-P29 (Reg)'!L29</f>
        <v>0</v>
      </c>
      <c r="M28" s="86"/>
      <c r="N28" s="147">
        <f>+'KY_Res by Plant Acct-P29 (Reg)'!N29</f>
        <v>0</v>
      </c>
      <c r="O28" s="86"/>
      <c r="P28" s="147">
        <f>+'KY_Res by Plant Acct-P29 (Reg)'!P29</f>
        <v>0</v>
      </c>
      <c r="Q28" s="86"/>
      <c r="R28" s="147">
        <f>SUM(B28:P28)</f>
        <v>-15537.229999999998</v>
      </c>
    </row>
    <row r="29" spans="1:18" x14ac:dyDescent="0.2">
      <c r="B29" s="135">
        <f>SUM(B10:B28)</f>
        <v>-481949612.20999998</v>
      </c>
      <c r="C29" s="135"/>
      <c r="D29" s="135">
        <f t="shared" ref="D29:R29" si="1">SUM(D10:D28)</f>
        <v>-33435362.390000008</v>
      </c>
      <c r="E29" s="135"/>
      <c r="F29" s="135">
        <f t="shared" si="1"/>
        <v>10202649.220000001</v>
      </c>
      <c r="G29" s="135"/>
      <c r="H29" s="135">
        <f t="shared" si="1"/>
        <v>72399.100000000006</v>
      </c>
      <c r="I29" s="135"/>
      <c r="J29" s="135">
        <f t="shared" si="1"/>
        <v>0</v>
      </c>
      <c r="K29" s="135"/>
      <c r="L29" s="135">
        <f>SUM(L10:L28)</f>
        <v>7580571.1699999999</v>
      </c>
      <c r="M29" s="135"/>
      <c r="N29" s="135">
        <f t="shared" si="1"/>
        <v>-174072.58000000002</v>
      </c>
      <c r="O29" s="135"/>
      <c r="P29" s="135">
        <f t="shared" si="1"/>
        <v>-713431.35</v>
      </c>
      <c r="Q29" s="135"/>
      <c r="R29" s="135">
        <f t="shared" si="1"/>
        <v>-498416859.04000014</v>
      </c>
    </row>
    <row r="30" spans="1:18" x14ac:dyDescent="0.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18" x14ac:dyDescent="0.2">
      <c r="A31" s="10" t="s">
        <v>19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</row>
    <row r="32" spans="1:18" x14ac:dyDescent="0.2">
      <c r="A32" s="3" t="s">
        <v>2922</v>
      </c>
      <c r="B32" s="135">
        <f>+'KY_Res by Plant Acct-P29 (Reg)'!B33</f>
        <v>-406577.13</v>
      </c>
      <c r="C32" s="135"/>
      <c r="D32" s="135">
        <f>+'KY_Res by Plant Acct-P29 (Reg)'!D33</f>
        <v>-117422.95</v>
      </c>
      <c r="E32" s="135"/>
      <c r="F32" s="135">
        <f>+'KY_Res by Plant Acct-P29 (Reg)'!F33</f>
        <v>27381.54</v>
      </c>
      <c r="G32" s="135"/>
      <c r="H32" s="135">
        <f>+'KY_Res by Plant Acct-P29 (Reg)'!H33</f>
        <v>-7734.69</v>
      </c>
      <c r="I32" s="135"/>
      <c r="J32" s="135">
        <f>+'KY_Res by Plant Acct-P29 (Reg)'!J33</f>
        <v>0</v>
      </c>
      <c r="K32" s="135"/>
      <c r="L32" s="135">
        <f>+'KY_Res by Plant Acct-P29 (Reg)'!L33</f>
        <v>0</v>
      </c>
      <c r="M32" s="135"/>
      <c r="N32" s="135">
        <f>+'KY_Res by Plant Acct-P29 (Reg)'!N33</f>
        <v>0</v>
      </c>
      <c r="O32" s="135"/>
      <c r="P32" s="135">
        <f>+'KY_Res by Plant Acct-P29 (Reg)'!P33</f>
        <v>0</v>
      </c>
      <c r="Q32" s="135"/>
      <c r="R32" s="135">
        <f>SUM(B32:P32)</f>
        <v>-504353.23000000004</v>
      </c>
    </row>
    <row r="33" spans="1:18" x14ac:dyDescent="0.2">
      <c r="A33" s="3" t="s">
        <v>2923</v>
      </c>
      <c r="B33" s="135">
        <f>+'KY_Res by Plant Acct-P29 (Reg)'!B34</f>
        <v>-1676043.2500000019</v>
      </c>
      <c r="C33" s="135"/>
      <c r="D33" s="135">
        <f>+'KY_Res by Plant Acct-P29 (Reg)'!D34</f>
        <v>-480515.78</v>
      </c>
      <c r="E33" s="135"/>
      <c r="F33" s="135">
        <f>+'KY_Res by Plant Acct-P29 (Reg)'!F34</f>
        <v>48978.5</v>
      </c>
      <c r="G33" s="135"/>
      <c r="H33" s="135">
        <f>+'KY_Res by Plant Acct-P29 (Reg)'!H34</f>
        <v>-8920.2100000000009</v>
      </c>
      <c r="I33" s="135"/>
      <c r="J33" s="135">
        <f>+'KY_Res by Plant Acct-P29 (Reg)'!J34</f>
        <v>0</v>
      </c>
      <c r="K33" s="135"/>
      <c r="L33" s="135">
        <f>+'KY_Res by Plant Acct-P29 (Reg)'!L34</f>
        <v>0</v>
      </c>
      <c r="M33" s="135"/>
      <c r="N33" s="135">
        <f>+'KY_Res by Plant Acct-P29 (Reg)'!N34</f>
        <v>4.5474735088646412E-13</v>
      </c>
      <c r="O33" s="135"/>
      <c r="P33" s="135">
        <f>+'KY_Res by Plant Acct-P29 (Reg)'!P34</f>
        <v>0</v>
      </c>
      <c r="Q33" s="135"/>
      <c r="R33" s="135">
        <f t="shared" ref="R33:R39" si="2">SUM(B33:P33)</f>
        <v>-2116500.7400000021</v>
      </c>
    </row>
    <row r="34" spans="1:18" x14ac:dyDescent="0.2">
      <c r="A34" s="3" t="s">
        <v>2924</v>
      </c>
      <c r="B34" s="135">
        <f>+'KY_Res by Plant Acct-P29 (Reg)'!B35</f>
        <v>-117081.45000000001</v>
      </c>
      <c r="C34" s="135"/>
      <c r="D34" s="135">
        <f>+'KY_Res by Plant Acct-P29 (Reg)'!D35</f>
        <v>-31243.64</v>
      </c>
      <c r="E34" s="135"/>
      <c r="F34" s="135">
        <f>+'KY_Res by Plant Acct-P29 (Reg)'!F35</f>
        <v>0</v>
      </c>
      <c r="G34" s="135"/>
      <c r="H34" s="135">
        <f>+'KY_Res by Plant Acct-P29 (Reg)'!H35</f>
        <v>0</v>
      </c>
      <c r="I34" s="135"/>
      <c r="J34" s="135">
        <f>+'KY_Res by Plant Acct-P29 (Reg)'!J35</f>
        <v>0</v>
      </c>
      <c r="K34" s="135"/>
      <c r="L34" s="135">
        <f>+'KY_Res by Plant Acct-P29 (Reg)'!L35</f>
        <v>0</v>
      </c>
      <c r="M34" s="135"/>
      <c r="N34" s="135">
        <f>+'KY_Res by Plant Acct-P29 (Reg)'!N35</f>
        <v>0</v>
      </c>
      <c r="O34" s="135"/>
      <c r="P34" s="135">
        <f>+'KY_Res by Plant Acct-P29 (Reg)'!P35</f>
        <v>0</v>
      </c>
      <c r="Q34" s="135"/>
      <c r="R34" s="135">
        <f t="shared" si="2"/>
        <v>-148325.09000000003</v>
      </c>
    </row>
    <row r="35" spans="1:18" x14ac:dyDescent="0.2">
      <c r="A35" s="3" t="s">
        <v>3380</v>
      </c>
      <c r="B35" s="135">
        <f>+'KY_Res by Plant Acct-P29 (Reg)'!B36</f>
        <v>-2319428.7199999997</v>
      </c>
      <c r="C35" s="135"/>
      <c r="D35" s="135">
        <f>+'KY_Res by Plant Acct-P29 (Reg)'!D36</f>
        <v>-289996.28999999998</v>
      </c>
      <c r="E35" s="135"/>
      <c r="F35" s="135">
        <f>+'KY_Res by Plant Acct-P29 (Reg)'!F36</f>
        <v>92166.14</v>
      </c>
      <c r="G35" s="135"/>
      <c r="H35" s="135">
        <f>+'KY_Res by Plant Acct-P29 (Reg)'!H36</f>
        <v>-41.54</v>
      </c>
      <c r="I35" s="135"/>
      <c r="J35" s="135">
        <f>+'KY_Res by Plant Acct-P29 (Reg)'!J36</f>
        <v>0</v>
      </c>
      <c r="K35" s="135"/>
      <c r="L35" s="135">
        <f>+'KY_Res by Plant Acct-P29 (Reg)'!L36</f>
        <v>0</v>
      </c>
      <c r="M35" s="135"/>
      <c r="N35" s="135">
        <f>+'KY_Res by Plant Acct-P29 (Reg)'!N36</f>
        <v>0</v>
      </c>
      <c r="O35" s="135"/>
      <c r="P35" s="135">
        <f>+'KY_Res by Plant Acct-P29 (Reg)'!P36</f>
        <v>0</v>
      </c>
      <c r="Q35" s="135"/>
      <c r="R35" s="135">
        <f t="shared" si="2"/>
        <v>-2517300.4099999997</v>
      </c>
    </row>
    <row r="36" spans="1:18" x14ac:dyDescent="0.2">
      <c r="A36" s="3" t="s">
        <v>2926</v>
      </c>
      <c r="B36" s="135">
        <f>+'KY_Res by Plant Acct-P29 (Reg)'!B37</f>
        <v>-41.539999999869032</v>
      </c>
      <c r="C36" s="135"/>
      <c r="D36" s="135">
        <f>+'KY_Res by Plant Acct-P29 (Reg)'!D37</f>
        <v>0</v>
      </c>
      <c r="E36" s="135"/>
      <c r="F36" s="135">
        <f>+'KY_Res by Plant Acct-P29 (Reg)'!F37</f>
        <v>0</v>
      </c>
      <c r="G36" s="135"/>
      <c r="H36" s="135">
        <f>+'KY_Res by Plant Acct-P29 (Reg)'!H37</f>
        <v>41.54</v>
      </c>
      <c r="I36" s="135"/>
      <c r="J36" s="135">
        <f>+'KY_Res by Plant Acct-P29 (Reg)'!J37</f>
        <v>0</v>
      </c>
      <c r="K36" s="135"/>
      <c r="L36" s="135">
        <f>+'KY_Res by Plant Acct-P29 (Reg)'!L37</f>
        <v>0</v>
      </c>
      <c r="M36" s="135"/>
      <c r="N36" s="135">
        <f>+'KY_Res by Plant Acct-P29 (Reg)'!N37</f>
        <v>0</v>
      </c>
      <c r="O36" s="135"/>
      <c r="P36" s="135">
        <f>+'KY_Res by Plant Acct-P29 (Reg)'!P37</f>
        <v>0</v>
      </c>
      <c r="Q36" s="135"/>
      <c r="R36" s="135">
        <f t="shared" si="2"/>
        <v>1.3096723705530167E-10</v>
      </c>
    </row>
    <row r="37" spans="1:18" x14ac:dyDescent="0.2">
      <c r="A37" s="3" t="s">
        <v>2927</v>
      </c>
      <c r="B37" s="135">
        <f>+'KY_Res by Plant Acct-P29 (Reg)'!B38</f>
        <v>-1760647.8400000005</v>
      </c>
      <c r="C37" s="135"/>
      <c r="D37" s="135">
        <f>+'KY_Res by Plant Acct-P29 (Reg)'!D38</f>
        <v>-56841.67</v>
      </c>
      <c r="E37" s="135"/>
      <c r="F37" s="135">
        <f>+'KY_Res by Plant Acct-P29 (Reg)'!F38</f>
        <v>0</v>
      </c>
      <c r="G37" s="135"/>
      <c r="H37" s="135">
        <f>+'KY_Res by Plant Acct-P29 (Reg)'!H38</f>
        <v>0</v>
      </c>
      <c r="I37" s="135"/>
      <c r="J37" s="135">
        <f>+'KY_Res by Plant Acct-P29 (Reg)'!J38</f>
        <v>0</v>
      </c>
      <c r="K37" s="135"/>
      <c r="L37" s="135">
        <f>+'KY_Res by Plant Acct-P29 (Reg)'!L38</f>
        <v>0</v>
      </c>
      <c r="M37" s="135"/>
      <c r="N37" s="135">
        <f>+'KY_Res by Plant Acct-P29 (Reg)'!N38</f>
        <v>0</v>
      </c>
      <c r="O37" s="135"/>
      <c r="P37" s="135">
        <f>+'KY_Res by Plant Acct-P29 (Reg)'!P38</f>
        <v>0</v>
      </c>
      <c r="Q37" s="135"/>
      <c r="R37" s="135">
        <f t="shared" si="2"/>
        <v>-1817489.5100000005</v>
      </c>
    </row>
    <row r="38" spans="1:18" x14ac:dyDescent="0.2">
      <c r="A38" s="3" t="s">
        <v>2928</v>
      </c>
      <c r="B38" s="135">
        <f>+'KY_Res by Plant Acct-P29 (Reg)'!B39</f>
        <v>-79506.8</v>
      </c>
      <c r="C38" s="135"/>
      <c r="D38" s="135">
        <f>+'KY_Res by Plant Acct-P29 (Reg)'!D39</f>
        <v>-14941.07</v>
      </c>
      <c r="E38" s="135"/>
      <c r="F38" s="135">
        <f>+'KY_Res by Plant Acct-P29 (Reg)'!F39</f>
        <v>0</v>
      </c>
      <c r="G38" s="135"/>
      <c r="H38" s="135">
        <f>+'KY_Res by Plant Acct-P29 (Reg)'!H39</f>
        <v>0</v>
      </c>
      <c r="I38" s="135"/>
      <c r="J38" s="135">
        <f>+'KY_Res by Plant Acct-P29 (Reg)'!J39</f>
        <v>0</v>
      </c>
      <c r="K38" s="135"/>
      <c r="L38" s="135">
        <f>+'KY_Res by Plant Acct-P29 (Reg)'!L39</f>
        <v>0</v>
      </c>
      <c r="M38" s="135"/>
      <c r="N38" s="135">
        <f>+'KY_Res by Plant Acct-P29 (Reg)'!N39</f>
        <v>0</v>
      </c>
      <c r="O38" s="135"/>
      <c r="P38" s="135">
        <f>+'KY_Res by Plant Acct-P29 (Reg)'!P39</f>
        <v>0</v>
      </c>
      <c r="Q38" s="135"/>
      <c r="R38" s="135">
        <f t="shared" si="2"/>
        <v>-94447.87</v>
      </c>
    </row>
    <row r="39" spans="1:18" x14ac:dyDescent="0.2">
      <c r="A39" s="22" t="s">
        <v>3381</v>
      </c>
      <c r="B39" s="135">
        <f>+'KY_Res by Plant Acct-P29 (Reg)'!B40</f>
        <v>-997917.00000000012</v>
      </c>
      <c r="C39" s="135"/>
      <c r="D39" s="135">
        <f>+'KY_Res by Plant Acct-P29 (Reg)'!D40</f>
        <v>-742769.69</v>
      </c>
      <c r="E39" s="135"/>
      <c r="F39" s="135">
        <f>+'KY_Res by Plant Acct-P29 (Reg)'!F40</f>
        <v>407012.05</v>
      </c>
      <c r="G39" s="135"/>
      <c r="H39" s="135">
        <f>+'KY_Res by Plant Acct-P29 (Reg)'!H40</f>
        <v>-353540</v>
      </c>
      <c r="I39" s="135"/>
      <c r="J39" s="135">
        <f>+'KY_Res by Plant Acct-P29 (Reg)'!J40</f>
        <v>0</v>
      </c>
      <c r="K39" s="135"/>
      <c r="L39" s="135">
        <f>+'KY_Res by Plant Acct-P29 (Reg)'!L40</f>
        <v>0</v>
      </c>
      <c r="M39" s="135"/>
      <c r="N39" s="135">
        <f>+'KY_Res by Plant Acct-P29 (Reg)'!N40</f>
        <v>0</v>
      </c>
      <c r="O39" s="135"/>
      <c r="P39" s="135">
        <f>+'KY_Res by Plant Acct-P29 (Reg)'!P40</f>
        <v>0</v>
      </c>
      <c r="Q39" s="135"/>
      <c r="R39" s="135">
        <f t="shared" si="2"/>
        <v>-1687214.64</v>
      </c>
    </row>
    <row r="40" spans="1:18" x14ac:dyDescent="0.2">
      <c r="B40" s="148">
        <f>SUM(B32:B39)</f>
        <v>-7357243.7300000023</v>
      </c>
      <c r="C40" s="135"/>
      <c r="D40" s="148">
        <f>SUM(D32:D39)</f>
        <v>-1733731.0899999999</v>
      </c>
      <c r="E40" s="135"/>
      <c r="F40" s="148">
        <f>SUM(F32:F39)</f>
        <v>575538.23</v>
      </c>
      <c r="G40" s="135"/>
      <c r="H40" s="148">
        <f>SUM(H32:H39)</f>
        <v>-370194.9</v>
      </c>
      <c r="I40" s="135"/>
      <c r="J40" s="148">
        <f>SUM(J32:J39)</f>
        <v>0</v>
      </c>
      <c r="K40" s="135"/>
      <c r="L40" s="148">
        <f>SUM(L32:L39)</f>
        <v>0</v>
      </c>
      <c r="M40" s="135"/>
      <c r="N40" s="148">
        <f>SUM(N32:N39)</f>
        <v>4.5474735088646412E-13</v>
      </c>
      <c r="O40" s="135"/>
      <c r="P40" s="148">
        <f>SUM(P32:P39)</f>
        <v>0</v>
      </c>
      <c r="Q40" s="135"/>
      <c r="R40" s="148">
        <f>SUM(R32:R39)</f>
        <v>-8885631.4900000021</v>
      </c>
    </row>
    <row r="41" spans="1:18" x14ac:dyDescent="0.2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x14ac:dyDescent="0.2">
      <c r="A42" s="10" t="s">
        <v>20</v>
      </c>
      <c r="B42" s="138"/>
      <c r="C42" s="135"/>
      <c r="D42" s="138"/>
      <c r="E42" s="135"/>
      <c r="F42" s="138"/>
      <c r="G42" s="135"/>
      <c r="H42" s="138"/>
      <c r="I42" s="135"/>
      <c r="J42" s="138"/>
      <c r="K42" s="135"/>
      <c r="L42" s="138"/>
      <c r="M42" s="135"/>
      <c r="N42" s="138"/>
      <c r="O42" s="135"/>
      <c r="P42" s="138"/>
      <c r="Q42" s="135"/>
      <c r="R42" s="138"/>
    </row>
    <row r="43" spans="1:18" x14ac:dyDescent="0.2">
      <c r="A43" s="3" t="s">
        <v>2930</v>
      </c>
      <c r="B43" s="138">
        <f>+'KY_Res by Plant Acct-P29 (Reg)'!B44</f>
        <v>0</v>
      </c>
      <c r="C43" s="135"/>
      <c r="D43" s="138">
        <f>+'KY_Res by Plant Acct-P29 (Reg)'!D44</f>
        <v>0</v>
      </c>
      <c r="E43" s="135"/>
      <c r="F43" s="138">
        <f>+'KY_Res by Plant Acct-P29 (Reg)'!F44</f>
        <v>0</v>
      </c>
      <c r="G43" s="135"/>
      <c r="H43" s="138">
        <f>+'KY_Res by Plant Acct-P29 (Reg)'!H44</f>
        <v>0</v>
      </c>
      <c r="I43" s="135"/>
      <c r="J43" s="138">
        <f>+'KY_Res by Plant Acct-P29 (Reg)'!J44</f>
        <v>0</v>
      </c>
      <c r="K43" s="135"/>
      <c r="L43" s="138">
        <f>+'KY_Res by Plant Acct-P29 (Reg)'!L44</f>
        <v>0</v>
      </c>
      <c r="M43" s="135"/>
      <c r="N43" s="138">
        <f>+'KY_Res by Plant Acct-P29 (Reg)'!N44</f>
        <v>0</v>
      </c>
      <c r="O43" s="135"/>
      <c r="P43" s="138">
        <f>+'KY_Res by Plant Acct-P29 (Reg)'!P44</f>
        <v>0</v>
      </c>
      <c r="Q43" s="135"/>
      <c r="R43" s="138">
        <f t="shared" ref="R43:R54" si="3">SUM(B43:P43)</f>
        <v>0</v>
      </c>
    </row>
    <row r="44" spans="1:18" x14ac:dyDescent="0.2">
      <c r="A44" s="3" t="s">
        <v>2931</v>
      </c>
      <c r="B44" s="138">
        <f>+'KY_Res by Plant Acct-P29 (Reg)'!B45</f>
        <v>0</v>
      </c>
      <c r="C44" s="135"/>
      <c r="D44" s="138">
        <f>+'KY_Res by Plant Acct-P29 (Reg)'!D45</f>
        <v>0</v>
      </c>
      <c r="E44" s="135"/>
      <c r="F44" s="138">
        <f>+'KY_Res by Plant Acct-P29 (Reg)'!F45</f>
        <v>0</v>
      </c>
      <c r="G44" s="135"/>
      <c r="H44" s="138">
        <f>+'KY_Res by Plant Acct-P29 (Reg)'!H45</f>
        <v>0</v>
      </c>
      <c r="I44" s="135"/>
      <c r="J44" s="138">
        <f>+'KY_Res by Plant Acct-P29 (Reg)'!J45</f>
        <v>0</v>
      </c>
      <c r="K44" s="135"/>
      <c r="L44" s="138">
        <f>+'KY_Res by Plant Acct-P29 (Reg)'!L45</f>
        <v>0</v>
      </c>
      <c r="M44" s="135"/>
      <c r="N44" s="138">
        <f>+'KY_Res by Plant Acct-P29 (Reg)'!N45</f>
        <v>0</v>
      </c>
      <c r="O44" s="135"/>
      <c r="P44" s="138">
        <f>+'KY_Res by Plant Acct-P29 (Reg)'!P45</f>
        <v>0</v>
      </c>
      <c r="Q44" s="135"/>
      <c r="R44" s="138">
        <f t="shared" si="3"/>
        <v>0</v>
      </c>
    </row>
    <row r="45" spans="1:18" x14ac:dyDescent="0.2">
      <c r="A45" s="3" t="s">
        <v>2932</v>
      </c>
      <c r="B45" s="138">
        <f>+'KY_Res by Plant Acct-P29 (Reg)'!B46</f>
        <v>-42097.95</v>
      </c>
      <c r="C45" s="135"/>
      <c r="D45" s="138">
        <f>+'KY_Res by Plant Acct-P29 (Reg)'!D46</f>
        <v>-960.6</v>
      </c>
      <c r="E45" s="135"/>
      <c r="F45" s="138">
        <f>+'KY_Res by Plant Acct-P29 (Reg)'!F46</f>
        <v>0</v>
      </c>
      <c r="G45" s="135"/>
      <c r="H45" s="138">
        <f>+'KY_Res by Plant Acct-P29 (Reg)'!H46</f>
        <v>0</v>
      </c>
      <c r="I45" s="135"/>
      <c r="J45" s="138">
        <f>+'KY_Res by Plant Acct-P29 (Reg)'!J46</f>
        <v>0</v>
      </c>
      <c r="K45" s="135"/>
      <c r="L45" s="138">
        <f>+'KY_Res by Plant Acct-P29 (Reg)'!L46</f>
        <v>0</v>
      </c>
      <c r="M45" s="135"/>
      <c r="N45" s="138">
        <f>+'KY_Res by Plant Acct-P29 (Reg)'!N46</f>
        <v>0</v>
      </c>
      <c r="O45" s="135"/>
      <c r="P45" s="138">
        <f>+'KY_Res by Plant Acct-P29 (Reg)'!P46</f>
        <v>0</v>
      </c>
      <c r="Q45" s="135"/>
      <c r="R45" s="138">
        <f t="shared" si="3"/>
        <v>-43058.549999999996</v>
      </c>
    </row>
    <row r="46" spans="1:18" x14ac:dyDescent="0.2">
      <c r="A46" s="3" t="s">
        <v>2933</v>
      </c>
      <c r="B46" s="138">
        <f>+'KY_Res by Plant Acct-P29 (Reg)'!B47</f>
        <v>-4275423.5100000007</v>
      </c>
      <c r="C46" s="135"/>
      <c r="D46" s="138">
        <f>+'KY_Res by Plant Acct-P29 (Reg)'!D47</f>
        <v>-44047.64</v>
      </c>
      <c r="E46" s="135"/>
      <c r="F46" s="138">
        <f>+'KY_Res by Plant Acct-P29 (Reg)'!F47</f>
        <v>3671.55</v>
      </c>
      <c r="G46" s="135"/>
      <c r="H46" s="138">
        <f>+'KY_Res by Plant Acct-P29 (Reg)'!H47</f>
        <v>0</v>
      </c>
      <c r="I46" s="135"/>
      <c r="J46" s="138">
        <f>+'KY_Res by Plant Acct-P29 (Reg)'!J47</f>
        <v>0</v>
      </c>
      <c r="K46" s="135"/>
      <c r="L46" s="138">
        <f>+'KY_Res by Plant Acct-P29 (Reg)'!L47</f>
        <v>10232.700000000001</v>
      </c>
      <c r="M46" s="135"/>
      <c r="N46" s="138">
        <f>+'KY_Res by Plant Acct-P29 (Reg)'!N47</f>
        <v>0</v>
      </c>
      <c r="O46" s="135"/>
      <c r="P46" s="138">
        <f>+'KY_Res by Plant Acct-P29 (Reg)'!P47</f>
        <v>0</v>
      </c>
      <c r="Q46" s="135"/>
      <c r="R46" s="138">
        <f t="shared" si="3"/>
        <v>-4305566.9000000004</v>
      </c>
    </row>
    <row r="47" spans="1:18" x14ac:dyDescent="0.2">
      <c r="A47" s="3" t="s">
        <v>2934</v>
      </c>
      <c r="B47" s="138">
        <f>+'KY_Res by Plant Acct-P29 (Reg)'!B48</f>
        <v>-2954320.54</v>
      </c>
      <c r="C47" s="135"/>
      <c r="D47" s="138">
        <f>+'KY_Res by Plant Acct-P29 (Reg)'!D48</f>
        <v>-507354.41</v>
      </c>
      <c r="E47" s="135"/>
      <c r="F47" s="138">
        <f>+'KY_Res by Plant Acct-P29 (Reg)'!F48</f>
        <v>73001.94</v>
      </c>
      <c r="G47" s="135"/>
      <c r="H47" s="138">
        <f>+'KY_Res by Plant Acct-P29 (Reg)'!H48</f>
        <v>0</v>
      </c>
      <c r="I47" s="135"/>
      <c r="J47" s="138">
        <f>+'KY_Res by Plant Acct-P29 (Reg)'!J48</f>
        <v>0</v>
      </c>
      <c r="K47" s="135"/>
      <c r="L47" s="138">
        <f>+'KY_Res by Plant Acct-P29 (Reg)'!L48</f>
        <v>5116.3500000000004</v>
      </c>
      <c r="M47" s="135"/>
      <c r="N47" s="138">
        <f>+'KY_Res by Plant Acct-P29 (Reg)'!N48</f>
        <v>0</v>
      </c>
      <c r="O47" s="135"/>
      <c r="P47" s="138">
        <f>+'KY_Res by Plant Acct-P29 (Reg)'!P48</f>
        <v>0</v>
      </c>
      <c r="Q47" s="135"/>
      <c r="R47" s="138">
        <f t="shared" si="3"/>
        <v>-3383556.66</v>
      </c>
    </row>
    <row r="48" spans="1:18" x14ac:dyDescent="0.2">
      <c r="A48" s="3" t="s">
        <v>2935</v>
      </c>
      <c r="B48" s="138">
        <f>+'KY_Res by Plant Acct-P29 (Reg)'!B49</f>
        <v>-3775861.7699999996</v>
      </c>
      <c r="C48" s="135"/>
      <c r="D48" s="138">
        <f>+'KY_Res by Plant Acct-P29 (Reg)'!D49</f>
        <v>-2120159.2799999998</v>
      </c>
      <c r="E48" s="135"/>
      <c r="F48" s="138">
        <f>+'KY_Res by Plant Acct-P29 (Reg)'!F49</f>
        <v>57217.4</v>
      </c>
      <c r="G48" s="135"/>
      <c r="H48" s="138">
        <f>+'KY_Res by Plant Acct-P29 (Reg)'!H49</f>
        <v>0</v>
      </c>
      <c r="I48" s="135"/>
      <c r="J48" s="138">
        <f>+'KY_Res by Plant Acct-P29 (Reg)'!J49</f>
        <v>0</v>
      </c>
      <c r="K48" s="135"/>
      <c r="L48" s="138">
        <f>+'KY_Res by Plant Acct-P29 (Reg)'!L49</f>
        <v>637.41</v>
      </c>
      <c r="M48" s="135"/>
      <c r="N48" s="138">
        <f>+'KY_Res by Plant Acct-P29 (Reg)'!N49</f>
        <v>0</v>
      </c>
      <c r="O48" s="135"/>
      <c r="P48" s="138">
        <f>+'KY_Res by Plant Acct-P29 (Reg)'!P49</f>
        <v>0</v>
      </c>
      <c r="Q48" s="135"/>
      <c r="R48" s="138">
        <f t="shared" si="3"/>
        <v>-5838166.2399999984</v>
      </c>
    </row>
    <row r="49" spans="1:18" x14ac:dyDescent="0.2">
      <c r="A49" s="3" t="s">
        <v>2936</v>
      </c>
      <c r="B49" s="138">
        <f>+'KY_Res by Plant Acct-P29 (Reg)'!B50</f>
        <v>-2561842.42</v>
      </c>
      <c r="C49" s="135"/>
      <c r="D49" s="138">
        <f>+'KY_Res by Plant Acct-P29 (Reg)'!D50</f>
        <v>-196789.33</v>
      </c>
      <c r="E49" s="135"/>
      <c r="F49" s="138">
        <f>+'KY_Res by Plant Acct-P29 (Reg)'!F50</f>
        <v>0</v>
      </c>
      <c r="G49" s="135"/>
      <c r="H49" s="138">
        <f>+'KY_Res by Plant Acct-P29 (Reg)'!H50</f>
        <v>0</v>
      </c>
      <c r="I49" s="135"/>
      <c r="J49" s="138">
        <f>+'KY_Res by Plant Acct-P29 (Reg)'!J50</f>
        <v>0</v>
      </c>
      <c r="K49" s="135"/>
      <c r="L49" s="138">
        <f>+'KY_Res by Plant Acct-P29 (Reg)'!L50</f>
        <v>0</v>
      </c>
      <c r="M49" s="135"/>
      <c r="N49" s="138">
        <f>+'KY_Res by Plant Acct-P29 (Reg)'!N50</f>
        <v>0</v>
      </c>
      <c r="O49" s="135"/>
      <c r="P49" s="138">
        <f>+'KY_Res by Plant Acct-P29 (Reg)'!P50</f>
        <v>0</v>
      </c>
      <c r="Q49" s="135"/>
      <c r="R49" s="138">
        <f t="shared" si="3"/>
        <v>-2758631.75</v>
      </c>
    </row>
    <row r="50" spans="1:18" x14ac:dyDescent="0.2">
      <c r="A50" s="3" t="s">
        <v>2937</v>
      </c>
      <c r="B50" s="138">
        <f>+'KY_Res by Plant Acct-P29 (Reg)'!B51</f>
        <v>-6273.08</v>
      </c>
      <c r="C50" s="135"/>
      <c r="D50" s="138">
        <f>+'KY_Res by Plant Acct-P29 (Reg)'!D51</f>
        <v>-715.44</v>
      </c>
      <c r="E50" s="135"/>
      <c r="F50" s="138">
        <f>+'KY_Res by Plant Acct-P29 (Reg)'!F51</f>
        <v>0</v>
      </c>
      <c r="G50" s="135"/>
      <c r="H50" s="138">
        <f>+'KY_Res by Plant Acct-P29 (Reg)'!H51</f>
        <v>0</v>
      </c>
      <c r="I50" s="135"/>
      <c r="J50" s="138">
        <f>+'KY_Res by Plant Acct-P29 (Reg)'!J51</f>
        <v>0</v>
      </c>
      <c r="K50" s="135"/>
      <c r="L50" s="138">
        <f>+'KY_Res by Plant Acct-P29 (Reg)'!L51</f>
        <v>0</v>
      </c>
      <c r="M50" s="135"/>
      <c r="N50" s="138">
        <f>+'KY_Res by Plant Acct-P29 (Reg)'!N51</f>
        <v>0</v>
      </c>
      <c r="O50" s="135"/>
      <c r="P50" s="138">
        <f>+'KY_Res by Plant Acct-P29 (Reg)'!P51</f>
        <v>0</v>
      </c>
      <c r="Q50" s="135"/>
      <c r="R50" s="138">
        <f t="shared" si="3"/>
        <v>-6988.52</v>
      </c>
    </row>
    <row r="51" spans="1:18" x14ac:dyDescent="0.2">
      <c r="A51" s="3" t="s">
        <v>2938</v>
      </c>
      <c r="B51" s="138">
        <f>+'KY_Res by Plant Acct-P29 (Reg)'!B52</f>
        <v>-137220.54999999999</v>
      </c>
      <c r="C51" s="135"/>
      <c r="D51" s="138">
        <f>+'KY_Res by Plant Acct-P29 (Reg)'!D52</f>
        <v>-50996.94</v>
      </c>
      <c r="E51" s="135"/>
      <c r="F51" s="138">
        <f>+'KY_Res by Plant Acct-P29 (Reg)'!F52</f>
        <v>1539</v>
      </c>
      <c r="G51" s="135"/>
      <c r="H51" s="138">
        <f>+'KY_Res by Plant Acct-P29 (Reg)'!H52</f>
        <v>0</v>
      </c>
      <c r="I51" s="135"/>
      <c r="J51" s="138">
        <f>+'KY_Res by Plant Acct-P29 (Reg)'!J52</f>
        <v>0</v>
      </c>
      <c r="K51" s="135"/>
      <c r="L51" s="138">
        <f>+'KY_Res by Plant Acct-P29 (Reg)'!L52</f>
        <v>-0.59</v>
      </c>
      <c r="M51" s="135"/>
      <c r="N51" s="138">
        <f>+'KY_Res by Plant Acct-P29 (Reg)'!N52</f>
        <v>-110.96</v>
      </c>
      <c r="O51" s="135"/>
      <c r="P51" s="138">
        <f>+'KY_Res by Plant Acct-P29 (Reg)'!P52</f>
        <v>0</v>
      </c>
      <c r="Q51" s="135"/>
      <c r="R51" s="138">
        <f t="shared" si="3"/>
        <v>-186790.03999999998</v>
      </c>
    </row>
    <row r="52" spans="1:18" x14ac:dyDescent="0.2">
      <c r="A52" s="3" t="s">
        <v>2939</v>
      </c>
      <c r="B52" s="138">
        <f>+'KY_Res by Plant Acct-P29 (Reg)'!B53</f>
        <v>-872.13</v>
      </c>
      <c r="C52" s="135"/>
      <c r="D52" s="138">
        <f>+'KY_Res by Plant Acct-P29 (Reg)'!D53</f>
        <v>0</v>
      </c>
      <c r="E52" s="135"/>
      <c r="F52" s="138">
        <f>+'KY_Res by Plant Acct-P29 (Reg)'!F53</f>
        <v>0</v>
      </c>
      <c r="G52" s="135"/>
      <c r="H52" s="138">
        <f>+'KY_Res by Plant Acct-P29 (Reg)'!H53</f>
        <v>0</v>
      </c>
      <c r="I52" s="135"/>
      <c r="J52" s="138">
        <f>+'KY_Res by Plant Acct-P29 (Reg)'!J53</f>
        <v>0</v>
      </c>
      <c r="K52" s="135"/>
      <c r="L52" s="138">
        <f>+'KY_Res by Plant Acct-P29 (Reg)'!L53</f>
        <v>0</v>
      </c>
      <c r="M52" s="135"/>
      <c r="N52" s="138">
        <f>+'KY_Res by Plant Acct-P29 (Reg)'!N53</f>
        <v>0</v>
      </c>
      <c r="O52" s="135"/>
      <c r="P52" s="138">
        <f>+'KY_Res by Plant Acct-P29 (Reg)'!P53</f>
        <v>0</v>
      </c>
      <c r="Q52" s="135"/>
      <c r="R52" s="138">
        <f t="shared" si="3"/>
        <v>-872.13</v>
      </c>
    </row>
    <row r="53" spans="1:18" x14ac:dyDescent="0.2">
      <c r="A53" s="3" t="s">
        <v>2940</v>
      </c>
      <c r="B53" s="138">
        <f>+'KY_Res by Plant Acct-P29 (Reg)'!B54</f>
        <v>-18886.359999999997</v>
      </c>
      <c r="C53" s="135"/>
      <c r="D53" s="138">
        <f>+'KY_Res by Plant Acct-P29 (Reg)'!D54</f>
        <v>-650.76</v>
      </c>
      <c r="E53" s="135"/>
      <c r="F53" s="138">
        <f>+'KY_Res by Plant Acct-P29 (Reg)'!F54</f>
        <v>0</v>
      </c>
      <c r="G53" s="135"/>
      <c r="H53" s="138">
        <f>+'KY_Res by Plant Acct-P29 (Reg)'!H54</f>
        <v>0</v>
      </c>
      <c r="I53" s="135"/>
      <c r="J53" s="138">
        <f>+'KY_Res by Plant Acct-P29 (Reg)'!J54</f>
        <v>0</v>
      </c>
      <c r="K53" s="135"/>
      <c r="L53" s="138">
        <f>+'KY_Res by Plant Acct-P29 (Reg)'!L54</f>
        <v>0</v>
      </c>
      <c r="M53" s="135"/>
      <c r="N53" s="138">
        <f>+'KY_Res by Plant Acct-P29 (Reg)'!N54</f>
        <v>0</v>
      </c>
      <c r="O53" s="135"/>
      <c r="P53" s="138">
        <f>+'KY_Res by Plant Acct-P29 (Reg)'!P54</f>
        <v>0</v>
      </c>
      <c r="Q53" s="135"/>
      <c r="R53" s="138">
        <f t="shared" si="3"/>
        <v>-19537.119999999995</v>
      </c>
    </row>
    <row r="54" spans="1:18" x14ac:dyDescent="0.2">
      <c r="A54" s="3" t="s">
        <v>2941</v>
      </c>
      <c r="B54" s="149">
        <f>+'KY_Res by Plant Acct-P29 (Reg)'!B55</f>
        <v>-5910.2300000000105</v>
      </c>
      <c r="C54" s="135"/>
      <c r="D54" s="149">
        <f>+'KY_Res by Plant Acct-P29 (Reg)'!D55</f>
        <v>-4728.41</v>
      </c>
      <c r="E54" s="135"/>
      <c r="F54" s="149">
        <f>+'KY_Res by Plant Acct-P29 (Reg)'!F55</f>
        <v>0</v>
      </c>
      <c r="G54" s="135"/>
      <c r="H54" s="149">
        <f>+'KY_Res by Plant Acct-P29 (Reg)'!H55</f>
        <v>0</v>
      </c>
      <c r="I54" s="135"/>
      <c r="J54" s="149">
        <f>+'KY_Res by Plant Acct-P29 (Reg)'!J55</f>
        <v>0</v>
      </c>
      <c r="K54" s="135"/>
      <c r="L54" s="149">
        <f>+'KY_Res by Plant Acct-P29 (Reg)'!L55</f>
        <v>0</v>
      </c>
      <c r="M54" s="135"/>
      <c r="N54" s="149">
        <f>+'KY_Res by Plant Acct-P29 (Reg)'!N55</f>
        <v>0</v>
      </c>
      <c r="O54" s="135"/>
      <c r="P54" s="149">
        <f>+'KY_Res by Plant Acct-P29 (Reg)'!P55</f>
        <v>0</v>
      </c>
      <c r="Q54" s="135"/>
      <c r="R54" s="149">
        <f t="shared" si="3"/>
        <v>-10638.64000000001</v>
      </c>
    </row>
    <row r="55" spans="1:18" x14ac:dyDescent="0.2">
      <c r="B55" s="135">
        <f>SUM(B43:B54)</f>
        <v>-13778708.540000001</v>
      </c>
      <c r="C55" s="135"/>
      <c r="D55" s="135">
        <f t="shared" ref="D55:R55" si="4">SUM(D43:D54)</f>
        <v>-2926402.8099999996</v>
      </c>
      <c r="E55" s="135"/>
      <c r="F55" s="135">
        <f t="shared" si="4"/>
        <v>135429.89000000001</v>
      </c>
      <c r="G55" s="135"/>
      <c r="H55" s="135">
        <f t="shared" si="4"/>
        <v>0</v>
      </c>
      <c r="I55" s="135"/>
      <c r="J55" s="135">
        <f t="shared" si="4"/>
        <v>0</v>
      </c>
      <c r="K55" s="135"/>
      <c r="L55" s="135">
        <f t="shared" si="4"/>
        <v>15985.87</v>
      </c>
      <c r="M55" s="135"/>
      <c r="N55" s="135">
        <f t="shared" si="4"/>
        <v>-110.96</v>
      </c>
      <c r="O55" s="135"/>
      <c r="P55" s="135">
        <f t="shared" si="4"/>
        <v>0</v>
      </c>
      <c r="Q55" s="135"/>
      <c r="R55" s="135">
        <f t="shared" si="4"/>
        <v>-16553806.549999997</v>
      </c>
    </row>
    <row r="56" spans="1:18" x14ac:dyDescent="0.2">
      <c r="B56" s="138"/>
      <c r="C56" s="135"/>
      <c r="D56" s="138"/>
      <c r="E56" s="135"/>
      <c r="F56" s="138"/>
      <c r="G56" s="135"/>
      <c r="H56" s="138"/>
      <c r="I56" s="135"/>
      <c r="J56" s="138"/>
      <c r="K56" s="135"/>
      <c r="L56" s="138"/>
      <c r="M56" s="135"/>
      <c r="N56" s="138"/>
      <c r="O56" s="135"/>
      <c r="P56" s="138"/>
      <c r="Q56" s="135"/>
      <c r="R56" s="138"/>
    </row>
    <row r="57" spans="1:18" x14ac:dyDescent="0.2">
      <c r="A57" s="10" t="s">
        <v>22</v>
      </c>
      <c r="B57" s="138"/>
      <c r="C57" s="135"/>
      <c r="D57" s="138"/>
      <c r="E57" s="135"/>
      <c r="F57" s="138"/>
      <c r="G57" s="135"/>
      <c r="H57" s="138"/>
      <c r="I57" s="135"/>
      <c r="J57" s="138"/>
      <c r="K57" s="135"/>
      <c r="L57" s="138"/>
      <c r="M57" s="135"/>
      <c r="N57" s="138"/>
      <c r="O57" s="135"/>
      <c r="P57" s="138"/>
      <c r="Q57" s="135"/>
      <c r="R57" s="138"/>
    </row>
    <row r="58" spans="1:18" x14ac:dyDescent="0.2">
      <c r="A58" s="3" t="s">
        <v>2942</v>
      </c>
      <c r="B58" s="138">
        <f>+'KY_Res by Plant Acct-P29 (Reg)'!B59</f>
        <v>0</v>
      </c>
      <c r="C58" s="135"/>
      <c r="D58" s="138">
        <f>+'KY_Res by Plant Acct-P29 (Reg)'!D59</f>
        <v>0</v>
      </c>
      <c r="E58" s="135"/>
      <c r="F58" s="138">
        <f>+'KY_Res by Plant Acct-P29 (Reg)'!F59</f>
        <v>0</v>
      </c>
      <c r="G58" s="135"/>
      <c r="H58" s="138">
        <f>+'KY_Res by Plant Acct-P29 (Reg)'!H59</f>
        <v>0</v>
      </c>
      <c r="I58" s="135"/>
      <c r="J58" s="138">
        <f>+'KY_Res by Plant Acct-P29 (Reg)'!J59</f>
        <v>0</v>
      </c>
      <c r="K58" s="138"/>
      <c r="L58" s="138">
        <f>+'KY_Res by Plant Acct-P29 (Reg)'!L59</f>
        <v>0</v>
      </c>
      <c r="M58" s="135"/>
      <c r="N58" s="138">
        <f>+'KY_Res by Plant Acct-P29 (Reg)'!N59</f>
        <v>0</v>
      </c>
      <c r="O58" s="135"/>
      <c r="P58" s="138">
        <f>+'KY_Res by Plant Acct-P29 (Reg)'!P59</f>
        <v>0</v>
      </c>
      <c r="Q58" s="135"/>
      <c r="R58" s="138">
        <f t="shared" ref="R58:R135" si="5">SUM(B58:P58)</f>
        <v>0</v>
      </c>
    </row>
    <row r="59" spans="1:18" x14ac:dyDescent="0.2">
      <c r="A59" s="3" t="s">
        <v>3382</v>
      </c>
      <c r="B59" s="138">
        <f>+'KY_Res by Plant Acct-P29 (Reg)'!B61</f>
        <v>0</v>
      </c>
      <c r="C59" s="135"/>
      <c r="D59" s="138">
        <f>+'KY_Res by Plant Acct-P29 (Reg)'!D61</f>
        <v>0</v>
      </c>
      <c r="E59" s="135"/>
      <c r="F59" s="138">
        <f>+'KY_Res by Plant Acct-P29 (Reg)'!F61</f>
        <v>0</v>
      </c>
      <c r="G59" s="135"/>
      <c r="H59" s="138">
        <f>+'KY_Res by Plant Acct-P29 (Reg)'!H61</f>
        <v>0</v>
      </c>
      <c r="I59" s="135"/>
      <c r="J59" s="138">
        <f>+'KY_Res by Plant Acct-P29 (Reg)'!J61</f>
        <v>0</v>
      </c>
      <c r="K59" s="138"/>
      <c r="L59" s="138">
        <f>+'KY_Res by Plant Acct-P29 (Reg)'!L61</f>
        <v>0</v>
      </c>
      <c r="M59" s="135"/>
      <c r="N59" s="138">
        <f>+'KY_Res by Plant Acct-P29 (Reg)'!N61</f>
        <v>0</v>
      </c>
      <c r="O59" s="135"/>
      <c r="P59" s="138">
        <f>+'KY_Res by Plant Acct-P29 (Reg)'!P61</f>
        <v>0</v>
      </c>
      <c r="Q59" s="135"/>
      <c r="R59" s="138">
        <f t="shared" si="5"/>
        <v>0</v>
      </c>
    </row>
    <row r="60" spans="1:18" x14ac:dyDescent="0.2">
      <c r="A60" s="3" t="s">
        <v>2943</v>
      </c>
      <c r="B60" s="138"/>
      <c r="C60" s="135"/>
      <c r="D60" s="138"/>
      <c r="E60" s="135"/>
      <c r="F60" s="138"/>
      <c r="G60" s="135"/>
      <c r="H60" s="138"/>
      <c r="I60" s="135"/>
      <c r="J60" s="138"/>
      <c r="K60" s="138"/>
      <c r="L60" s="138"/>
      <c r="M60" s="135"/>
      <c r="N60" s="138"/>
      <c r="O60" s="135"/>
      <c r="P60" s="138"/>
      <c r="Q60" s="135"/>
      <c r="R60" s="138"/>
    </row>
    <row r="61" spans="1:18" outlineLevel="1" x14ac:dyDescent="0.2">
      <c r="A61" s="3" t="s">
        <v>3383</v>
      </c>
      <c r="B61" s="138">
        <f>+'KY_Res by Plant Acct-P29 (Reg)'!B62</f>
        <v>-116268.96</v>
      </c>
      <c r="C61" s="135"/>
      <c r="D61" s="138">
        <f>+'KY_Res by Plant Acct-P29 (Reg)'!D62</f>
        <v>-29950.15</v>
      </c>
      <c r="E61" s="135"/>
      <c r="F61" s="138">
        <f>+'KY_Res by Plant Acct-P29 (Reg)'!F62</f>
        <v>766.92</v>
      </c>
      <c r="G61" s="135"/>
      <c r="H61" s="138">
        <f>+'KY_Res by Plant Acct-P29 (Reg)'!H62</f>
        <v>0</v>
      </c>
      <c r="I61" s="135"/>
      <c r="J61" s="138">
        <f>+'KY_Res by Plant Acct-P29 (Reg)'!J62</f>
        <v>0</v>
      </c>
      <c r="K61" s="138"/>
      <c r="L61" s="138">
        <f>+'KY_Res by Plant Acct-P29 (Reg)'!L62</f>
        <v>-0.3</v>
      </c>
      <c r="M61" s="135"/>
      <c r="N61" s="138">
        <f>+'KY_Res by Plant Acct-P29 (Reg)'!N62</f>
        <v>-55.29</v>
      </c>
      <c r="O61" s="135"/>
      <c r="P61" s="138">
        <f>+'KY_Res by Plant Acct-P29 (Reg)'!P62</f>
        <v>0</v>
      </c>
      <c r="Q61" s="135"/>
      <c r="R61" s="138">
        <f t="shared" si="5"/>
        <v>-145507.78</v>
      </c>
    </row>
    <row r="62" spans="1:18" outlineLevel="1" x14ac:dyDescent="0.2">
      <c r="A62" s="3" t="s">
        <v>2946</v>
      </c>
      <c r="B62" s="138">
        <f>+'KY_Res by Plant Acct-P29 (Reg)'!B63</f>
        <v>-4003388.57</v>
      </c>
      <c r="C62" s="135"/>
      <c r="D62" s="138">
        <f>+'KY_Res by Plant Acct-P29 (Reg)'!D63</f>
        <v>-439337.07</v>
      </c>
      <c r="E62" s="138">
        <f>+'KY_Res by Plant Acct-P29 (Reg)'!E63</f>
        <v>0</v>
      </c>
      <c r="F62" s="138">
        <f>+'KY_Res by Plant Acct-P29 (Reg)'!F63</f>
        <v>37565.78</v>
      </c>
      <c r="G62" s="138">
        <f>+'KY_Res by Plant Acct-P29 (Reg)'!G63</f>
        <v>0</v>
      </c>
      <c r="H62" s="138">
        <f>+'KY_Res by Plant Acct-P29 (Reg)'!H63</f>
        <v>0</v>
      </c>
      <c r="I62" s="138">
        <f>+'KY_Res by Plant Acct-P29 (Reg)'!I63</f>
        <v>0</v>
      </c>
      <c r="J62" s="138">
        <f>+'KY_Res by Plant Acct-P29 (Reg)'!J63</f>
        <v>0</v>
      </c>
      <c r="K62" s="138">
        <f>+'KY_Res by Plant Acct-P29 (Reg)'!K63</f>
        <v>0</v>
      </c>
      <c r="L62" s="138">
        <f>+'KY_Res by Plant Acct-P29 (Reg)'!L63</f>
        <v>29425.16</v>
      </c>
      <c r="M62" s="138">
        <f>+'KY_Res by Plant Acct-P29 (Reg)'!M63</f>
        <v>0</v>
      </c>
      <c r="N62" s="138">
        <f>+'KY_Res by Plant Acct-P29 (Reg)'!N63</f>
        <v>-1355.32</v>
      </c>
      <c r="O62" s="138">
        <f>+'KY_Res by Plant Acct-P29 (Reg)'!O63</f>
        <v>0</v>
      </c>
      <c r="P62" s="138">
        <f>+'KY_Res by Plant Acct-P29 (Reg)'!P63</f>
        <v>0</v>
      </c>
      <c r="Q62" s="135"/>
      <c r="R62" s="138">
        <f t="shared" si="5"/>
        <v>-4377090.0199999996</v>
      </c>
    </row>
    <row r="63" spans="1:18" outlineLevel="1" x14ac:dyDescent="0.2">
      <c r="A63" s="3" t="s">
        <v>2947</v>
      </c>
      <c r="B63" s="138">
        <f>+'KY_Res by Plant Acct-P29 (Reg)'!B64</f>
        <v>-418308.20999999996</v>
      </c>
      <c r="C63" s="135"/>
      <c r="D63" s="138">
        <f>+'KY_Res by Plant Acct-P29 (Reg)'!D64</f>
        <v>-39836.720000000001</v>
      </c>
      <c r="E63" s="135"/>
      <c r="F63" s="138">
        <f>+'KY_Res by Plant Acct-P29 (Reg)'!F64</f>
        <v>90454.98</v>
      </c>
      <c r="G63" s="135"/>
      <c r="H63" s="138">
        <f>+'KY_Res by Plant Acct-P29 (Reg)'!H64</f>
        <v>0</v>
      </c>
      <c r="I63" s="135"/>
      <c r="J63" s="138">
        <f>+'KY_Res by Plant Acct-P29 (Reg)'!J64</f>
        <v>0</v>
      </c>
      <c r="K63" s="138"/>
      <c r="L63" s="138">
        <f>+'KY_Res by Plant Acct-P29 (Reg)'!L64</f>
        <v>8224.35</v>
      </c>
      <c r="M63" s="135"/>
      <c r="N63" s="138">
        <f>+'KY_Res by Plant Acct-P29 (Reg)'!N64</f>
        <v>0</v>
      </c>
      <c r="O63" s="135"/>
      <c r="P63" s="138">
        <f>+'KY_Res by Plant Acct-P29 (Reg)'!P64</f>
        <v>0</v>
      </c>
      <c r="Q63" s="135"/>
      <c r="R63" s="138">
        <f t="shared" si="5"/>
        <v>-359465.6</v>
      </c>
    </row>
    <row r="64" spans="1:18" outlineLevel="1" x14ac:dyDescent="0.2">
      <c r="A64" s="3" t="s">
        <v>2948</v>
      </c>
      <c r="B64" s="138">
        <f>+'KY_Res by Plant Acct-P29 (Reg)'!B65</f>
        <v>-50956.849999999991</v>
      </c>
      <c r="C64" s="135"/>
      <c r="D64" s="138">
        <f>+'KY_Res by Plant Acct-P29 (Reg)'!D65</f>
        <v>-4334.5200000000004</v>
      </c>
      <c r="E64" s="135"/>
      <c r="F64" s="138">
        <f>+'KY_Res by Plant Acct-P29 (Reg)'!F65</f>
        <v>0</v>
      </c>
      <c r="G64" s="135"/>
      <c r="H64" s="138">
        <f>+'KY_Res by Plant Acct-P29 (Reg)'!H65</f>
        <v>0</v>
      </c>
      <c r="I64" s="135"/>
      <c r="J64" s="138">
        <f>+'KY_Res by Plant Acct-P29 (Reg)'!J65</f>
        <v>0</v>
      </c>
      <c r="K64" s="138"/>
      <c r="L64" s="138">
        <f>+'KY_Res by Plant Acct-P29 (Reg)'!L65</f>
        <v>0</v>
      </c>
      <c r="M64" s="135"/>
      <c r="N64" s="138">
        <f>+'KY_Res by Plant Acct-P29 (Reg)'!N65</f>
        <v>0</v>
      </c>
      <c r="O64" s="135"/>
      <c r="P64" s="138">
        <f>+'KY_Res by Plant Acct-P29 (Reg)'!P65</f>
        <v>0</v>
      </c>
      <c r="Q64" s="135"/>
      <c r="R64" s="138">
        <f t="shared" si="5"/>
        <v>-55291.369999999995</v>
      </c>
    </row>
    <row r="65" spans="1:18" outlineLevel="1" x14ac:dyDescent="0.2">
      <c r="A65" s="3" t="s">
        <v>2949</v>
      </c>
      <c r="B65" s="138">
        <f>+'KY_Res by Plant Acct-P29 (Reg)'!B66</f>
        <v>-69649.239999999991</v>
      </c>
      <c r="C65" s="135"/>
      <c r="D65" s="138">
        <f>+'KY_Res by Plant Acct-P29 (Reg)'!D66</f>
        <v>-5889.84</v>
      </c>
      <c r="E65" s="135"/>
      <c r="F65" s="138">
        <f>+'KY_Res by Plant Acct-P29 (Reg)'!F66</f>
        <v>0</v>
      </c>
      <c r="G65" s="135"/>
      <c r="H65" s="138">
        <f>+'KY_Res by Plant Acct-P29 (Reg)'!H66</f>
        <v>0</v>
      </c>
      <c r="I65" s="135"/>
      <c r="J65" s="138">
        <f>+'KY_Res by Plant Acct-P29 (Reg)'!J66</f>
        <v>0</v>
      </c>
      <c r="K65" s="138"/>
      <c r="L65" s="138">
        <f>+'KY_Res by Plant Acct-P29 (Reg)'!L66</f>
        <v>0</v>
      </c>
      <c r="M65" s="135"/>
      <c r="N65" s="138">
        <f>+'KY_Res by Plant Acct-P29 (Reg)'!N66</f>
        <v>0</v>
      </c>
      <c r="O65" s="135"/>
      <c r="P65" s="138">
        <f>+'KY_Res by Plant Acct-P29 (Reg)'!P66</f>
        <v>0</v>
      </c>
      <c r="Q65" s="135"/>
      <c r="R65" s="138">
        <f t="shared" si="5"/>
        <v>-75539.079999999987</v>
      </c>
    </row>
    <row r="66" spans="1:18" outlineLevel="1" x14ac:dyDescent="0.2">
      <c r="A66" s="3" t="s">
        <v>2950</v>
      </c>
      <c r="B66" s="138">
        <f>+'KY_Res by Plant Acct-P29 (Reg)'!B67</f>
        <v>0</v>
      </c>
      <c r="C66" s="135"/>
      <c r="D66" s="138">
        <f>+'KY_Res by Plant Acct-P29 (Reg)'!D67</f>
        <v>-29415.33</v>
      </c>
      <c r="E66" s="135"/>
      <c r="F66" s="138">
        <f>+'KY_Res by Plant Acct-P29 (Reg)'!F67</f>
        <v>0</v>
      </c>
      <c r="G66" s="135"/>
      <c r="H66" s="138">
        <f>+'KY_Res by Plant Acct-P29 (Reg)'!H67</f>
        <v>16569.66</v>
      </c>
      <c r="I66" s="135"/>
      <c r="J66" s="138">
        <f>+'KY_Res by Plant Acct-P29 (Reg)'!J67</f>
        <v>0</v>
      </c>
      <c r="K66" s="138"/>
      <c r="L66" s="138">
        <f>+'KY_Res by Plant Acct-P29 (Reg)'!L67</f>
        <v>0</v>
      </c>
      <c r="M66" s="135"/>
      <c r="N66" s="138">
        <f>+'KY_Res by Plant Acct-P29 (Reg)'!N67</f>
        <v>0</v>
      </c>
      <c r="O66" s="135"/>
      <c r="P66" s="138">
        <f>+'KY_Res by Plant Acct-P29 (Reg)'!P67</f>
        <v>0</v>
      </c>
      <c r="Q66" s="135"/>
      <c r="R66" s="138">
        <f t="shared" si="5"/>
        <v>-12845.670000000002</v>
      </c>
    </row>
    <row r="67" spans="1:18" outlineLevel="1" x14ac:dyDescent="0.2">
      <c r="A67" s="3" t="s">
        <v>2951</v>
      </c>
      <c r="B67" s="138">
        <f>+'KY_Res by Plant Acct-P29 (Reg)'!B68</f>
        <v>-59182.759999999995</v>
      </c>
      <c r="C67" s="135"/>
      <c r="D67" s="138">
        <f>+'KY_Res by Plant Acct-P29 (Reg)'!D68</f>
        <v>-2070.84</v>
      </c>
      <c r="E67" s="135"/>
      <c r="F67" s="138">
        <f>+'KY_Res by Plant Acct-P29 (Reg)'!F68</f>
        <v>0</v>
      </c>
      <c r="G67" s="135"/>
      <c r="H67" s="138">
        <f>+'KY_Res by Plant Acct-P29 (Reg)'!H68</f>
        <v>0</v>
      </c>
      <c r="I67" s="135"/>
      <c r="J67" s="138">
        <f>+'KY_Res by Plant Acct-P29 (Reg)'!J68</f>
        <v>0</v>
      </c>
      <c r="K67" s="138"/>
      <c r="L67" s="138">
        <f>+'KY_Res by Plant Acct-P29 (Reg)'!L68</f>
        <v>0</v>
      </c>
      <c r="M67" s="135"/>
      <c r="N67" s="138">
        <f>+'KY_Res by Plant Acct-P29 (Reg)'!N68</f>
        <v>0</v>
      </c>
      <c r="O67" s="135"/>
      <c r="P67" s="138">
        <f>+'KY_Res by Plant Acct-P29 (Reg)'!P68</f>
        <v>0</v>
      </c>
      <c r="Q67" s="135"/>
      <c r="R67" s="138">
        <f t="shared" si="5"/>
        <v>-61253.599999999991</v>
      </c>
    </row>
    <row r="68" spans="1:18" outlineLevel="1" x14ac:dyDescent="0.2">
      <c r="A68" s="3" t="s">
        <v>2952</v>
      </c>
      <c r="B68" s="138">
        <f>+'KY_Res by Plant Acct-P29 (Reg)'!B69</f>
        <v>-1052043.1700000002</v>
      </c>
      <c r="C68" s="135"/>
      <c r="D68" s="138">
        <f>+'KY_Res by Plant Acct-P29 (Reg)'!D69</f>
        <v>-86239</v>
      </c>
      <c r="E68" s="135"/>
      <c r="F68" s="138">
        <f>+'KY_Res by Plant Acct-P29 (Reg)'!F69</f>
        <v>4535.59</v>
      </c>
      <c r="G68" s="135"/>
      <c r="H68" s="138">
        <f>+'KY_Res by Plant Acct-P29 (Reg)'!H69</f>
        <v>0</v>
      </c>
      <c r="I68" s="135"/>
      <c r="J68" s="138">
        <f>+'KY_Res by Plant Acct-P29 (Reg)'!J69</f>
        <v>0</v>
      </c>
      <c r="K68" s="138"/>
      <c r="L68" s="138">
        <f>+'KY_Res by Plant Acct-P29 (Reg)'!L69</f>
        <v>287.43</v>
      </c>
      <c r="M68" s="135"/>
      <c r="N68" s="138">
        <f>+'KY_Res by Plant Acct-P29 (Reg)'!N69</f>
        <v>0</v>
      </c>
      <c r="O68" s="135"/>
      <c r="P68" s="138">
        <f>+'KY_Res by Plant Acct-P29 (Reg)'!P69</f>
        <v>0</v>
      </c>
      <c r="Q68" s="135"/>
      <c r="R68" s="138">
        <f t="shared" si="5"/>
        <v>-1133459.1500000001</v>
      </c>
    </row>
    <row r="69" spans="1:18" outlineLevel="1" x14ac:dyDescent="0.2">
      <c r="A69" s="3" t="s">
        <v>2953</v>
      </c>
      <c r="B69" s="138">
        <f>+'KY_Res by Plant Acct-P29 (Reg)'!B70</f>
        <v>-837110.88000000012</v>
      </c>
      <c r="C69" s="135"/>
      <c r="D69" s="138">
        <f>+'KY_Res by Plant Acct-P29 (Reg)'!D70</f>
        <v>-75287.399999999994</v>
      </c>
      <c r="E69" s="135"/>
      <c r="F69" s="138">
        <f>+'KY_Res by Plant Acct-P29 (Reg)'!F70</f>
        <v>0</v>
      </c>
      <c r="G69" s="135"/>
      <c r="H69" s="138">
        <f>+'KY_Res by Plant Acct-P29 (Reg)'!H70</f>
        <v>0</v>
      </c>
      <c r="I69" s="135"/>
      <c r="J69" s="138">
        <f>+'KY_Res by Plant Acct-P29 (Reg)'!J70</f>
        <v>0</v>
      </c>
      <c r="K69" s="138"/>
      <c r="L69" s="138">
        <f>+'KY_Res by Plant Acct-P29 (Reg)'!L70</f>
        <v>0</v>
      </c>
      <c r="M69" s="135"/>
      <c r="N69" s="138">
        <f>+'KY_Res by Plant Acct-P29 (Reg)'!N70</f>
        <v>0</v>
      </c>
      <c r="O69" s="135"/>
      <c r="P69" s="138">
        <f>+'KY_Res by Plant Acct-P29 (Reg)'!P70</f>
        <v>0</v>
      </c>
      <c r="Q69" s="135"/>
      <c r="R69" s="138">
        <f t="shared" si="5"/>
        <v>-912398.28000000014</v>
      </c>
    </row>
    <row r="70" spans="1:18" outlineLevel="1" x14ac:dyDescent="0.2">
      <c r="A70" s="3" t="s">
        <v>2954</v>
      </c>
      <c r="B70" s="138">
        <f>+'KY_Res by Plant Acct-P29 (Reg)'!B71</f>
        <v>-702618.75999999989</v>
      </c>
      <c r="C70" s="135"/>
      <c r="D70" s="138">
        <f>+'KY_Res by Plant Acct-P29 (Reg)'!D71</f>
        <v>-55692.480000000003</v>
      </c>
      <c r="E70" s="135"/>
      <c r="F70" s="138">
        <f>+'KY_Res by Plant Acct-P29 (Reg)'!F71</f>
        <v>0</v>
      </c>
      <c r="G70" s="135"/>
      <c r="H70" s="138">
        <f>+'KY_Res by Plant Acct-P29 (Reg)'!H71</f>
        <v>0</v>
      </c>
      <c r="I70" s="135"/>
      <c r="J70" s="138">
        <f>+'KY_Res by Plant Acct-P29 (Reg)'!J71</f>
        <v>0</v>
      </c>
      <c r="K70" s="138"/>
      <c r="L70" s="138">
        <f>+'KY_Res by Plant Acct-P29 (Reg)'!L71</f>
        <v>0</v>
      </c>
      <c r="M70" s="135"/>
      <c r="N70" s="138">
        <f>+'KY_Res by Plant Acct-P29 (Reg)'!N71</f>
        <v>0</v>
      </c>
      <c r="O70" s="135"/>
      <c r="P70" s="138">
        <f>+'KY_Res by Plant Acct-P29 (Reg)'!P71</f>
        <v>0</v>
      </c>
      <c r="Q70" s="135"/>
      <c r="R70" s="138">
        <f t="shared" si="5"/>
        <v>-758311.23999999987</v>
      </c>
    </row>
    <row r="71" spans="1:18" outlineLevel="1" x14ac:dyDescent="0.2">
      <c r="A71" s="3" t="s">
        <v>2955</v>
      </c>
      <c r="B71" s="138">
        <f>+'KY_Res by Plant Acct-P29 (Reg)'!B72</f>
        <v>-666525.94999999995</v>
      </c>
      <c r="C71" s="135"/>
      <c r="D71" s="138">
        <f>+'KY_Res by Plant Acct-P29 (Reg)'!D72</f>
        <v>-52404.959999999999</v>
      </c>
      <c r="E71" s="135"/>
      <c r="F71" s="138">
        <f>+'KY_Res by Plant Acct-P29 (Reg)'!F72</f>
        <v>0</v>
      </c>
      <c r="G71" s="135"/>
      <c r="H71" s="138">
        <f>+'KY_Res by Plant Acct-P29 (Reg)'!H72</f>
        <v>0</v>
      </c>
      <c r="I71" s="135"/>
      <c r="J71" s="138">
        <f>+'KY_Res by Plant Acct-P29 (Reg)'!J72</f>
        <v>0</v>
      </c>
      <c r="K71" s="138"/>
      <c r="L71" s="138">
        <f>+'KY_Res by Plant Acct-P29 (Reg)'!L72</f>
        <v>0</v>
      </c>
      <c r="M71" s="135"/>
      <c r="N71" s="138">
        <f>+'KY_Res by Plant Acct-P29 (Reg)'!N72</f>
        <v>0</v>
      </c>
      <c r="O71" s="135"/>
      <c r="P71" s="138">
        <f>+'KY_Res by Plant Acct-P29 (Reg)'!P72</f>
        <v>0</v>
      </c>
      <c r="Q71" s="135"/>
      <c r="R71" s="138">
        <f t="shared" si="5"/>
        <v>-718930.90999999992</v>
      </c>
    </row>
    <row r="72" spans="1:18" outlineLevel="1" x14ac:dyDescent="0.2">
      <c r="A72" s="3" t="s">
        <v>2956</v>
      </c>
      <c r="B72" s="138">
        <f>+'KY_Res by Plant Acct-P29 (Reg)'!B73</f>
        <v>-823173.54</v>
      </c>
      <c r="C72" s="135"/>
      <c r="D72" s="138">
        <f>+'KY_Res by Plant Acct-P29 (Reg)'!D73</f>
        <v>-73346.16</v>
      </c>
      <c r="E72" s="135"/>
      <c r="F72" s="138">
        <f>+'KY_Res by Plant Acct-P29 (Reg)'!F73</f>
        <v>0</v>
      </c>
      <c r="G72" s="135"/>
      <c r="H72" s="138">
        <f>+'KY_Res by Plant Acct-P29 (Reg)'!H73</f>
        <v>0</v>
      </c>
      <c r="I72" s="135"/>
      <c r="J72" s="138">
        <f>+'KY_Res by Plant Acct-P29 (Reg)'!J73</f>
        <v>0</v>
      </c>
      <c r="K72" s="138"/>
      <c r="L72" s="138">
        <f>+'KY_Res by Plant Acct-P29 (Reg)'!L73</f>
        <v>0</v>
      </c>
      <c r="M72" s="135"/>
      <c r="N72" s="138">
        <f>+'KY_Res by Plant Acct-P29 (Reg)'!N73</f>
        <v>0</v>
      </c>
      <c r="O72" s="135"/>
      <c r="P72" s="138">
        <f>+'KY_Res by Plant Acct-P29 (Reg)'!P73</f>
        <v>0</v>
      </c>
      <c r="Q72" s="135"/>
      <c r="R72" s="138">
        <f t="shared" si="5"/>
        <v>-896519.70000000007</v>
      </c>
    </row>
    <row r="73" spans="1:18" outlineLevel="1" x14ac:dyDescent="0.2">
      <c r="A73" s="3" t="s">
        <v>2957</v>
      </c>
      <c r="B73" s="138">
        <f>+'KY_Res by Plant Acct-P29 (Reg)'!B74</f>
        <v>-819945.44</v>
      </c>
      <c r="C73" s="135"/>
      <c r="D73" s="138">
        <f>+'KY_Res by Plant Acct-P29 (Reg)'!D74</f>
        <v>-73058.52</v>
      </c>
      <c r="E73" s="135"/>
      <c r="F73" s="138">
        <f>+'KY_Res by Plant Acct-P29 (Reg)'!F74</f>
        <v>0</v>
      </c>
      <c r="G73" s="135"/>
      <c r="H73" s="138">
        <f>+'KY_Res by Plant Acct-P29 (Reg)'!H74</f>
        <v>0</v>
      </c>
      <c r="I73" s="135"/>
      <c r="J73" s="138">
        <f>+'KY_Res by Plant Acct-P29 (Reg)'!J74</f>
        <v>0</v>
      </c>
      <c r="K73" s="138"/>
      <c r="L73" s="138">
        <f>+'KY_Res by Plant Acct-P29 (Reg)'!L74</f>
        <v>0</v>
      </c>
      <c r="M73" s="135"/>
      <c r="N73" s="138">
        <f>+'KY_Res by Plant Acct-P29 (Reg)'!N74</f>
        <v>0</v>
      </c>
      <c r="O73" s="135"/>
      <c r="P73" s="138">
        <f>+'KY_Res by Plant Acct-P29 (Reg)'!P74</f>
        <v>0</v>
      </c>
      <c r="Q73" s="135"/>
      <c r="R73" s="138">
        <f t="shared" si="5"/>
        <v>-893003.96</v>
      </c>
    </row>
    <row r="74" spans="1:18" outlineLevel="1" x14ac:dyDescent="0.2">
      <c r="A74" s="3" t="s">
        <v>2958</v>
      </c>
      <c r="B74" s="138">
        <f>+'KY_Res by Plant Acct-P29 (Reg)'!B75</f>
        <v>-838921.61999999988</v>
      </c>
      <c r="C74" s="135"/>
      <c r="D74" s="138">
        <f>+'KY_Res by Plant Acct-P29 (Reg)'!D75</f>
        <v>-75450.36</v>
      </c>
      <c r="E74" s="135"/>
      <c r="F74" s="138">
        <f>+'KY_Res by Plant Acct-P29 (Reg)'!F75</f>
        <v>0</v>
      </c>
      <c r="G74" s="135"/>
      <c r="H74" s="138">
        <f>+'KY_Res by Plant Acct-P29 (Reg)'!H75</f>
        <v>0</v>
      </c>
      <c r="I74" s="135"/>
      <c r="J74" s="138">
        <f>+'KY_Res by Plant Acct-P29 (Reg)'!J75</f>
        <v>0</v>
      </c>
      <c r="K74" s="138"/>
      <c r="L74" s="138">
        <f>+'KY_Res by Plant Acct-P29 (Reg)'!L75</f>
        <v>0</v>
      </c>
      <c r="M74" s="135"/>
      <c r="N74" s="138">
        <f>+'KY_Res by Plant Acct-P29 (Reg)'!N75</f>
        <v>0</v>
      </c>
      <c r="O74" s="135"/>
      <c r="P74" s="138">
        <f>+'KY_Res by Plant Acct-P29 (Reg)'!P75</f>
        <v>0</v>
      </c>
      <c r="Q74" s="135"/>
      <c r="R74" s="138">
        <f t="shared" si="5"/>
        <v>-914371.97999999986</v>
      </c>
    </row>
    <row r="75" spans="1:18" outlineLevel="1" x14ac:dyDescent="0.2">
      <c r="A75" s="3" t="s">
        <v>2959</v>
      </c>
      <c r="B75" s="138">
        <f>+'KY_Res by Plant Acct-P29 (Reg)'!B76</f>
        <v>0</v>
      </c>
      <c r="C75" s="135"/>
      <c r="D75" s="138">
        <f>+'KY_Res by Plant Acct-P29 (Reg)'!D76</f>
        <v>0</v>
      </c>
      <c r="E75" s="135"/>
      <c r="F75" s="138">
        <f>+'KY_Res by Plant Acct-P29 (Reg)'!F76</f>
        <v>0</v>
      </c>
      <c r="G75" s="135"/>
      <c r="H75" s="138">
        <f>+'KY_Res by Plant Acct-P29 (Reg)'!H76</f>
        <v>0</v>
      </c>
      <c r="I75" s="135"/>
      <c r="J75" s="138">
        <f>+'KY_Res by Plant Acct-P29 (Reg)'!J76</f>
        <v>0</v>
      </c>
      <c r="K75" s="138"/>
      <c r="L75" s="138">
        <f>+'KY_Res by Plant Acct-P29 (Reg)'!L76</f>
        <v>0</v>
      </c>
      <c r="M75" s="135"/>
      <c r="N75" s="138">
        <f>+'KY_Res by Plant Acct-P29 (Reg)'!N76</f>
        <v>0</v>
      </c>
      <c r="O75" s="135"/>
      <c r="P75" s="138">
        <f>+'KY_Res by Plant Acct-P29 (Reg)'!P76</f>
        <v>0</v>
      </c>
      <c r="Q75" s="135"/>
      <c r="R75" s="138">
        <f t="shared" si="5"/>
        <v>0</v>
      </c>
    </row>
    <row r="76" spans="1:18" outlineLevel="1" x14ac:dyDescent="0.2">
      <c r="A76" s="3" t="s">
        <v>2960</v>
      </c>
      <c r="B76" s="138">
        <f>+'KY_Res by Plant Acct-P29 (Reg)'!B77</f>
        <v>-10028.300000000001</v>
      </c>
      <c r="C76" s="135"/>
      <c r="D76" s="138">
        <f>+'KY_Res by Plant Acct-P29 (Reg)'!D77</f>
        <v>0</v>
      </c>
      <c r="E76" s="135"/>
      <c r="F76" s="138">
        <f>+'KY_Res by Plant Acct-P29 (Reg)'!F77</f>
        <v>0</v>
      </c>
      <c r="G76" s="135"/>
      <c r="H76" s="138">
        <f>+'KY_Res by Plant Acct-P29 (Reg)'!H77</f>
        <v>0</v>
      </c>
      <c r="I76" s="135"/>
      <c r="J76" s="138">
        <f>+'KY_Res by Plant Acct-P29 (Reg)'!J77</f>
        <v>0</v>
      </c>
      <c r="K76" s="138"/>
      <c r="L76" s="138">
        <f>+'KY_Res by Plant Acct-P29 (Reg)'!L77</f>
        <v>0</v>
      </c>
      <c r="M76" s="135"/>
      <c r="N76" s="138">
        <f>+'KY_Res by Plant Acct-P29 (Reg)'!N77</f>
        <v>0</v>
      </c>
      <c r="O76" s="135"/>
      <c r="P76" s="138">
        <f>+'KY_Res by Plant Acct-P29 (Reg)'!P77</f>
        <v>0</v>
      </c>
      <c r="Q76" s="135"/>
      <c r="R76" s="138">
        <f t="shared" si="5"/>
        <v>-10028.300000000001</v>
      </c>
    </row>
    <row r="77" spans="1:18" x14ac:dyDescent="0.2">
      <c r="A77" s="3" t="s">
        <v>2961</v>
      </c>
      <c r="B77" s="138">
        <f>SUM(B61:B76)</f>
        <v>-10468122.25</v>
      </c>
      <c r="C77" s="135"/>
      <c r="D77" s="138">
        <f>SUM(D61:D76)</f>
        <v>-1042313.3500000001</v>
      </c>
      <c r="E77" s="135"/>
      <c r="F77" s="138">
        <f t="shared" ref="F77:R77" si="6">SUM(F61:F76)</f>
        <v>133323.26999999999</v>
      </c>
      <c r="G77" s="135"/>
      <c r="H77" s="138">
        <f t="shared" si="6"/>
        <v>16569.66</v>
      </c>
      <c r="I77" s="135"/>
      <c r="J77" s="138">
        <f t="shared" si="6"/>
        <v>0</v>
      </c>
      <c r="K77" s="135"/>
      <c r="L77" s="138">
        <f t="shared" si="6"/>
        <v>37936.639999999999</v>
      </c>
      <c r="M77" s="135"/>
      <c r="N77" s="138">
        <f t="shared" si="6"/>
        <v>-1410.61</v>
      </c>
      <c r="O77" s="135"/>
      <c r="P77" s="138">
        <f t="shared" si="6"/>
        <v>0</v>
      </c>
      <c r="Q77" s="135"/>
      <c r="R77" s="138">
        <f t="shared" si="6"/>
        <v>-11324016.640000001</v>
      </c>
    </row>
    <row r="78" spans="1:18" outlineLevel="1" x14ac:dyDescent="0.2">
      <c r="A78" s="3" t="s">
        <v>3384</v>
      </c>
      <c r="B78" s="138">
        <f>+'KY_Res by Plant Acct-P29 (Reg)'!B79</f>
        <v>-174257.28000000003</v>
      </c>
      <c r="C78" s="135"/>
      <c r="D78" s="138">
        <f>+'KY_Res by Plant Acct-P29 (Reg)'!D79</f>
        <v>-45240.12</v>
      </c>
      <c r="E78" s="135"/>
      <c r="F78" s="138">
        <f>+'KY_Res by Plant Acct-P29 (Reg)'!F79</f>
        <v>0</v>
      </c>
      <c r="G78" s="135"/>
      <c r="H78" s="138">
        <f>+'KY_Res by Plant Acct-P29 (Reg)'!H79</f>
        <v>0</v>
      </c>
      <c r="I78" s="135"/>
      <c r="J78" s="138">
        <f>+'KY_Res by Plant Acct-P29 (Reg)'!J79</f>
        <v>0</v>
      </c>
      <c r="K78" s="135"/>
      <c r="L78" s="138">
        <f>+'KY_Res by Plant Acct-P29 (Reg)'!L79</f>
        <v>0</v>
      </c>
      <c r="M78" s="135"/>
      <c r="N78" s="138">
        <f>+'KY_Res by Plant Acct-P29 (Reg)'!N79</f>
        <v>0</v>
      </c>
      <c r="O78" s="135"/>
      <c r="P78" s="138">
        <f>+'KY_Res by Plant Acct-P29 (Reg)'!P79</f>
        <v>0</v>
      </c>
      <c r="Q78" s="135"/>
      <c r="R78" s="138">
        <f t="shared" si="5"/>
        <v>-219497.40000000002</v>
      </c>
    </row>
    <row r="79" spans="1:18" outlineLevel="1" x14ac:dyDescent="0.2">
      <c r="A79" s="3" t="s">
        <v>2963</v>
      </c>
      <c r="B79" s="138">
        <f>+'KY_Res by Plant Acct-P29 (Reg)'!B80</f>
        <v>-459681.94</v>
      </c>
      <c r="C79" s="138">
        <f>+'KY_Res by Plant Acct-P29 (Reg)'!C80</f>
        <v>0</v>
      </c>
      <c r="D79" s="138">
        <f>+'KY_Res by Plant Acct-P29 (Reg)'!D80</f>
        <v>-483846.48</v>
      </c>
      <c r="E79" s="138">
        <f>+'KY_Res by Plant Acct-P29 (Reg)'!E80</f>
        <v>0</v>
      </c>
      <c r="F79" s="138">
        <f>+'KY_Res by Plant Acct-P29 (Reg)'!F80</f>
        <v>0</v>
      </c>
      <c r="G79" s="138">
        <f>+'KY_Res by Plant Acct-P29 (Reg)'!G80</f>
        <v>0</v>
      </c>
      <c r="H79" s="138">
        <f>+'KY_Res by Plant Acct-P29 (Reg)'!H80</f>
        <v>0</v>
      </c>
      <c r="I79" s="138">
        <f>+'KY_Res by Plant Acct-P29 (Reg)'!I80</f>
        <v>0</v>
      </c>
      <c r="J79" s="138">
        <f>+'KY_Res by Plant Acct-P29 (Reg)'!J80</f>
        <v>0</v>
      </c>
      <c r="K79" s="138">
        <f>+'KY_Res by Plant Acct-P29 (Reg)'!K80</f>
        <v>0</v>
      </c>
      <c r="L79" s="138">
        <f>+'KY_Res by Plant Acct-P29 (Reg)'!L80</f>
        <v>0</v>
      </c>
      <c r="M79" s="138">
        <f>+'KY_Res by Plant Acct-P29 (Reg)'!M80</f>
        <v>0</v>
      </c>
      <c r="N79" s="138">
        <f>+'KY_Res by Plant Acct-P29 (Reg)'!N80</f>
        <v>0</v>
      </c>
      <c r="O79" s="138">
        <f>+'KY_Res by Plant Acct-P29 (Reg)'!O80</f>
        <v>0</v>
      </c>
      <c r="P79" s="138">
        <f>+'KY_Res by Plant Acct-P29 (Reg)'!P80</f>
        <v>0</v>
      </c>
      <c r="Q79" s="135"/>
      <c r="R79" s="138">
        <f t="shared" si="5"/>
        <v>-943528.41999999993</v>
      </c>
    </row>
    <row r="80" spans="1:18" outlineLevel="1" x14ac:dyDescent="0.2">
      <c r="A80" s="3" t="s">
        <v>2964</v>
      </c>
      <c r="B80" s="138">
        <f>+'KY_Res by Plant Acct-P29 (Reg)'!B81</f>
        <v>-97338.68</v>
      </c>
      <c r="C80" s="138">
        <f>+'KY_Res by Plant Acct-P29 (Reg)'!C81</f>
        <v>0</v>
      </c>
      <c r="D80" s="138">
        <f>+'KY_Res by Plant Acct-P29 (Reg)'!D81</f>
        <v>-180197.3</v>
      </c>
      <c r="E80" s="138">
        <f>+'KY_Res by Plant Acct-P29 (Reg)'!E81</f>
        <v>0</v>
      </c>
      <c r="F80" s="138">
        <f>+'KY_Res by Plant Acct-P29 (Reg)'!F81</f>
        <v>0</v>
      </c>
      <c r="G80" s="138">
        <f>+'KY_Res by Plant Acct-P29 (Reg)'!G81</f>
        <v>0</v>
      </c>
      <c r="H80" s="138">
        <f>+'KY_Res by Plant Acct-P29 (Reg)'!H81</f>
        <v>0</v>
      </c>
      <c r="I80" s="138">
        <f>+'KY_Res by Plant Acct-P29 (Reg)'!I81</f>
        <v>0</v>
      </c>
      <c r="J80" s="138">
        <f>+'KY_Res by Plant Acct-P29 (Reg)'!J81</f>
        <v>0</v>
      </c>
      <c r="K80" s="138">
        <f>+'KY_Res by Plant Acct-P29 (Reg)'!K81</f>
        <v>0</v>
      </c>
      <c r="L80" s="138">
        <f>+'KY_Res by Plant Acct-P29 (Reg)'!L81</f>
        <v>0</v>
      </c>
      <c r="M80" s="138">
        <f>+'KY_Res by Plant Acct-P29 (Reg)'!M81</f>
        <v>0</v>
      </c>
      <c r="N80" s="138">
        <f>+'KY_Res by Plant Acct-P29 (Reg)'!N81</f>
        <v>0</v>
      </c>
      <c r="O80" s="138">
        <f>+'KY_Res by Plant Acct-P29 (Reg)'!O81</f>
        <v>0</v>
      </c>
      <c r="P80" s="138">
        <f>+'KY_Res by Plant Acct-P29 (Reg)'!P81</f>
        <v>0</v>
      </c>
      <c r="Q80" s="135"/>
      <c r="R80" s="138">
        <f t="shared" si="5"/>
        <v>-277535.98</v>
      </c>
    </row>
    <row r="81" spans="1:18" outlineLevel="1" x14ac:dyDescent="0.2">
      <c r="A81" s="3" t="s">
        <v>2965</v>
      </c>
      <c r="B81" s="138">
        <f>+'KY_Res by Plant Acct-P29 (Reg)'!B82</f>
        <v>-358747.54999999993</v>
      </c>
      <c r="C81" s="135"/>
      <c r="D81" s="138">
        <f>+'KY_Res by Plant Acct-P29 (Reg)'!D82</f>
        <v>-34807.800000000003</v>
      </c>
      <c r="E81" s="135"/>
      <c r="F81" s="138">
        <f>+'KY_Res by Plant Acct-P29 (Reg)'!F82</f>
        <v>0</v>
      </c>
      <c r="G81" s="135"/>
      <c r="H81" s="138">
        <f>+'KY_Res by Plant Acct-P29 (Reg)'!H82</f>
        <v>0</v>
      </c>
      <c r="I81" s="135"/>
      <c r="J81" s="138">
        <f>+'KY_Res by Plant Acct-P29 (Reg)'!J82</f>
        <v>0</v>
      </c>
      <c r="K81" s="135"/>
      <c r="L81" s="138">
        <f>+'KY_Res by Plant Acct-P29 (Reg)'!L82</f>
        <v>0</v>
      </c>
      <c r="M81" s="135"/>
      <c r="N81" s="138">
        <f>+'KY_Res by Plant Acct-P29 (Reg)'!N82</f>
        <v>0</v>
      </c>
      <c r="O81" s="135"/>
      <c r="P81" s="138">
        <f>+'KY_Res by Plant Acct-P29 (Reg)'!P82</f>
        <v>0</v>
      </c>
      <c r="Q81" s="135"/>
      <c r="R81" s="138">
        <f t="shared" si="5"/>
        <v>-393555.34999999992</v>
      </c>
    </row>
    <row r="82" spans="1:18" outlineLevel="1" x14ac:dyDescent="0.2">
      <c r="A82" s="3" t="s">
        <v>2966</v>
      </c>
      <c r="B82" s="138">
        <f>+'KY_Res by Plant Acct-P29 (Reg)'!B83</f>
        <v>-146491.28</v>
      </c>
      <c r="C82" s="135"/>
      <c r="D82" s="138">
        <f>+'KY_Res by Plant Acct-P29 (Reg)'!D83</f>
        <v>-40243.08</v>
      </c>
      <c r="E82" s="135"/>
      <c r="F82" s="138">
        <f>+'KY_Res by Plant Acct-P29 (Reg)'!F83</f>
        <v>0</v>
      </c>
      <c r="G82" s="135"/>
      <c r="H82" s="138">
        <f>+'KY_Res by Plant Acct-P29 (Reg)'!H83</f>
        <v>0</v>
      </c>
      <c r="I82" s="135"/>
      <c r="J82" s="138">
        <f>+'KY_Res by Plant Acct-P29 (Reg)'!J83</f>
        <v>0</v>
      </c>
      <c r="K82" s="135"/>
      <c r="L82" s="138">
        <f>+'KY_Res by Plant Acct-P29 (Reg)'!L83</f>
        <v>0</v>
      </c>
      <c r="M82" s="135"/>
      <c r="N82" s="138">
        <f>+'KY_Res by Plant Acct-P29 (Reg)'!N83</f>
        <v>0</v>
      </c>
      <c r="O82" s="135"/>
      <c r="P82" s="138">
        <f>+'KY_Res by Plant Acct-P29 (Reg)'!P83</f>
        <v>0</v>
      </c>
      <c r="Q82" s="135"/>
      <c r="R82" s="138">
        <f t="shared" si="5"/>
        <v>-186734.36</v>
      </c>
    </row>
    <row r="83" spans="1:18" outlineLevel="1" x14ac:dyDescent="0.2">
      <c r="A83" s="3" t="s">
        <v>2967</v>
      </c>
      <c r="B83" s="138">
        <f>+'KY_Res by Plant Acct-P29 (Reg)'!B84</f>
        <v>-19025.399999999998</v>
      </c>
      <c r="C83" s="135"/>
      <c r="D83" s="138">
        <f>+'KY_Res by Plant Acct-P29 (Reg)'!D84</f>
        <v>-39022.080000000002</v>
      </c>
      <c r="E83" s="135"/>
      <c r="F83" s="138">
        <f>+'KY_Res by Plant Acct-P29 (Reg)'!F84</f>
        <v>0</v>
      </c>
      <c r="G83" s="135"/>
      <c r="H83" s="138">
        <f>+'KY_Res by Plant Acct-P29 (Reg)'!H84</f>
        <v>0</v>
      </c>
      <c r="I83" s="135"/>
      <c r="J83" s="138">
        <f>+'KY_Res by Plant Acct-P29 (Reg)'!J84</f>
        <v>0</v>
      </c>
      <c r="K83" s="135"/>
      <c r="L83" s="138">
        <f>+'KY_Res by Plant Acct-P29 (Reg)'!L84</f>
        <v>0</v>
      </c>
      <c r="M83" s="135"/>
      <c r="N83" s="138">
        <f>+'KY_Res by Plant Acct-P29 (Reg)'!N84</f>
        <v>0</v>
      </c>
      <c r="O83" s="135"/>
      <c r="P83" s="138">
        <f>+'KY_Res by Plant Acct-P29 (Reg)'!P84</f>
        <v>0</v>
      </c>
      <c r="Q83" s="135"/>
      <c r="R83" s="138">
        <f t="shared" si="5"/>
        <v>-58047.479999999996</v>
      </c>
    </row>
    <row r="84" spans="1:18" outlineLevel="1" x14ac:dyDescent="0.2">
      <c r="A84" s="3" t="s">
        <v>2968</v>
      </c>
      <c r="B84" s="138">
        <f>+'KY_Res by Plant Acct-P29 (Reg)'!B85</f>
        <v>-11244.2</v>
      </c>
      <c r="C84" s="135"/>
      <c r="D84" s="138">
        <f>+'KY_Res by Plant Acct-P29 (Reg)'!D85</f>
        <v>0</v>
      </c>
      <c r="E84" s="135"/>
      <c r="F84" s="138">
        <f>+'KY_Res by Plant Acct-P29 (Reg)'!F85</f>
        <v>0</v>
      </c>
      <c r="G84" s="135"/>
      <c r="H84" s="138">
        <f>+'KY_Res by Plant Acct-P29 (Reg)'!H85</f>
        <v>0</v>
      </c>
      <c r="I84" s="135"/>
      <c r="J84" s="138">
        <f>+'KY_Res by Plant Acct-P29 (Reg)'!J85</f>
        <v>0</v>
      </c>
      <c r="K84" s="135"/>
      <c r="L84" s="138">
        <f>+'KY_Res by Plant Acct-P29 (Reg)'!L85</f>
        <v>0</v>
      </c>
      <c r="M84" s="135"/>
      <c r="N84" s="138">
        <f>+'KY_Res by Plant Acct-P29 (Reg)'!N85</f>
        <v>0</v>
      </c>
      <c r="O84" s="135"/>
      <c r="P84" s="138">
        <f>+'KY_Res by Plant Acct-P29 (Reg)'!P85</f>
        <v>0</v>
      </c>
      <c r="Q84" s="135"/>
      <c r="R84" s="138">
        <f t="shared" si="5"/>
        <v>-11244.2</v>
      </c>
    </row>
    <row r="85" spans="1:18" outlineLevel="1" x14ac:dyDescent="0.2">
      <c r="A85" s="3" t="s">
        <v>2969</v>
      </c>
      <c r="B85" s="138">
        <f>+'KY_Res by Plant Acct-P29 (Reg)'!B86</f>
        <v>-17306.43</v>
      </c>
      <c r="C85" s="135"/>
      <c r="D85" s="138">
        <f>+'KY_Res by Plant Acct-P29 (Reg)'!D86</f>
        <v>-1068.24</v>
      </c>
      <c r="E85" s="135"/>
      <c r="F85" s="138">
        <f>+'KY_Res by Plant Acct-P29 (Reg)'!F86</f>
        <v>0</v>
      </c>
      <c r="G85" s="135"/>
      <c r="H85" s="138">
        <f>+'KY_Res by Plant Acct-P29 (Reg)'!H86</f>
        <v>0</v>
      </c>
      <c r="I85" s="135"/>
      <c r="J85" s="138">
        <f>+'KY_Res by Plant Acct-P29 (Reg)'!J86</f>
        <v>0</v>
      </c>
      <c r="K85" s="135"/>
      <c r="L85" s="138">
        <f>+'KY_Res by Plant Acct-P29 (Reg)'!L86</f>
        <v>0</v>
      </c>
      <c r="M85" s="135"/>
      <c r="N85" s="138">
        <f>+'KY_Res by Plant Acct-P29 (Reg)'!N86</f>
        <v>0</v>
      </c>
      <c r="O85" s="135"/>
      <c r="P85" s="138">
        <f>+'KY_Res by Plant Acct-P29 (Reg)'!P86</f>
        <v>0</v>
      </c>
      <c r="Q85" s="135"/>
      <c r="R85" s="138">
        <f t="shared" si="5"/>
        <v>-18374.670000000002</v>
      </c>
    </row>
    <row r="86" spans="1:18" outlineLevel="1" x14ac:dyDescent="0.2">
      <c r="A86" s="3" t="s">
        <v>2970</v>
      </c>
      <c r="B86" s="138">
        <f>+'KY_Res by Plant Acct-P29 (Reg)'!B87</f>
        <v>-1104941.4100000001</v>
      </c>
      <c r="C86" s="135"/>
      <c r="D86" s="138">
        <f>+'KY_Res by Plant Acct-P29 (Reg)'!D87</f>
        <v>-118061.11</v>
      </c>
      <c r="E86" s="135"/>
      <c r="F86" s="138">
        <f>+'KY_Res by Plant Acct-P29 (Reg)'!F87</f>
        <v>0</v>
      </c>
      <c r="G86" s="135"/>
      <c r="H86" s="138">
        <f>+'KY_Res by Plant Acct-P29 (Reg)'!H87</f>
        <v>0</v>
      </c>
      <c r="I86" s="135"/>
      <c r="J86" s="138">
        <f>+'KY_Res by Plant Acct-P29 (Reg)'!J87</f>
        <v>0</v>
      </c>
      <c r="K86" s="135"/>
      <c r="L86" s="138">
        <f>+'KY_Res by Plant Acct-P29 (Reg)'!L87</f>
        <v>0</v>
      </c>
      <c r="M86" s="135"/>
      <c r="N86" s="138">
        <f>+'KY_Res by Plant Acct-P29 (Reg)'!N87</f>
        <v>0</v>
      </c>
      <c r="O86" s="135"/>
      <c r="P86" s="138">
        <f>+'KY_Res by Plant Acct-P29 (Reg)'!P87</f>
        <v>0</v>
      </c>
      <c r="Q86" s="135"/>
      <c r="R86" s="138">
        <f t="shared" si="5"/>
        <v>-1223002.5200000003</v>
      </c>
    </row>
    <row r="87" spans="1:18" outlineLevel="1" x14ac:dyDescent="0.2">
      <c r="A87" s="3" t="s">
        <v>2971</v>
      </c>
      <c r="B87" s="138">
        <f>+'KY_Res by Plant Acct-P29 (Reg)'!B88</f>
        <v>-142662.16</v>
      </c>
      <c r="C87" s="135"/>
      <c r="D87" s="138">
        <f>+'KY_Res by Plant Acct-P29 (Reg)'!D88</f>
        <v>-13244.04</v>
      </c>
      <c r="E87" s="135"/>
      <c r="F87" s="138">
        <f>+'KY_Res by Plant Acct-P29 (Reg)'!F88</f>
        <v>0</v>
      </c>
      <c r="G87" s="135"/>
      <c r="H87" s="138">
        <f>+'KY_Res by Plant Acct-P29 (Reg)'!H88</f>
        <v>0</v>
      </c>
      <c r="I87" s="135"/>
      <c r="J87" s="138">
        <f>+'KY_Res by Plant Acct-P29 (Reg)'!J88</f>
        <v>0</v>
      </c>
      <c r="K87" s="135"/>
      <c r="L87" s="138">
        <f>+'KY_Res by Plant Acct-P29 (Reg)'!L88</f>
        <v>0</v>
      </c>
      <c r="M87" s="135"/>
      <c r="N87" s="138">
        <f>+'KY_Res by Plant Acct-P29 (Reg)'!N88</f>
        <v>0</v>
      </c>
      <c r="O87" s="135"/>
      <c r="P87" s="138">
        <f>+'KY_Res by Plant Acct-P29 (Reg)'!P88</f>
        <v>0</v>
      </c>
      <c r="Q87" s="135"/>
      <c r="R87" s="138">
        <f t="shared" si="5"/>
        <v>-155906.20000000001</v>
      </c>
    </row>
    <row r="88" spans="1:18" outlineLevel="1" x14ac:dyDescent="0.2">
      <c r="A88" s="3" t="s">
        <v>2972</v>
      </c>
      <c r="B88" s="138">
        <f>+'KY_Res by Plant Acct-P29 (Reg)'!B89</f>
        <v>-44930.429999999993</v>
      </c>
      <c r="C88" s="135"/>
      <c r="D88" s="138">
        <f>+'KY_Res by Plant Acct-P29 (Reg)'!D89</f>
        <v>-3606.24</v>
      </c>
      <c r="E88" s="135"/>
      <c r="F88" s="138">
        <f>+'KY_Res by Plant Acct-P29 (Reg)'!F89</f>
        <v>0</v>
      </c>
      <c r="G88" s="135"/>
      <c r="H88" s="138">
        <f>+'KY_Res by Plant Acct-P29 (Reg)'!H89</f>
        <v>0</v>
      </c>
      <c r="I88" s="135"/>
      <c r="J88" s="138">
        <f>+'KY_Res by Plant Acct-P29 (Reg)'!J89</f>
        <v>0</v>
      </c>
      <c r="K88" s="135"/>
      <c r="L88" s="138">
        <f>+'KY_Res by Plant Acct-P29 (Reg)'!L89</f>
        <v>0</v>
      </c>
      <c r="M88" s="135"/>
      <c r="N88" s="138">
        <f>+'KY_Res by Plant Acct-P29 (Reg)'!N89</f>
        <v>0</v>
      </c>
      <c r="O88" s="135"/>
      <c r="P88" s="138">
        <f>+'KY_Res by Plant Acct-P29 (Reg)'!P89</f>
        <v>0</v>
      </c>
      <c r="Q88" s="135"/>
      <c r="R88" s="138">
        <f t="shared" si="5"/>
        <v>-48536.669999999991</v>
      </c>
    </row>
    <row r="89" spans="1:18" outlineLevel="1" x14ac:dyDescent="0.2">
      <c r="A89" s="3" t="s">
        <v>2973</v>
      </c>
      <c r="B89" s="138">
        <f>+'KY_Res by Plant Acct-P29 (Reg)'!B90</f>
        <v>-44873.06</v>
      </c>
      <c r="C89" s="135"/>
      <c r="D89" s="138">
        <f>+'KY_Res by Plant Acct-P29 (Reg)'!D90</f>
        <v>-3601.32</v>
      </c>
      <c r="E89" s="135"/>
      <c r="F89" s="138">
        <f>+'KY_Res by Plant Acct-P29 (Reg)'!F90</f>
        <v>0</v>
      </c>
      <c r="G89" s="135"/>
      <c r="H89" s="138">
        <f>+'KY_Res by Plant Acct-P29 (Reg)'!H90</f>
        <v>0</v>
      </c>
      <c r="I89" s="135"/>
      <c r="J89" s="138">
        <f>+'KY_Res by Plant Acct-P29 (Reg)'!J90</f>
        <v>0</v>
      </c>
      <c r="K89" s="135"/>
      <c r="L89" s="138">
        <f>+'KY_Res by Plant Acct-P29 (Reg)'!L90</f>
        <v>0</v>
      </c>
      <c r="M89" s="135"/>
      <c r="N89" s="138">
        <f>+'KY_Res by Plant Acct-P29 (Reg)'!N90</f>
        <v>0</v>
      </c>
      <c r="O89" s="135"/>
      <c r="P89" s="138">
        <f>+'KY_Res by Plant Acct-P29 (Reg)'!P90</f>
        <v>0</v>
      </c>
      <c r="Q89" s="135"/>
      <c r="R89" s="138">
        <f t="shared" si="5"/>
        <v>-48474.38</v>
      </c>
    </row>
    <row r="90" spans="1:18" outlineLevel="1" x14ac:dyDescent="0.2">
      <c r="A90" s="3" t="s">
        <v>2974</v>
      </c>
      <c r="B90" s="138">
        <f>+'KY_Res by Plant Acct-P29 (Reg)'!B91</f>
        <v>-135077.35</v>
      </c>
      <c r="C90" s="135"/>
      <c r="D90" s="138">
        <f>+'KY_Res by Plant Acct-P29 (Reg)'!D91</f>
        <v>-12284.76</v>
      </c>
      <c r="E90" s="135"/>
      <c r="F90" s="138">
        <f>+'KY_Res by Plant Acct-P29 (Reg)'!F91</f>
        <v>0</v>
      </c>
      <c r="G90" s="135"/>
      <c r="H90" s="138">
        <f>+'KY_Res by Plant Acct-P29 (Reg)'!H91</f>
        <v>0</v>
      </c>
      <c r="I90" s="135"/>
      <c r="J90" s="138">
        <f>+'KY_Res by Plant Acct-P29 (Reg)'!J91</f>
        <v>0</v>
      </c>
      <c r="K90" s="135"/>
      <c r="L90" s="138">
        <f>+'KY_Res by Plant Acct-P29 (Reg)'!L91</f>
        <v>0</v>
      </c>
      <c r="M90" s="135"/>
      <c r="N90" s="138">
        <f>+'KY_Res by Plant Acct-P29 (Reg)'!N91</f>
        <v>0</v>
      </c>
      <c r="O90" s="135"/>
      <c r="P90" s="138">
        <f>+'KY_Res by Plant Acct-P29 (Reg)'!P91</f>
        <v>0</v>
      </c>
      <c r="Q90" s="135"/>
      <c r="R90" s="138">
        <f t="shared" si="5"/>
        <v>-147362.11000000002</v>
      </c>
    </row>
    <row r="91" spans="1:18" outlineLevel="1" x14ac:dyDescent="0.2">
      <c r="A91" s="3" t="s">
        <v>2975</v>
      </c>
      <c r="B91" s="138">
        <f>+'KY_Res by Plant Acct-P29 (Reg)'!B92</f>
        <v>-134547.72999999998</v>
      </c>
      <c r="C91" s="135"/>
      <c r="D91" s="138">
        <f>+'KY_Res by Plant Acct-P29 (Reg)'!D92</f>
        <v>-12236.64</v>
      </c>
      <c r="E91" s="135"/>
      <c r="F91" s="138">
        <f>+'KY_Res by Plant Acct-P29 (Reg)'!F92</f>
        <v>0</v>
      </c>
      <c r="G91" s="135"/>
      <c r="H91" s="138">
        <f>+'KY_Res by Plant Acct-P29 (Reg)'!H92</f>
        <v>0</v>
      </c>
      <c r="I91" s="135"/>
      <c r="J91" s="138">
        <f>+'KY_Res by Plant Acct-P29 (Reg)'!J92</f>
        <v>0</v>
      </c>
      <c r="K91" s="135"/>
      <c r="L91" s="138">
        <f>+'KY_Res by Plant Acct-P29 (Reg)'!L92</f>
        <v>0</v>
      </c>
      <c r="M91" s="135"/>
      <c r="N91" s="138">
        <f>+'KY_Res by Plant Acct-P29 (Reg)'!N92</f>
        <v>0</v>
      </c>
      <c r="O91" s="135"/>
      <c r="P91" s="138">
        <f>+'KY_Res by Plant Acct-P29 (Reg)'!P92</f>
        <v>0</v>
      </c>
      <c r="Q91" s="135"/>
      <c r="R91" s="138">
        <f t="shared" si="5"/>
        <v>-146784.37</v>
      </c>
    </row>
    <row r="92" spans="1:18" outlineLevel="1" x14ac:dyDescent="0.2">
      <c r="A92" s="3" t="s">
        <v>2976</v>
      </c>
      <c r="B92" s="138">
        <f>+'KY_Res by Plant Acct-P29 (Reg)'!B93</f>
        <v>-137775.03999999998</v>
      </c>
      <c r="C92" s="135"/>
      <c r="D92" s="138">
        <f>+'KY_Res by Plant Acct-P29 (Reg)'!D93</f>
        <v>-12670.8</v>
      </c>
      <c r="E92" s="135"/>
      <c r="F92" s="138">
        <f>+'KY_Res by Plant Acct-P29 (Reg)'!F93</f>
        <v>0</v>
      </c>
      <c r="G92" s="135"/>
      <c r="H92" s="138">
        <f>+'KY_Res by Plant Acct-P29 (Reg)'!H93</f>
        <v>0</v>
      </c>
      <c r="I92" s="135"/>
      <c r="J92" s="138">
        <f>+'KY_Res by Plant Acct-P29 (Reg)'!J93</f>
        <v>0</v>
      </c>
      <c r="K92" s="135"/>
      <c r="L92" s="138">
        <f>+'KY_Res by Plant Acct-P29 (Reg)'!L93</f>
        <v>0</v>
      </c>
      <c r="M92" s="135"/>
      <c r="N92" s="138">
        <f>+'KY_Res by Plant Acct-P29 (Reg)'!N93</f>
        <v>0</v>
      </c>
      <c r="O92" s="135"/>
      <c r="P92" s="138">
        <f>+'KY_Res by Plant Acct-P29 (Reg)'!P93</f>
        <v>0</v>
      </c>
      <c r="Q92" s="135"/>
      <c r="R92" s="138">
        <f t="shared" si="5"/>
        <v>-150445.83999999997</v>
      </c>
    </row>
    <row r="93" spans="1:18" outlineLevel="1" x14ac:dyDescent="0.2">
      <c r="A93" s="3" t="s">
        <v>2977</v>
      </c>
      <c r="B93" s="138">
        <f>+'KY_Res by Plant Acct-P29 (Reg)'!B94</f>
        <v>-910510.49</v>
      </c>
      <c r="C93" s="135"/>
      <c r="D93" s="138">
        <f>+'KY_Res by Plant Acct-P29 (Reg)'!D94</f>
        <v>-67026.600000000006</v>
      </c>
      <c r="E93" s="135"/>
      <c r="F93" s="138">
        <f>+'KY_Res by Plant Acct-P29 (Reg)'!F94</f>
        <v>0</v>
      </c>
      <c r="G93" s="135"/>
      <c r="H93" s="138">
        <f>+'KY_Res by Plant Acct-P29 (Reg)'!H94</f>
        <v>0</v>
      </c>
      <c r="I93" s="135"/>
      <c r="J93" s="138">
        <f>+'KY_Res by Plant Acct-P29 (Reg)'!J94</f>
        <v>0</v>
      </c>
      <c r="K93" s="135"/>
      <c r="L93" s="138">
        <f>+'KY_Res by Plant Acct-P29 (Reg)'!L94</f>
        <v>0</v>
      </c>
      <c r="M93" s="135"/>
      <c r="N93" s="138">
        <f>+'KY_Res by Plant Acct-P29 (Reg)'!N94</f>
        <v>0</v>
      </c>
      <c r="O93" s="135"/>
      <c r="P93" s="138">
        <f>+'KY_Res by Plant Acct-P29 (Reg)'!P94</f>
        <v>0</v>
      </c>
      <c r="Q93" s="135"/>
      <c r="R93" s="138">
        <f t="shared" si="5"/>
        <v>-977537.09</v>
      </c>
    </row>
    <row r="94" spans="1:18" outlineLevel="1" x14ac:dyDescent="0.2">
      <c r="A94" s="3" t="s">
        <v>2978</v>
      </c>
      <c r="B94" s="138">
        <f>+'KY_Res by Plant Acct-P29 (Reg)'!B95</f>
        <v>0</v>
      </c>
      <c r="C94" s="135"/>
      <c r="D94" s="138">
        <f>+'KY_Res by Plant Acct-P29 (Reg)'!D95</f>
        <v>0</v>
      </c>
      <c r="E94" s="135"/>
      <c r="F94" s="138">
        <f>+'KY_Res by Plant Acct-P29 (Reg)'!F95</f>
        <v>0</v>
      </c>
      <c r="G94" s="135"/>
      <c r="H94" s="138">
        <f>+'KY_Res by Plant Acct-P29 (Reg)'!H95</f>
        <v>0</v>
      </c>
      <c r="I94" s="135"/>
      <c r="J94" s="138">
        <f>+'KY_Res by Plant Acct-P29 (Reg)'!J95</f>
        <v>0</v>
      </c>
      <c r="K94" s="135"/>
      <c r="L94" s="138">
        <f>+'KY_Res by Plant Acct-P29 (Reg)'!L95</f>
        <v>0</v>
      </c>
      <c r="M94" s="135"/>
      <c r="N94" s="138">
        <f>+'KY_Res by Plant Acct-P29 (Reg)'!N95</f>
        <v>0</v>
      </c>
      <c r="O94" s="135"/>
      <c r="P94" s="138">
        <f>+'KY_Res by Plant Acct-P29 (Reg)'!P95</f>
        <v>0</v>
      </c>
      <c r="Q94" s="135"/>
      <c r="R94" s="138">
        <f t="shared" si="5"/>
        <v>0</v>
      </c>
    </row>
    <row r="95" spans="1:18" outlineLevel="1" x14ac:dyDescent="0.2">
      <c r="A95" s="3" t="s">
        <v>2979</v>
      </c>
      <c r="B95" s="138">
        <f>+'KY_Res by Plant Acct-P29 (Reg)'!B96</f>
        <v>-15657.759999999997</v>
      </c>
      <c r="C95" s="135"/>
      <c r="D95" s="138">
        <f>+'KY_Res by Plant Acct-P29 (Reg)'!D96</f>
        <v>-899.88</v>
      </c>
      <c r="E95" s="135"/>
      <c r="F95" s="138">
        <f>+'KY_Res by Plant Acct-P29 (Reg)'!F96</f>
        <v>0</v>
      </c>
      <c r="G95" s="135"/>
      <c r="H95" s="138">
        <f>+'KY_Res by Plant Acct-P29 (Reg)'!H96</f>
        <v>0</v>
      </c>
      <c r="I95" s="135"/>
      <c r="J95" s="138">
        <f>+'KY_Res by Plant Acct-P29 (Reg)'!J96</f>
        <v>0</v>
      </c>
      <c r="K95" s="135"/>
      <c r="L95" s="138">
        <f>+'KY_Res by Plant Acct-P29 (Reg)'!L96</f>
        <v>0</v>
      </c>
      <c r="M95" s="135"/>
      <c r="N95" s="138">
        <f>+'KY_Res by Plant Acct-P29 (Reg)'!N96</f>
        <v>0</v>
      </c>
      <c r="O95" s="135"/>
      <c r="P95" s="138">
        <f>+'KY_Res by Plant Acct-P29 (Reg)'!P96</f>
        <v>0</v>
      </c>
      <c r="Q95" s="135"/>
      <c r="R95" s="138">
        <f t="shared" si="5"/>
        <v>-16557.639999999996</v>
      </c>
    </row>
    <row r="96" spans="1:18" x14ac:dyDescent="0.2">
      <c r="A96" s="3" t="s">
        <v>2980</v>
      </c>
      <c r="B96" s="138">
        <f>SUM(B78:B95)</f>
        <v>-3955068.1900000004</v>
      </c>
      <c r="C96" s="135"/>
      <c r="D96" s="138">
        <f>SUM(D78:D95)</f>
        <v>-1068056.4899999998</v>
      </c>
      <c r="E96" s="135"/>
      <c r="F96" s="138">
        <f>SUM(F78:F95)</f>
        <v>0</v>
      </c>
      <c r="G96" s="135"/>
      <c r="H96" s="138">
        <f t="shared" ref="H96:R96" si="7">SUM(H78:H95)</f>
        <v>0</v>
      </c>
      <c r="I96" s="135"/>
      <c r="J96" s="138">
        <f t="shared" si="7"/>
        <v>0</v>
      </c>
      <c r="K96" s="135"/>
      <c r="L96" s="138">
        <f t="shared" si="7"/>
        <v>0</v>
      </c>
      <c r="M96" s="135"/>
      <c r="N96" s="138">
        <f t="shared" si="7"/>
        <v>0</v>
      </c>
      <c r="O96" s="135"/>
      <c r="P96" s="138">
        <f t="shared" si="7"/>
        <v>0</v>
      </c>
      <c r="Q96" s="135"/>
      <c r="R96" s="138">
        <f t="shared" si="7"/>
        <v>-5023124.68</v>
      </c>
    </row>
    <row r="97" spans="1:18" outlineLevel="1" x14ac:dyDescent="0.2">
      <c r="A97" s="3" t="s">
        <v>2981</v>
      </c>
      <c r="B97" s="138">
        <f>+'KY_Res by Plant Acct-P29 (Reg)'!B98</f>
        <v>-378544.17</v>
      </c>
      <c r="C97" s="138">
        <f>+'KY_Res by Plant Acct-P29 (Reg)'!C98</f>
        <v>0</v>
      </c>
      <c r="D97" s="138">
        <f>+'KY_Res by Plant Acct-P29 (Reg)'!D98</f>
        <v>-1290233.1000000001</v>
      </c>
      <c r="E97" s="138">
        <f>+'KY_Res by Plant Acct-P29 (Reg)'!E98</f>
        <v>0</v>
      </c>
      <c r="F97" s="138">
        <f>+'KY_Res by Plant Acct-P29 (Reg)'!F98</f>
        <v>0</v>
      </c>
      <c r="G97" s="138">
        <f>+'KY_Res by Plant Acct-P29 (Reg)'!G98</f>
        <v>0</v>
      </c>
      <c r="H97" s="138">
        <f>+'KY_Res by Plant Acct-P29 (Reg)'!H98</f>
        <v>0</v>
      </c>
      <c r="I97" s="138">
        <f>+'KY_Res by Plant Acct-P29 (Reg)'!I98</f>
        <v>0</v>
      </c>
      <c r="J97" s="138">
        <f>+'KY_Res by Plant Acct-P29 (Reg)'!J98</f>
        <v>0</v>
      </c>
      <c r="K97" s="138">
        <f>+'KY_Res by Plant Acct-P29 (Reg)'!K98</f>
        <v>0</v>
      </c>
      <c r="L97" s="138">
        <f>+'KY_Res by Plant Acct-P29 (Reg)'!L98</f>
        <v>0</v>
      </c>
      <c r="M97" s="138">
        <f>+'KY_Res by Plant Acct-P29 (Reg)'!M98</f>
        <v>0</v>
      </c>
      <c r="N97" s="138">
        <f>+'KY_Res by Plant Acct-P29 (Reg)'!N98</f>
        <v>0</v>
      </c>
      <c r="O97" s="138">
        <f>+'KY_Res by Plant Acct-P29 (Reg)'!O98</f>
        <v>0</v>
      </c>
      <c r="P97" s="138">
        <f>+'KY_Res by Plant Acct-P29 (Reg)'!P98</f>
        <v>0</v>
      </c>
      <c r="Q97" s="135"/>
      <c r="R97" s="138">
        <f t="shared" si="5"/>
        <v>-1668777.27</v>
      </c>
    </row>
    <row r="98" spans="1:18" outlineLevel="1" x14ac:dyDescent="0.2">
      <c r="A98" s="3" t="s">
        <v>2982</v>
      </c>
      <c r="B98" s="138">
        <f>+'KY_Res by Plant Acct-P29 (Reg)'!B99</f>
        <v>-7632280.4000000004</v>
      </c>
      <c r="C98" s="135"/>
      <c r="D98" s="138">
        <f>+'KY_Res by Plant Acct-P29 (Reg)'!D99</f>
        <v>-688779.48</v>
      </c>
      <c r="E98" s="135"/>
      <c r="F98" s="138">
        <f>+'KY_Res by Plant Acct-P29 (Reg)'!F99</f>
        <v>0</v>
      </c>
      <c r="G98" s="135"/>
      <c r="H98" s="138">
        <f>+'KY_Res by Plant Acct-P29 (Reg)'!H99</f>
        <v>0</v>
      </c>
      <c r="I98" s="135"/>
      <c r="J98" s="138">
        <f>+'KY_Res by Plant Acct-P29 (Reg)'!J99</f>
        <v>0</v>
      </c>
      <c r="K98" s="135"/>
      <c r="L98" s="138">
        <f>+'KY_Res by Plant Acct-P29 (Reg)'!L99</f>
        <v>0</v>
      </c>
      <c r="M98" s="135"/>
      <c r="N98" s="138">
        <f>+'KY_Res by Plant Acct-P29 (Reg)'!N99</f>
        <v>0</v>
      </c>
      <c r="O98" s="135"/>
      <c r="P98" s="138">
        <f>+'KY_Res by Plant Acct-P29 (Reg)'!P99</f>
        <v>0</v>
      </c>
      <c r="Q98" s="135"/>
      <c r="R98" s="138">
        <f t="shared" si="5"/>
        <v>-8321059.8800000008</v>
      </c>
    </row>
    <row r="99" spans="1:18" outlineLevel="1" x14ac:dyDescent="0.2">
      <c r="A99" s="3" t="s">
        <v>2983</v>
      </c>
      <c r="B99" s="138">
        <f>+'KY_Res by Plant Acct-P29 (Reg)'!B100</f>
        <v>-6603730.3599999994</v>
      </c>
      <c r="C99" s="135"/>
      <c r="D99" s="138">
        <f>+'KY_Res by Plant Acct-P29 (Reg)'!D100</f>
        <v>-1209605.5</v>
      </c>
      <c r="E99" s="135"/>
      <c r="F99" s="138">
        <f>+'KY_Res by Plant Acct-P29 (Reg)'!F100</f>
        <v>13536.14</v>
      </c>
      <c r="G99" s="135"/>
      <c r="H99" s="138">
        <f>+'KY_Res by Plant Acct-P29 (Reg)'!H100</f>
        <v>0</v>
      </c>
      <c r="I99" s="135"/>
      <c r="J99" s="138">
        <f>+'KY_Res by Plant Acct-P29 (Reg)'!J100</f>
        <v>0</v>
      </c>
      <c r="K99" s="135"/>
      <c r="L99" s="138">
        <f>+'KY_Res by Plant Acct-P29 (Reg)'!L100</f>
        <v>589.66999999999996</v>
      </c>
      <c r="M99" s="135"/>
      <c r="N99" s="138">
        <f>+'KY_Res by Plant Acct-P29 (Reg)'!N100</f>
        <v>0</v>
      </c>
      <c r="O99" s="135"/>
      <c r="P99" s="138">
        <f>+'KY_Res by Plant Acct-P29 (Reg)'!P100</f>
        <v>0</v>
      </c>
      <c r="Q99" s="135"/>
      <c r="R99" s="138">
        <f t="shared" si="5"/>
        <v>-7799210.0499999998</v>
      </c>
    </row>
    <row r="100" spans="1:18" outlineLevel="1" x14ac:dyDescent="0.2">
      <c r="A100" s="3" t="s">
        <v>2984</v>
      </c>
      <c r="B100" s="138">
        <f>+'KY_Res by Plant Acct-P29 (Reg)'!B101</f>
        <v>-8268374.8899999997</v>
      </c>
      <c r="C100" s="135"/>
      <c r="D100" s="138">
        <f>+'KY_Res by Plant Acct-P29 (Reg)'!D101</f>
        <v>-927798.68</v>
      </c>
      <c r="E100" s="135"/>
      <c r="F100" s="138">
        <f>+'KY_Res by Plant Acct-P29 (Reg)'!F101</f>
        <v>13536.14</v>
      </c>
      <c r="G100" s="135"/>
      <c r="H100" s="138">
        <f>+'KY_Res by Plant Acct-P29 (Reg)'!H101</f>
        <v>0</v>
      </c>
      <c r="I100" s="135"/>
      <c r="J100" s="138">
        <f>+'KY_Res by Plant Acct-P29 (Reg)'!J101</f>
        <v>0</v>
      </c>
      <c r="K100" s="135"/>
      <c r="L100" s="138">
        <f>+'KY_Res by Plant Acct-P29 (Reg)'!L101</f>
        <v>589.66999999999996</v>
      </c>
      <c r="M100" s="135"/>
      <c r="N100" s="138">
        <f>+'KY_Res by Plant Acct-P29 (Reg)'!N101</f>
        <v>0</v>
      </c>
      <c r="O100" s="135"/>
      <c r="P100" s="138">
        <f>+'KY_Res by Plant Acct-P29 (Reg)'!P101</f>
        <v>0</v>
      </c>
      <c r="Q100" s="135"/>
      <c r="R100" s="138">
        <f t="shared" si="5"/>
        <v>-9182047.7599999998</v>
      </c>
    </row>
    <row r="101" spans="1:18" outlineLevel="1" x14ac:dyDescent="0.2">
      <c r="A101" s="3" t="s">
        <v>2985</v>
      </c>
      <c r="B101" s="138">
        <f>+'KY_Res by Plant Acct-P29 (Reg)'!B102</f>
        <v>-6701016.5600000015</v>
      </c>
      <c r="C101" s="135"/>
      <c r="D101" s="138">
        <f>+'KY_Res by Plant Acct-P29 (Reg)'!D102</f>
        <v>-1009549.8</v>
      </c>
      <c r="E101" s="135"/>
      <c r="F101" s="138">
        <f>+'KY_Res by Plant Acct-P29 (Reg)'!F102</f>
        <v>0</v>
      </c>
      <c r="G101" s="135"/>
      <c r="H101" s="138">
        <f>+'KY_Res by Plant Acct-P29 (Reg)'!H102</f>
        <v>0</v>
      </c>
      <c r="I101" s="135"/>
      <c r="J101" s="138">
        <f>+'KY_Res by Plant Acct-P29 (Reg)'!J102</f>
        <v>0</v>
      </c>
      <c r="K101" s="135"/>
      <c r="L101" s="138">
        <f>+'KY_Res by Plant Acct-P29 (Reg)'!L102</f>
        <v>0</v>
      </c>
      <c r="M101" s="135"/>
      <c r="N101" s="138">
        <f>+'KY_Res by Plant Acct-P29 (Reg)'!N102</f>
        <v>0</v>
      </c>
      <c r="O101" s="135"/>
      <c r="P101" s="138">
        <f>+'KY_Res by Plant Acct-P29 (Reg)'!P102</f>
        <v>0</v>
      </c>
      <c r="Q101" s="135"/>
      <c r="R101" s="138">
        <f t="shared" si="5"/>
        <v>-7710566.3600000013</v>
      </c>
    </row>
    <row r="102" spans="1:18" outlineLevel="1" x14ac:dyDescent="0.2">
      <c r="A102" s="3" t="s">
        <v>2986</v>
      </c>
      <c r="B102" s="138">
        <f>+'KY_Res by Plant Acct-P29 (Reg)'!B103</f>
        <v>-4932353.6300000008</v>
      </c>
      <c r="C102" s="135"/>
      <c r="D102" s="138">
        <f>+'KY_Res by Plant Acct-P29 (Reg)'!D103</f>
        <v>-591035.16</v>
      </c>
      <c r="E102" s="135"/>
      <c r="F102" s="138">
        <f>+'KY_Res by Plant Acct-P29 (Reg)'!F103</f>
        <v>0</v>
      </c>
      <c r="G102" s="135"/>
      <c r="H102" s="138">
        <f>+'KY_Res by Plant Acct-P29 (Reg)'!H103</f>
        <v>0</v>
      </c>
      <c r="I102" s="135"/>
      <c r="J102" s="138">
        <f>+'KY_Res by Plant Acct-P29 (Reg)'!J103</f>
        <v>0</v>
      </c>
      <c r="K102" s="135"/>
      <c r="L102" s="138">
        <f>+'KY_Res by Plant Acct-P29 (Reg)'!L103</f>
        <v>0</v>
      </c>
      <c r="M102" s="135"/>
      <c r="N102" s="138">
        <f>+'KY_Res by Plant Acct-P29 (Reg)'!N103</f>
        <v>0</v>
      </c>
      <c r="O102" s="135"/>
      <c r="P102" s="138">
        <f>+'KY_Res by Plant Acct-P29 (Reg)'!P103</f>
        <v>0</v>
      </c>
      <c r="Q102" s="135"/>
      <c r="R102" s="138">
        <f t="shared" si="5"/>
        <v>-5523388.790000001</v>
      </c>
    </row>
    <row r="103" spans="1:18" outlineLevel="1" x14ac:dyDescent="0.2">
      <c r="A103" s="3" t="s">
        <v>2987</v>
      </c>
      <c r="B103" s="138">
        <f>+'KY_Res by Plant Acct-P29 (Reg)'!B104</f>
        <v>-5680100.1100000013</v>
      </c>
      <c r="C103" s="135"/>
      <c r="D103" s="138">
        <f>+'KY_Res by Plant Acct-P29 (Reg)'!D104</f>
        <v>-593529.37</v>
      </c>
      <c r="E103" s="135"/>
      <c r="F103" s="138">
        <f>+'KY_Res by Plant Acct-P29 (Reg)'!F104</f>
        <v>0</v>
      </c>
      <c r="G103" s="135"/>
      <c r="H103" s="138">
        <f>+'KY_Res by Plant Acct-P29 (Reg)'!H104</f>
        <v>0</v>
      </c>
      <c r="I103" s="135"/>
      <c r="J103" s="138">
        <f>+'KY_Res by Plant Acct-P29 (Reg)'!J104</f>
        <v>0</v>
      </c>
      <c r="K103" s="135"/>
      <c r="L103" s="138">
        <f>+'KY_Res by Plant Acct-P29 (Reg)'!L104</f>
        <v>0</v>
      </c>
      <c r="M103" s="135"/>
      <c r="N103" s="138">
        <f>+'KY_Res by Plant Acct-P29 (Reg)'!N104</f>
        <v>0</v>
      </c>
      <c r="O103" s="135"/>
      <c r="P103" s="138">
        <f>+'KY_Res by Plant Acct-P29 (Reg)'!P104</f>
        <v>0</v>
      </c>
      <c r="Q103" s="135"/>
      <c r="R103" s="138">
        <f t="shared" si="5"/>
        <v>-6273629.4800000014</v>
      </c>
    </row>
    <row r="104" spans="1:18" outlineLevel="1" x14ac:dyDescent="0.2">
      <c r="A104" s="3" t="s">
        <v>2988</v>
      </c>
      <c r="B104" s="138">
        <f>+'KY_Res by Plant Acct-P29 (Reg)'!B105</f>
        <v>-5621688.7600000007</v>
      </c>
      <c r="C104" s="135"/>
      <c r="D104" s="138">
        <f>+'KY_Res by Plant Acct-P29 (Reg)'!D105</f>
        <v>-608478.32999999996</v>
      </c>
      <c r="E104" s="135"/>
      <c r="F104" s="138">
        <f>+'KY_Res by Plant Acct-P29 (Reg)'!F105</f>
        <v>0</v>
      </c>
      <c r="G104" s="135"/>
      <c r="H104" s="138">
        <f>+'KY_Res by Plant Acct-P29 (Reg)'!H105</f>
        <v>0</v>
      </c>
      <c r="I104" s="135"/>
      <c r="J104" s="138">
        <f>+'KY_Res by Plant Acct-P29 (Reg)'!J105</f>
        <v>0</v>
      </c>
      <c r="K104" s="135"/>
      <c r="L104" s="138">
        <f>+'KY_Res by Plant Acct-P29 (Reg)'!L105</f>
        <v>0</v>
      </c>
      <c r="M104" s="135"/>
      <c r="N104" s="138">
        <f>+'KY_Res by Plant Acct-P29 (Reg)'!N105</f>
        <v>0</v>
      </c>
      <c r="O104" s="135"/>
      <c r="P104" s="138">
        <f>+'KY_Res by Plant Acct-P29 (Reg)'!P105</f>
        <v>0</v>
      </c>
      <c r="Q104" s="135"/>
      <c r="R104" s="138">
        <f t="shared" si="5"/>
        <v>-6230167.0900000008</v>
      </c>
    </row>
    <row r="105" spans="1:18" outlineLevel="1" x14ac:dyDescent="0.2">
      <c r="A105" s="3" t="s">
        <v>2989</v>
      </c>
      <c r="B105" s="138">
        <f>+'KY_Res by Plant Acct-P29 (Reg)'!B106</f>
        <v>-5163653.79</v>
      </c>
      <c r="C105" s="135"/>
      <c r="D105" s="138">
        <f>+'KY_Res by Plant Acct-P29 (Reg)'!D106</f>
        <v>-620925.12</v>
      </c>
      <c r="E105" s="135"/>
      <c r="F105" s="138">
        <f>+'KY_Res by Plant Acct-P29 (Reg)'!F106</f>
        <v>0</v>
      </c>
      <c r="G105" s="135"/>
      <c r="H105" s="138">
        <f>+'KY_Res by Plant Acct-P29 (Reg)'!H106</f>
        <v>0</v>
      </c>
      <c r="I105" s="135"/>
      <c r="J105" s="138">
        <f>+'KY_Res by Plant Acct-P29 (Reg)'!J106</f>
        <v>0</v>
      </c>
      <c r="K105" s="135"/>
      <c r="L105" s="138">
        <f>+'KY_Res by Plant Acct-P29 (Reg)'!L106</f>
        <v>0</v>
      </c>
      <c r="M105" s="135"/>
      <c r="N105" s="138">
        <f>+'KY_Res by Plant Acct-P29 (Reg)'!N106</f>
        <v>0</v>
      </c>
      <c r="O105" s="135"/>
      <c r="P105" s="138">
        <f>+'KY_Res by Plant Acct-P29 (Reg)'!P106</f>
        <v>0</v>
      </c>
      <c r="Q105" s="135"/>
      <c r="R105" s="138">
        <f t="shared" si="5"/>
        <v>-5784578.9100000001</v>
      </c>
    </row>
    <row r="106" spans="1:18" outlineLevel="1" x14ac:dyDescent="0.2">
      <c r="A106" s="3" t="s">
        <v>2990</v>
      </c>
      <c r="B106" s="138">
        <f>+'KY_Res by Plant Acct-P29 (Reg)'!B107</f>
        <v>-4838616.6600000011</v>
      </c>
      <c r="C106" s="135"/>
      <c r="D106" s="138">
        <f>+'KY_Res by Plant Acct-P29 (Reg)'!D107</f>
        <v>-594231.36</v>
      </c>
      <c r="E106" s="135"/>
      <c r="F106" s="138">
        <f>+'KY_Res by Plant Acct-P29 (Reg)'!F107</f>
        <v>0</v>
      </c>
      <c r="G106" s="135"/>
      <c r="H106" s="138">
        <f>+'KY_Res by Plant Acct-P29 (Reg)'!H107</f>
        <v>0</v>
      </c>
      <c r="I106" s="135"/>
      <c r="J106" s="138">
        <f>+'KY_Res by Plant Acct-P29 (Reg)'!J107</f>
        <v>0</v>
      </c>
      <c r="K106" s="135"/>
      <c r="L106" s="138">
        <f>+'KY_Res by Plant Acct-P29 (Reg)'!L107</f>
        <v>0</v>
      </c>
      <c r="M106" s="135"/>
      <c r="N106" s="138">
        <f>+'KY_Res by Plant Acct-P29 (Reg)'!N107</f>
        <v>0</v>
      </c>
      <c r="O106" s="135"/>
      <c r="P106" s="138">
        <f>+'KY_Res by Plant Acct-P29 (Reg)'!P107</f>
        <v>0</v>
      </c>
      <c r="Q106" s="135"/>
      <c r="R106" s="138">
        <f t="shared" si="5"/>
        <v>-5432848.0200000014</v>
      </c>
    </row>
    <row r="107" spans="1:18" outlineLevel="1" x14ac:dyDescent="0.2">
      <c r="A107" s="3" t="s">
        <v>2991</v>
      </c>
      <c r="B107" s="138">
        <f>+'KY_Res by Plant Acct-P29 (Reg)'!B108</f>
        <v>-4969810.7200000007</v>
      </c>
      <c r="C107" s="135"/>
      <c r="D107" s="138">
        <f>+'KY_Res by Plant Acct-P29 (Reg)'!D108</f>
        <v>-592831.80000000005</v>
      </c>
      <c r="E107" s="135"/>
      <c r="F107" s="138">
        <f>+'KY_Res by Plant Acct-P29 (Reg)'!F108</f>
        <v>0</v>
      </c>
      <c r="G107" s="135"/>
      <c r="H107" s="138">
        <f>+'KY_Res by Plant Acct-P29 (Reg)'!H108</f>
        <v>0</v>
      </c>
      <c r="I107" s="135"/>
      <c r="J107" s="138">
        <f>+'KY_Res by Plant Acct-P29 (Reg)'!J108</f>
        <v>0</v>
      </c>
      <c r="K107" s="135"/>
      <c r="L107" s="138">
        <f>+'KY_Res by Plant Acct-P29 (Reg)'!L108</f>
        <v>0</v>
      </c>
      <c r="M107" s="135"/>
      <c r="N107" s="138">
        <f>+'KY_Res by Plant Acct-P29 (Reg)'!N108</f>
        <v>0</v>
      </c>
      <c r="O107" s="135"/>
      <c r="P107" s="138">
        <f>+'KY_Res by Plant Acct-P29 (Reg)'!P108</f>
        <v>0</v>
      </c>
      <c r="Q107" s="135"/>
      <c r="R107" s="138">
        <f t="shared" si="5"/>
        <v>-5562642.5200000005</v>
      </c>
    </row>
    <row r="108" spans="1:18" outlineLevel="1" x14ac:dyDescent="0.2">
      <c r="A108" s="3" t="s">
        <v>2992</v>
      </c>
      <c r="B108" s="138">
        <f>+'KY_Res by Plant Acct-P29 (Reg)'!B109</f>
        <v>0</v>
      </c>
      <c r="C108" s="135"/>
      <c r="D108" s="138">
        <f>+'KY_Res by Plant Acct-P29 (Reg)'!D109</f>
        <v>0</v>
      </c>
      <c r="E108" s="135"/>
      <c r="F108" s="138">
        <f>+'KY_Res by Plant Acct-P29 (Reg)'!F109</f>
        <v>0</v>
      </c>
      <c r="G108" s="135"/>
      <c r="H108" s="138">
        <f>+'KY_Res by Plant Acct-P29 (Reg)'!H109</f>
        <v>0</v>
      </c>
      <c r="I108" s="135"/>
      <c r="J108" s="138">
        <f>+'KY_Res by Plant Acct-P29 (Reg)'!J109</f>
        <v>0</v>
      </c>
      <c r="K108" s="135"/>
      <c r="L108" s="138">
        <f>+'KY_Res by Plant Acct-P29 (Reg)'!L109</f>
        <v>0</v>
      </c>
      <c r="M108" s="135"/>
      <c r="N108" s="138">
        <f>+'KY_Res by Plant Acct-P29 (Reg)'!N109</f>
        <v>0</v>
      </c>
      <c r="O108" s="135"/>
      <c r="P108" s="138">
        <f>+'KY_Res by Plant Acct-P29 (Reg)'!P109</f>
        <v>0</v>
      </c>
      <c r="Q108" s="135"/>
      <c r="R108" s="138">
        <f t="shared" si="5"/>
        <v>0</v>
      </c>
    </row>
    <row r="109" spans="1:18" x14ac:dyDescent="0.2">
      <c r="A109" s="3" t="s">
        <v>2993</v>
      </c>
      <c r="B109" s="138">
        <f>SUM(B97:B108)</f>
        <v>-60790170.050000004</v>
      </c>
      <c r="C109" s="135"/>
      <c r="D109" s="138">
        <f>SUM(D97:D108)</f>
        <v>-8726997.7000000011</v>
      </c>
      <c r="E109" s="138">
        <f t="shared" ref="E109:O109" si="8">SUM(E97:E108)</f>
        <v>0</v>
      </c>
      <c r="F109" s="138">
        <f t="shared" si="8"/>
        <v>27072.28</v>
      </c>
      <c r="G109" s="138">
        <f t="shared" si="8"/>
        <v>0</v>
      </c>
      <c r="H109" s="138">
        <f t="shared" si="8"/>
        <v>0</v>
      </c>
      <c r="I109" s="138">
        <f t="shared" si="8"/>
        <v>0</v>
      </c>
      <c r="J109" s="138">
        <f t="shared" si="8"/>
        <v>0</v>
      </c>
      <c r="K109" s="138">
        <f t="shared" si="8"/>
        <v>0</v>
      </c>
      <c r="L109" s="138">
        <f t="shared" si="8"/>
        <v>1179.3399999999999</v>
      </c>
      <c r="M109" s="138">
        <f t="shared" si="8"/>
        <v>0</v>
      </c>
      <c r="N109" s="138">
        <f t="shared" si="8"/>
        <v>0</v>
      </c>
      <c r="O109" s="138">
        <f t="shared" si="8"/>
        <v>0</v>
      </c>
      <c r="P109" s="138">
        <f>SUM(P97:P108)</f>
        <v>0</v>
      </c>
      <c r="Q109" s="135"/>
      <c r="R109" s="138">
        <f>SUM(R97:R108)</f>
        <v>-69488916.13000001</v>
      </c>
    </row>
    <row r="110" spans="1:18" outlineLevel="1" x14ac:dyDescent="0.2">
      <c r="A110" s="3" t="s">
        <v>3385</v>
      </c>
      <c r="B110" s="138">
        <f>+'KY_Res by Plant Acct-P29 (Reg)'!B111</f>
        <v>-2616010.0199999996</v>
      </c>
      <c r="C110" s="135"/>
      <c r="D110" s="138">
        <f>+'KY_Res by Plant Acct-P29 (Reg)'!D111</f>
        <v>-138521.76</v>
      </c>
      <c r="E110" s="135"/>
      <c r="F110" s="138">
        <f>+'KY_Res by Plant Acct-P29 (Reg)'!F111</f>
        <v>0</v>
      </c>
      <c r="G110" s="135"/>
      <c r="H110" s="138">
        <f>+'KY_Res by Plant Acct-P29 (Reg)'!H111</f>
        <v>0</v>
      </c>
      <c r="I110" s="138"/>
      <c r="J110" s="138">
        <f>+'KY_Res by Plant Acct-P29 (Reg)'!J111</f>
        <v>0</v>
      </c>
      <c r="K110" s="135"/>
      <c r="L110" s="138">
        <f>+'KY_Res by Plant Acct-P29 (Reg)'!L111</f>
        <v>0</v>
      </c>
      <c r="M110" s="135"/>
      <c r="N110" s="138">
        <f>+'KY_Res by Plant Acct-P29 (Reg)'!N111</f>
        <v>0</v>
      </c>
      <c r="O110" s="135"/>
      <c r="P110" s="138">
        <f>+'KY_Res by Plant Acct-P29 (Reg)'!P111</f>
        <v>0</v>
      </c>
      <c r="Q110" s="135"/>
      <c r="R110" s="138">
        <f t="shared" si="5"/>
        <v>-2754531.7799999993</v>
      </c>
    </row>
    <row r="111" spans="1:18" outlineLevel="1" x14ac:dyDescent="0.2">
      <c r="A111" s="3" t="s">
        <v>2995</v>
      </c>
      <c r="B111" s="138">
        <f>+'KY_Res by Plant Acct-P29 (Reg)'!B112</f>
        <v>-532374.72</v>
      </c>
      <c r="C111" s="138">
        <f>+'KY_Res by Plant Acct-P29 (Reg)'!C112</f>
        <v>0</v>
      </c>
      <c r="D111" s="138">
        <f>+'KY_Res by Plant Acct-P29 (Reg)'!D112</f>
        <v>-764719.9</v>
      </c>
      <c r="E111" s="138">
        <f>+'KY_Res by Plant Acct-P29 (Reg)'!E112</f>
        <v>0</v>
      </c>
      <c r="F111" s="138">
        <f>+'KY_Res by Plant Acct-P29 (Reg)'!F112</f>
        <v>0</v>
      </c>
      <c r="G111" s="138">
        <f>+'KY_Res by Plant Acct-P29 (Reg)'!G112</f>
        <v>0</v>
      </c>
      <c r="H111" s="138">
        <f>+'KY_Res by Plant Acct-P29 (Reg)'!H112</f>
        <v>0</v>
      </c>
      <c r="I111" s="138">
        <f>+'KY_Res by Plant Acct-P29 (Reg)'!I112</f>
        <v>0</v>
      </c>
      <c r="J111" s="138">
        <f>+'KY_Res by Plant Acct-P29 (Reg)'!J112</f>
        <v>0</v>
      </c>
      <c r="K111" s="138">
        <f>+'KY_Res by Plant Acct-P29 (Reg)'!K112</f>
        <v>0</v>
      </c>
      <c r="L111" s="138">
        <f>+'KY_Res by Plant Acct-P29 (Reg)'!L112</f>
        <v>0</v>
      </c>
      <c r="M111" s="138">
        <f>+'KY_Res by Plant Acct-P29 (Reg)'!M112</f>
        <v>0</v>
      </c>
      <c r="N111" s="138">
        <f>+'KY_Res by Plant Acct-P29 (Reg)'!N112</f>
        <v>0</v>
      </c>
      <c r="O111" s="138">
        <f>+'KY_Res by Plant Acct-P29 (Reg)'!O112</f>
        <v>0</v>
      </c>
      <c r="P111" s="138">
        <f>+'KY_Res by Plant Acct-P29 (Reg)'!P112</f>
        <v>0</v>
      </c>
      <c r="Q111" s="138">
        <f>+'KY_Res by Plant Acct-P29 (Reg)'!Q112</f>
        <v>0</v>
      </c>
      <c r="R111" s="138">
        <f t="shared" si="5"/>
        <v>-1297094.6200000001</v>
      </c>
    </row>
    <row r="112" spans="1:18" outlineLevel="1" x14ac:dyDescent="0.2">
      <c r="A112" s="3" t="s">
        <v>2996</v>
      </c>
      <c r="B112" s="138">
        <f>+'KY_Res by Plant Acct-P29 (Reg)'!B113</f>
        <v>-1522393.2999999998</v>
      </c>
      <c r="C112" s="135"/>
      <c r="D112" s="138">
        <f>+'KY_Res by Plant Acct-P29 (Reg)'!D113</f>
        <v>-118125.84</v>
      </c>
      <c r="E112" s="135"/>
      <c r="F112" s="138">
        <f>+'KY_Res by Plant Acct-P29 (Reg)'!F113</f>
        <v>0</v>
      </c>
      <c r="G112" s="135"/>
      <c r="H112" s="138">
        <f>+'KY_Res by Plant Acct-P29 (Reg)'!H113</f>
        <v>0</v>
      </c>
      <c r="I112" s="138"/>
      <c r="J112" s="138">
        <f>+'KY_Res by Plant Acct-P29 (Reg)'!J113</f>
        <v>0</v>
      </c>
      <c r="K112" s="135"/>
      <c r="L112" s="138">
        <f>+'KY_Res by Plant Acct-P29 (Reg)'!L113</f>
        <v>0</v>
      </c>
      <c r="M112" s="135"/>
      <c r="N112" s="138">
        <f>+'KY_Res by Plant Acct-P29 (Reg)'!N113</f>
        <v>0</v>
      </c>
      <c r="O112" s="135"/>
      <c r="P112" s="138">
        <f>+'KY_Res by Plant Acct-P29 (Reg)'!P113</f>
        <v>0</v>
      </c>
      <c r="Q112" s="135"/>
      <c r="R112" s="138">
        <f t="shared" si="5"/>
        <v>-1640519.14</v>
      </c>
    </row>
    <row r="113" spans="1:18" outlineLevel="1" x14ac:dyDescent="0.2">
      <c r="A113" s="3" t="s">
        <v>2997</v>
      </c>
      <c r="B113" s="138">
        <f>+'KY_Res by Plant Acct-P29 (Reg)'!B114</f>
        <v>-1241240.5900000001</v>
      </c>
      <c r="C113" s="135"/>
      <c r="D113" s="138">
        <f>+'KY_Res by Plant Acct-P29 (Reg)'!D114</f>
        <v>-92506.92</v>
      </c>
      <c r="E113" s="135"/>
      <c r="F113" s="138">
        <f>+'KY_Res by Plant Acct-P29 (Reg)'!F114</f>
        <v>0</v>
      </c>
      <c r="G113" s="135"/>
      <c r="H113" s="138">
        <f>+'KY_Res by Plant Acct-P29 (Reg)'!H114</f>
        <v>0</v>
      </c>
      <c r="I113" s="138"/>
      <c r="J113" s="138">
        <f>+'KY_Res by Plant Acct-P29 (Reg)'!J114</f>
        <v>0</v>
      </c>
      <c r="K113" s="135"/>
      <c r="L113" s="138">
        <f>+'KY_Res by Plant Acct-P29 (Reg)'!L114</f>
        <v>0</v>
      </c>
      <c r="M113" s="135"/>
      <c r="N113" s="138">
        <f>+'KY_Res by Plant Acct-P29 (Reg)'!N114</f>
        <v>0</v>
      </c>
      <c r="O113" s="135"/>
      <c r="P113" s="138">
        <f>+'KY_Res by Plant Acct-P29 (Reg)'!P114</f>
        <v>0</v>
      </c>
      <c r="Q113" s="135"/>
      <c r="R113" s="138">
        <f t="shared" si="5"/>
        <v>-1333747.51</v>
      </c>
    </row>
    <row r="114" spans="1:18" outlineLevel="1" x14ac:dyDescent="0.2">
      <c r="A114" s="3" t="s">
        <v>2998</v>
      </c>
      <c r="B114" s="138">
        <f>+'KY_Res by Plant Acct-P29 (Reg)'!B115</f>
        <v>-1223482.2000000002</v>
      </c>
      <c r="C114" s="135"/>
      <c r="D114" s="138">
        <f>+'KY_Res by Plant Acct-P29 (Reg)'!D115</f>
        <v>-93845.88</v>
      </c>
      <c r="E114" s="135"/>
      <c r="F114" s="138">
        <f>+'KY_Res by Plant Acct-P29 (Reg)'!F115</f>
        <v>0</v>
      </c>
      <c r="G114" s="135"/>
      <c r="H114" s="138">
        <f>+'KY_Res by Plant Acct-P29 (Reg)'!H115</f>
        <v>0</v>
      </c>
      <c r="I114" s="138"/>
      <c r="J114" s="138">
        <f>+'KY_Res by Plant Acct-P29 (Reg)'!J115</f>
        <v>0</v>
      </c>
      <c r="K114" s="135"/>
      <c r="L114" s="138">
        <f>+'KY_Res by Plant Acct-P29 (Reg)'!L115</f>
        <v>0</v>
      </c>
      <c r="M114" s="135"/>
      <c r="N114" s="138">
        <f>+'KY_Res by Plant Acct-P29 (Reg)'!N115</f>
        <v>0</v>
      </c>
      <c r="O114" s="135"/>
      <c r="P114" s="138">
        <f>+'KY_Res by Plant Acct-P29 (Reg)'!P115</f>
        <v>0</v>
      </c>
      <c r="Q114" s="135"/>
      <c r="R114" s="138">
        <f t="shared" si="5"/>
        <v>-1317328.08</v>
      </c>
    </row>
    <row r="115" spans="1:18" outlineLevel="1" x14ac:dyDescent="0.2">
      <c r="A115" s="3" t="s">
        <v>2999</v>
      </c>
      <c r="B115" s="138">
        <f>+'KY_Res by Plant Acct-P29 (Reg)'!B116</f>
        <v>0</v>
      </c>
      <c r="C115" s="135"/>
      <c r="D115" s="138">
        <f>+'KY_Res by Plant Acct-P29 (Reg)'!D116</f>
        <v>-200914.11</v>
      </c>
      <c r="E115" s="135"/>
      <c r="F115" s="138">
        <f>+'KY_Res by Plant Acct-P29 (Reg)'!F116</f>
        <v>0</v>
      </c>
      <c r="G115" s="135"/>
      <c r="H115" s="138">
        <f>+'KY_Res by Plant Acct-P29 (Reg)'!H116</f>
        <v>-8284.83</v>
      </c>
      <c r="I115" s="138"/>
      <c r="J115" s="138">
        <f>+'KY_Res by Plant Acct-P29 (Reg)'!J116</f>
        <v>0</v>
      </c>
      <c r="K115" s="135"/>
      <c r="L115" s="138">
        <f>+'KY_Res by Plant Acct-P29 (Reg)'!L116</f>
        <v>0</v>
      </c>
      <c r="M115" s="135"/>
      <c r="N115" s="138">
        <f>+'KY_Res by Plant Acct-P29 (Reg)'!N116</f>
        <v>0</v>
      </c>
      <c r="O115" s="135"/>
      <c r="P115" s="138">
        <f>+'KY_Res by Plant Acct-P29 (Reg)'!P116</f>
        <v>0</v>
      </c>
      <c r="Q115" s="135"/>
      <c r="R115" s="138">
        <f t="shared" si="5"/>
        <v>-209198.93999999997</v>
      </c>
    </row>
    <row r="116" spans="1:18" outlineLevel="1" x14ac:dyDescent="0.2">
      <c r="A116" s="3" t="s">
        <v>3000</v>
      </c>
      <c r="B116" s="138">
        <f>+'KY_Res by Plant Acct-P29 (Reg)'!B117</f>
        <v>-1694423.0200000003</v>
      </c>
      <c r="C116" s="135"/>
      <c r="D116" s="138">
        <f>+'KY_Res by Plant Acct-P29 (Reg)'!D117</f>
        <v>0</v>
      </c>
      <c r="E116" s="135"/>
      <c r="F116" s="138">
        <f>+'KY_Res by Plant Acct-P29 (Reg)'!F117</f>
        <v>0</v>
      </c>
      <c r="G116" s="135"/>
      <c r="H116" s="138">
        <f>+'KY_Res by Plant Acct-P29 (Reg)'!H117</f>
        <v>0</v>
      </c>
      <c r="I116" s="138"/>
      <c r="J116" s="138">
        <f>+'KY_Res by Plant Acct-P29 (Reg)'!J117</f>
        <v>0</v>
      </c>
      <c r="K116" s="135"/>
      <c r="L116" s="138">
        <f>+'KY_Res by Plant Acct-P29 (Reg)'!L117</f>
        <v>0</v>
      </c>
      <c r="M116" s="135"/>
      <c r="N116" s="138">
        <f>+'KY_Res by Plant Acct-P29 (Reg)'!N117</f>
        <v>0</v>
      </c>
      <c r="O116" s="135"/>
      <c r="P116" s="138">
        <f>+'KY_Res by Plant Acct-P29 (Reg)'!P117</f>
        <v>0</v>
      </c>
      <c r="Q116" s="135"/>
      <c r="R116" s="138">
        <f t="shared" si="5"/>
        <v>-1694423.0200000003</v>
      </c>
    </row>
    <row r="117" spans="1:18" outlineLevel="1" x14ac:dyDescent="0.2">
      <c r="A117" s="3" t="s">
        <v>3001</v>
      </c>
      <c r="B117" s="138">
        <f>+'KY_Res by Plant Acct-P29 (Reg)'!B118</f>
        <v>-3424975.0799999996</v>
      </c>
      <c r="C117" s="135"/>
      <c r="D117" s="138">
        <f>+'KY_Res by Plant Acct-P29 (Reg)'!D118</f>
        <v>0</v>
      </c>
      <c r="E117" s="135"/>
      <c r="F117" s="138">
        <f>+'KY_Res by Plant Acct-P29 (Reg)'!F118</f>
        <v>0</v>
      </c>
      <c r="G117" s="135"/>
      <c r="H117" s="138">
        <f>+'KY_Res by Plant Acct-P29 (Reg)'!H118</f>
        <v>0</v>
      </c>
      <c r="I117" s="138"/>
      <c r="J117" s="138">
        <f>+'KY_Res by Plant Acct-P29 (Reg)'!J118</f>
        <v>0</v>
      </c>
      <c r="K117" s="135"/>
      <c r="L117" s="138">
        <f>+'KY_Res by Plant Acct-P29 (Reg)'!L118</f>
        <v>0</v>
      </c>
      <c r="M117" s="135"/>
      <c r="N117" s="138">
        <f>+'KY_Res by Plant Acct-P29 (Reg)'!N118</f>
        <v>0</v>
      </c>
      <c r="O117" s="135"/>
      <c r="P117" s="138">
        <f>+'KY_Res by Plant Acct-P29 (Reg)'!P118</f>
        <v>0</v>
      </c>
      <c r="Q117" s="135"/>
      <c r="R117" s="138">
        <f t="shared" si="5"/>
        <v>-3424975.0799999996</v>
      </c>
    </row>
    <row r="118" spans="1:18" outlineLevel="1" x14ac:dyDescent="0.2">
      <c r="A118" s="3" t="s">
        <v>3002</v>
      </c>
      <c r="B118" s="138">
        <f>+'KY_Res by Plant Acct-P29 (Reg)'!B119</f>
        <v>-2557436.0500000003</v>
      </c>
      <c r="C118" s="135"/>
      <c r="D118" s="138">
        <f>+'KY_Res by Plant Acct-P29 (Reg)'!D119</f>
        <v>-200304</v>
      </c>
      <c r="E118" s="135"/>
      <c r="F118" s="138">
        <f>+'KY_Res by Plant Acct-P29 (Reg)'!F119</f>
        <v>0</v>
      </c>
      <c r="G118" s="135"/>
      <c r="H118" s="138">
        <f>+'KY_Res by Plant Acct-P29 (Reg)'!H119</f>
        <v>0</v>
      </c>
      <c r="I118" s="138"/>
      <c r="J118" s="138">
        <f>+'KY_Res by Plant Acct-P29 (Reg)'!J119</f>
        <v>0</v>
      </c>
      <c r="K118" s="135"/>
      <c r="L118" s="138">
        <f>+'KY_Res by Plant Acct-P29 (Reg)'!L119</f>
        <v>0</v>
      </c>
      <c r="M118" s="135"/>
      <c r="N118" s="138">
        <f>+'KY_Res by Plant Acct-P29 (Reg)'!N119</f>
        <v>0</v>
      </c>
      <c r="O118" s="135"/>
      <c r="P118" s="138">
        <f>+'KY_Res by Plant Acct-P29 (Reg)'!P119</f>
        <v>0</v>
      </c>
      <c r="Q118" s="135"/>
      <c r="R118" s="138">
        <f t="shared" si="5"/>
        <v>-2757740.0500000003</v>
      </c>
    </row>
    <row r="119" spans="1:18" outlineLevel="1" x14ac:dyDescent="0.2">
      <c r="A119" s="3" t="s">
        <v>3003</v>
      </c>
      <c r="B119" s="138">
        <f>+'KY_Res by Plant Acct-P29 (Reg)'!B120</f>
        <v>-671327.59000000008</v>
      </c>
      <c r="C119" s="135"/>
      <c r="D119" s="138">
        <f>+'KY_Res by Plant Acct-P29 (Reg)'!D120</f>
        <v>-60386.879999999997</v>
      </c>
      <c r="E119" s="135"/>
      <c r="F119" s="138">
        <f>+'KY_Res by Plant Acct-P29 (Reg)'!F120</f>
        <v>0</v>
      </c>
      <c r="G119" s="135"/>
      <c r="H119" s="138">
        <f>+'KY_Res by Plant Acct-P29 (Reg)'!H120</f>
        <v>0</v>
      </c>
      <c r="I119" s="138"/>
      <c r="J119" s="138">
        <f>+'KY_Res by Plant Acct-P29 (Reg)'!J120</f>
        <v>0</v>
      </c>
      <c r="K119" s="135"/>
      <c r="L119" s="138">
        <f>+'KY_Res by Plant Acct-P29 (Reg)'!L120</f>
        <v>0</v>
      </c>
      <c r="M119" s="135"/>
      <c r="N119" s="138">
        <f>+'KY_Res by Plant Acct-P29 (Reg)'!N120</f>
        <v>0</v>
      </c>
      <c r="O119" s="135"/>
      <c r="P119" s="138">
        <f>+'KY_Res by Plant Acct-P29 (Reg)'!P120</f>
        <v>0</v>
      </c>
      <c r="Q119" s="135"/>
      <c r="R119" s="138">
        <f t="shared" si="5"/>
        <v>-731714.47000000009</v>
      </c>
    </row>
    <row r="120" spans="1:18" outlineLevel="1" x14ac:dyDescent="0.2">
      <c r="A120" s="3" t="s">
        <v>3004</v>
      </c>
      <c r="B120" s="138">
        <f>+'KY_Res by Plant Acct-P29 (Reg)'!B121</f>
        <v>-694347.87999999989</v>
      </c>
      <c r="C120" s="135"/>
      <c r="D120" s="138">
        <f>+'KY_Res by Plant Acct-P29 (Reg)'!D121</f>
        <v>-54462.51</v>
      </c>
      <c r="E120" s="135"/>
      <c r="F120" s="138">
        <f>+'KY_Res by Plant Acct-P29 (Reg)'!F121</f>
        <v>0</v>
      </c>
      <c r="G120" s="135"/>
      <c r="H120" s="138">
        <f>+'KY_Res by Plant Acct-P29 (Reg)'!H121</f>
        <v>0</v>
      </c>
      <c r="I120" s="138"/>
      <c r="J120" s="138">
        <f>+'KY_Res by Plant Acct-P29 (Reg)'!J121</f>
        <v>0</v>
      </c>
      <c r="K120" s="135"/>
      <c r="L120" s="138">
        <f>+'KY_Res by Plant Acct-P29 (Reg)'!L121</f>
        <v>0</v>
      </c>
      <c r="M120" s="135"/>
      <c r="N120" s="138">
        <f>+'KY_Res by Plant Acct-P29 (Reg)'!N121</f>
        <v>0</v>
      </c>
      <c r="O120" s="135"/>
      <c r="P120" s="138">
        <f>+'KY_Res by Plant Acct-P29 (Reg)'!P121</f>
        <v>0</v>
      </c>
      <c r="Q120" s="135"/>
      <c r="R120" s="138">
        <f t="shared" si="5"/>
        <v>-748810.3899999999</v>
      </c>
    </row>
    <row r="121" spans="1:18" outlineLevel="1" x14ac:dyDescent="0.2">
      <c r="A121" s="3" t="s">
        <v>3005</v>
      </c>
      <c r="B121" s="138">
        <f>+'KY_Res by Plant Acct-P29 (Reg)'!B122</f>
        <v>-693467.07000000007</v>
      </c>
      <c r="C121" s="135"/>
      <c r="D121" s="138">
        <f>+'KY_Res by Plant Acct-P29 (Reg)'!D122</f>
        <v>-54382.84</v>
      </c>
      <c r="E121" s="135"/>
      <c r="F121" s="138">
        <f>+'KY_Res by Plant Acct-P29 (Reg)'!F122</f>
        <v>0</v>
      </c>
      <c r="G121" s="135"/>
      <c r="H121" s="138">
        <f>+'KY_Res by Plant Acct-P29 (Reg)'!H122</f>
        <v>0</v>
      </c>
      <c r="I121" s="138"/>
      <c r="J121" s="138">
        <f>+'KY_Res by Plant Acct-P29 (Reg)'!J122</f>
        <v>0</v>
      </c>
      <c r="K121" s="135"/>
      <c r="L121" s="138">
        <f>+'KY_Res by Plant Acct-P29 (Reg)'!L122</f>
        <v>0</v>
      </c>
      <c r="M121" s="135"/>
      <c r="N121" s="138">
        <f>+'KY_Res by Plant Acct-P29 (Reg)'!N122</f>
        <v>0</v>
      </c>
      <c r="O121" s="135"/>
      <c r="P121" s="138">
        <f>+'KY_Res by Plant Acct-P29 (Reg)'!P122</f>
        <v>0</v>
      </c>
      <c r="Q121" s="135"/>
      <c r="R121" s="138">
        <f t="shared" si="5"/>
        <v>-747849.91</v>
      </c>
    </row>
    <row r="122" spans="1:18" outlineLevel="1" x14ac:dyDescent="0.2">
      <c r="A122" s="3" t="s">
        <v>3006</v>
      </c>
      <c r="B122" s="138">
        <f>+'KY_Res by Plant Acct-P29 (Reg)'!B123</f>
        <v>-677221.47</v>
      </c>
      <c r="C122" s="135"/>
      <c r="D122" s="138">
        <f>+'KY_Res by Plant Acct-P29 (Reg)'!D123</f>
        <v>-60356.4</v>
      </c>
      <c r="E122" s="135"/>
      <c r="F122" s="138">
        <f>+'KY_Res by Plant Acct-P29 (Reg)'!F123</f>
        <v>0</v>
      </c>
      <c r="G122" s="135"/>
      <c r="H122" s="138">
        <f>+'KY_Res by Plant Acct-P29 (Reg)'!H123</f>
        <v>0</v>
      </c>
      <c r="I122" s="138"/>
      <c r="J122" s="138">
        <f>+'KY_Res by Plant Acct-P29 (Reg)'!J123</f>
        <v>0</v>
      </c>
      <c r="K122" s="135"/>
      <c r="L122" s="138">
        <f>+'KY_Res by Plant Acct-P29 (Reg)'!L123</f>
        <v>0</v>
      </c>
      <c r="M122" s="135"/>
      <c r="N122" s="138">
        <f>+'KY_Res by Plant Acct-P29 (Reg)'!N123</f>
        <v>0</v>
      </c>
      <c r="O122" s="135"/>
      <c r="P122" s="138">
        <f>+'KY_Res by Plant Acct-P29 (Reg)'!P123</f>
        <v>0</v>
      </c>
      <c r="Q122" s="135"/>
      <c r="R122" s="138">
        <f t="shared" si="5"/>
        <v>-737577.87</v>
      </c>
    </row>
    <row r="123" spans="1:18" outlineLevel="1" x14ac:dyDescent="0.2">
      <c r="A123" s="3" t="s">
        <v>3007</v>
      </c>
      <c r="B123" s="138">
        <f>+'KY_Res by Plant Acct-P29 (Reg)'!B124</f>
        <v>-673489.52</v>
      </c>
      <c r="C123" s="135"/>
      <c r="D123" s="138">
        <f>+'KY_Res by Plant Acct-P29 (Reg)'!D124</f>
        <v>-60026.04</v>
      </c>
      <c r="E123" s="135"/>
      <c r="F123" s="138">
        <f>+'KY_Res by Plant Acct-P29 (Reg)'!F124</f>
        <v>0</v>
      </c>
      <c r="G123" s="135"/>
      <c r="H123" s="138">
        <f>+'KY_Res by Plant Acct-P29 (Reg)'!H124</f>
        <v>0</v>
      </c>
      <c r="I123" s="138"/>
      <c r="J123" s="138">
        <f>+'KY_Res by Plant Acct-P29 (Reg)'!J124</f>
        <v>0</v>
      </c>
      <c r="K123" s="135"/>
      <c r="L123" s="138">
        <f>+'KY_Res by Plant Acct-P29 (Reg)'!L124</f>
        <v>0</v>
      </c>
      <c r="M123" s="135"/>
      <c r="N123" s="138">
        <f>+'KY_Res by Plant Acct-P29 (Reg)'!N124</f>
        <v>0</v>
      </c>
      <c r="O123" s="135"/>
      <c r="P123" s="138">
        <f>+'KY_Res by Plant Acct-P29 (Reg)'!P124</f>
        <v>0</v>
      </c>
      <c r="Q123" s="135"/>
      <c r="R123" s="138">
        <f t="shared" si="5"/>
        <v>-733515.56</v>
      </c>
    </row>
    <row r="124" spans="1:18" outlineLevel="1" x14ac:dyDescent="0.2">
      <c r="A124" s="3" t="s">
        <v>3008</v>
      </c>
      <c r="B124" s="138">
        <f>+'KY_Res by Plant Acct-P29 (Reg)'!B125</f>
        <v>-673269.56</v>
      </c>
      <c r="C124" s="135"/>
      <c r="D124" s="138">
        <f>+'KY_Res by Plant Acct-P29 (Reg)'!D125</f>
        <v>-68678.78</v>
      </c>
      <c r="E124" s="135"/>
      <c r="F124" s="138">
        <f>+'KY_Res by Plant Acct-P29 (Reg)'!F125</f>
        <v>36542.69</v>
      </c>
      <c r="G124" s="135"/>
      <c r="H124" s="138">
        <f>+'KY_Res by Plant Acct-P29 (Reg)'!H125</f>
        <v>0</v>
      </c>
      <c r="I124" s="138"/>
      <c r="J124" s="138">
        <f>+'KY_Res by Plant Acct-P29 (Reg)'!J125</f>
        <v>0</v>
      </c>
      <c r="K124" s="135"/>
      <c r="L124" s="138">
        <f>+'KY_Res by Plant Acct-P29 (Reg)'!L125</f>
        <v>0</v>
      </c>
      <c r="M124" s="135"/>
      <c r="N124" s="138">
        <f>+'KY_Res by Plant Acct-P29 (Reg)'!N125</f>
        <v>0</v>
      </c>
      <c r="O124" s="135"/>
      <c r="P124" s="138">
        <f>+'KY_Res by Plant Acct-P29 (Reg)'!P125</f>
        <v>0</v>
      </c>
      <c r="Q124" s="135"/>
      <c r="R124" s="138">
        <f t="shared" si="5"/>
        <v>-705405.65000000014</v>
      </c>
    </row>
    <row r="125" spans="1:18" outlineLevel="1" x14ac:dyDescent="0.2">
      <c r="A125" s="3" t="s">
        <v>3009</v>
      </c>
      <c r="B125" s="138">
        <f>+'KY_Res by Plant Acct-P29 (Reg)'!B126</f>
        <v>0</v>
      </c>
      <c r="C125" s="135"/>
      <c r="D125" s="138">
        <f>+'KY_Res by Plant Acct-P29 (Reg)'!D126</f>
        <v>0</v>
      </c>
      <c r="E125" s="135"/>
      <c r="F125" s="138">
        <f>+'KY_Res by Plant Acct-P29 (Reg)'!F126</f>
        <v>0</v>
      </c>
      <c r="G125" s="135"/>
      <c r="H125" s="138">
        <f>+'KY_Res by Plant Acct-P29 (Reg)'!H126</f>
        <v>0</v>
      </c>
      <c r="I125" s="138"/>
      <c r="J125" s="138">
        <f>+'KY_Res by Plant Acct-P29 (Reg)'!J126</f>
        <v>0</v>
      </c>
      <c r="K125" s="135"/>
      <c r="L125" s="138">
        <f>+'KY_Res by Plant Acct-P29 (Reg)'!L126</f>
        <v>0</v>
      </c>
      <c r="M125" s="135"/>
      <c r="N125" s="138">
        <f>+'KY_Res by Plant Acct-P29 (Reg)'!N126</f>
        <v>0</v>
      </c>
      <c r="O125" s="135"/>
      <c r="P125" s="138">
        <f>+'KY_Res by Plant Acct-P29 (Reg)'!P126</f>
        <v>0</v>
      </c>
      <c r="Q125" s="135"/>
      <c r="R125" s="138">
        <f t="shared" si="5"/>
        <v>0</v>
      </c>
    </row>
    <row r="126" spans="1:18" outlineLevel="1" x14ac:dyDescent="0.2">
      <c r="A126" s="3" t="s">
        <v>3010</v>
      </c>
      <c r="B126" s="138">
        <f>+'KY_Res by Plant Acct-P29 (Reg)'!B127</f>
        <v>-2011678.3499999999</v>
      </c>
      <c r="C126" s="135"/>
      <c r="D126" s="138">
        <f>+'KY_Res by Plant Acct-P29 (Reg)'!D127</f>
        <v>0</v>
      </c>
      <c r="E126" s="135"/>
      <c r="F126" s="138">
        <f>+'KY_Res by Plant Acct-P29 (Reg)'!F127</f>
        <v>4266.3</v>
      </c>
      <c r="G126" s="135"/>
      <c r="H126" s="138">
        <f>+'KY_Res by Plant Acct-P29 (Reg)'!H127</f>
        <v>0</v>
      </c>
      <c r="I126" s="138"/>
      <c r="J126" s="138">
        <f>+'KY_Res by Plant Acct-P29 (Reg)'!J127</f>
        <v>0</v>
      </c>
      <c r="K126" s="135"/>
      <c r="L126" s="138">
        <f>+'KY_Res by Plant Acct-P29 (Reg)'!L127</f>
        <v>-0.01</v>
      </c>
      <c r="M126" s="135"/>
      <c r="N126" s="138">
        <f>+'KY_Res by Plant Acct-P29 (Reg)'!N127</f>
        <v>-1.48</v>
      </c>
      <c r="O126" s="135"/>
      <c r="P126" s="138">
        <f>+'KY_Res by Plant Acct-P29 (Reg)'!P127</f>
        <v>0</v>
      </c>
      <c r="Q126" s="135"/>
      <c r="R126" s="138">
        <f t="shared" si="5"/>
        <v>-2007413.5399999998</v>
      </c>
    </row>
    <row r="127" spans="1:18" x14ac:dyDescent="0.2">
      <c r="A127" s="3" t="s">
        <v>3011</v>
      </c>
      <c r="B127" s="138">
        <f>SUM(B110:B126)</f>
        <v>-20907136.419999998</v>
      </c>
      <c r="C127" s="135"/>
      <c r="D127" s="138">
        <f>SUM(D110:D126)</f>
        <v>-1967231.8599999996</v>
      </c>
      <c r="E127" s="135"/>
      <c r="F127" s="138">
        <f>SUM(F110:F126)</f>
        <v>40808.990000000005</v>
      </c>
      <c r="G127" s="135"/>
      <c r="H127" s="138">
        <f>SUM(H110:H126)</f>
        <v>-8284.83</v>
      </c>
      <c r="I127" s="135"/>
      <c r="J127" s="138">
        <f>SUM(J110:J126)</f>
        <v>0</v>
      </c>
      <c r="K127" s="135"/>
      <c r="L127" s="138">
        <f>SUM(L110:L126)</f>
        <v>-0.01</v>
      </c>
      <c r="M127" s="135"/>
      <c r="N127" s="138">
        <f>SUM(N110:N126)</f>
        <v>-1.48</v>
      </c>
      <c r="O127" s="138"/>
      <c r="P127" s="138">
        <f>SUM(P110:P126)</f>
        <v>0</v>
      </c>
      <c r="Q127" s="135"/>
      <c r="R127" s="138">
        <f>SUM(R110:R126)</f>
        <v>-22841845.609999996</v>
      </c>
    </row>
    <row r="128" spans="1:18" outlineLevel="1" x14ac:dyDescent="0.2">
      <c r="A128" s="3" t="s">
        <v>3386</v>
      </c>
      <c r="B128" s="138">
        <f>+'KY_Res by Plant Acct-P29 (Reg)'!B129</f>
        <v>-130386.07</v>
      </c>
      <c r="C128" s="135"/>
      <c r="D128" s="138">
        <f>+'KY_Res by Plant Acct-P29 (Reg)'!D129</f>
        <v>0</v>
      </c>
      <c r="E128" s="135"/>
      <c r="F128" s="138">
        <f>+'KY_Res by Plant Acct-P29 (Reg)'!F129</f>
        <v>0</v>
      </c>
      <c r="G128" s="135"/>
      <c r="H128" s="138">
        <f>+'KY_Res by Plant Acct-P29 (Reg)'!H129</f>
        <v>0</v>
      </c>
      <c r="I128" s="135"/>
      <c r="J128" s="138">
        <f>+'KY_Res by Plant Acct-P29 (Reg)'!J129</f>
        <v>0</v>
      </c>
      <c r="K128" s="135"/>
      <c r="L128" s="138">
        <f>+'KY_Res by Plant Acct-P29 (Reg)'!L129</f>
        <v>0</v>
      </c>
      <c r="M128" s="135"/>
      <c r="N128" s="138">
        <f>+'KY_Res by Plant Acct-P29 (Reg)'!N129</f>
        <v>0</v>
      </c>
      <c r="O128" s="135"/>
      <c r="P128" s="138">
        <f>+'KY_Res by Plant Acct-P29 (Reg)'!P129</f>
        <v>0</v>
      </c>
      <c r="Q128" s="135"/>
      <c r="R128" s="138">
        <f t="shared" si="5"/>
        <v>-130386.07</v>
      </c>
    </row>
    <row r="129" spans="1:18" outlineLevel="1" x14ac:dyDescent="0.2">
      <c r="A129" s="3" t="s">
        <v>3013</v>
      </c>
      <c r="B129" s="138">
        <f>+'KY_Res by Plant Acct-P29 (Reg)'!B130</f>
        <v>-117860.93</v>
      </c>
      <c r="C129" s="138">
        <f>+'KY_Res by Plant Acct-P29 (Reg)'!C130</f>
        <v>0</v>
      </c>
      <c r="D129" s="138">
        <f>+'KY_Res by Plant Acct-P29 (Reg)'!D130</f>
        <v>-187225.41</v>
      </c>
      <c r="E129" s="138">
        <f>+'KY_Res by Plant Acct-P29 (Reg)'!E130</f>
        <v>0</v>
      </c>
      <c r="F129" s="138">
        <f>+'KY_Res by Plant Acct-P29 (Reg)'!F130</f>
        <v>0</v>
      </c>
      <c r="G129" s="138">
        <f>+'KY_Res by Plant Acct-P29 (Reg)'!G130</f>
        <v>0</v>
      </c>
      <c r="H129" s="138">
        <f>+'KY_Res by Plant Acct-P29 (Reg)'!H130</f>
        <v>0</v>
      </c>
      <c r="I129" s="138">
        <f>+'KY_Res by Plant Acct-P29 (Reg)'!I130</f>
        <v>0</v>
      </c>
      <c r="J129" s="138">
        <f>+'KY_Res by Plant Acct-P29 (Reg)'!J130</f>
        <v>0</v>
      </c>
      <c r="K129" s="138">
        <f>+'KY_Res by Plant Acct-P29 (Reg)'!K130</f>
        <v>0</v>
      </c>
      <c r="L129" s="138">
        <f>+'KY_Res by Plant Acct-P29 (Reg)'!L130</f>
        <v>0</v>
      </c>
      <c r="M129" s="138">
        <f>+'KY_Res by Plant Acct-P29 (Reg)'!M130</f>
        <v>0</v>
      </c>
      <c r="N129" s="138">
        <f>+'KY_Res by Plant Acct-P29 (Reg)'!N130</f>
        <v>0</v>
      </c>
      <c r="O129" s="138">
        <f>+'KY_Res by Plant Acct-P29 (Reg)'!O130</f>
        <v>0</v>
      </c>
      <c r="P129" s="138">
        <f>+'KY_Res by Plant Acct-P29 (Reg)'!P130</f>
        <v>0</v>
      </c>
      <c r="Q129" s="135"/>
      <c r="R129" s="138">
        <f t="shared" si="5"/>
        <v>-305086.33999999997</v>
      </c>
    </row>
    <row r="130" spans="1:18" outlineLevel="1" x14ac:dyDescent="0.2">
      <c r="A130" s="3" t="s">
        <v>3014</v>
      </c>
      <c r="B130" s="138">
        <f>+'KY_Res by Plant Acct-P29 (Reg)'!B131</f>
        <v>-1277246.7999999998</v>
      </c>
      <c r="C130" s="135"/>
      <c r="D130" s="138">
        <f>+'KY_Res by Plant Acct-P29 (Reg)'!D131</f>
        <v>-93685.440000000002</v>
      </c>
      <c r="E130" s="135"/>
      <c r="F130" s="138">
        <f>+'KY_Res by Plant Acct-P29 (Reg)'!F131</f>
        <v>0</v>
      </c>
      <c r="G130" s="135"/>
      <c r="H130" s="138">
        <f>+'KY_Res by Plant Acct-P29 (Reg)'!H131</f>
        <v>0</v>
      </c>
      <c r="I130" s="135"/>
      <c r="J130" s="138">
        <f>+'KY_Res by Plant Acct-P29 (Reg)'!J131</f>
        <v>0</v>
      </c>
      <c r="K130" s="135"/>
      <c r="L130" s="138">
        <f>+'KY_Res by Plant Acct-P29 (Reg)'!L131</f>
        <v>0</v>
      </c>
      <c r="M130" s="135"/>
      <c r="N130" s="138">
        <f>+'KY_Res by Plant Acct-P29 (Reg)'!N131</f>
        <v>0</v>
      </c>
      <c r="O130" s="135"/>
      <c r="P130" s="138">
        <f>+'KY_Res by Plant Acct-P29 (Reg)'!P131</f>
        <v>0</v>
      </c>
      <c r="Q130" s="135"/>
      <c r="R130" s="138">
        <f t="shared" si="5"/>
        <v>-1370932.2399999998</v>
      </c>
    </row>
    <row r="131" spans="1:18" outlineLevel="1" x14ac:dyDescent="0.2">
      <c r="A131" s="3" t="s">
        <v>3387</v>
      </c>
      <c r="B131" s="138">
        <f>+'KY_Res by Plant Acct-P29 (Reg)'!B132</f>
        <v>-494081.62</v>
      </c>
      <c r="C131" s="135"/>
      <c r="D131" s="138">
        <f>+'KY_Res by Plant Acct-P29 (Reg)'!D132</f>
        <v>-38303.760000000002</v>
      </c>
      <c r="E131" s="135"/>
      <c r="F131" s="138">
        <f>+'KY_Res by Plant Acct-P29 (Reg)'!F132</f>
        <v>0</v>
      </c>
      <c r="G131" s="135"/>
      <c r="H131" s="138">
        <f>+'KY_Res by Plant Acct-P29 (Reg)'!H132</f>
        <v>0</v>
      </c>
      <c r="I131" s="135"/>
      <c r="J131" s="138">
        <f>+'KY_Res by Plant Acct-P29 (Reg)'!J132</f>
        <v>0</v>
      </c>
      <c r="K131" s="135"/>
      <c r="L131" s="138">
        <f>+'KY_Res by Plant Acct-P29 (Reg)'!L132</f>
        <v>0</v>
      </c>
      <c r="M131" s="135"/>
      <c r="N131" s="138">
        <f>+'KY_Res by Plant Acct-P29 (Reg)'!N132</f>
        <v>0</v>
      </c>
      <c r="O131" s="135"/>
      <c r="P131" s="138">
        <f>+'KY_Res by Plant Acct-P29 (Reg)'!P132</f>
        <v>0</v>
      </c>
      <c r="Q131" s="135"/>
      <c r="R131" s="138">
        <f t="shared" si="5"/>
        <v>-532385.38</v>
      </c>
    </row>
    <row r="132" spans="1:18" outlineLevel="1" x14ac:dyDescent="0.2">
      <c r="A132" s="3" t="s">
        <v>3388</v>
      </c>
      <c r="B132" s="138">
        <f>+'KY_Res by Plant Acct-P29 (Reg)'!B133</f>
        <v>-482945.6</v>
      </c>
      <c r="C132" s="135"/>
      <c r="D132" s="138">
        <f>+'KY_Res by Plant Acct-P29 (Reg)'!D133</f>
        <v>-37928.28</v>
      </c>
      <c r="E132" s="135"/>
      <c r="F132" s="138">
        <f>+'KY_Res by Plant Acct-P29 (Reg)'!F133</f>
        <v>0</v>
      </c>
      <c r="G132" s="135"/>
      <c r="H132" s="138">
        <f>+'KY_Res by Plant Acct-P29 (Reg)'!H133</f>
        <v>0</v>
      </c>
      <c r="I132" s="135"/>
      <c r="J132" s="138">
        <f>+'KY_Res by Plant Acct-P29 (Reg)'!J133</f>
        <v>0</v>
      </c>
      <c r="K132" s="135"/>
      <c r="L132" s="138">
        <f>+'KY_Res by Plant Acct-P29 (Reg)'!L133</f>
        <v>0</v>
      </c>
      <c r="M132" s="135"/>
      <c r="N132" s="138">
        <f>+'KY_Res by Plant Acct-P29 (Reg)'!N133</f>
        <v>0</v>
      </c>
      <c r="O132" s="135"/>
      <c r="P132" s="138">
        <f>+'KY_Res by Plant Acct-P29 (Reg)'!P133</f>
        <v>0</v>
      </c>
      <c r="Q132" s="135"/>
      <c r="R132" s="138">
        <f t="shared" si="5"/>
        <v>-520873.88</v>
      </c>
    </row>
    <row r="133" spans="1:18" outlineLevel="1" x14ac:dyDescent="0.2">
      <c r="A133" s="3" t="s">
        <v>3017</v>
      </c>
      <c r="B133" s="138">
        <f>+'KY_Res by Plant Acct-P29 (Reg)'!B134</f>
        <v>0</v>
      </c>
      <c r="C133" s="135"/>
      <c r="D133" s="138">
        <f>+'KY_Res by Plant Acct-P29 (Reg)'!D134</f>
        <v>-1933.96</v>
      </c>
      <c r="E133" s="135"/>
      <c r="F133" s="138">
        <f>+'KY_Res by Plant Acct-P29 (Reg)'!F134</f>
        <v>0</v>
      </c>
      <c r="G133" s="135"/>
      <c r="H133" s="138">
        <f>+'KY_Res by Plant Acct-P29 (Reg)'!H134</f>
        <v>-8284.83</v>
      </c>
      <c r="I133" s="135"/>
      <c r="J133" s="138">
        <f>+'KY_Res by Plant Acct-P29 (Reg)'!J134</f>
        <v>0</v>
      </c>
      <c r="K133" s="135"/>
      <c r="L133" s="138">
        <f>+'KY_Res by Plant Acct-P29 (Reg)'!L134</f>
        <v>0</v>
      </c>
      <c r="M133" s="135"/>
      <c r="N133" s="138">
        <f>+'KY_Res by Plant Acct-P29 (Reg)'!N134</f>
        <v>0</v>
      </c>
      <c r="O133" s="135"/>
      <c r="P133" s="138">
        <f>+'KY_Res by Plant Acct-P29 (Reg)'!P134</f>
        <v>0</v>
      </c>
      <c r="Q133" s="135"/>
      <c r="R133" s="138">
        <f t="shared" si="5"/>
        <v>-10218.790000000001</v>
      </c>
    </row>
    <row r="134" spans="1:18" outlineLevel="1" x14ac:dyDescent="0.2">
      <c r="A134" s="3" t="s">
        <v>3018</v>
      </c>
      <c r="B134" s="138">
        <f>+'KY_Res by Plant Acct-P29 (Reg)'!B135</f>
        <v>-48021.000000000015</v>
      </c>
      <c r="C134" s="135"/>
      <c r="D134" s="138">
        <f>+'KY_Res by Plant Acct-P29 (Reg)'!D135</f>
        <v>0</v>
      </c>
      <c r="E134" s="135"/>
      <c r="F134" s="138">
        <f>+'KY_Res by Plant Acct-P29 (Reg)'!F135</f>
        <v>107.47</v>
      </c>
      <c r="G134" s="135"/>
      <c r="H134" s="138">
        <f>+'KY_Res by Plant Acct-P29 (Reg)'!H135</f>
        <v>0</v>
      </c>
      <c r="I134" s="135"/>
      <c r="J134" s="138">
        <f>+'KY_Res by Plant Acct-P29 (Reg)'!J135</f>
        <v>0</v>
      </c>
      <c r="K134" s="135"/>
      <c r="L134" s="138">
        <f>+'KY_Res by Plant Acct-P29 (Reg)'!L135</f>
        <v>-0.04</v>
      </c>
      <c r="M134" s="135"/>
      <c r="N134" s="138">
        <f>+'KY_Res by Plant Acct-P29 (Reg)'!N135</f>
        <v>-7.75</v>
      </c>
      <c r="O134" s="135"/>
      <c r="P134" s="138">
        <f>+'KY_Res by Plant Acct-P29 (Reg)'!P135</f>
        <v>0</v>
      </c>
      <c r="Q134" s="135"/>
      <c r="R134" s="138">
        <f t="shared" si="5"/>
        <v>-47921.320000000014</v>
      </c>
    </row>
    <row r="135" spans="1:18" outlineLevel="1" x14ac:dyDescent="0.2">
      <c r="A135" s="3" t="s">
        <v>3019</v>
      </c>
      <c r="B135" s="138">
        <f>+'KY_Res by Plant Acct-P29 (Reg)'!B136</f>
        <v>-486528.80000000005</v>
      </c>
      <c r="C135" s="135"/>
      <c r="D135" s="138">
        <f>+'KY_Res by Plant Acct-P29 (Reg)'!D136</f>
        <v>-123131.16</v>
      </c>
      <c r="E135" s="135"/>
      <c r="F135" s="138">
        <f>+'KY_Res by Plant Acct-P29 (Reg)'!F136</f>
        <v>194.16</v>
      </c>
      <c r="G135" s="135"/>
      <c r="H135" s="138">
        <f>+'KY_Res by Plant Acct-P29 (Reg)'!H136</f>
        <v>0</v>
      </c>
      <c r="I135" s="135"/>
      <c r="J135" s="138">
        <f>+'KY_Res by Plant Acct-P29 (Reg)'!J136</f>
        <v>0</v>
      </c>
      <c r="K135" s="135"/>
      <c r="L135" s="138">
        <f>+'KY_Res by Plant Acct-P29 (Reg)'!L136</f>
        <v>-0.08</v>
      </c>
      <c r="M135" s="135"/>
      <c r="N135" s="138">
        <f>+'KY_Res by Plant Acct-P29 (Reg)'!N136</f>
        <v>-14</v>
      </c>
      <c r="O135" s="135"/>
      <c r="P135" s="138">
        <f>+'KY_Res by Plant Acct-P29 (Reg)'!P136</f>
        <v>0</v>
      </c>
      <c r="Q135" s="135"/>
      <c r="R135" s="138">
        <f t="shared" si="5"/>
        <v>-609479.88</v>
      </c>
    </row>
    <row r="136" spans="1:18" outlineLevel="1" x14ac:dyDescent="0.2">
      <c r="A136" s="3" t="s">
        <v>3020</v>
      </c>
      <c r="B136" s="138">
        <f>+'KY_Res by Plant Acct-P29 (Reg)'!B137</f>
        <v>-1359313.4799999997</v>
      </c>
      <c r="C136" s="135"/>
      <c r="D136" s="138">
        <f>+'KY_Res by Plant Acct-P29 (Reg)'!D137</f>
        <v>-102342.48</v>
      </c>
      <c r="E136" s="135"/>
      <c r="F136" s="138">
        <f>+'KY_Res by Plant Acct-P29 (Reg)'!F137</f>
        <v>0</v>
      </c>
      <c r="G136" s="135"/>
      <c r="H136" s="138">
        <f>+'KY_Res by Plant Acct-P29 (Reg)'!H137</f>
        <v>0</v>
      </c>
      <c r="I136" s="135"/>
      <c r="J136" s="138">
        <f>+'KY_Res by Plant Acct-P29 (Reg)'!J137</f>
        <v>0</v>
      </c>
      <c r="K136" s="135"/>
      <c r="L136" s="138">
        <f>+'KY_Res by Plant Acct-P29 (Reg)'!L137</f>
        <v>0</v>
      </c>
      <c r="M136" s="135"/>
      <c r="N136" s="138">
        <f>+'KY_Res by Plant Acct-P29 (Reg)'!N137</f>
        <v>0</v>
      </c>
      <c r="O136" s="135"/>
      <c r="P136" s="138">
        <f>+'KY_Res by Plant Acct-P29 (Reg)'!P137</f>
        <v>0</v>
      </c>
      <c r="Q136" s="135"/>
      <c r="R136" s="138">
        <f t="shared" ref="R136:R163" si="9">SUM(B136:P136)</f>
        <v>-1461655.9599999997</v>
      </c>
    </row>
    <row r="137" spans="1:18" outlineLevel="1" x14ac:dyDescent="0.2">
      <c r="A137" s="3" t="s">
        <v>3021</v>
      </c>
      <c r="B137" s="138">
        <f>+'KY_Res by Plant Acct-P29 (Reg)'!B138</f>
        <v>-1626976.46</v>
      </c>
      <c r="C137" s="135"/>
      <c r="D137" s="138">
        <f>+'KY_Res by Plant Acct-P29 (Reg)'!D138</f>
        <v>-167903.21</v>
      </c>
      <c r="E137" s="135"/>
      <c r="F137" s="138">
        <f>+'KY_Res by Plant Acct-P29 (Reg)'!F138</f>
        <v>0</v>
      </c>
      <c r="G137" s="135"/>
      <c r="H137" s="138">
        <f>+'KY_Res by Plant Acct-P29 (Reg)'!H138</f>
        <v>0</v>
      </c>
      <c r="I137" s="135"/>
      <c r="J137" s="138">
        <f>+'KY_Res by Plant Acct-P29 (Reg)'!J138</f>
        <v>0</v>
      </c>
      <c r="K137" s="135"/>
      <c r="L137" s="138">
        <f>+'KY_Res by Plant Acct-P29 (Reg)'!L138</f>
        <v>0</v>
      </c>
      <c r="M137" s="135"/>
      <c r="N137" s="138">
        <f>+'KY_Res by Plant Acct-P29 (Reg)'!N138</f>
        <v>0</v>
      </c>
      <c r="O137" s="135"/>
      <c r="P137" s="138">
        <f>+'KY_Res by Plant Acct-P29 (Reg)'!P138</f>
        <v>0</v>
      </c>
      <c r="Q137" s="135"/>
      <c r="R137" s="138">
        <f t="shared" si="9"/>
        <v>-1794879.67</v>
      </c>
    </row>
    <row r="138" spans="1:18" outlineLevel="1" x14ac:dyDescent="0.2">
      <c r="A138" s="3" t="s">
        <v>3389</v>
      </c>
      <c r="B138" s="138">
        <f>+'KY_Res by Plant Acct-P29 (Reg)'!B139</f>
        <v>-317768.23</v>
      </c>
      <c r="C138" s="135"/>
      <c r="D138" s="138">
        <f>+'KY_Res by Plant Acct-P29 (Reg)'!D139</f>
        <v>-29691.89</v>
      </c>
      <c r="E138" s="135"/>
      <c r="F138" s="138">
        <f>+'KY_Res by Plant Acct-P29 (Reg)'!F139</f>
        <v>26855.84</v>
      </c>
      <c r="G138" s="135"/>
      <c r="H138" s="138">
        <f>+'KY_Res by Plant Acct-P29 (Reg)'!H139</f>
        <v>0</v>
      </c>
      <c r="I138" s="135"/>
      <c r="J138" s="138">
        <f>+'KY_Res by Plant Acct-P29 (Reg)'!J139</f>
        <v>0</v>
      </c>
      <c r="K138" s="135"/>
      <c r="L138" s="138">
        <f>+'KY_Res by Plant Acct-P29 (Reg)'!L139</f>
        <v>0</v>
      </c>
      <c r="M138" s="135"/>
      <c r="N138" s="138">
        <f>+'KY_Res by Plant Acct-P29 (Reg)'!N139</f>
        <v>0</v>
      </c>
      <c r="O138" s="135"/>
      <c r="P138" s="138">
        <f>+'KY_Res by Plant Acct-P29 (Reg)'!P139</f>
        <v>0</v>
      </c>
      <c r="Q138" s="135"/>
      <c r="R138" s="138">
        <f t="shared" si="9"/>
        <v>-320604.27999999997</v>
      </c>
    </row>
    <row r="139" spans="1:18" outlineLevel="1" x14ac:dyDescent="0.2">
      <c r="A139" s="3" t="s">
        <v>3390</v>
      </c>
      <c r="B139" s="138">
        <f>+'KY_Res by Plant Acct-P29 (Reg)'!B140</f>
        <v>-684009.79999999993</v>
      </c>
      <c r="C139" s="135"/>
      <c r="D139" s="138">
        <f>+'KY_Res by Plant Acct-P29 (Reg)'!D140</f>
        <v>-63862.14</v>
      </c>
      <c r="E139" s="135"/>
      <c r="F139" s="138">
        <f>+'KY_Res by Plant Acct-P29 (Reg)'!F140</f>
        <v>26855.84</v>
      </c>
      <c r="G139" s="135"/>
      <c r="H139" s="138">
        <f>+'KY_Res by Plant Acct-P29 (Reg)'!H140</f>
        <v>0</v>
      </c>
      <c r="I139" s="135"/>
      <c r="J139" s="138">
        <f>+'KY_Res by Plant Acct-P29 (Reg)'!J140</f>
        <v>0</v>
      </c>
      <c r="K139" s="135"/>
      <c r="L139" s="138">
        <f>+'KY_Res by Plant Acct-P29 (Reg)'!L140</f>
        <v>0</v>
      </c>
      <c r="M139" s="135"/>
      <c r="N139" s="138">
        <f>+'KY_Res by Plant Acct-P29 (Reg)'!N140</f>
        <v>0</v>
      </c>
      <c r="O139" s="135"/>
      <c r="P139" s="138">
        <f>+'KY_Res by Plant Acct-P29 (Reg)'!P140</f>
        <v>0</v>
      </c>
      <c r="Q139" s="135"/>
      <c r="R139" s="138">
        <f t="shared" si="9"/>
        <v>-721016.1</v>
      </c>
    </row>
    <row r="140" spans="1:18" outlineLevel="1" x14ac:dyDescent="0.2">
      <c r="A140" s="3" t="s">
        <v>3391</v>
      </c>
      <c r="B140" s="138">
        <f>+'KY_Res by Plant Acct-P29 (Reg)'!B141</f>
        <v>-756223.15000000014</v>
      </c>
      <c r="C140" s="135"/>
      <c r="D140" s="138">
        <f>+'KY_Res by Plant Acct-P29 (Reg)'!D141</f>
        <v>-80051.28</v>
      </c>
      <c r="E140" s="135"/>
      <c r="F140" s="138">
        <f>+'KY_Res by Plant Acct-P29 (Reg)'!F141</f>
        <v>35012.839999999997</v>
      </c>
      <c r="G140" s="135"/>
      <c r="H140" s="138">
        <f>+'KY_Res by Plant Acct-P29 (Reg)'!H141</f>
        <v>0</v>
      </c>
      <c r="I140" s="135"/>
      <c r="J140" s="138">
        <f>+'KY_Res by Plant Acct-P29 (Reg)'!J141</f>
        <v>0</v>
      </c>
      <c r="K140" s="135"/>
      <c r="L140" s="138">
        <f>+'KY_Res by Plant Acct-P29 (Reg)'!L141</f>
        <v>0</v>
      </c>
      <c r="M140" s="135"/>
      <c r="N140" s="138">
        <f>+'KY_Res by Plant Acct-P29 (Reg)'!N141</f>
        <v>0</v>
      </c>
      <c r="O140" s="135"/>
      <c r="P140" s="138">
        <f>+'KY_Res by Plant Acct-P29 (Reg)'!P141</f>
        <v>0</v>
      </c>
      <c r="Q140" s="135"/>
      <c r="R140" s="138">
        <f t="shared" si="9"/>
        <v>-801261.5900000002</v>
      </c>
    </row>
    <row r="141" spans="1:18" outlineLevel="1" x14ac:dyDescent="0.2">
      <c r="A141" s="3" t="s">
        <v>3392</v>
      </c>
      <c r="B141" s="138">
        <f>+'KY_Res by Plant Acct-P29 (Reg)'!B142</f>
        <v>-740829.79999999993</v>
      </c>
      <c r="C141" s="135"/>
      <c r="D141" s="138">
        <f>+'KY_Res by Plant Acct-P29 (Reg)'!D142</f>
        <v>-67490.2</v>
      </c>
      <c r="E141" s="135"/>
      <c r="F141" s="138">
        <f>+'KY_Res by Plant Acct-P29 (Reg)'!F142</f>
        <v>0</v>
      </c>
      <c r="G141" s="135"/>
      <c r="H141" s="138">
        <f>+'KY_Res by Plant Acct-P29 (Reg)'!H142</f>
        <v>0</v>
      </c>
      <c r="I141" s="135"/>
      <c r="J141" s="138">
        <f>+'KY_Res by Plant Acct-P29 (Reg)'!J142</f>
        <v>0</v>
      </c>
      <c r="K141" s="135"/>
      <c r="L141" s="138">
        <f>+'KY_Res by Plant Acct-P29 (Reg)'!L142</f>
        <v>0</v>
      </c>
      <c r="M141" s="135"/>
      <c r="N141" s="138">
        <f>+'KY_Res by Plant Acct-P29 (Reg)'!N142</f>
        <v>0</v>
      </c>
      <c r="O141" s="135"/>
      <c r="P141" s="138">
        <f>+'KY_Res by Plant Acct-P29 (Reg)'!P142</f>
        <v>0</v>
      </c>
      <c r="Q141" s="135"/>
      <c r="R141" s="138">
        <f t="shared" si="9"/>
        <v>-808319.99999999988</v>
      </c>
    </row>
    <row r="142" spans="1:18" outlineLevel="1" x14ac:dyDescent="0.2">
      <c r="A142" s="3" t="s">
        <v>3026</v>
      </c>
      <c r="B142" s="138">
        <f>+'KY_Res by Plant Acct-P29 (Reg)'!B143</f>
        <v>-758945.55999999994</v>
      </c>
      <c r="C142" s="135"/>
      <c r="D142" s="138">
        <f>+'KY_Res by Plant Acct-P29 (Reg)'!D143</f>
        <v>-70343.3</v>
      </c>
      <c r="E142" s="135"/>
      <c r="F142" s="138">
        <f>+'KY_Res by Plant Acct-P29 (Reg)'!F143</f>
        <v>0</v>
      </c>
      <c r="G142" s="135"/>
      <c r="H142" s="138">
        <f>+'KY_Res by Plant Acct-P29 (Reg)'!H143</f>
        <v>0</v>
      </c>
      <c r="I142" s="135"/>
      <c r="J142" s="138">
        <f>+'KY_Res by Plant Acct-P29 (Reg)'!J143</f>
        <v>0</v>
      </c>
      <c r="K142" s="135"/>
      <c r="L142" s="138">
        <f>+'KY_Res by Plant Acct-P29 (Reg)'!L143</f>
        <v>0</v>
      </c>
      <c r="M142" s="135"/>
      <c r="N142" s="138">
        <f>+'KY_Res by Plant Acct-P29 (Reg)'!N143</f>
        <v>0</v>
      </c>
      <c r="O142" s="135"/>
      <c r="P142" s="138">
        <f>+'KY_Res by Plant Acct-P29 (Reg)'!P143</f>
        <v>0</v>
      </c>
      <c r="Q142" s="135"/>
      <c r="R142" s="138">
        <f t="shared" si="9"/>
        <v>-829288.86</v>
      </c>
    </row>
    <row r="143" spans="1:18" outlineLevel="1" x14ac:dyDescent="0.2">
      <c r="A143" s="3" t="s">
        <v>3027</v>
      </c>
      <c r="B143" s="138">
        <f>+'KY_Res by Plant Acct-P29 (Reg)'!B144</f>
        <v>0</v>
      </c>
      <c r="C143" s="135"/>
      <c r="D143" s="138">
        <f>+'KY_Res by Plant Acct-P29 (Reg)'!D144</f>
        <v>0</v>
      </c>
      <c r="E143" s="135"/>
      <c r="F143" s="138">
        <f>+'KY_Res by Plant Acct-P29 (Reg)'!F144</f>
        <v>0</v>
      </c>
      <c r="G143" s="135"/>
      <c r="H143" s="138">
        <f>+'KY_Res by Plant Acct-P29 (Reg)'!H144</f>
        <v>0</v>
      </c>
      <c r="I143" s="135"/>
      <c r="J143" s="138">
        <f>+'KY_Res by Plant Acct-P29 (Reg)'!J144</f>
        <v>0</v>
      </c>
      <c r="K143" s="135"/>
      <c r="L143" s="138">
        <f>+'KY_Res by Plant Acct-P29 (Reg)'!L144</f>
        <v>0</v>
      </c>
      <c r="M143" s="135"/>
      <c r="N143" s="138">
        <f>+'KY_Res by Plant Acct-P29 (Reg)'!N144</f>
        <v>0</v>
      </c>
      <c r="O143" s="135"/>
      <c r="P143" s="138">
        <f>+'KY_Res by Plant Acct-P29 (Reg)'!P144</f>
        <v>0</v>
      </c>
      <c r="Q143" s="135"/>
      <c r="R143" s="138">
        <f t="shared" si="9"/>
        <v>0</v>
      </c>
    </row>
    <row r="144" spans="1:18" outlineLevel="1" x14ac:dyDescent="0.2">
      <c r="A144" s="3" t="s">
        <v>3028</v>
      </c>
      <c r="B144" s="138">
        <f>+'KY_Res by Plant Acct-P29 (Reg)'!B145</f>
        <v>-51945.78</v>
      </c>
      <c r="C144" s="135"/>
      <c r="D144" s="138">
        <f>+'KY_Res by Plant Acct-P29 (Reg)'!D145</f>
        <v>0</v>
      </c>
      <c r="E144" s="135"/>
      <c r="F144" s="138">
        <f>+'KY_Res by Plant Acct-P29 (Reg)'!F145</f>
        <v>0</v>
      </c>
      <c r="G144" s="135"/>
      <c r="H144" s="138">
        <f>+'KY_Res by Plant Acct-P29 (Reg)'!H145</f>
        <v>0</v>
      </c>
      <c r="I144" s="135"/>
      <c r="J144" s="138">
        <f>+'KY_Res by Plant Acct-P29 (Reg)'!J145</f>
        <v>0</v>
      </c>
      <c r="K144" s="135"/>
      <c r="L144" s="138">
        <f>+'KY_Res by Plant Acct-P29 (Reg)'!L145</f>
        <v>0</v>
      </c>
      <c r="M144" s="135"/>
      <c r="N144" s="138">
        <f>+'KY_Res by Plant Acct-P29 (Reg)'!N145</f>
        <v>0</v>
      </c>
      <c r="O144" s="135"/>
      <c r="P144" s="138">
        <f>+'KY_Res by Plant Acct-P29 (Reg)'!P145</f>
        <v>0</v>
      </c>
      <c r="Q144" s="135"/>
      <c r="R144" s="138">
        <f t="shared" si="9"/>
        <v>-51945.78</v>
      </c>
    </row>
    <row r="145" spans="1:18" x14ac:dyDescent="0.2">
      <c r="A145" s="3" t="s">
        <v>3029</v>
      </c>
      <c r="B145" s="138">
        <f>SUM(B128:B144)</f>
        <v>-9333083.0800000001</v>
      </c>
      <c r="C145" s="135"/>
      <c r="D145" s="138">
        <f>SUM(D128:D144)</f>
        <v>-1063892.51</v>
      </c>
      <c r="E145" s="135"/>
      <c r="F145" s="138">
        <f>SUM(F128:F144)</f>
        <v>89026.15</v>
      </c>
      <c r="G145" s="135"/>
      <c r="H145" s="138">
        <f>SUM(H128:H144)</f>
        <v>-8284.83</v>
      </c>
      <c r="I145" s="135"/>
      <c r="J145" s="138">
        <f>SUM(J128:J144)</f>
        <v>0</v>
      </c>
      <c r="K145" s="138"/>
      <c r="L145" s="138">
        <f>SUM(L128:L144)</f>
        <v>-0.12</v>
      </c>
      <c r="M145" s="135"/>
      <c r="N145" s="138">
        <f>SUM(N128:N144)</f>
        <v>-21.75</v>
      </c>
      <c r="O145" s="135"/>
      <c r="P145" s="138">
        <f>SUM(P128:P144)</f>
        <v>0</v>
      </c>
      <c r="Q145" s="135"/>
      <c r="R145" s="138">
        <f>SUM(R128:R144)</f>
        <v>-10316256.139999999</v>
      </c>
    </row>
    <row r="146" spans="1:18" outlineLevel="1" x14ac:dyDescent="0.2">
      <c r="A146" s="3" t="s">
        <v>3030</v>
      </c>
      <c r="B146" s="138">
        <f>+'KY_Res by Plant Acct-P29 (Reg)'!B147</f>
        <v>-4.17</v>
      </c>
      <c r="C146" s="138">
        <f>+'KY_Res by Plant Acct-P29 (Reg)'!C147</f>
        <v>0</v>
      </c>
      <c r="D146" s="138">
        <f>+'KY_Res by Plant Acct-P29 (Reg)'!D147</f>
        <v>-11444.03</v>
      </c>
      <c r="E146" s="138">
        <f>+'KY_Res by Plant Acct-P29 (Reg)'!E147</f>
        <v>0</v>
      </c>
      <c r="F146" s="138">
        <f>+'KY_Res by Plant Acct-P29 (Reg)'!F147</f>
        <v>0</v>
      </c>
      <c r="G146" s="138">
        <f>+'KY_Res by Plant Acct-P29 (Reg)'!G147</f>
        <v>0</v>
      </c>
      <c r="H146" s="138">
        <f>+'KY_Res by Plant Acct-P29 (Reg)'!H147</f>
        <v>0</v>
      </c>
      <c r="I146" s="138">
        <f>+'KY_Res by Plant Acct-P29 (Reg)'!I147</f>
        <v>0</v>
      </c>
      <c r="J146" s="138">
        <f>+'KY_Res by Plant Acct-P29 (Reg)'!J147</f>
        <v>0</v>
      </c>
      <c r="K146" s="138">
        <f>+'KY_Res by Plant Acct-P29 (Reg)'!K147</f>
        <v>0</v>
      </c>
      <c r="L146" s="138">
        <f>+'KY_Res by Plant Acct-P29 (Reg)'!L147</f>
        <v>0</v>
      </c>
      <c r="M146" s="138">
        <f>+'KY_Res by Plant Acct-P29 (Reg)'!M147</f>
        <v>0</v>
      </c>
      <c r="N146" s="138">
        <f>+'KY_Res by Plant Acct-P29 (Reg)'!N147</f>
        <v>0</v>
      </c>
      <c r="O146" s="138">
        <f>+'KY_Res by Plant Acct-P29 (Reg)'!O147</f>
        <v>0</v>
      </c>
      <c r="P146" s="138">
        <f>+'KY_Res by Plant Acct-P29 (Reg)'!P147</f>
        <v>0</v>
      </c>
      <c r="Q146" s="135"/>
      <c r="R146" s="138">
        <f t="shared" si="9"/>
        <v>-11448.2</v>
      </c>
    </row>
    <row r="147" spans="1:18" outlineLevel="1" x14ac:dyDescent="0.2">
      <c r="A147" s="3" t="s">
        <v>3031</v>
      </c>
      <c r="B147" s="138">
        <f>+'KY_Res by Plant Acct-P29 (Reg)'!B148</f>
        <v>-1140284.29</v>
      </c>
      <c r="C147" s="135"/>
      <c r="D147" s="138">
        <f>+'KY_Res by Plant Acct-P29 (Reg)'!D148</f>
        <v>-85894.05</v>
      </c>
      <c r="E147" s="135"/>
      <c r="F147" s="138">
        <f>+'KY_Res by Plant Acct-P29 (Reg)'!F148</f>
        <v>0</v>
      </c>
      <c r="G147" s="135"/>
      <c r="H147" s="138">
        <f>+'KY_Res by Plant Acct-P29 (Reg)'!H148</f>
        <v>0</v>
      </c>
      <c r="I147" s="135"/>
      <c r="J147" s="138">
        <f>+'KY_Res by Plant Acct-P29 (Reg)'!J148</f>
        <v>0</v>
      </c>
      <c r="K147" s="135"/>
      <c r="L147" s="138">
        <f>+'KY_Res by Plant Acct-P29 (Reg)'!L148</f>
        <v>0</v>
      </c>
      <c r="M147" s="135"/>
      <c r="N147" s="138">
        <f>+'KY_Res by Plant Acct-P29 (Reg)'!N148</f>
        <v>0</v>
      </c>
      <c r="O147" s="135"/>
      <c r="P147" s="138">
        <f>+'KY_Res by Plant Acct-P29 (Reg)'!P148</f>
        <v>0</v>
      </c>
      <c r="Q147" s="135"/>
      <c r="R147" s="138">
        <f t="shared" si="9"/>
        <v>-1226178.3400000001</v>
      </c>
    </row>
    <row r="148" spans="1:18" outlineLevel="1" x14ac:dyDescent="0.2">
      <c r="A148" s="3" t="s">
        <v>3032</v>
      </c>
      <c r="B148" s="138">
        <f>+'KY_Res by Plant Acct-P29 (Reg)'!B149</f>
        <v>-11378.46</v>
      </c>
      <c r="C148" s="135"/>
      <c r="D148" s="138">
        <f>+'KY_Res by Plant Acct-P29 (Reg)'!D149</f>
        <v>-862.32</v>
      </c>
      <c r="E148" s="135"/>
      <c r="F148" s="138">
        <f>+'KY_Res by Plant Acct-P29 (Reg)'!F149</f>
        <v>0</v>
      </c>
      <c r="G148" s="135"/>
      <c r="H148" s="138">
        <f>+'KY_Res by Plant Acct-P29 (Reg)'!H149</f>
        <v>0</v>
      </c>
      <c r="I148" s="135"/>
      <c r="J148" s="138">
        <f>+'KY_Res by Plant Acct-P29 (Reg)'!J149</f>
        <v>0</v>
      </c>
      <c r="K148" s="135"/>
      <c r="L148" s="138">
        <f>+'KY_Res by Plant Acct-P29 (Reg)'!L149</f>
        <v>0</v>
      </c>
      <c r="M148" s="135"/>
      <c r="N148" s="138">
        <f>+'KY_Res by Plant Acct-P29 (Reg)'!N149</f>
        <v>0</v>
      </c>
      <c r="O148" s="135"/>
      <c r="P148" s="138">
        <f>+'KY_Res by Plant Acct-P29 (Reg)'!P149</f>
        <v>0</v>
      </c>
      <c r="Q148" s="135"/>
      <c r="R148" s="138">
        <f t="shared" si="9"/>
        <v>-12240.779999999999</v>
      </c>
    </row>
    <row r="149" spans="1:18" outlineLevel="1" x14ac:dyDescent="0.2">
      <c r="A149" s="3" t="s">
        <v>3033</v>
      </c>
      <c r="B149" s="138">
        <f>+'KY_Res by Plant Acct-P29 (Reg)'!B150</f>
        <v>-11497.599999999999</v>
      </c>
      <c r="C149" s="135"/>
      <c r="D149" s="138">
        <f>+'KY_Res by Plant Acct-P29 (Reg)'!D150</f>
        <v>-898.8</v>
      </c>
      <c r="E149" s="135"/>
      <c r="F149" s="138">
        <f>+'KY_Res by Plant Acct-P29 (Reg)'!F150</f>
        <v>0</v>
      </c>
      <c r="G149" s="135"/>
      <c r="H149" s="138">
        <f>+'KY_Res by Plant Acct-P29 (Reg)'!H150</f>
        <v>0</v>
      </c>
      <c r="I149" s="135"/>
      <c r="J149" s="138">
        <f>+'KY_Res by Plant Acct-P29 (Reg)'!J150</f>
        <v>0</v>
      </c>
      <c r="K149" s="135"/>
      <c r="L149" s="138">
        <f>+'KY_Res by Plant Acct-P29 (Reg)'!L150</f>
        <v>0</v>
      </c>
      <c r="M149" s="135"/>
      <c r="N149" s="138">
        <f>+'KY_Res by Plant Acct-P29 (Reg)'!N150</f>
        <v>0</v>
      </c>
      <c r="O149" s="135"/>
      <c r="P149" s="138">
        <f>+'KY_Res by Plant Acct-P29 (Reg)'!P150</f>
        <v>0</v>
      </c>
      <c r="Q149" s="135"/>
      <c r="R149" s="138">
        <f t="shared" si="9"/>
        <v>-12396.399999999998</v>
      </c>
    </row>
    <row r="150" spans="1:18" outlineLevel="1" x14ac:dyDescent="0.2">
      <c r="A150" s="3" t="s">
        <v>3034</v>
      </c>
      <c r="B150" s="138">
        <f>+'KY_Res by Plant Acct-P29 (Reg)'!B151</f>
        <v>0</v>
      </c>
      <c r="C150" s="135"/>
      <c r="D150" s="138">
        <f>+'KY_Res by Plant Acct-P29 (Reg)'!D151</f>
        <v>-4072.86</v>
      </c>
      <c r="E150" s="135"/>
      <c r="F150" s="138">
        <f>+'KY_Res by Plant Acct-P29 (Reg)'!F151</f>
        <v>0</v>
      </c>
      <c r="G150" s="135"/>
      <c r="H150" s="138">
        <f>+'KY_Res by Plant Acct-P29 (Reg)'!H151</f>
        <v>0</v>
      </c>
      <c r="I150" s="135"/>
      <c r="J150" s="138">
        <f>+'KY_Res by Plant Acct-P29 (Reg)'!J151</f>
        <v>0</v>
      </c>
      <c r="K150" s="135"/>
      <c r="L150" s="138">
        <f>+'KY_Res by Plant Acct-P29 (Reg)'!L151</f>
        <v>0</v>
      </c>
      <c r="M150" s="135"/>
      <c r="N150" s="138">
        <f>+'KY_Res by Plant Acct-P29 (Reg)'!N151</f>
        <v>0</v>
      </c>
      <c r="O150" s="135"/>
      <c r="P150" s="138">
        <f>+'KY_Res by Plant Acct-P29 (Reg)'!P151</f>
        <v>0</v>
      </c>
      <c r="Q150" s="135"/>
      <c r="R150" s="138">
        <f t="shared" si="9"/>
        <v>-4072.86</v>
      </c>
    </row>
    <row r="151" spans="1:18" outlineLevel="1" x14ac:dyDescent="0.2">
      <c r="A151" s="3" t="s">
        <v>3035</v>
      </c>
      <c r="B151" s="138">
        <f>+'KY_Res by Plant Acct-P29 (Reg)'!B152</f>
        <v>-4714.75</v>
      </c>
      <c r="C151" s="135"/>
      <c r="D151" s="138">
        <f>+'KY_Res by Plant Acct-P29 (Reg)'!D152</f>
        <v>-1446.96</v>
      </c>
      <c r="E151" s="135"/>
      <c r="F151" s="138">
        <f>+'KY_Res by Plant Acct-P29 (Reg)'!F152</f>
        <v>0</v>
      </c>
      <c r="G151" s="135"/>
      <c r="H151" s="138">
        <f>+'KY_Res by Plant Acct-P29 (Reg)'!H152</f>
        <v>0</v>
      </c>
      <c r="I151" s="135"/>
      <c r="J151" s="138">
        <f>+'KY_Res by Plant Acct-P29 (Reg)'!J152</f>
        <v>0</v>
      </c>
      <c r="K151" s="135"/>
      <c r="L151" s="138">
        <f>+'KY_Res by Plant Acct-P29 (Reg)'!L152</f>
        <v>0</v>
      </c>
      <c r="M151" s="135"/>
      <c r="N151" s="138">
        <f>+'KY_Res by Plant Acct-P29 (Reg)'!N152</f>
        <v>0</v>
      </c>
      <c r="O151" s="135"/>
      <c r="P151" s="138">
        <f>+'KY_Res by Plant Acct-P29 (Reg)'!P152</f>
        <v>0</v>
      </c>
      <c r="Q151" s="135"/>
      <c r="R151" s="138">
        <f t="shared" si="9"/>
        <v>-6161.71</v>
      </c>
    </row>
    <row r="152" spans="1:18" outlineLevel="1" x14ac:dyDescent="0.2">
      <c r="A152" s="3" t="s">
        <v>3036</v>
      </c>
      <c r="B152" s="138">
        <f>+'KY_Res by Plant Acct-P29 (Reg)'!B153</f>
        <v>0</v>
      </c>
      <c r="C152" s="135"/>
      <c r="D152" s="138">
        <f>+'KY_Res by Plant Acct-P29 (Reg)'!D153</f>
        <v>0</v>
      </c>
      <c r="E152" s="135"/>
      <c r="F152" s="138">
        <f>+'KY_Res by Plant Acct-P29 (Reg)'!F153</f>
        <v>0</v>
      </c>
      <c r="G152" s="135"/>
      <c r="H152" s="138">
        <f>+'KY_Res by Plant Acct-P29 (Reg)'!H153</f>
        <v>0</v>
      </c>
      <c r="I152" s="135"/>
      <c r="J152" s="138">
        <f>+'KY_Res by Plant Acct-P29 (Reg)'!J153</f>
        <v>0</v>
      </c>
      <c r="K152" s="135"/>
      <c r="L152" s="138">
        <f>+'KY_Res by Plant Acct-P29 (Reg)'!L153</f>
        <v>0</v>
      </c>
      <c r="M152" s="135"/>
      <c r="N152" s="138">
        <f>+'KY_Res by Plant Acct-P29 (Reg)'!N153</f>
        <v>0</v>
      </c>
      <c r="O152" s="135"/>
      <c r="P152" s="138">
        <f>+'KY_Res by Plant Acct-P29 (Reg)'!P153</f>
        <v>0</v>
      </c>
      <c r="Q152" s="135"/>
      <c r="R152" s="138">
        <f t="shared" si="9"/>
        <v>0</v>
      </c>
    </row>
    <row r="153" spans="1:18" outlineLevel="1" x14ac:dyDescent="0.2">
      <c r="A153" s="3" t="s">
        <v>3037</v>
      </c>
      <c r="B153" s="138">
        <f>+'KY_Res by Plant Acct-P29 (Reg)'!B154</f>
        <v>-613583.22000000009</v>
      </c>
      <c r="C153" s="135"/>
      <c r="D153" s="138">
        <f>+'KY_Res by Plant Acct-P29 (Reg)'!D154</f>
        <v>-47818.86</v>
      </c>
      <c r="E153" s="135"/>
      <c r="F153" s="138">
        <f>+'KY_Res by Plant Acct-P29 (Reg)'!F154</f>
        <v>0</v>
      </c>
      <c r="G153" s="135"/>
      <c r="H153" s="138">
        <f>+'KY_Res by Plant Acct-P29 (Reg)'!H154</f>
        <v>0</v>
      </c>
      <c r="I153" s="135"/>
      <c r="J153" s="138">
        <f>+'KY_Res by Plant Acct-P29 (Reg)'!J154</f>
        <v>0</v>
      </c>
      <c r="K153" s="135"/>
      <c r="L153" s="138">
        <f>+'KY_Res by Plant Acct-P29 (Reg)'!L154</f>
        <v>0</v>
      </c>
      <c r="M153" s="135"/>
      <c r="N153" s="138">
        <f>+'KY_Res by Plant Acct-P29 (Reg)'!N154</f>
        <v>0</v>
      </c>
      <c r="O153" s="135"/>
      <c r="P153" s="138">
        <f>+'KY_Res by Plant Acct-P29 (Reg)'!P154</f>
        <v>0</v>
      </c>
      <c r="Q153" s="135"/>
      <c r="R153" s="138">
        <f t="shared" si="9"/>
        <v>-661402.08000000007</v>
      </c>
    </row>
    <row r="154" spans="1:18" outlineLevel="1" x14ac:dyDescent="0.2">
      <c r="A154" s="3" t="s">
        <v>3393</v>
      </c>
      <c r="B154" s="138">
        <f>+'KY_Res by Plant Acct-P29 (Reg)'!B155</f>
        <v>-6364.16</v>
      </c>
      <c r="C154" s="135"/>
      <c r="D154" s="138">
        <f>+'KY_Res by Plant Acct-P29 (Reg)'!D155</f>
        <v>-1056.3599999999999</v>
      </c>
      <c r="E154" s="135"/>
      <c r="F154" s="138">
        <f>+'KY_Res by Plant Acct-P29 (Reg)'!F155</f>
        <v>0</v>
      </c>
      <c r="G154" s="135"/>
      <c r="H154" s="138">
        <f>+'KY_Res by Plant Acct-P29 (Reg)'!H155</f>
        <v>0</v>
      </c>
      <c r="I154" s="135"/>
      <c r="J154" s="138">
        <f>+'KY_Res by Plant Acct-P29 (Reg)'!J155</f>
        <v>0</v>
      </c>
      <c r="K154" s="135"/>
      <c r="L154" s="138">
        <f>+'KY_Res by Plant Acct-P29 (Reg)'!L155</f>
        <v>0</v>
      </c>
      <c r="M154" s="135"/>
      <c r="N154" s="138">
        <f>+'KY_Res by Plant Acct-P29 (Reg)'!N155</f>
        <v>0</v>
      </c>
      <c r="O154" s="135"/>
      <c r="P154" s="138">
        <f>+'KY_Res by Plant Acct-P29 (Reg)'!P155</f>
        <v>0</v>
      </c>
      <c r="Q154" s="135"/>
      <c r="R154" s="138">
        <f t="shared" si="9"/>
        <v>-7420.5199999999995</v>
      </c>
    </row>
    <row r="155" spans="1:18" outlineLevel="1" x14ac:dyDescent="0.2">
      <c r="A155" s="3" t="s">
        <v>3039</v>
      </c>
      <c r="B155" s="138">
        <f>+'KY_Res by Plant Acct-P29 (Reg)'!B156</f>
        <v>-6024.130000000001</v>
      </c>
      <c r="C155" s="135"/>
      <c r="D155" s="138">
        <f>+'KY_Res by Plant Acct-P29 (Reg)'!D156</f>
        <v>-540.48</v>
      </c>
      <c r="E155" s="135"/>
      <c r="F155" s="138">
        <f>+'KY_Res by Plant Acct-P29 (Reg)'!F156</f>
        <v>0</v>
      </c>
      <c r="G155" s="135"/>
      <c r="H155" s="138">
        <f>+'KY_Res by Plant Acct-P29 (Reg)'!H156</f>
        <v>0</v>
      </c>
      <c r="I155" s="135"/>
      <c r="J155" s="138">
        <f>+'KY_Res by Plant Acct-P29 (Reg)'!J156</f>
        <v>0</v>
      </c>
      <c r="K155" s="135"/>
      <c r="L155" s="138">
        <f>+'KY_Res by Plant Acct-P29 (Reg)'!L156</f>
        <v>0</v>
      </c>
      <c r="M155" s="135"/>
      <c r="N155" s="138">
        <f>+'KY_Res by Plant Acct-P29 (Reg)'!N156</f>
        <v>0</v>
      </c>
      <c r="O155" s="135"/>
      <c r="P155" s="138">
        <f>+'KY_Res by Plant Acct-P29 (Reg)'!P156</f>
        <v>0</v>
      </c>
      <c r="Q155" s="135"/>
      <c r="R155" s="138">
        <f t="shared" si="9"/>
        <v>-6564.6100000000006</v>
      </c>
    </row>
    <row r="156" spans="1:18" outlineLevel="1" x14ac:dyDescent="0.2">
      <c r="A156" s="3" t="s">
        <v>3040</v>
      </c>
      <c r="B156" s="138">
        <f>+'KY_Res by Plant Acct-P29 (Reg)'!B157</f>
        <v>-2006.3500000000006</v>
      </c>
      <c r="C156" s="135"/>
      <c r="D156" s="138">
        <f>+'KY_Res by Plant Acct-P29 (Reg)'!D157</f>
        <v>-182.16</v>
      </c>
      <c r="E156" s="135"/>
      <c r="F156" s="138">
        <f>+'KY_Res by Plant Acct-P29 (Reg)'!F157</f>
        <v>0</v>
      </c>
      <c r="G156" s="135"/>
      <c r="H156" s="138">
        <f>+'KY_Res by Plant Acct-P29 (Reg)'!H157</f>
        <v>0</v>
      </c>
      <c r="I156" s="135"/>
      <c r="J156" s="138">
        <f>+'KY_Res by Plant Acct-P29 (Reg)'!J157</f>
        <v>0</v>
      </c>
      <c r="K156" s="135"/>
      <c r="L156" s="138">
        <f>+'KY_Res by Plant Acct-P29 (Reg)'!L157</f>
        <v>0</v>
      </c>
      <c r="M156" s="135"/>
      <c r="N156" s="138">
        <f>+'KY_Res by Plant Acct-P29 (Reg)'!N157</f>
        <v>0</v>
      </c>
      <c r="O156" s="135"/>
      <c r="P156" s="138">
        <f>+'KY_Res by Plant Acct-P29 (Reg)'!P157</f>
        <v>0</v>
      </c>
      <c r="Q156" s="135"/>
      <c r="R156" s="138">
        <f t="shared" si="9"/>
        <v>-2188.5100000000007</v>
      </c>
    </row>
    <row r="157" spans="1:18" outlineLevel="1" x14ac:dyDescent="0.2">
      <c r="A157" s="3" t="s">
        <v>3041</v>
      </c>
      <c r="B157" s="138">
        <f>+'KY_Res by Plant Acct-P29 (Reg)'!B158</f>
        <v>-1998.9300000000005</v>
      </c>
      <c r="C157" s="135"/>
      <c r="D157" s="138">
        <f>+'KY_Res by Plant Acct-P29 (Reg)'!D158</f>
        <v>-181.92</v>
      </c>
      <c r="E157" s="135"/>
      <c r="F157" s="138">
        <f>+'KY_Res by Plant Acct-P29 (Reg)'!F158</f>
        <v>0</v>
      </c>
      <c r="G157" s="135"/>
      <c r="H157" s="138">
        <f>+'KY_Res by Plant Acct-P29 (Reg)'!H158</f>
        <v>0</v>
      </c>
      <c r="I157" s="135"/>
      <c r="J157" s="138">
        <f>+'KY_Res by Plant Acct-P29 (Reg)'!J158</f>
        <v>0</v>
      </c>
      <c r="K157" s="135"/>
      <c r="L157" s="138">
        <f>+'KY_Res by Plant Acct-P29 (Reg)'!L158</f>
        <v>0</v>
      </c>
      <c r="M157" s="135"/>
      <c r="N157" s="138">
        <f>+'KY_Res by Plant Acct-P29 (Reg)'!N158</f>
        <v>0</v>
      </c>
      <c r="O157" s="135"/>
      <c r="P157" s="138">
        <f>+'KY_Res by Plant Acct-P29 (Reg)'!P158</f>
        <v>0</v>
      </c>
      <c r="Q157" s="135"/>
      <c r="R157" s="138">
        <f t="shared" si="9"/>
        <v>-2180.8500000000004</v>
      </c>
    </row>
    <row r="158" spans="1:18" outlineLevel="1" x14ac:dyDescent="0.2">
      <c r="A158" s="3" t="s">
        <v>3042</v>
      </c>
      <c r="B158" s="138">
        <f>+'KY_Res by Plant Acct-P29 (Reg)'!B159</f>
        <v>-2041.8700000000001</v>
      </c>
      <c r="C158" s="135"/>
      <c r="D158" s="138">
        <f>+'KY_Res by Plant Acct-P29 (Reg)'!D159</f>
        <v>-186.96</v>
      </c>
      <c r="E158" s="135"/>
      <c r="F158" s="138">
        <f>+'KY_Res by Plant Acct-P29 (Reg)'!F159</f>
        <v>0</v>
      </c>
      <c r="G158" s="135"/>
      <c r="H158" s="138">
        <f>+'KY_Res by Plant Acct-P29 (Reg)'!H159</f>
        <v>0</v>
      </c>
      <c r="I158" s="135"/>
      <c r="J158" s="138">
        <f>+'KY_Res by Plant Acct-P29 (Reg)'!J159</f>
        <v>0</v>
      </c>
      <c r="K158" s="135"/>
      <c r="L158" s="138">
        <f>+'KY_Res by Plant Acct-P29 (Reg)'!L159</f>
        <v>0</v>
      </c>
      <c r="M158" s="135"/>
      <c r="N158" s="138">
        <f>+'KY_Res by Plant Acct-P29 (Reg)'!N159</f>
        <v>0</v>
      </c>
      <c r="O158" s="135"/>
      <c r="P158" s="138">
        <f>+'KY_Res by Plant Acct-P29 (Reg)'!P159</f>
        <v>0</v>
      </c>
      <c r="Q158" s="135"/>
      <c r="R158" s="138">
        <f t="shared" si="9"/>
        <v>-2228.83</v>
      </c>
    </row>
    <row r="159" spans="1:18" outlineLevel="1" x14ac:dyDescent="0.2">
      <c r="A159" s="3" t="s">
        <v>3394</v>
      </c>
      <c r="B159" s="138">
        <f>+'KY_Res by Plant Acct-P29 (Reg)'!B160</f>
        <v>0</v>
      </c>
      <c r="C159" s="135"/>
      <c r="D159" s="138">
        <f>+'KY_Res by Plant Acct-P29 (Reg)'!D160</f>
        <v>0</v>
      </c>
      <c r="E159" s="135"/>
      <c r="F159" s="138">
        <f>+'KY_Res by Plant Acct-P29 (Reg)'!F160</f>
        <v>0</v>
      </c>
      <c r="G159" s="135"/>
      <c r="H159" s="138">
        <f>+'KY_Res by Plant Acct-P29 (Reg)'!H160</f>
        <v>0</v>
      </c>
      <c r="I159" s="135"/>
      <c r="J159" s="138">
        <f>+'KY_Res by Plant Acct-P29 (Reg)'!J160</f>
        <v>0</v>
      </c>
      <c r="K159" s="135"/>
      <c r="L159" s="138">
        <f>+'KY_Res by Plant Acct-P29 (Reg)'!L160</f>
        <v>0</v>
      </c>
      <c r="M159" s="135"/>
      <c r="N159" s="138">
        <f>+'KY_Res by Plant Acct-P29 (Reg)'!N160</f>
        <v>0</v>
      </c>
      <c r="O159" s="135"/>
      <c r="P159" s="138">
        <f>+'KY_Res by Plant Acct-P29 (Reg)'!P160</f>
        <v>0</v>
      </c>
      <c r="Q159" s="135"/>
      <c r="R159" s="138">
        <f t="shared" si="9"/>
        <v>0</v>
      </c>
    </row>
    <row r="160" spans="1:18" outlineLevel="1" x14ac:dyDescent="0.2">
      <c r="A160" s="3" t="s">
        <v>3044</v>
      </c>
      <c r="B160" s="138">
        <f>+'KY_Res by Plant Acct-P29 (Reg)'!B161</f>
        <v>-4130.58</v>
      </c>
      <c r="C160" s="135"/>
      <c r="D160" s="138">
        <f>+'KY_Res by Plant Acct-P29 (Reg)'!D161</f>
        <v>-1254.3599999999999</v>
      </c>
      <c r="E160" s="135"/>
      <c r="F160" s="138">
        <f>+'KY_Res by Plant Acct-P29 (Reg)'!F161</f>
        <v>0</v>
      </c>
      <c r="G160" s="135"/>
      <c r="H160" s="138">
        <f>+'KY_Res by Plant Acct-P29 (Reg)'!H161</f>
        <v>0</v>
      </c>
      <c r="I160" s="135"/>
      <c r="J160" s="138">
        <f>+'KY_Res by Plant Acct-P29 (Reg)'!J161</f>
        <v>0</v>
      </c>
      <c r="K160" s="135"/>
      <c r="L160" s="138">
        <f>+'KY_Res by Plant Acct-P29 (Reg)'!L161</f>
        <v>0</v>
      </c>
      <c r="M160" s="135"/>
      <c r="N160" s="138">
        <f>+'KY_Res by Plant Acct-P29 (Reg)'!N161</f>
        <v>0</v>
      </c>
      <c r="O160" s="135"/>
      <c r="P160" s="138">
        <f>+'KY_Res by Plant Acct-P29 (Reg)'!P161</f>
        <v>0</v>
      </c>
      <c r="Q160" s="135"/>
      <c r="R160" s="138">
        <f t="shared" si="9"/>
        <v>-5384.94</v>
      </c>
    </row>
    <row r="161" spans="1:18" x14ac:dyDescent="0.2">
      <c r="A161" s="3" t="s">
        <v>3045</v>
      </c>
      <c r="B161" s="138">
        <f>SUM(B146:B160)</f>
        <v>-1804028.5100000002</v>
      </c>
      <c r="C161" s="135"/>
      <c r="D161" s="138">
        <f>SUM(D146:D160)</f>
        <v>-155840.12</v>
      </c>
      <c r="E161" s="135"/>
      <c r="F161" s="138">
        <f>SUM(F146:F160)</f>
        <v>0</v>
      </c>
      <c r="G161" s="135"/>
      <c r="H161" s="138">
        <f>SUM(H146:H160)</f>
        <v>0</v>
      </c>
      <c r="I161" s="135"/>
      <c r="J161" s="138">
        <f>SUM(J146:J160)</f>
        <v>0</v>
      </c>
      <c r="K161" s="135"/>
      <c r="L161" s="138">
        <f>SUM(L146:L160)</f>
        <v>0</v>
      </c>
      <c r="M161" s="135"/>
      <c r="N161" s="138">
        <f>SUM(N146:N160)</f>
        <v>0</v>
      </c>
      <c r="O161" s="135"/>
      <c r="P161" s="138">
        <f>SUM(P146:P160)</f>
        <v>0</v>
      </c>
      <c r="Q161" s="135"/>
      <c r="R161" s="138">
        <f>SUM(R146:R160)</f>
        <v>-1959868.6300000004</v>
      </c>
    </row>
    <row r="162" spans="1:18" x14ac:dyDescent="0.2">
      <c r="A162" s="3" t="s">
        <v>3046</v>
      </c>
      <c r="B162" s="138">
        <f>+'KY_Res by Plant Acct-P29 (Reg)'!B163</f>
        <v>-4293.5499999999975</v>
      </c>
      <c r="C162" s="135"/>
      <c r="D162" s="138">
        <f>+'KY_Res by Plant Acct-P29 (Reg)'!D163</f>
        <v>-488.45</v>
      </c>
      <c r="E162" s="135"/>
      <c r="F162" s="138">
        <f>+'KY_Res by Plant Acct-P29 (Reg)'!F163</f>
        <v>0</v>
      </c>
      <c r="G162" s="135"/>
      <c r="H162" s="138">
        <f>+'KY_Res by Plant Acct-P29 (Reg)'!H163</f>
        <v>0</v>
      </c>
      <c r="I162" s="135"/>
      <c r="J162" s="138">
        <f>+'KY_Res by Plant Acct-P29 (Reg)'!J163</f>
        <v>0</v>
      </c>
      <c r="K162" s="135"/>
      <c r="L162" s="138">
        <f>+'KY_Res by Plant Acct-P29 (Reg)'!L163</f>
        <v>0</v>
      </c>
      <c r="M162" s="135"/>
      <c r="N162" s="138">
        <f>+'KY_Res by Plant Acct-P29 (Reg)'!N163</f>
        <v>0</v>
      </c>
      <c r="O162" s="135"/>
      <c r="P162" s="138">
        <f>+'KY_Res by Plant Acct-P29 (Reg)'!P163</f>
        <v>0</v>
      </c>
      <c r="Q162" s="135"/>
      <c r="R162" s="138">
        <f t="shared" si="9"/>
        <v>-4781.9999999999973</v>
      </c>
    </row>
    <row r="163" spans="1:18" x14ac:dyDescent="0.2">
      <c r="A163" s="3" t="s">
        <v>3047</v>
      </c>
      <c r="B163" s="149">
        <f>+'KY_Res by Plant Acct-P29 (Reg)'!B164</f>
        <v>-1545.53</v>
      </c>
      <c r="C163" s="135"/>
      <c r="D163" s="149">
        <f>+'KY_Res by Plant Acct-P29 (Reg)'!D164</f>
        <v>-2649.48</v>
      </c>
      <c r="E163" s="135"/>
      <c r="F163" s="149">
        <f>+'KY_Res by Plant Acct-P29 (Reg)'!F164</f>
        <v>0</v>
      </c>
      <c r="G163" s="135"/>
      <c r="H163" s="149">
        <f>+'KY_Res by Plant Acct-P29 (Reg)'!H164</f>
        <v>0</v>
      </c>
      <c r="I163" s="135"/>
      <c r="J163" s="149">
        <f>+'KY_Res by Plant Acct-P29 (Reg)'!J164</f>
        <v>0</v>
      </c>
      <c r="K163" s="135"/>
      <c r="L163" s="149">
        <f>+'KY_Res by Plant Acct-P29 (Reg)'!L164</f>
        <v>0</v>
      </c>
      <c r="M163" s="135"/>
      <c r="N163" s="149">
        <f>+'KY_Res by Plant Acct-P29 (Reg)'!N164</f>
        <v>0</v>
      </c>
      <c r="O163" s="135"/>
      <c r="P163" s="149">
        <f>+'KY_Res by Plant Acct-P29 (Reg)'!P164</f>
        <v>0</v>
      </c>
      <c r="Q163" s="135"/>
      <c r="R163" s="149">
        <f t="shared" si="9"/>
        <v>-4195.01</v>
      </c>
    </row>
    <row r="164" spans="1:18" x14ac:dyDescent="0.2">
      <c r="B164" s="135">
        <f>B163+B162+B161+B145+B127+B109+B96+B77+B59+B58</f>
        <v>-107263447.58</v>
      </c>
      <c r="C164" s="135"/>
      <c r="D164" s="135">
        <f>D163+D162+D161+D145+D127+D109+D96+D77+D59+D58</f>
        <v>-14027469.960000001</v>
      </c>
      <c r="E164" s="135"/>
      <c r="F164" s="135">
        <f>F163+F162+F161+F145+F127+F109+F96+F77+F59+F58</f>
        <v>290230.68999999994</v>
      </c>
      <c r="G164" s="135"/>
      <c r="H164" s="135">
        <f>H163+H162+H161+H145+H127+H109+H96+H77+H59+H58</f>
        <v>0</v>
      </c>
      <c r="I164" s="135"/>
      <c r="J164" s="135">
        <f>J163+J162+J161+J145+J127+J109+J96+J77+J59+J58</f>
        <v>0</v>
      </c>
      <c r="K164" s="135"/>
      <c r="L164" s="135">
        <f>L163+L162+L161+L145+L127+L109+L96+L77+L59+L58</f>
        <v>39115.85</v>
      </c>
      <c r="M164" s="135"/>
      <c r="N164" s="135">
        <f>N163+N162+N161+N145+N127+N109+N96+N77+N59+N58</f>
        <v>-1433.84</v>
      </c>
      <c r="O164" s="135"/>
      <c r="P164" s="135">
        <f>P163+P162+P161+P145+P127+P109+P96+P77+P59+P58</f>
        <v>0</v>
      </c>
      <c r="Q164" s="135"/>
      <c r="R164" s="135">
        <f>R163+R162+R161+R145+R127+R109+R96+R77+R59+R58</f>
        <v>-120963004.84000002</v>
      </c>
    </row>
    <row r="165" spans="1:18" ht="6" customHeight="1" x14ac:dyDescent="0.2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</row>
    <row r="166" spans="1:18" x14ac:dyDescent="0.2">
      <c r="A166" s="10" t="s">
        <v>23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</row>
    <row r="167" spans="1:18" outlineLevel="1" x14ac:dyDescent="0.2">
      <c r="A167" s="3" t="s">
        <v>3395</v>
      </c>
      <c r="B167" s="135">
        <f>+'KY_Res by Plant Acct-P29 (Reg)'!B168</f>
        <v>0</v>
      </c>
      <c r="C167" s="135"/>
      <c r="D167" s="135">
        <f>+'KY_Res by Plant Acct-P29 (Reg)'!D168</f>
        <v>0</v>
      </c>
      <c r="E167" s="135"/>
      <c r="F167" s="135">
        <f>+'KY_Res by Plant Acct-P29 (Reg)'!F168</f>
        <v>0</v>
      </c>
      <c r="G167" s="135"/>
      <c r="H167" s="135">
        <f>+'KY_Res by Plant Acct-P29 (Reg)'!H168</f>
        <v>0</v>
      </c>
      <c r="I167" s="135"/>
      <c r="J167" s="135">
        <f>+'KY_Res by Plant Acct-P29 (Reg)'!J168</f>
        <v>0</v>
      </c>
      <c r="K167" s="135"/>
      <c r="L167" s="135">
        <f>+'KY_Res by Plant Acct-P29 (Reg)'!L168</f>
        <v>0</v>
      </c>
      <c r="M167" s="135"/>
      <c r="N167" s="135">
        <f>+'KY_Res by Plant Acct-P29 (Reg)'!N168</f>
        <v>0</v>
      </c>
      <c r="O167" s="135"/>
      <c r="P167" s="135">
        <f>+'KY_Res by Plant Acct-P29 (Reg)'!P168</f>
        <v>0</v>
      </c>
      <c r="Q167" s="135"/>
      <c r="R167" s="135">
        <f>SUM(B167:P167)</f>
        <v>0</v>
      </c>
    </row>
    <row r="168" spans="1:18" outlineLevel="1" x14ac:dyDescent="0.2">
      <c r="A168" s="3" t="s">
        <v>3396</v>
      </c>
      <c r="B168" s="135">
        <f>+'KY_Res by Plant Acct-P29 (Reg)'!B169</f>
        <v>0</v>
      </c>
      <c r="C168" s="135"/>
      <c r="D168" s="135">
        <f>+'KY_Res by Plant Acct-P29 (Reg)'!D169</f>
        <v>0</v>
      </c>
      <c r="E168" s="135"/>
      <c r="F168" s="135">
        <f>+'KY_Res by Plant Acct-P29 (Reg)'!F169</f>
        <v>0</v>
      </c>
      <c r="G168" s="135"/>
      <c r="H168" s="135">
        <f>+'KY_Res by Plant Acct-P29 (Reg)'!H169</f>
        <v>0</v>
      </c>
      <c r="I168" s="135"/>
      <c r="J168" s="135">
        <f>+'KY_Res by Plant Acct-P29 (Reg)'!J169</f>
        <v>0</v>
      </c>
      <c r="K168" s="135"/>
      <c r="L168" s="135">
        <f>+'KY_Res by Plant Acct-P29 (Reg)'!L169</f>
        <v>0</v>
      </c>
      <c r="M168" s="135"/>
      <c r="N168" s="135">
        <f>+'KY_Res by Plant Acct-P29 (Reg)'!N169</f>
        <v>0</v>
      </c>
      <c r="O168" s="135"/>
      <c r="P168" s="135">
        <f>+'KY_Res by Plant Acct-P29 (Reg)'!P169</f>
        <v>0</v>
      </c>
      <c r="Q168" s="135"/>
      <c r="R168" s="135">
        <f>SUM(B168:P168)</f>
        <v>0</v>
      </c>
    </row>
    <row r="169" spans="1:18" x14ac:dyDescent="0.2">
      <c r="A169" s="3" t="s">
        <v>3050</v>
      </c>
      <c r="B169" s="135">
        <f>SUM(B167:B168)</f>
        <v>0</v>
      </c>
      <c r="C169" s="135"/>
      <c r="D169" s="135">
        <f>SUM(D167:D168)</f>
        <v>0</v>
      </c>
      <c r="E169" s="135"/>
      <c r="F169" s="135">
        <f>SUM(F167:F168)</f>
        <v>0</v>
      </c>
      <c r="G169" s="135"/>
      <c r="H169" s="135">
        <f>SUM(H167:H168)</f>
        <v>0</v>
      </c>
      <c r="I169" s="135"/>
      <c r="J169" s="135">
        <f>SUM(J167:J168)</f>
        <v>0</v>
      </c>
      <c r="K169" s="135"/>
      <c r="L169" s="135">
        <f>SUM(L167:L168)</f>
        <v>0</v>
      </c>
      <c r="M169" s="135"/>
      <c r="N169" s="135">
        <f>SUM(N167:N168)</f>
        <v>0</v>
      </c>
      <c r="O169" s="135"/>
      <c r="P169" s="135">
        <f>SUM(P167:P168)</f>
        <v>0</v>
      </c>
      <c r="Q169" s="135"/>
      <c r="R169" s="135">
        <f>SUM(R167:R168)</f>
        <v>0</v>
      </c>
    </row>
    <row r="170" spans="1:18" outlineLevel="1" x14ac:dyDescent="0.2">
      <c r="A170" s="3" t="s">
        <v>3051</v>
      </c>
      <c r="B170" s="135">
        <f>+'KY_Res by Plant Acct-P29 (Reg)'!B171</f>
        <v>-2326955.8200000003</v>
      </c>
      <c r="C170" s="135"/>
      <c r="D170" s="135">
        <f>+'KY_Res by Plant Acct-P29 (Reg)'!D171</f>
        <v>0</v>
      </c>
      <c r="E170" s="135"/>
      <c r="F170" s="135">
        <f>+'KY_Res by Plant Acct-P29 (Reg)'!F171</f>
        <v>0</v>
      </c>
      <c r="G170" s="135"/>
      <c r="H170" s="135">
        <f>+'KY_Res by Plant Acct-P29 (Reg)'!H171</f>
        <v>0</v>
      </c>
      <c r="I170" s="135"/>
      <c r="J170" s="135">
        <f>+'KY_Res by Plant Acct-P29 (Reg)'!J171</f>
        <v>0</v>
      </c>
      <c r="K170" s="135"/>
      <c r="L170" s="135">
        <f>+'KY_Res by Plant Acct-P29 (Reg)'!L171</f>
        <v>0</v>
      </c>
      <c r="M170" s="135"/>
      <c r="N170" s="135">
        <f>+'KY_Res by Plant Acct-P29 (Reg)'!N171</f>
        <v>0</v>
      </c>
      <c r="O170" s="135"/>
      <c r="P170" s="135">
        <f>+'KY_Res by Plant Acct-P29 (Reg)'!P171</f>
        <v>0</v>
      </c>
      <c r="Q170" s="135"/>
      <c r="R170" s="135">
        <f t="shared" ref="R170:R205" si="10">SUM(B170:P170)</f>
        <v>-2326955.8200000003</v>
      </c>
    </row>
    <row r="171" spans="1:18" outlineLevel="1" x14ac:dyDescent="0.2">
      <c r="A171" s="3" t="s">
        <v>3052</v>
      </c>
      <c r="B171" s="135">
        <f>+'KY_Res by Plant Acct-P29 (Reg)'!B172</f>
        <v>-1331745.3999999999</v>
      </c>
      <c r="C171" s="135"/>
      <c r="D171" s="135">
        <f>+'KY_Res by Plant Acct-P29 (Reg)'!D172</f>
        <v>0</v>
      </c>
      <c r="E171" s="135"/>
      <c r="F171" s="135">
        <f>+'KY_Res by Plant Acct-P29 (Reg)'!F172</f>
        <v>0</v>
      </c>
      <c r="G171" s="135"/>
      <c r="H171" s="135">
        <f>+'KY_Res by Plant Acct-P29 (Reg)'!H172</f>
        <v>0</v>
      </c>
      <c r="I171" s="135"/>
      <c r="J171" s="135">
        <f>+'KY_Res by Plant Acct-P29 (Reg)'!J172</f>
        <v>0</v>
      </c>
      <c r="K171" s="135"/>
      <c r="L171" s="135">
        <f>+'KY_Res by Plant Acct-P29 (Reg)'!L172</f>
        <v>0</v>
      </c>
      <c r="M171" s="135"/>
      <c r="N171" s="135">
        <f>+'KY_Res by Plant Acct-P29 (Reg)'!N172</f>
        <v>0</v>
      </c>
      <c r="O171" s="135"/>
      <c r="P171" s="135">
        <f>+'KY_Res by Plant Acct-P29 (Reg)'!P172</f>
        <v>0</v>
      </c>
      <c r="Q171" s="135"/>
      <c r="R171" s="135">
        <f t="shared" si="10"/>
        <v>-1331745.3999999999</v>
      </c>
    </row>
    <row r="172" spans="1:18" outlineLevel="1" x14ac:dyDescent="0.2">
      <c r="A172" s="3" t="s">
        <v>3053</v>
      </c>
      <c r="B172" s="135">
        <f>+'KY_Res by Plant Acct-P29 (Reg)'!B173</f>
        <v>-2300122.89</v>
      </c>
      <c r="C172" s="135"/>
      <c r="D172" s="135">
        <f>+'KY_Res by Plant Acct-P29 (Reg)'!D173</f>
        <v>0</v>
      </c>
      <c r="E172" s="135"/>
      <c r="F172" s="135">
        <f>+'KY_Res by Plant Acct-P29 (Reg)'!F173</f>
        <v>0</v>
      </c>
      <c r="G172" s="135"/>
      <c r="H172" s="135">
        <f>+'KY_Res by Plant Acct-P29 (Reg)'!H173</f>
        <v>0</v>
      </c>
      <c r="I172" s="135"/>
      <c r="J172" s="135">
        <f>+'KY_Res by Plant Acct-P29 (Reg)'!J173</f>
        <v>0</v>
      </c>
      <c r="K172" s="135"/>
      <c r="L172" s="135">
        <f>+'KY_Res by Plant Acct-P29 (Reg)'!L173</f>
        <v>0</v>
      </c>
      <c r="M172" s="135"/>
      <c r="N172" s="135">
        <f>+'KY_Res by Plant Acct-P29 (Reg)'!N173</f>
        <v>0</v>
      </c>
      <c r="O172" s="135"/>
      <c r="P172" s="135">
        <f>+'KY_Res by Plant Acct-P29 (Reg)'!P173</f>
        <v>0</v>
      </c>
      <c r="Q172" s="135"/>
      <c r="R172" s="135">
        <f t="shared" si="10"/>
        <v>-2300122.89</v>
      </c>
    </row>
    <row r="173" spans="1:18" outlineLevel="1" x14ac:dyDescent="0.2">
      <c r="A173" s="3" t="s">
        <v>3054</v>
      </c>
      <c r="B173" s="135">
        <f>+'KY_Res by Plant Acct-P29 (Reg)'!B174</f>
        <v>-62890.009999999886</v>
      </c>
      <c r="C173" s="135"/>
      <c r="D173" s="135">
        <f>+'KY_Res by Plant Acct-P29 (Reg)'!D174</f>
        <v>0</v>
      </c>
      <c r="E173" s="135"/>
      <c r="F173" s="135">
        <f>+'KY_Res by Plant Acct-P29 (Reg)'!F174</f>
        <v>0</v>
      </c>
      <c r="G173" s="135"/>
      <c r="H173" s="135">
        <f>+'KY_Res by Plant Acct-P29 (Reg)'!H174</f>
        <v>0</v>
      </c>
      <c r="I173" s="135"/>
      <c r="J173" s="135">
        <f>+'KY_Res by Plant Acct-P29 (Reg)'!J174</f>
        <v>0</v>
      </c>
      <c r="K173" s="135"/>
      <c r="L173" s="135">
        <f>+'KY_Res by Plant Acct-P29 (Reg)'!L174</f>
        <v>0</v>
      </c>
      <c r="M173" s="135"/>
      <c r="N173" s="135">
        <f>+'KY_Res by Plant Acct-P29 (Reg)'!N174</f>
        <v>0</v>
      </c>
      <c r="O173" s="135"/>
      <c r="P173" s="135">
        <f>+'KY_Res by Plant Acct-P29 (Reg)'!P174</f>
        <v>0</v>
      </c>
      <c r="Q173" s="135"/>
      <c r="R173" s="135">
        <f t="shared" si="10"/>
        <v>-62890.009999999886</v>
      </c>
    </row>
    <row r="174" spans="1:18" outlineLevel="1" x14ac:dyDescent="0.2">
      <c r="A174" s="3" t="s">
        <v>3055</v>
      </c>
      <c r="B174" s="135">
        <f>+'KY_Res by Plant Acct-P29 (Reg)'!B175</f>
        <v>-2128830.3500000015</v>
      </c>
      <c r="C174" s="135"/>
      <c r="D174" s="135">
        <f>+'KY_Res by Plant Acct-P29 (Reg)'!D175</f>
        <v>0</v>
      </c>
      <c r="E174" s="135"/>
      <c r="F174" s="135">
        <f>+'KY_Res by Plant Acct-P29 (Reg)'!F175</f>
        <v>0</v>
      </c>
      <c r="G174" s="139"/>
      <c r="H174" s="135">
        <f>+'KY_Res by Plant Acct-P29 (Reg)'!H175</f>
        <v>0</v>
      </c>
      <c r="I174" s="139"/>
      <c r="J174" s="135">
        <f>+'KY_Res by Plant Acct-P29 (Reg)'!J175</f>
        <v>0</v>
      </c>
      <c r="K174" s="139"/>
      <c r="L174" s="135">
        <f>+'KY_Res by Plant Acct-P29 (Reg)'!L175</f>
        <v>0</v>
      </c>
      <c r="M174" s="135"/>
      <c r="N174" s="135">
        <f>+'KY_Res by Plant Acct-P29 (Reg)'!N175</f>
        <v>0</v>
      </c>
      <c r="O174" s="135"/>
      <c r="P174" s="135">
        <f>+'KY_Res by Plant Acct-P29 (Reg)'!P175</f>
        <v>0</v>
      </c>
      <c r="Q174" s="135"/>
      <c r="R174" s="135">
        <f t="shared" si="10"/>
        <v>-2128830.3500000015</v>
      </c>
    </row>
    <row r="175" spans="1:18" outlineLevel="1" x14ac:dyDescent="0.2">
      <c r="A175" s="3" t="s">
        <v>3056</v>
      </c>
      <c r="B175" s="135">
        <f>+'KY_Res by Plant Acct-P29 (Reg)'!B176</f>
        <v>-174556.22999999975</v>
      </c>
      <c r="C175" s="135"/>
      <c r="D175" s="135">
        <f>+'KY_Res by Plant Acct-P29 (Reg)'!D176</f>
        <v>0</v>
      </c>
      <c r="E175" s="135"/>
      <c r="F175" s="135">
        <f>+'KY_Res by Plant Acct-P29 (Reg)'!F176</f>
        <v>0</v>
      </c>
      <c r="G175" s="139"/>
      <c r="H175" s="135">
        <f>+'KY_Res by Plant Acct-P29 (Reg)'!H176</f>
        <v>0</v>
      </c>
      <c r="I175" s="139"/>
      <c r="J175" s="135">
        <f>+'KY_Res by Plant Acct-P29 (Reg)'!J176</f>
        <v>0</v>
      </c>
      <c r="K175" s="139"/>
      <c r="L175" s="135">
        <f>+'KY_Res by Plant Acct-P29 (Reg)'!L176</f>
        <v>0</v>
      </c>
      <c r="M175" s="135"/>
      <c r="N175" s="135">
        <f>+'KY_Res by Plant Acct-P29 (Reg)'!N176</f>
        <v>0</v>
      </c>
      <c r="O175" s="135"/>
      <c r="P175" s="135">
        <f>+'KY_Res by Plant Acct-P29 (Reg)'!P176</f>
        <v>0</v>
      </c>
      <c r="Q175" s="135"/>
      <c r="R175" s="135">
        <f t="shared" si="10"/>
        <v>-174556.22999999975</v>
      </c>
    </row>
    <row r="176" spans="1:18" outlineLevel="1" x14ac:dyDescent="0.2">
      <c r="A176" s="3" t="s">
        <v>3057</v>
      </c>
      <c r="B176" s="135">
        <f>+'KY_Res by Plant Acct-P29 (Reg)'!B177</f>
        <v>-3527279.9500000011</v>
      </c>
      <c r="C176" s="135"/>
      <c r="D176" s="135">
        <f>+'KY_Res by Plant Acct-P29 (Reg)'!D177</f>
        <v>-13325.04</v>
      </c>
      <c r="E176" s="135"/>
      <c r="F176" s="135">
        <f>+'KY_Res by Plant Acct-P29 (Reg)'!F177</f>
        <v>0</v>
      </c>
      <c r="G176" s="139"/>
      <c r="H176" s="135">
        <f>+'KY_Res by Plant Acct-P29 (Reg)'!H177</f>
        <v>0</v>
      </c>
      <c r="I176" s="139"/>
      <c r="J176" s="135">
        <f>+'KY_Res by Plant Acct-P29 (Reg)'!J177</f>
        <v>0</v>
      </c>
      <c r="K176" s="139"/>
      <c r="L176" s="135">
        <f>+'KY_Res by Plant Acct-P29 (Reg)'!L177</f>
        <v>0</v>
      </c>
      <c r="M176" s="135"/>
      <c r="N176" s="135">
        <f>+'KY_Res by Plant Acct-P29 (Reg)'!N177</f>
        <v>0</v>
      </c>
      <c r="O176" s="135"/>
      <c r="P176" s="135">
        <f>+'KY_Res by Plant Acct-P29 (Reg)'!P177</f>
        <v>0</v>
      </c>
      <c r="Q176" s="135"/>
      <c r="R176" s="135">
        <f t="shared" si="10"/>
        <v>-3540604.9900000012</v>
      </c>
    </row>
    <row r="177" spans="1:18" outlineLevel="1" x14ac:dyDescent="0.2">
      <c r="A177" s="3" t="s">
        <v>3058</v>
      </c>
      <c r="B177" s="135">
        <f>+'KY_Res by Plant Acct-P29 (Reg)'!B178</f>
        <v>-134572.90999999968</v>
      </c>
      <c r="C177" s="135"/>
      <c r="D177" s="135">
        <f>+'KY_Res by Plant Acct-P29 (Reg)'!D178</f>
        <v>0</v>
      </c>
      <c r="E177" s="135"/>
      <c r="F177" s="135">
        <f>+'KY_Res by Plant Acct-P29 (Reg)'!F178</f>
        <v>0</v>
      </c>
      <c r="G177" s="139"/>
      <c r="H177" s="135">
        <f>+'KY_Res by Plant Acct-P29 (Reg)'!H178</f>
        <v>0</v>
      </c>
      <c r="I177" s="139"/>
      <c r="J177" s="135">
        <f>+'KY_Res by Plant Acct-P29 (Reg)'!J178</f>
        <v>0</v>
      </c>
      <c r="K177" s="139"/>
      <c r="L177" s="135">
        <f>+'KY_Res by Plant Acct-P29 (Reg)'!L178</f>
        <v>0</v>
      </c>
      <c r="M177" s="135"/>
      <c r="N177" s="135">
        <f>+'KY_Res by Plant Acct-P29 (Reg)'!N178</f>
        <v>0</v>
      </c>
      <c r="O177" s="135"/>
      <c r="P177" s="135">
        <f>+'KY_Res by Plant Acct-P29 (Reg)'!P178</f>
        <v>0</v>
      </c>
      <c r="Q177" s="135"/>
      <c r="R177" s="135">
        <f t="shared" si="10"/>
        <v>-134572.90999999968</v>
      </c>
    </row>
    <row r="178" spans="1:18" outlineLevel="1" x14ac:dyDescent="0.2">
      <c r="A178" s="3" t="s">
        <v>3059</v>
      </c>
      <c r="B178" s="135">
        <f>+'KY_Res by Plant Acct-P29 (Reg)'!B179</f>
        <v>-8077306.9900000012</v>
      </c>
      <c r="C178" s="135"/>
      <c r="D178" s="135">
        <f>+'KY_Res by Plant Acct-P29 (Reg)'!D179</f>
        <v>-495512.1</v>
      </c>
      <c r="E178" s="135"/>
      <c r="F178" s="135">
        <f>+'KY_Res by Plant Acct-P29 (Reg)'!F179</f>
        <v>0</v>
      </c>
      <c r="G178" s="139"/>
      <c r="H178" s="135">
        <f>+'KY_Res by Plant Acct-P29 (Reg)'!H179</f>
        <v>107078.71</v>
      </c>
      <c r="I178" s="139"/>
      <c r="J178" s="135">
        <f>+'KY_Res by Plant Acct-P29 (Reg)'!J179</f>
        <v>0</v>
      </c>
      <c r="K178" s="139"/>
      <c r="L178" s="135">
        <f>+'KY_Res by Plant Acct-P29 (Reg)'!L179</f>
        <v>0</v>
      </c>
      <c r="M178" s="135"/>
      <c r="N178" s="135">
        <f>+'KY_Res by Plant Acct-P29 (Reg)'!N179</f>
        <v>0</v>
      </c>
      <c r="O178" s="135"/>
      <c r="P178" s="135">
        <f>+'KY_Res by Plant Acct-P29 (Reg)'!P179</f>
        <v>0</v>
      </c>
      <c r="Q178" s="135"/>
      <c r="R178" s="135">
        <f t="shared" si="10"/>
        <v>-8465740.3800000008</v>
      </c>
    </row>
    <row r="179" spans="1:18" outlineLevel="1" x14ac:dyDescent="0.2">
      <c r="A179" s="3" t="s">
        <v>3060</v>
      </c>
      <c r="B179" s="135">
        <f>+'KY_Res by Plant Acct-P29 (Reg)'!B180</f>
        <v>-1.4551915228366852E-11</v>
      </c>
      <c r="C179" s="135"/>
      <c r="D179" s="135">
        <f>+'KY_Res by Plant Acct-P29 (Reg)'!D180</f>
        <v>0</v>
      </c>
      <c r="E179" s="135"/>
      <c r="F179" s="135">
        <f>+'KY_Res by Plant Acct-P29 (Reg)'!F180</f>
        <v>0</v>
      </c>
      <c r="G179" s="139"/>
      <c r="H179" s="135">
        <f>+'KY_Res by Plant Acct-P29 (Reg)'!H180</f>
        <v>0</v>
      </c>
      <c r="I179" s="139"/>
      <c r="J179" s="135">
        <f>+'KY_Res by Plant Acct-P29 (Reg)'!J180</f>
        <v>0</v>
      </c>
      <c r="K179" s="139"/>
      <c r="L179" s="135">
        <f>+'KY_Res by Plant Acct-P29 (Reg)'!L180</f>
        <v>0</v>
      </c>
      <c r="M179" s="135"/>
      <c r="N179" s="135">
        <f>+'KY_Res by Plant Acct-P29 (Reg)'!N180</f>
        <v>0</v>
      </c>
      <c r="O179" s="135"/>
      <c r="P179" s="135">
        <f>+'KY_Res by Plant Acct-P29 (Reg)'!P180</f>
        <v>0</v>
      </c>
      <c r="Q179" s="135"/>
      <c r="R179" s="135">
        <f t="shared" si="10"/>
        <v>-1.4551915228366852E-11</v>
      </c>
    </row>
    <row r="180" spans="1:18" outlineLevel="1" x14ac:dyDescent="0.2">
      <c r="A180" s="22" t="s">
        <v>3061</v>
      </c>
      <c r="B180" s="135">
        <f>+'KY_Res by Plant Acct-P29 (Reg)'!B181</f>
        <v>-105107.39</v>
      </c>
      <c r="C180" s="135"/>
      <c r="D180" s="135">
        <f>+'KY_Res by Plant Acct-P29 (Reg)'!D181</f>
        <v>-38783.160000000003</v>
      </c>
      <c r="E180" s="135"/>
      <c r="F180" s="135">
        <f>+'KY_Res by Plant Acct-P29 (Reg)'!F181</f>
        <v>0</v>
      </c>
      <c r="G180" s="139"/>
      <c r="H180" s="135">
        <f>+'KY_Res by Plant Acct-P29 (Reg)'!H181</f>
        <v>0</v>
      </c>
      <c r="I180" s="139"/>
      <c r="J180" s="135">
        <f>+'KY_Res by Plant Acct-P29 (Reg)'!J181</f>
        <v>0</v>
      </c>
      <c r="K180" s="139"/>
      <c r="L180" s="135">
        <f>+'KY_Res by Plant Acct-P29 (Reg)'!L181</f>
        <v>0</v>
      </c>
      <c r="M180" s="135"/>
      <c r="N180" s="135">
        <f>+'KY_Res by Plant Acct-P29 (Reg)'!N181</f>
        <v>0</v>
      </c>
      <c r="O180" s="135"/>
      <c r="P180" s="135">
        <f>+'KY_Res by Plant Acct-P29 (Reg)'!P181</f>
        <v>0</v>
      </c>
      <c r="Q180" s="135"/>
      <c r="R180" s="135">
        <f t="shared" si="10"/>
        <v>-143890.54999999999</v>
      </c>
    </row>
    <row r="181" spans="1:18" outlineLevel="1" x14ac:dyDescent="0.2">
      <c r="A181" s="22" t="s">
        <v>3062</v>
      </c>
      <c r="B181" s="135">
        <f>+'KY_Res by Plant Acct-P29 (Reg)'!B182</f>
        <v>-1513.96</v>
      </c>
      <c r="C181" s="135"/>
      <c r="D181" s="135">
        <f>+'KY_Res by Plant Acct-P29 (Reg)'!D182</f>
        <v>-26968.560000000001</v>
      </c>
      <c r="E181" s="135"/>
      <c r="F181" s="135">
        <f>+'KY_Res by Plant Acct-P29 (Reg)'!F182</f>
        <v>0</v>
      </c>
      <c r="G181" s="139"/>
      <c r="H181" s="135">
        <f>+'KY_Res by Plant Acct-P29 (Reg)'!H182</f>
        <v>-142153.10999999999</v>
      </c>
      <c r="I181" s="139"/>
      <c r="J181" s="135">
        <f>+'KY_Res by Plant Acct-P29 (Reg)'!J182</f>
        <v>0</v>
      </c>
      <c r="K181" s="139"/>
      <c r="L181" s="135">
        <f>+'KY_Res by Plant Acct-P29 (Reg)'!L182</f>
        <v>0</v>
      </c>
      <c r="M181" s="135"/>
      <c r="N181" s="135">
        <f>+'KY_Res by Plant Acct-P29 (Reg)'!N182</f>
        <v>0</v>
      </c>
      <c r="O181" s="135"/>
      <c r="P181" s="135">
        <f>+'KY_Res by Plant Acct-P29 (Reg)'!P182</f>
        <v>0</v>
      </c>
      <c r="Q181" s="135"/>
      <c r="R181" s="135">
        <f t="shared" si="10"/>
        <v>-170635.62999999998</v>
      </c>
    </row>
    <row r="182" spans="1:18" outlineLevel="1" x14ac:dyDescent="0.2">
      <c r="A182" s="22" t="s">
        <v>3063</v>
      </c>
      <c r="B182" s="135">
        <f>+'KY_Res by Plant Acct-P29 (Reg)'!B183</f>
        <v>-12551.43</v>
      </c>
      <c r="C182" s="135"/>
      <c r="D182" s="135">
        <f>+'KY_Res by Plant Acct-P29 (Reg)'!D183</f>
        <v>-20631.27</v>
      </c>
      <c r="E182" s="135"/>
      <c r="F182" s="135">
        <f>+'KY_Res by Plant Acct-P29 (Reg)'!F183</f>
        <v>0</v>
      </c>
      <c r="G182" s="139"/>
      <c r="H182" s="135">
        <f>+'KY_Res by Plant Acct-P29 (Reg)'!H183</f>
        <v>0</v>
      </c>
      <c r="I182" s="139"/>
      <c r="J182" s="135">
        <f>+'KY_Res by Plant Acct-P29 (Reg)'!J183</f>
        <v>0</v>
      </c>
      <c r="K182" s="139"/>
      <c r="L182" s="135">
        <f>+'KY_Res by Plant Acct-P29 (Reg)'!L183</f>
        <v>0</v>
      </c>
      <c r="M182" s="135"/>
      <c r="N182" s="135">
        <f>+'KY_Res by Plant Acct-P29 (Reg)'!N183</f>
        <v>0</v>
      </c>
      <c r="O182" s="135"/>
      <c r="P182" s="135">
        <f>+'KY_Res by Plant Acct-P29 (Reg)'!P183</f>
        <v>0</v>
      </c>
      <c r="Q182" s="135"/>
      <c r="R182" s="135">
        <f>SUM(B182:P182)</f>
        <v>-33182.699999999997</v>
      </c>
    </row>
    <row r="183" spans="1:18" outlineLevel="1" x14ac:dyDescent="0.2">
      <c r="A183" s="22" t="s">
        <v>3064</v>
      </c>
      <c r="B183" s="135">
        <f>+'KY_Res by Plant Acct-P29 (Reg)'!B184</f>
        <v>0</v>
      </c>
      <c r="C183" s="135"/>
      <c r="D183" s="135">
        <f>+'KY_Res by Plant Acct-P29 (Reg)'!D184</f>
        <v>0</v>
      </c>
      <c r="E183" s="135"/>
      <c r="F183" s="135">
        <f>+'KY_Res by Plant Acct-P29 (Reg)'!F184</f>
        <v>0</v>
      </c>
      <c r="G183" s="139"/>
      <c r="H183" s="135">
        <f>+'KY_Res by Plant Acct-P29 (Reg)'!H184</f>
        <v>0</v>
      </c>
      <c r="I183" s="139"/>
      <c r="J183" s="135">
        <f>+'KY_Res by Plant Acct-P29 (Reg)'!J184</f>
        <v>0</v>
      </c>
      <c r="K183" s="139"/>
      <c r="L183" s="135">
        <f>+'KY_Res by Plant Acct-P29 (Reg)'!L184</f>
        <v>0</v>
      </c>
      <c r="M183" s="135"/>
      <c r="N183" s="135">
        <f>+'KY_Res by Plant Acct-P29 (Reg)'!N184</f>
        <v>0</v>
      </c>
      <c r="O183" s="135"/>
      <c r="P183" s="135">
        <f>+'KY_Res by Plant Acct-P29 (Reg)'!P184</f>
        <v>0</v>
      </c>
      <c r="Q183" s="135"/>
      <c r="R183" s="135">
        <f>SUM(B183:P183)</f>
        <v>0</v>
      </c>
    </row>
    <row r="184" spans="1:18" outlineLevel="1" x14ac:dyDescent="0.2">
      <c r="A184" s="22" t="s">
        <v>3065</v>
      </c>
      <c r="B184" s="135">
        <f>+'KY_Res by Plant Acct-P29 (Reg)'!B185</f>
        <v>-14161.91</v>
      </c>
      <c r="C184" s="135"/>
      <c r="D184" s="135">
        <f>+'KY_Res by Plant Acct-P29 (Reg)'!D185</f>
        <v>-23278.48</v>
      </c>
      <c r="E184" s="135"/>
      <c r="F184" s="135">
        <f>+'KY_Res by Plant Acct-P29 (Reg)'!F185</f>
        <v>0</v>
      </c>
      <c r="G184" s="139"/>
      <c r="H184" s="135">
        <f>+'KY_Res by Plant Acct-P29 (Reg)'!H185</f>
        <v>0</v>
      </c>
      <c r="I184" s="139"/>
      <c r="J184" s="135">
        <f>+'KY_Res by Plant Acct-P29 (Reg)'!J185</f>
        <v>0</v>
      </c>
      <c r="K184" s="139"/>
      <c r="L184" s="135">
        <f>+'KY_Res by Plant Acct-P29 (Reg)'!L185</f>
        <v>0</v>
      </c>
      <c r="M184" s="135"/>
      <c r="N184" s="135">
        <f>+'KY_Res by Plant Acct-P29 (Reg)'!N185</f>
        <v>0</v>
      </c>
      <c r="O184" s="135"/>
      <c r="P184" s="135">
        <f>+'KY_Res by Plant Acct-P29 (Reg)'!P185</f>
        <v>0</v>
      </c>
      <c r="Q184" s="135"/>
      <c r="R184" s="135">
        <f>SUM(B184:P184)</f>
        <v>-37440.39</v>
      </c>
    </row>
    <row r="185" spans="1:18" outlineLevel="1" x14ac:dyDescent="0.2">
      <c r="A185" s="22" t="s">
        <v>3397</v>
      </c>
      <c r="B185" s="135">
        <f>+'KY_Res by Plant Acct-P29 (Reg)'!B186</f>
        <v>-39717236.269999988</v>
      </c>
      <c r="C185" s="135"/>
      <c r="D185" s="135">
        <f>+'KY_Res by Plant Acct-P29 (Reg)'!D186</f>
        <v>-1091839.3700000001</v>
      </c>
      <c r="E185" s="135"/>
      <c r="F185" s="135">
        <f>+'KY_Res by Plant Acct-P29 (Reg)'!F186</f>
        <v>162069.14000000001</v>
      </c>
      <c r="G185" s="139"/>
      <c r="H185" s="135">
        <f>+'KY_Res by Plant Acct-P29 (Reg)'!H186</f>
        <v>0</v>
      </c>
      <c r="I185" s="139"/>
      <c r="J185" s="135">
        <f>+'KY_Res by Plant Acct-P29 (Reg)'!J186</f>
        <v>0</v>
      </c>
      <c r="K185" s="139"/>
      <c r="L185" s="135">
        <f>+'KY_Res by Plant Acct-P29 (Reg)'!L186</f>
        <v>31924.67</v>
      </c>
      <c r="M185" s="135"/>
      <c r="N185" s="135">
        <f>+'KY_Res by Plant Acct-P29 (Reg)'!N186</f>
        <v>0</v>
      </c>
      <c r="O185" s="135"/>
      <c r="P185" s="135">
        <f>+'KY_Res by Plant Acct-P29 (Reg)'!P186</f>
        <v>0</v>
      </c>
      <c r="Q185" s="135"/>
      <c r="R185" s="135">
        <f t="shared" si="10"/>
        <v>-40615081.829999983</v>
      </c>
    </row>
    <row r="186" spans="1:18" outlineLevel="1" x14ac:dyDescent="0.2">
      <c r="A186" s="22" t="s">
        <v>3067</v>
      </c>
      <c r="B186" s="135">
        <f>+'KY_Res by Plant Acct-P29 (Reg)'!B187</f>
        <v>0</v>
      </c>
      <c r="C186" s="135"/>
      <c r="D186" s="135">
        <f>+'KY_Res by Plant Acct-P29 (Reg)'!D187</f>
        <v>0</v>
      </c>
      <c r="E186" s="135"/>
      <c r="F186" s="135">
        <f>+'KY_Res by Plant Acct-P29 (Reg)'!F187</f>
        <v>0</v>
      </c>
      <c r="G186" s="139"/>
      <c r="H186" s="135">
        <f>+'KY_Res by Plant Acct-P29 (Reg)'!H187</f>
        <v>0</v>
      </c>
      <c r="I186" s="139"/>
      <c r="J186" s="135">
        <f>+'KY_Res by Plant Acct-P29 (Reg)'!J187</f>
        <v>0</v>
      </c>
      <c r="K186" s="139"/>
      <c r="L186" s="135">
        <f>+'KY_Res by Plant Acct-P29 (Reg)'!L187</f>
        <v>0</v>
      </c>
      <c r="M186" s="135"/>
      <c r="N186" s="135">
        <f>+'KY_Res by Plant Acct-P29 (Reg)'!N187</f>
        <v>0</v>
      </c>
      <c r="O186" s="135"/>
      <c r="P186" s="135">
        <f>+'KY_Res by Plant Acct-P29 (Reg)'!P187</f>
        <v>0</v>
      </c>
      <c r="Q186" s="135"/>
      <c r="R186" s="135">
        <f t="shared" si="10"/>
        <v>0</v>
      </c>
    </row>
    <row r="187" spans="1:18" outlineLevel="1" x14ac:dyDescent="0.2">
      <c r="A187" s="124" t="s">
        <v>3068</v>
      </c>
      <c r="B187" s="135">
        <f>+'KY_Res by Plant Acct-P29 (Reg)'!B188</f>
        <v>-89358.15</v>
      </c>
      <c r="C187" s="135"/>
      <c r="D187" s="135">
        <f>+'KY_Res by Plant Acct-P29 (Reg)'!D188</f>
        <v>-85139.04</v>
      </c>
      <c r="E187" s="135"/>
      <c r="F187" s="135">
        <f>+'KY_Res by Plant Acct-P29 (Reg)'!F188</f>
        <v>0</v>
      </c>
      <c r="G187" s="139"/>
      <c r="H187" s="135">
        <f>+'KY_Res by Plant Acct-P29 (Reg)'!H188</f>
        <v>0</v>
      </c>
      <c r="I187" s="139"/>
      <c r="J187" s="135">
        <f>+'KY_Res by Plant Acct-P29 (Reg)'!J188</f>
        <v>0</v>
      </c>
      <c r="K187" s="139"/>
      <c r="L187" s="135">
        <f>+'KY_Res by Plant Acct-P29 (Reg)'!L188</f>
        <v>0</v>
      </c>
      <c r="M187" s="135"/>
      <c r="N187" s="135">
        <f>+'KY_Res by Plant Acct-P29 (Reg)'!N188</f>
        <v>0</v>
      </c>
      <c r="O187" s="135"/>
      <c r="P187" s="135">
        <f>+'KY_Res by Plant Acct-P29 (Reg)'!P188</f>
        <v>0</v>
      </c>
      <c r="Q187" s="135"/>
      <c r="R187" s="135">
        <f>SUM(B187:P187)</f>
        <v>-174497.19</v>
      </c>
    </row>
    <row r="188" spans="1:18" outlineLevel="1" x14ac:dyDescent="0.2">
      <c r="A188" s="124" t="s">
        <v>3069</v>
      </c>
      <c r="B188" s="135">
        <f>+'KY_Res by Plant Acct-P29 (Reg)'!B189</f>
        <v>0</v>
      </c>
      <c r="C188" s="135"/>
      <c r="D188" s="135">
        <f>+'KY_Res by Plant Acct-P29 (Reg)'!D189</f>
        <v>-32583.78</v>
      </c>
      <c r="E188" s="135"/>
      <c r="F188" s="135">
        <f>+'KY_Res by Plant Acct-P29 (Reg)'!F189</f>
        <v>0</v>
      </c>
      <c r="G188" s="139"/>
      <c r="H188" s="135">
        <f>+'KY_Res by Plant Acct-P29 (Reg)'!H189</f>
        <v>0</v>
      </c>
      <c r="I188" s="139"/>
      <c r="J188" s="135">
        <f>+'KY_Res by Plant Acct-P29 (Reg)'!J189</f>
        <v>0</v>
      </c>
      <c r="K188" s="139"/>
      <c r="L188" s="135">
        <f>+'KY_Res by Plant Acct-P29 (Reg)'!L189</f>
        <v>0</v>
      </c>
      <c r="M188" s="135"/>
      <c r="N188" s="135">
        <f>+'KY_Res by Plant Acct-P29 (Reg)'!N189</f>
        <v>0</v>
      </c>
      <c r="O188" s="135"/>
      <c r="P188" s="135">
        <f>+'KY_Res by Plant Acct-P29 (Reg)'!P189</f>
        <v>0</v>
      </c>
      <c r="Q188" s="135"/>
      <c r="R188" s="135">
        <f>SUM(B188:P188)</f>
        <v>-32583.78</v>
      </c>
    </row>
    <row r="189" spans="1:18" outlineLevel="1" x14ac:dyDescent="0.2">
      <c r="A189" s="3" t="s">
        <v>3070</v>
      </c>
      <c r="B189" s="135">
        <f>+'KY_Res by Plant Acct-P29 (Reg)'!B190</f>
        <v>-122980.1799999997</v>
      </c>
      <c r="C189" s="135"/>
      <c r="D189" s="135">
        <f>+'KY_Res by Plant Acct-P29 (Reg)'!D190</f>
        <v>0</v>
      </c>
      <c r="E189" s="135"/>
      <c r="F189" s="135">
        <f>+'KY_Res by Plant Acct-P29 (Reg)'!F190</f>
        <v>0</v>
      </c>
      <c r="G189" s="139"/>
      <c r="H189" s="135">
        <f>+'KY_Res by Plant Acct-P29 (Reg)'!H190</f>
        <v>0</v>
      </c>
      <c r="I189" s="139"/>
      <c r="J189" s="135">
        <f>+'KY_Res by Plant Acct-P29 (Reg)'!J190</f>
        <v>0</v>
      </c>
      <c r="K189" s="139"/>
      <c r="L189" s="135">
        <f>+'KY_Res by Plant Acct-P29 (Reg)'!L190</f>
        <v>0</v>
      </c>
      <c r="M189" s="135"/>
      <c r="N189" s="135">
        <f>+'KY_Res by Plant Acct-P29 (Reg)'!N190</f>
        <v>0</v>
      </c>
      <c r="O189" s="135"/>
      <c r="P189" s="135">
        <f>+'KY_Res by Plant Acct-P29 (Reg)'!P190</f>
        <v>0</v>
      </c>
      <c r="Q189" s="135"/>
      <c r="R189" s="135">
        <f t="shared" si="10"/>
        <v>-122980.1799999997</v>
      </c>
    </row>
    <row r="190" spans="1:18" outlineLevel="1" x14ac:dyDescent="0.2">
      <c r="A190" s="3" t="s">
        <v>3071</v>
      </c>
      <c r="B190" s="135">
        <f>+'KY_Res by Plant Acct-P29 (Reg)'!B191</f>
        <v>-18013349.66</v>
      </c>
      <c r="C190" s="135"/>
      <c r="D190" s="135">
        <f>+'KY_Res by Plant Acct-P29 (Reg)'!D191</f>
        <v>-186497.95</v>
      </c>
      <c r="E190" s="135"/>
      <c r="F190" s="135">
        <f>+'KY_Res by Plant Acct-P29 (Reg)'!F191</f>
        <v>96908.42</v>
      </c>
      <c r="G190" s="139"/>
      <c r="H190" s="135">
        <f>+'KY_Res by Plant Acct-P29 (Reg)'!H191</f>
        <v>381379.1</v>
      </c>
      <c r="I190" s="139"/>
      <c r="J190" s="135">
        <f>+'KY_Res by Plant Acct-P29 (Reg)'!J191</f>
        <v>0</v>
      </c>
      <c r="K190" s="139"/>
      <c r="L190" s="135">
        <f>+'KY_Res by Plant Acct-P29 (Reg)'!L191</f>
        <v>17804.900000000001</v>
      </c>
      <c r="M190" s="135"/>
      <c r="N190" s="135">
        <f>+'KY_Res by Plant Acct-P29 (Reg)'!N191</f>
        <v>0</v>
      </c>
      <c r="O190" s="135"/>
      <c r="P190" s="135">
        <f>+'KY_Res by Plant Acct-P29 (Reg)'!P191</f>
        <v>0</v>
      </c>
      <c r="Q190" s="135"/>
      <c r="R190" s="135">
        <f t="shared" si="10"/>
        <v>-17703755.189999998</v>
      </c>
    </row>
    <row r="191" spans="1:18" outlineLevel="1" x14ac:dyDescent="0.2">
      <c r="A191" s="3" t="s">
        <v>3072</v>
      </c>
      <c r="B191" s="135">
        <f>+'KY_Res by Plant Acct-P29 (Reg)'!B192</f>
        <v>-908753.60999999987</v>
      </c>
      <c r="C191" s="135"/>
      <c r="D191" s="135">
        <f>+'KY_Res by Plant Acct-P29 (Reg)'!D192</f>
        <v>0</v>
      </c>
      <c r="E191" s="135"/>
      <c r="F191" s="135">
        <f>+'KY_Res by Plant Acct-P29 (Reg)'!F192</f>
        <v>0</v>
      </c>
      <c r="G191" s="139"/>
      <c r="H191" s="135">
        <f>+'KY_Res by Plant Acct-P29 (Reg)'!H192</f>
        <v>0</v>
      </c>
      <c r="I191" s="139"/>
      <c r="J191" s="135">
        <f>+'KY_Res by Plant Acct-P29 (Reg)'!J192</f>
        <v>0</v>
      </c>
      <c r="K191" s="139"/>
      <c r="L191" s="135">
        <f>+'KY_Res by Plant Acct-P29 (Reg)'!L192</f>
        <v>0</v>
      </c>
      <c r="M191" s="135"/>
      <c r="N191" s="135">
        <f>+'KY_Res by Plant Acct-P29 (Reg)'!N192</f>
        <v>0</v>
      </c>
      <c r="O191" s="135"/>
      <c r="P191" s="135">
        <f>+'KY_Res by Plant Acct-P29 (Reg)'!P192</f>
        <v>0</v>
      </c>
      <c r="Q191" s="135"/>
      <c r="R191" s="135">
        <f t="shared" si="10"/>
        <v>-908753.60999999987</v>
      </c>
    </row>
    <row r="192" spans="1:18" outlineLevel="1" x14ac:dyDescent="0.2">
      <c r="A192" s="3" t="s">
        <v>3073</v>
      </c>
      <c r="B192" s="135">
        <f>+'KY_Res by Plant Acct-P29 (Reg)'!B193</f>
        <v>-10036755.84</v>
      </c>
      <c r="C192" s="135"/>
      <c r="D192" s="135">
        <f>+'KY_Res by Plant Acct-P29 (Reg)'!D193</f>
        <v>-113380.5</v>
      </c>
      <c r="E192" s="135"/>
      <c r="F192" s="135">
        <f>+'KY_Res by Plant Acct-P29 (Reg)'!F193</f>
        <v>2522.1</v>
      </c>
      <c r="G192" s="139"/>
      <c r="H192" s="135">
        <f>+'KY_Res by Plant Acct-P29 (Reg)'!H193</f>
        <v>0</v>
      </c>
      <c r="I192" s="139"/>
      <c r="J192" s="135">
        <f>+'KY_Res by Plant Acct-P29 (Reg)'!J193</f>
        <v>0</v>
      </c>
      <c r="K192" s="139"/>
      <c r="L192" s="135">
        <f>+'KY_Res by Plant Acct-P29 (Reg)'!L193</f>
        <v>10232.700000000001</v>
      </c>
      <c r="M192" s="135"/>
      <c r="N192" s="135">
        <f>+'KY_Res by Plant Acct-P29 (Reg)'!N193</f>
        <v>0</v>
      </c>
      <c r="O192" s="135"/>
      <c r="P192" s="135">
        <f>+'KY_Res by Plant Acct-P29 (Reg)'!P193</f>
        <v>0</v>
      </c>
      <c r="Q192" s="135"/>
      <c r="R192" s="135">
        <f t="shared" si="10"/>
        <v>-10137381.540000001</v>
      </c>
    </row>
    <row r="193" spans="1:21" outlineLevel="1" x14ac:dyDescent="0.2">
      <c r="A193" s="3" t="s">
        <v>3074</v>
      </c>
      <c r="B193" s="135">
        <f>+'KY_Res by Plant Acct-P29 (Reg)'!B194</f>
        <v>-381081.24</v>
      </c>
      <c r="C193" s="135"/>
      <c r="D193" s="135">
        <f>+'KY_Res by Plant Acct-P29 (Reg)'!D194</f>
        <v>0</v>
      </c>
      <c r="E193" s="135"/>
      <c r="F193" s="135">
        <f>+'KY_Res by Plant Acct-P29 (Reg)'!F194</f>
        <v>238079.83</v>
      </c>
      <c r="G193" s="139"/>
      <c r="H193" s="135">
        <f>+'KY_Res by Plant Acct-P29 (Reg)'!H194</f>
        <v>0</v>
      </c>
      <c r="I193" s="139"/>
      <c r="J193" s="135">
        <f>+'KY_Res by Plant Acct-P29 (Reg)'!J194</f>
        <v>0</v>
      </c>
      <c r="K193" s="139"/>
      <c r="L193" s="135">
        <f>+'KY_Res by Plant Acct-P29 (Reg)'!L194</f>
        <v>0</v>
      </c>
      <c r="M193" s="135"/>
      <c r="N193" s="135">
        <f>+'KY_Res by Plant Acct-P29 (Reg)'!N194</f>
        <v>0</v>
      </c>
      <c r="O193" s="135"/>
      <c r="P193" s="135">
        <f>+'KY_Res by Plant Acct-P29 (Reg)'!P194</f>
        <v>0</v>
      </c>
      <c r="Q193" s="135"/>
      <c r="R193" s="135">
        <f t="shared" si="10"/>
        <v>-143001.41</v>
      </c>
    </row>
    <row r="194" spans="1:21" outlineLevel="1" x14ac:dyDescent="0.2">
      <c r="A194" s="3" t="s">
        <v>3075</v>
      </c>
      <c r="B194" s="135">
        <f>+'KY_Res by Plant Acct-P29 (Reg)'!B195</f>
        <v>-21933271.139999997</v>
      </c>
      <c r="C194" s="135"/>
      <c r="D194" s="135">
        <f>+'KY_Res by Plant Acct-P29 (Reg)'!D195</f>
        <v>-226229.74</v>
      </c>
      <c r="E194" s="135"/>
      <c r="F194" s="135">
        <f>+'KY_Res by Plant Acct-P29 (Reg)'!F195</f>
        <v>27014.94</v>
      </c>
      <c r="G194" s="139"/>
      <c r="H194" s="135">
        <f>+'KY_Res by Plant Acct-P29 (Reg)'!H195</f>
        <v>1125257.2</v>
      </c>
      <c r="I194" s="139"/>
      <c r="J194" s="135">
        <f>+'KY_Res by Plant Acct-P29 (Reg)'!J195</f>
        <v>0</v>
      </c>
      <c r="K194" s="139"/>
      <c r="L194" s="135">
        <f>+'KY_Res by Plant Acct-P29 (Reg)'!L195</f>
        <v>19040.310000000001</v>
      </c>
      <c r="M194" s="135"/>
      <c r="N194" s="135">
        <f>+'KY_Res by Plant Acct-P29 (Reg)'!N195</f>
        <v>0</v>
      </c>
      <c r="O194" s="135"/>
      <c r="P194" s="135">
        <f>+'KY_Res by Plant Acct-P29 (Reg)'!P195</f>
        <v>0</v>
      </c>
      <c r="Q194" s="135"/>
      <c r="R194" s="135">
        <f t="shared" si="10"/>
        <v>-20988188.429999996</v>
      </c>
    </row>
    <row r="195" spans="1:21" outlineLevel="1" x14ac:dyDescent="0.2">
      <c r="A195" s="3" t="s">
        <v>3076</v>
      </c>
      <c r="B195" s="135">
        <f>+'KY_Res by Plant Acct-P29 (Reg)'!B196</f>
        <v>-2385359.5099999998</v>
      </c>
      <c r="C195" s="135"/>
      <c r="D195" s="135">
        <f>+'KY_Res by Plant Acct-P29 (Reg)'!D196</f>
        <v>-12439.08</v>
      </c>
      <c r="E195" s="135"/>
      <c r="F195" s="135">
        <f>+'KY_Res by Plant Acct-P29 (Reg)'!F196</f>
        <v>0</v>
      </c>
      <c r="G195" s="139"/>
      <c r="H195" s="135">
        <f>+'KY_Res by Plant Acct-P29 (Reg)'!H196</f>
        <v>0</v>
      </c>
      <c r="I195" s="139"/>
      <c r="J195" s="135">
        <f>+'KY_Res by Plant Acct-P29 (Reg)'!J196</f>
        <v>0</v>
      </c>
      <c r="K195" s="139"/>
      <c r="L195" s="135">
        <f>+'KY_Res by Plant Acct-P29 (Reg)'!L196</f>
        <v>0</v>
      </c>
      <c r="M195" s="135"/>
      <c r="N195" s="135">
        <f>+'KY_Res by Plant Acct-P29 (Reg)'!N196</f>
        <v>0</v>
      </c>
      <c r="O195" s="135"/>
      <c r="P195" s="135">
        <f>+'KY_Res by Plant Acct-P29 (Reg)'!P196</f>
        <v>0</v>
      </c>
      <c r="Q195" s="135"/>
      <c r="R195" s="135">
        <f t="shared" si="10"/>
        <v>-2397798.59</v>
      </c>
    </row>
    <row r="196" spans="1:21" outlineLevel="1" x14ac:dyDescent="0.2">
      <c r="A196" s="22" t="s">
        <v>3077</v>
      </c>
      <c r="B196" s="135">
        <f>+'KY_Res by Plant Acct-P29 (Reg)'!B197</f>
        <v>0</v>
      </c>
      <c r="C196" s="135"/>
      <c r="D196" s="135">
        <f>+'KY_Res by Plant Acct-P29 (Reg)'!D197</f>
        <v>-2067.42</v>
      </c>
      <c r="E196" s="135"/>
      <c r="F196" s="135">
        <f>+'KY_Res by Plant Acct-P29 (Reg)'!F197</f>
        <v>0</v>
      </c>
      <c r="G196" s="139"/>
      <c r="H196" s="135">
        <f>+'KY_Res by Plant Acct-P29 (Reg)'!H197</f>
        <v>0</v>
      </c>
      <c r="I196" s="139"/>
      <c r="J196" s="135">
        <f>+'KY_Res by Plant Acct-P29 (Reg)'!J197</f>
        <v>0</v>
      </c>
      <c r="K196" s="139"/>
      <c r="L196" s="135">
        <f>+'KY_Res by Plant Acct-P29 (Reg)'!L197</f>
        <v>0</v>
      </c>
      <c r="M196" s="135"/>
      <c r="N196" s="135">
        <f>+'KY_Res by Plant Acct-P29 (Reg)'!N197</f>
        <v>0</v>
      </c>
      <c r="O196" s="135"/>
      <c r="P196" s="135">
        <f>+'KY_Res by Plant Acct-P29 (Reg)'!P197</f>
        <v>0</v>
      </c>
      <c r="Q196" s="135"/>
      <c r="R196" s="135">
        <f t="shared" si="10"/>
        <v>-2067.42</v>
      </c>
    </row>
    <row r="197" spans="1:21" outlineLevel="1" x14ac:dyDescent="0.2">
      <c r="A197" s="3" t="s">
        <v>3078</v>
      </c>
      <c r="B197" s="135">
        <f>+'KY_Res by Plant Acct-P29 (Reg)'!B198</f>
        <v>-16754.240000000002</v>
      </c>
      <c r="C197" s="135"/>
      <c r="D197" s="135">
        <f>+'KY_Res by Plant Acct-P29 (Reg)'!D198</f>
        <v>-16431</v>
      </c>
      <c r="E197" s="135"/>
      <c r="F197" s="135">
        <f>+'KY_Res by Plant Acct-P29 (Reg)'!F198</f>
        <v>0</v>
      </c>
      <c r="G197" s="139"/>
      <c r="H197" s="135">
        <f>+'KY_Res by Plant Acct-P29 (Reg)'!H198</f>
        <v>0</v>
      </c>
      <c r="I197" s="139"/>
      <c r="J197" s="135">
        <f>+'KY_Res by Plant Acct-P29 (Reg)'!J198</f>
        <v>0</v>
      </c>
      <c r="K197" s="139"/>
      <c r="L197" s="135">
        <f>+'KY_Res by Plant Acct-P29 (Reg)'!L198</f>
        <v>0</v>
      </c>
      <c r="M197" s="135"/>
      <c r="N197" s="135">
        <f>+'KY_Res by Plant Acct-P29 (Reg)'!N198</f>
        <v>0</v>
      </c>
      <c r="O197" s="135"/>
      <c r="P197" s="135">
        <f>+'KY_Res by Plant Acct-P29 (Reg)'!P198</f>
        <v>0</v>
      </c>
      <c r="Q197" s="135"/>
      <c r="R197" s="135">
        <f>SUM(B197:P197)</f>
        <v>-33185.240000000005</v>
      </c>
    </row>
    <row r="198" spans="1:21" outlineLevel="1" x14ac:dyDescent="0.2">
      <c r="A198" s="3" t="s">
        <v>3079</v>
      </c>
      <c r="B198" s="135">
        <f>+'KY_Res by Plant Acct-P29 (Reg)'!B199</f>
        <v>0</v>
      </c>
      <c r="C198" s="135"/>
      <c r="D198" s="135">
        <f>+'KY_Res by Plant Acct-P29 (Reg)'!D199</f>
        <v>0</v>
      </c>
      <c r="E198" s="135"/>
      <c r="F198" s="135">
        <f>+'KY_Res by Plant Acct-P29 (Reg)'!F199</f>
        <v>0</v>
      </c>
      <c r="G198" s="139"/>
      <c r="H198" s="135">
        <f>+'KY_Res by Plant Acct-P29 (Reg)'!H199</f>
        <v>0</v>
      </c>
      <c r="I198" s="139"/>
      <c r="J198" s="135">
        <f>+'KY_Res by Plant Acct-P29 (Reg)'!J199</f>
        <v>0</v>
      </c>
      <c r="K198" s="139"/>
      <c r="L198" s="135">
        <f>+'KY_Res by Plant Acct-P29 (Reg)'!L199</f>
        <v>0</v>
      </c>
      <c r="M198" s="135"/>
      <c r="N198" s="135">
        <f>+'KY_Res by Plant Acct-P29 (Reg)'!N199</f>
        <v>0</v>
      </c>
      <c r="O198" s="135"/>
      <c r="P198" s="135">
        <f>+'KY_Res by Plant Acct-P29 (Reg)'!P199</f>
        <v>0</v>
      </c>
      <c r="Q198" s="135"/>
      <c r="R198" s="135">
        <f t="shared" si="10"/>
        <v>0</v>
      </c>
    </row>
    <row r="199" spans="1:21" outlineLevel="1" x14ac:dyDescent="0.2">
      <c r="A199" s="3" t="s">
        <v>3080</v>
      </c>
      <c r="B199" s="135">
        <f>+'KY_Res by Plant Acct-P29 (Reg)'!B200</f>
        <v>-65793549.900000021</v>
      </c>
      <c r="C199" s="135"/>
      <c r="D199" s="135">
        <f>+'KY_Res by Plant Acct-P29 (Reg)'!D200</f>
        <v>-1737767.55</v>
      </c>
      <c r="E199" s="135"/>
      <c r="F199" s="135">
        <f>+'KY_Res by Plant Acct-P29 (Reg)'!F200</f>
        <v>7380.54</v>
      </c>
      <c r="G199" s="139"/>
      <c r="H199" s="135">
        <f>+'KY_Res by Plant Acct-P29 (Reg)'!H200</f>
        <v>2919918.53</v>
      </c>
      <c r="I199" s="139"/>
      <c r="J199" s="135">
        <f>+'KY_Res by Plant Acct-P29 (Reg)'!J200</f>
        <v>0</v>
      </c>
      <c r="K199" s="139"/>
      <c r="L199" s="135">
        <f>+'KY_Res by Plant Acct-P29 (Reg)'!L200</f>
        <v>2642.73</v>
      </c>
      <c r="M199" s="135"/>
      <c r="N199" s="135">
        <f>+'KY_Res by Plant Acct-P29 (Reg)'!N200</f>
        <v>0</v>
      </c>
      <c r="O199" s="135"/>
      <c r="P199" s="135">
        <f>+'KY_Res by Plant Acct-P29 (Reg)'!P200</f>
        <v>-649.35</v>
      </c>
      <c r="Q199" s="135"/>
      <c r="R199" s="135">
        <f t="shared" si="10"/>
        <v>-64602025.000000015</v>
      </c>
    </row>
    <row r="200" spans="1:21" outlineLevel="1" x14ac:dyDescent="0.2">
      <c r="A200" s="3" t="s">
        <v>3081</v>
      </c>
      <c r="B200" s="135">
        <f>+'KY_Res by Plant Acct-P29 (Reg)'!B201</f>
        <v>-3.637978807091713E-12</v>
      </c>
      <c r="C200" s="135"/>
      <c r="D200" s="135">
        <f>+'KY_Res by Plant Acct-P29 (Reg)'!D201</f>
        <v>0</v>
      </c>
      <c r="E200" s="135"/>
      <c r="F200" s="135">
        <f>+'KY_Res by Plant Acct-P29 (Reg)'!F201</f>
        <v>0</v>
      </c>
      <c r="G200" s="139"/>
      <c r="H200" s="135">
        <f>+'KY_Res by Plant Acct-P29 (Reg)'!H201</f>
        <v>0</v>
      </c>
      <c r="I200" s="139"/>
      <c r="J200" s="135">
        <f>+'KY_Res by Plant Acct-P29 (Reg)'!J201</f>
        <v>0</v>
      </c>
      <c r="K200" s="139"/>
      <c r="L200" s="135">
        <f>+'KY_Res by Plant Acct-P29 (Reg)'!L201</f>
        <v>0</v>
      </c>
      <c r="M200" s="135"/>
      <c r="N200" s="135">
        <f>+'KY_Res by Plant Acct-P29 (Reg)'!N201</f>
        <v>0</v>
      </c>
      <c r="O200" s="135"/>
      <c r="P200" s="135">
        <f>+'KY_Res by Plant Acct-P29 (Reg)'!P201</f>
        <v>0</v>
      </c>
      <c r="Q200" s="135"/>
      <c r="R200" s="135">
        <f t="shared" si="10"/>
        <v>-3.637978807091713E-12</v>
      </c>
    </row>
    <row r="201" spans="1:21" outlineLevel="1" x14ac:dyDescent="0.2">
      <c r="A201" s="3" t="s">
        <v>3082</v>
      </c>
      <c r="B201" s="135">
        <f>+'KY_Res by Plant Acct-P29 (Reg)'!B202</f>
        <v>-1594699.75</v>
      </c>
      <c r="C201" s="135"/>
      <c r="D201" s="135">
        <f>+'KY_Res by Plant Acct-P29 (Reg)'!D202</f>
        <v>-330691.71999999997</v>
      </c>
      <c r="E201" s="135"/>
      <c r="F201" s="135">
        <f>+'KY_Res by Plant Acct-P29 (Reg)'!F202</f>
        <v>0</v>
      </c>
      <c r="G201" s="139"/>
      <c r="H201" s="135">
        <f>+'KY_Res by Plant Acct-P29 (Reg)'!H202</f>
        <v>0</v>
      </c>
      <c r="I201" s="139"/>
      <c r="J201" s="135">
        <f>+'KY_Res by Plant Acct-P29 (Reg)'!J202</f>
        <v>0</v>
      </c>
      <c r="K201" s="139"/>
      <c r="L201" s="135">
        <f>+'KY_Res by Plant Acct-P29 (Reg)'!L202</f>
        <v>0</v>
      </c>
      <c r="M201" s="135"/>
      <c r="N201" s="135">
        <f>+'KY_Res by Plant Acct-P29 (Reg)'!N202</f>
        <v>0</v>
      </c>
      <c r="O201" s="135"/>
      <c r="P201" s="135">
        <f>+'KY_Res by Plant Acct-P29 (Reg)'!P202</f>
        <v>0</v>
      </c>
      <c r="Q201" s="135"/>
      <c r="R201" s="135">
        <f t="shared" si="10"/>
        <v>-1925391.47</v>
      </c>
    </row>
    <row r="202" spans="1:21" outlineLevel="1" x14ac:dyDescent="0.2">
      <c r="A202" s="3" t="s">
        <v>3083</v>
      </c>
      <c r="B202" s="135">
        <f>+'KY_Res by Plant Acct-P29 (Reg)'!B203</f>
        <v>0</v>
      </c>
      <c r="C202" s="135"/>
      <c r="D202" s="135">
        <f>+'KY_Res by Plant Acct-P29 (Reg)'!D203</f>
        <v>0</v>
      </c>
      <c r="E202" s="135"/>
      <c r="F202" s="135">
        <f>+'KY_Res by Plant Acct-P29 (Reg)'!F203</f>
        <v>0</v>
      </c>
      <c r="G202" s="139"/>
      <c r="H202" s="135">
        <f>+'KY_Res by Plant Acct-P29 (Reg)'!H203</f>
        <v>0</v>
      </c>
      <c r="I202" s="139"/>
      <c r="J202" s="135">
        <f>+'KY_Res by Plant Acct-P29 (Reg)'!J203</f>
        <v>0</v>
      </c>
      <c r="K202" s="139"/>
      <c r="L202" s="135">
        <f>+'KY_Res by Plant Acct-P29 (Reg)'!L203</f>
        <v>0</v>
      </c>
      <c r="M202" s="135"/>
      <c r="N202" s="135">
        <f>+'KY_Res by Plant Acct-P29 (Reg)'!N203</f>
        <v>0</v>
      </c>
      <c r="O202" s="135"/>
      <c r="P202" s="135">
        <f>+'KY_Res by Plant Acct-P29 (Reg)'!P203</f>
        <v>0</v>
      </c>
      <c r="Q202" s="135"/>
      <c r="R202" s="135">
        <f t="shared" si="10"/>
        <v>0</v>
      </c>
    </row>
    <row r="203" spans="1:21" outlineLevel="1" x14ac:dyDescent="0.2">
      <c r="A203" s="141" t="s">
        <v>3084</v>
      </c>
      <c r="B203" s="135">
        <f>+'KY_Res by Plant Acct-P29 (Reg)'!B204</f>
        <v>-28056.009999999995</v>
      </c>
      <c r="C203" s="135"/>
      <c r="D203" s="135">
        <f>+'KY_Res by Plant Acct-P29 (Reg)'!D204</f>
        <v>-10727.16</v>
      </c>
      <c r="E203" s="135"/>
      <c r="F203" s="135">
        <f>+'KY_Res by Plant Acct-P29 (Reg)'!F204</f>
        <v>0</v>
      </c>
      <c r="G203" s="139"/>
      <c r="H203" s="135">
        <f>+'KY_Res by Plant Acct-P29 (Reg)'!H204</f>
        <v>0</v>
      </c>
      <c r="I203" s="139"/>
      <c r="J203" s="135">
        <f>+'KY_Res by Plant Acct-P29 (Reg)'!J204</f>
        <v>0</v>
      </c>
      <c r="K203" s="139"/>
      <c r="L203" s="135">
        <f>+'KY_Res by Plant Acct-P29 (Reg)'!L204</f>
        <v>0</v>
      </c>
      <c r="M203" s="135"/>
      <c r="N203" s="135">
        <f>+'KY_Res by Plant Acct-P29 (Reg)'!N204</f>
        <v>0</v>
      </c>
      <c r="O203" s="135"/>
      <c r="P203" s="135">
        <f>+'KY_Res by Plant Acct-P29 (Reg)'!P204</f>
        <v>0</v>
      </c>
      <c r="Q203" s="135"/>
      <c r="R203" s="135">
        <f t="shared" si="10"/>
        <v>-38783.17</v>
      </c>
      <c r="S203" s="17"/>
      <c r="T203" s="15"/>
      <c r="U203" s="15"/>
    </row>
    <row r="204" spans="1:21" outlineLevel="1" x14ac:dyDescent="0.2">
      <c r="A204" s="3" t="s">
        <v>3085</v>
      </c>
      <c r="B204" s="135">
        <f>+'KY_Res by Plant Acct-P29 (Reg)'!B205</f>
        <v>11820.870000000046</v>
      </c>
      <c r="C204" s="135"/>
      <c r="D204" s="135">
        <f>+'KY_Res by Plant Acct-P29 (Reg)'!D205</f>
        <v>-8979</v>
      </c>
      <c r="E204" s="135"/>
      <c r="F204" s="135">
        <f>+'KY_Res by Plant Acct-P29 (Reg)'!F205</f>
        <v>0</v>
      </c>
      <c r="G204" s="139"/>
      <c r="H204" s="135">
        <f>+'KY_Res by Plant Acct-P29 (Reg)'!H205</f>
        <v>0</v>
      </c>
      <c r="I204" s="139"/>
      <c r="J204" s="135">
        <f>+'KY_Res by Plant Acct-P29 (Reg)'!J205</f>
        <v>0</v>
      </c>
      <c r="K204" s="139"/>
      <c r="L204" s="135">
        <f>+'KY_Res by Plant Acct-P29 (Reg)'!L205</f>
        <v>0</v>
      </c>
      <c r="M204" s="135"/>
      <c r="N204" s="135">
        <f>+'KY_Res by Plant Acct-P29 (Reg)'!N205</f>
        <v>0</v>
      </c>
      <c r="O204" s="135"/>
      <c r="P204" s="135">
        <f>+'KY_Res by Plant Acct-P29 (Reg)'!P205</f>
        <v>0</v>
      </c>
      <c r="Q204" s="135"/>
      <c r="R204" s="135">
        <f t="shared" si="10"/>
        <v>2841.8700000000463</v>
      </c>
    </row>
    <row r="205" spans="1:21" outlineLevel="1" x14ac:dyDescent="0.2">
      <c r="A205" s="3" t="s">
        <v>3086</v>
      </c>
      <c r="B205" s="135">
        <f>+'KY_Res by Plant Acct-P29 (Reg)'!B206</f>
        <v>-4574.4900000000007</v>
      </c>
      <c r="C205" s="135"/>
      <c r="D205" s="135">
        <f>+'KY_Res by Plant Acct-P29 (Reg)'!D206</f>
        <v>-1468.68</v>
      </c>
      <c r="E205" s="135"/>
      <c r="F205" s="135">
        <f>+'KY_Res by Plant Acct-P29 (Reg)'!F206</f>
        <v>0</v>
      </c>
      <c r="G205" s="139"/>
      <c r="H205" s="135">
        <f>+'KY_Res by Plant Acct-P29 (Reg)'!H206</f>
        <v>0</v>
      </c>
      <c r="I205" s="139"/>
      <c r="J205" s="135">
        <f>+'KY_Res by Plant Acct-P29 (Reg)'!J206</f>
        <v>0</v>
      </c>
      <c r="K205" s="139"/>
      <c r="L205" s="135">
        <f>+'KY_Res by Plant Acct-P29 (Reg)'!L206</f>
        <v>0</v>
      </c>
      <c r="M205" s="135"/>
      <c r="N205" s="135">
        <f>+'KY_Res by Plant Acct-P29 (Reg)'!N206</f>
        <v>0</v>
      </c>
      <c r="O205" s="135"/>
      <c r="P205" s="135">
        <f>+'KY_Res by Plant Acct-P29 (Reg)'!P206</f>
        <v>0</v>
      </c>
      <c r="Q205" s="135"/>
      <c r="R205" s="135">
        <f t="shared" si="10"/>
        <v>-6043.170000000001</v>
      </c>
    </row>
    <row r="206" spans="1:21" x14ac:dyDescent="0.2">
      <c r="A206" s="3" t="s">
        <v>3087</v>
      </c>
      <c r="B206" s="135">
        <f>SUM(B169:B205)</f>
        <v>-181211554.36000001</v>
      </c>
      <c r="C206" s="135"/>
      <c r="D206" s="135">
        <f>SUM(D169:D205)</f>
        <v>-4474740.5999999996</v>
      </c>
      <c r="E206" s="135"/>
      <c r="F206" s="135">
        <f>SUM(F169:F205)</f>
        <v>533974.97</v>
      </c>
      <c r="G206" s="139"/>
      <c r="H206" s="135">
        <f>SUM(H169:H205)</f>
        <v>4391480.43</v>
      </c>
      <c r="I206" s="139"/>
      <c r="J206" s="135">
        <f>SUM(J169:J205)</f>
        <v>0</v>
      </c>
      <c r="K206" s="139"/>
      <c r="L206" s="135">
        <f>SUM(L169:L205)</f>
        <v>81645.31</v>
      </c>
      <c r="M206" s="135"/>
      <c r="N206" s="135">
        <f>SUM(N169:N205)</f>
        <v>0</v>
      </c>
      <c r="O206" s="135"/>
      <c r="P206" s="135">
        <f>SUM(P169:P205)</f>
        <v>-649.35</v>
      </c>
      <c r="Q206" s="135"/>
      <c r="R206" s="135">
        <f>SUM(R169:R205)</f>
        <v>-180679843.59999996</v>
      </c>
    </row>
    <row r="207" spans="1:21" outlineLevel="1" x14ac:dyDescent="0.2">
      <c r="A207" s="3" t="s">
        <v>3088</v>
      </c>
      <c r="B207" s="135">
        <f>+'KY_Res by Plant Acct-P29 (Reg)'!B208</f>
        <v>0</v>
      </c>
      <c r="C207" s="135"/>
      <c r="D207" s="135">
        <f>+'KY_Res by Plant Acct-P29 (Reg)'!D208</f>
        <v>0</v>
      </c>
      <c r="E207" s="135"/>
      <c r="F207" s="135">
        <f>+'KY_Res by Plant Acct-P29 (Reg)'!F208</f>
        <v>0</v>
      </c>
      <c r="G207" s="139"/>
      <c r="H207" s="135">
        <f>+'KY_Res by Plant Acct-P29 (Reg)'!H208</f>
        <v>0</v>
      </c>
      <c r="I207" s="139"/>
      <c r="J207" s="135">
        <f>+'KY_Res by Plant Acct-P29 (Reg)'!J208</f>
        <v>0</v>
      </c>
      <c r="K207" s="139"/>
      <c r="L207" s="135">
        <f>+'KY_Res by Plant Acct-P29 (Reg)'!L208</f>
        <v>0</v>
      </c>
      <c r="M207" s="135"/>
      <c r="N207" s="135">
        <f>+'KY_Res by Plant Acct-P29 (Reg)'!N208</f>
        <v>0</v>
      </c>
      <c r="O207" s="135"/>
      <c r="P207" s="135">
        <f>+'KY_Res by Plant Acct-P29 (Reg)'!P208</f>
        <v>0</v>
      </c>
      <c r="Q207" s="135"/>
      <c r="R207" s="135">
        <f t="shared" ref="R207:R214" si="11">SUM(B207:P207)</f>
        <v>0</v>
      </c>
    </row>
    <row r="208" spans="1:21" outlineLevel="1" x14ac:dyDescent="0.2">
      <c r="A208" s="3" t="s">
        <v>3089</v>
      </c>
      <c r="B208" s="135">
        <f>+'KY_Res by Plant Acct-P29 (Reg)'!B209</f>
        <v>-5.8207660913467407E-11</v>
      </c>
      <c r="C208" s="135"/>
      <c r="D208" s="135">
        <f>+'KY_Res by Plant Acct-P29 (Reg)'!D209</f>
        <v>0</v>
      </c>
      <c r="E208" s="135"/>
      <c r="F208" s="135">
        <f>+'KY_Res by Plant Acct-P29 (Reg)'!F209</f>
        <v>0</v>
      </c>
      <c r="G208" s="139"/>
      <c r="H208" s="135">
        <f>+'KY_Res by Plant Acct-P29 (Reg)'!H209</f>
        <v>0</v>
      </c>
      <c r="I208" s="139"/>
      <c r="J208" s="135">
        <f>+'KY_Res by Plant Acct-P29 (Reg)'!J209</f>
        <v>0</v>
      </c>
      <c r="K208" s="139"/>
      <c r="L208" s="135">
        <f>+'KY_Res by Plant Acct-P29 (Reg)'!L209</f>
        <v>0</v>
      </c>
      <c r="M208" s="135"/>
      <c r="N208" s="135">
        <f>+'KY_Res by Plant Acct-P29 (Reg)'!N209</f>
        <v>0</v>
      </c>
      <c r="O208" s="135"/>
      <c r="P208" s="135">
        <f>+'KY_Res by Plant Acct-P29 (Reg)'!P209</f>
        <v>0</v>
      </c>
      <c r="Q208" s="135"/>
      <c r="R208" s="135">
        <f t="shared" si="11"/>
        <v>-5.8207660913467407E-11</v>
      </c>
    </row>
    <row r="209" spans="1:21" outlineLevel="1" x14ac:dyDescent="0.2">
      <c r="A209" s="3" t="s">
        <v>3090</v>
      </c>
      <c r="B209" s="135">
        <f>+'KY_Res by Plant Acct-P29 (Reg)'!B210</f>
        <v>4.6566128730773926E-10</v>
      </c>
      <c r="C209" s="135"/>
      <c r="D209" s="135">
        <f>+'KY_Res by Plant Acct-P29 (Reg)'!D210</f>
        <v>0</v>
      </c>
      <c r="E209" s="135"/>
      <c r="F209" s="135">
        <f>+'KY_Res by Plant Acct-P29 (Reg)'!F210</f>
        <v>0</v>
      </c>
      <c r="G209" s="139"/>
      <c r="H209" s="135">
        <f>+'KY_Res by Plant Acct-P29 (Reg)'!H210</f>
        <v>0</v>
      </c>
      <c r="I209" s="139"/>
      <c r="J209" s="135">
        <f>+'KY_Res by Plant Acct-P29 (Reg)'!J210</f>
        <v>0</v>
      </c>
      <c r="K209" s="139"/>
      <c r="L209" s="135">
        <f>+'KY_Res by Plant Acct-P29 (Reg)'!L210</f>
        <v>0</v>
      </c>
      <c r="M209" s="135"/>
      <c r="N209" s="135">
        <f>+'KY_Res by Plant Acct-P29 (Reg)'!N210</f>
        <v>0</v>
      </c>
      <c r="O209" s="135"/>
      <c r="P209" s="135">
        <f>+'KY_Res by Plant Acct-P29 (Reg)'!P210</f>
        <v>0</v>
      </c>
      <c r="Q209" s="135"/>
      <c r="R209" s="135">
        <f t="shared" si="11"/>
        <v>4.6566128730773926E-10</v>
      </c>
    </row>
    <row r="210" spans="1:21" outlineLevel="1" x14ac:dyDescent="0.2">
      <c r="A210" s="3" t="s">
        <v>3091</v>
      </c>
      <c r="B210" s="135">
        <f>+'KY_Res by Plant Acct-P29 (Reg)'!B211</f>
        <v>2.9103830456733704E-11</v>
      </c>
      <c r="C210" s="135"/>
      <c r="D210" s="135">
        <f>+'KY_Res by Plant Acct-P29 (Reg)'!D211</f>
        <v>0</v>
      </c>
      <c r="E210" s="135"/>
      <c r="F210" s="135">
        <f>+'KY_Res by Plant Acct-P29 (Reg)'!F211</f>
        <v>0</v>
      </c>
      <c r="G210" s="139"/>
      <c r="H210" s="135">
        <f>+'KY_Res by Plant Acct-P29 (Reg)'!H211</f>
        <v>0</v>
      </c>
      <c r="I210" s="139"/>
      <c r="J210" s="135">
        <f>+'KY_Res by Plant Acct-P29 (Reg)'!J211</f>
        <v>0</v>
      </c>
      <c r="K210" s="139"/>
      <c r="L210" s="135">
        <f>+'KY_Res by Plant Acct-P29 (Reg)'!L211</f>
        <v>0</v>
      </c>
      <c r="M210" s="135"/>
      <c r="N210" s="135">
        <f>+'KY_Res by Plant Acct-P29 (Reg)'!N211</f>
        <v>0</v>
      </c>
      <c r="O210" s="135"/>
      <c r="P210" s="135">
        <f>+'KY_Res by Plant Acct-P29 (Reg)'!P211</f>
        <v>0</v>
      </c>
      <c r="Q210" s="135"/>
      <c r="R210" s="135">
        <f t="shared" si="11"/>
        <v>2.9103830456733704E-11</v>
      </c>
    </row>
    <row r="211" spans="1:21" outlineLevel="1" x14ac:dyDescent="0.2">
      <c r="A211" s="3" t="s">
        <v>3092</v>
      </c>
      <c r="B211" s="135">
        <f>+'KY_Res by Plant Acct-P29 (Reg)'!B212</f>
        <v>0</v>
      </c>
      <c r="C211" s="135"/>
      <c r="D211" s="135">
        <f>+'KY_Res by Plant Acct-P29 (Reg)'!D212</f>
        <v>0</v>
      </c>
      <c r="E211" s="135"/>
      <c r="F211" s="135">
        <f>+'KY_Res by Plant Acct-P29 (Reg)'!F212</f>
        <v>0</v>
      </c>
      <c r="G211" s="135"/>
      <c r="H211" s="135">
        <f>+'KY_Res by Plant Acct-P29 (Reg)'!H212</f>
        <v>0</v>
      </c>
      <c r="I211" s="135"/>
      <c r="J211" s="135">
        <f>+'KY_Res by Plant Acct-P29 (Reg)'!J212</f>
        <v>0</v>
      </c>
      <c r="K211" s="135"/>
      <c r="L211" s="135">
        <f>+'KY_Res by Plant Acct-P29 (Reg)'!L212</f>
        <v>0</v>
      </c>
      <c r="M211" s="135"/>
      <c r="N211" s="135">
        <f>+'KY_Res by Plant Acct-P29 (Reg)'!N212</f>
        <v>0</v>
      </c>
      <c r="O211" s="135"/>
      <c r="P211" s="135">
        <f>+'KY_Res by Plant Acct-P29 (Reg)'!P212</f>
        <v>0</v>
      </c>
      <c r="Q211" s="135"/>
      <c r="R211" s="135">
        <f t="shared" si="11"/>
        <v>0</v>
      </c>
    </row>
    <row r="212" spans="1:21" outlineLevel="1" x14ac:dyDescent="0.2">
      <c r="A212" s="3" t="s">
        <v>3093</v>
      </c>
      <c r="B212" s="135">
        <f>+'KY_Res by Plant Acct-P29 (Reg)'!B213</f>
        <v>4.6566128730773926E-10</v>
      </c>
      <c r="C212" s="135"/>
      <c r="D212" s="135">
        <f>+'KY_Res by Plant Acct-P29 (Reg)'!D213</f>
        <v>0</v>
      </c>
      <c r="E212" s="135"/>
      <c r="F212" s="135">
        <f>+'KY_Res by Plant Acct-P29 (Reg)'!F213</f>
        <v>0</v>
      </c>
      <c r="G212" s="135"/>
      <c r="H212" s="135">
        <f>+'KY_Res by Plant Acct-P29 (Reg)'!H213</f>
        <v>0</v>
      </c>
      <c r="I212" s="135"/>
      <c r="J212" s="135">
        <f>+'KY_Res by Plant Acct-P29 (Reg)'!J213</f>
        <v>0</v>
      </c>
      <c r="K212" s="135"/>
      <c r="L212" s="135">
        <f>+'KY_Res by Plant Acct-P29 (Reg)'!L213</f>
        <v>0</v>
      </c>
      <c r="M212" s="135"/>
      <c r="N212" s="135">
        <f>+'KY_Res by Plant Acct-P29 (Reg)'!N213</f>
        <v>0</v>
      </c>
      <c r="O212" s="135"/>
      <c r="P212" s="135">
        <f>+'KY_Res by Plant Acct-P29 (Reg)'!P213</f>
        <v>0</v>
      </c>
      <c r="Q212" s="135"/>
      <c r="R212" s="135">
        <f t="shared" si="11"/>
        <v>4.6566128730773926E-10</v>
      </c>
    </row>
    <row r="213" spans="1:21" outlineLevel="1" x14ac:dyDescent="0.2">
      <c r="A213" s="3" t="s">
        <v>3094</v>
      </c>
      <c r="B213" s="135">
        <f>+'KY_Res by Plant Acct-P29 (Reg)'!B214</f>
        <v>0</v>
      </c>
      <c r="C213" s="135"/>
      <c r="D213" s="135">
        <f>+'KY_Res by Plant Acct-P29 (Reg)'!D214</f>
        <v>0</v>
      </c>
      <c r="E213" s="135"/>
      <c r="F213" s="135">
        <f>+'KY_Res by Plant Acct-P29 (Reg)'!F214</f>
        <v>0</v>
      </c>
      <c r="G213" s="135"/>
      <c r="H213" s="135">
        <f>+'KY_Res by Plant Acct-P29 (Reg)'!H214</f>
        <v>0</v>
      </c>
      <c r="I213" s="135"/>
      <c r="J213" s="135">
        <f>+'KY_Res by Plant Acct-P29 (Reg)'!J214</f>
        <v>0</v>
      </c>
      <c r="K213" s="135"/>
      <c r="L213" s="135">
        <f>+'KY_Res by Plant Acct-P29 (Reg)'!L214</f>
        <v>0</v>
      </c>
      <c r="M213" s="135"/>
      <c r="N213" s="135">
        <f>+'KY_Res by Plant Acct-P29 (Reg)'!N214</f>
        <v>0</v>
      </c>
      <c r="O213" s="135"/>
      <c r="P213" s="135">
        <f>+'KY_Res by Plant Acct-P29 (Reg)'!P214</f>
        <v>0</v>
      </c>
      <c r="Q213" s="135"/>
      <c r="R213" s="135">
        <f t="shared" si="11"/>
        <v>0</v>
      </c>
    </row>
    <row r="214" spans="1:21" outlineLevel="1" x14ac:dyDescent="0.2">
      <c r="A214" s="141" t="s">
        <v>3398</v>
      </c>
      <c r="B214" s="135">
        <f>+'KY_Res by Plant Acct-P29 (Reg)'!B215</f>
        <v>-1.1641532182693481E-10</v>
      </c>
      <c r="C214" s="135"/>
      <c r="D214" s="135">
        <f>+'KY_Res by Plant Acct-P29 (Reg)'!D215</f>
        <v>0</v>
      </c>
      <c r="E214" s="135"/>
      <c r="F214" s="135">
        <f>+'KY_Res by Plant Acct-P29 (Reg)'!F215</f>
        <v>0</v>
      </c>
      <c r="G214" s="135"/>
      <c r="H214" s="135">
        <f>+'KY_Res by Plant Acct-P29 (Reg)'!H215</f>
        <v>0</v>
      </c>
      <c r="I214" s="135"/>
      <c r="J214" s="135">
        <f>+'KY_Res by Plant Acct-P29 (Reg)'!J215</f>
        <v>0</v>
      </c>
      <c r="K214" s="135"/>
      <c r="L214" s="135">
        <f>+'KY_Res by Plant Acct-P29 (Reg)'!L215</f>
        <v>0</v>
      </c>
      <c r="M214" s="135"/>
      <c r="N214" s="135">
        <f>+'KY_Res by Plant Acct-P29 (Reg)'!N215</f>
        <v>0</v>
      </c>
      <c r="O214" s="135"/>
      <c r="P214" s="135">
        <f>+'KY_Res by Plant Acct-P29 (Reg)'!P215</f>
        <v>0</v>
      </c>
      <c r="Q214" s="135"/>
      <c r="R214" s="135">
        <f t="shared" si="11"/>
        <v>-1.1641532182693481E-10</v>
      </c>
      <c r="S214" s="17"/>
      <c r="T214" s="15"/>
      <c r="U214" s="15"/>
    </row>
    <row r="215" spans="1:21" x14ac:dyDescent="0.2">
      <c r="A215" s="3" t="s">
        <v>3096</v>
      </c>
      <c r="B215" s="135">
        <f>SUM(B207:B214)</f>
        <v>7.8580342233181E-10</v>
      </c>
      <c r="C215" s="135"/>
      <c r="D215" s="135">
        <f>SUM(D207:D214)</f>
        <v>0</v>
      </c>
      <c r="E215" s="135"/>
      <c r="F215" s="135">
        <f>SUM(F207:F214)</f>
        <v>0</v>
      </c>
      <c r="G215" s="135"/>
      <c r="H215" s="135">
        <f>SUM(H207:H214)</f>
        <v>0</v>
      </c>
      <c r="I215" s="135"/>
      <c r="J215" s="135">
        <f>SUM(J207:J214)</f>
        <v>0</v>
      </c>
      <c r="K215" s="135"/>
      <c r="L215" s="135">
        <f>SUM(L207:L214)</f>
        <v>0</v>
      </c>
      <c r="M215" s="135"/>
      <c r="N215" s="135">
        <f>SUM(N207:N214)</f>
        <v>0</v>
      </c>
      <c r="O215" s="135"/>
      <c r="P215" s="135">
        <f>SUM(P207:P214)</f>
        <v>0</v>
      </c>
      <c r="Q215" s="135"/>
      <c r="R215" s="135">
        <f>SUM(R207:R214)</f>
        <v>7.8580342233181E-10</v>
      </c>
    </row>
    <row r="216" spans="1:21" x14ac:dyDescent="0.2">
      <c r="A216" s="111" t="s">
        <v>3399</v>
      </c>
      <c r="B216" s="135">
        <f>+'KY_Res by Plant Acct-P29 (Reg)'!B217</f>
        <v>-121184.91000000002</v>
      </c>
      <c r="C216" s="135"/>
      <c r="D216" s="135">
        <f>+'KY_Res by Plant Acct-P29 (Reg)'!D217</f>
        <v>-20968.2</v>
      </c>
      <c r="E216" s="135"/>
      <c r="F216" s="135">
        <f>+'KY_Res by Plant Acct-P29 (Reg)'!F217</f>
        <v>0</v>
      </c>
      <c r="G216" s="135"/>
      <c r="H216" s="135">
        <f>+'KY_Res by Plant Acct-P29 (Reg)'!H217</f>
        <v>142153.10999999999</v>
      </c>
      <c r="I216" s="135"/>
      <c r="J216" s="135">
        <f>+'KY_Res by Plant Acct-P29 (Reg)'!J217</f>
        <v>0</v>
      </c>
      <c r="K216" s="135"/>
      <c r="L216" s="135">
        <f>+'KY_Res by Plant Acct-P29 (Reg)'!L217</f>
        <v>0</v>
      </c>
      <c r="M216" s="135"/>
      <c r="N216" s="135">
        <f>+'KY_Res by Plant Acct-P29 (Reg)'!N217</f>
        <v>0</v>
      </c>
      <c r="O216" s="135"/>
      <c r="P216" s="135">
        <f>+'KY_Res by Plant Acct-P29 (Reg)'!P217</f>
        <v>0</v>
      </c>
      <c r="Q216" s="135"/>
      <c r="R216" s="135">
        <f>SUM(B216:P216)</f>
        <v>-2.9103830456733704E-11</v>
      </c>
    </row>
    <row r="217" spans="1:21" outlineLevel="1" x14ac:dyDescent="0.2">
      <c r="A217" s="3" t="s">
        <v>3098</v>
      </c>
      <c r="B217" s="135">
        <f>+'KY_Res by Plant Acct-P29 (Reg)'!B218</f>
        <v>0</v>
      </c>
      <c r="C217" s="135"/>
      <c r="D217" s="135">
        <f>+'KY_Res by Plant Acct-P29 (Reg)'!D218</f>
        <v>0</v>
      </c>
      <c r="E217" s="135"/>
      <c r="F217" s="135">
        <f>+'KY_Res by Plant Acct-P29 (Reg)'!F218</f>
        <v>0</v>
      </c>
      <c r="G217" s="135"/>
      <c r="H217" s="135">
        <f>+'KY_Res by Plant Acct-P29 (Reg)'!H218</f>
        <v>0</v>
      </c>
      <c r="I217" s="135"/>
      <c r="J217" s="135">
        <f>+'KY_Res by Plant Acct-P29 (Reg)'!J218</f>
        <v>0</v>
      </c>
      <c r="K217" s="135"/>
      <c r="L217" s="135">
        <f>+'KY_Res by Plant Acct-P29 (Reg)'!L218</f>
        <v>0</v>
      </c>
      <c r="M217" s="135"/>
      <c r="N217" s="135">
        <f>+'KY_Res by Plant Acct-P29 (Reg)'!N218</f>
        <v>0</v>
      </c>
      <c r="O217" s="135"/>
      <c r="P217" s="135">
        <f>+'KY_Res by Plant Acct-P29 (Reg)'!P218</f>
        <v>0</v>
      </c>
      <c r="Q217" s="135"/>
      <c r="R217" s="135">
        <f>SUM(B217:P217)</f>
        <v>0</v>
      </c>
    </row>
    <row r="218" spans="1:21" outlineLevel="1" x14ac:dyDescent="0.2">
      <c r="A218" s="3" t="s">
        <v>3099</v>
      </c>
      <c r="B218" s="135">
        <f>+'KY_Res by Plant Acct-P29 (Reg)'!B219</f>
        <v>0</v>
      </c>
      <c r="C218" s="135"/>
      <c r="D218" s="135">
        <f>+'KY_Res by Plant Acct-P29 (Reg)'!D219</f>
        <v>0</v>
      </c>
      <c r="E218" s="135"/>
      <c r="F218" s="135">
        <f>+'KY_Res by Plant Acct-P29 (Reg)'!F219</f>
        <v>0</v>
      </c>
      <c r="G218" s="135"/>
      <c r="H218" s="135">
        <f>+'KY_Res by Plant Acct-P29 (Reg)'!H219</f>
        <v>0</v>
      </c>
      <c r="I218" s="135"/>
      <c r="J218" s="135">
        <f>+'KY_Res by Plant Acct-P29 (Reg)'!J219</f>
        <v>0</v>
      </c>
      <c r="K218" s="135"/>
      <c r="L218" s="135">
        <f>+'KY_Res by Plant Acct-P29 (Reg)'!L219</f>
        <v>0</v>
      </c>
      <c r="M218" s="135"/>
      <c r="N218" s="135">
        <f>+'KY_Res by Plant Acct-P29 (Reg)'!N219</f>
        <v>0</v>
      </c>
      <c r="O218" s="135"/>
      <c r="P218" s="135">
        <f>+'KY_Res by Plant Acct-P29 (Reg)'!P219</f>
        <v>0</v>
      </c>
      <c r="Q218" s="135"/>
      <c r="R218" s="135">
        <f>SUM(B218:P218)</f>
        <v>0</v>
      </c>
    </row>
    <row r="219" spans="1:21" x14ac:dyDescent="0.2">
      <c r="A219" s="3" t="s">
        <v>3100</v>
      </c>
      <c r="B219" s="135">
        <f>SUM(B217:B218)</f>
        <v>0</v>
      </c>
      <c r="C219" s="135"/>
      <c r="D219" s="135">
        <f>SUM(D217:D218)</f>
        <v>0</v>
      </c>
      <c r="E219" s="135"/>
      <c r="F219" s="135">
        <f>SUM(F217:F218)</f>
        <v>0</v>
      </c>
      <c r="G219" s="135"/>
      <c r="H219" s="135">
        <f>SUM(H217:H218)</f>
        <v>0</v>
      </c>
      <c r="I219" s="135"/>
      <c r="J219" s="135">
        <f>SUM(J217:J218)</f>
        <v>0</v>
      </c>
      <c r="K219" s="135"/>
      <c r="L219" s="135">
        <f>SUM(L217:L218)</f>
        <v>0</v>
      </c>
      <c r="M219" s="135"/>
      <c r="N219" s="135">
        <f>SUM(N217:N218)</f>
        <v>0</v>
      </c>
      <c r="O219" s="135"/>
      <c r="P219" s="135">
        <f>SUM(P217:P218)</f>
        <v>0</v>
      </c>
      <c r="Q219" s="135"/>
      <c r="R219" s="135">
        <f>SUM(R217:R218)</f>
        <v>0</v>
      </c>
    </row>
    <row r="220" spans="1:21" outlineLevel="1" x14ac:dyDescent="0.2">
      <c r="A220" s="3" t="s">
        <v>3101</v>
      </c>
      <c r="B220" s="135">
        <f>+'KY_Res by Plant Acct-P29 (Reg)'!B221</f>
        <v>-7.2759576141834259E-12</v>
      </c>
      <c r="C220" s="135"/>
      <c r="D220" s="135">
        <f>+'KY_Res by Plant Acct-P29 (Reg)'!D221</f>
        <v>0</v>
      </c>
      <c r="E220" s="135"/>
      <c r="F220" s="135">
        <f>+'KY_Res by Plant Acct-P29 (Reg)'!F221</f>
        <v>0</v>
      </c>
      <c r="G220" s="135"/>
      <c r="H220" s="135">
        <f>+'KY_Res by Plant Acct-P29 (Reg)'!H221</f>
        <v>0</v>
      </c>
      <c r="I220" s="135"/>
      <c r="J220" s="135">
        <f>+'KY_Res by Plant Acct-P29 (Reg)'!J221</f>
        <v>0</v>
      </c>
      <c r="K220" s="135"/>
      <c r="L220" s="135">
        <f>+'KY_Res by Plant Acct-P29 (Reg)'!L221</f>
        <v>0</v>
      </c>
      <c r="M220" s="135"/>
      <c r="N220" s="135">
        <f>+'KY_Res by Plant Acct-P29 (Reg)'!N221</f>
        <v>0</v>
      </c>
      <c r="O220" s="135"/>
      <c r="P220" s="135">
        <f>+'KY_Res by Plant Acct-P29 (Reg)'!P221</f>
        <v>0</v>
      </c>
      <c r="Q220" s="135"/>
      <c r="R220" s="135">
        <f t="shared" ref="R220:R270" si="12">SUM(B220:P220)</f>
        <v>-7.2759576141834259E-12</v>
      </c>
    </row>
    <row r="221" spans="1:21" outlineLevel="1" x14ac:dyDescent="0.2">
      <c r="A221" s="3" t="s">
        <v>3102</v>
      </c>
      <c r="B221" s="135">
        <f>+'KY_Res by Plant Acct-P29 (Reg)'!B222</f>
        <v>-3863668.05</v>
      </c>
      <c r="C221" s="135"/>
      <c r="D221" s="135">
        <f>+'KY_Res by Plant Acct-P29 (Reg)'!D222</f>
        <v>-227133.61</v>
      </c>
      <c r="E221" s="135"/>
      <c r="F221" s="135">
        <f>+'KY_Res by Plant Acct-P29 (Reg)'!F222</f>
        <v>4466784.4400000004</v>
      </c>
      <c r="G221" s="135"/>
      <c r="H221" s="135">
        <f>+'KY_Res by Plant Acct-P29 (Reg)'!H222</f>
        <v>-47489.49</v>
      </c>
      <c r="I221" s="135"/>
      <c r="J221" s="135">
        <f>+'KY_Res by Plant Acct-P29 (Reg)'!J222</f>
        <v>0</v>
      </c>
      <c r="K221" s="135"/>
      <c r="L221" s="135">
        <f>+'KY_Res by Plant Acct-P29 (Reg)'!L222</f>
        <v>66495.63</v>
      </c>
      <c r="M221" s="135"/>
      <c r="N221" s="135">
        <f>+'KY_Res by Plant Acct-P29 (Reg)'!N222</f>
        <v>-394988.95</v>
      </c>
      <c r="O221" s="135"/>
      <c r="P221" s="135">
        <f>+'KY_Res by Plant Acct-P29 (Reg)'!P222</f>
        <v>0</v>
      </c>
      <c r="Q221" s="135"/>
      <c r="R221" s="135">
        <f t="shared" si="12"/>
        <v>-2.9999999271240085E-2</v>
      </c>
    </row>
    <row r="222" spans="1:21" outlineLevel="1" x14ac:dyDescent="0.2">
      <c r="A222" s="3" t="s">
        <v>3103</v>
      </c>
      <c r="B222" s="135">
        <f>+'KY_Res by Plant Acct-P29 (Reg)'!B223</f>
        <v>-87688.839999999851</v>
      </c>
      <c r="C222" s="135"/>
      <c r="D222" s="135">
        <f>+'KY_Res by Plant Acct-P29 (Reg)'!D223</f>
        <v>0</v>
      </c>
      <c r="E222" s="135"/>
      <c r="F222" s="135">
        <f>+'KY_Res by Plant Acct-P29 (Reg)'!F223</f>
        <v>0</v>
      </c>
      <c r="G222" s="135"/>
      <c r="H222" s="135">
        <f>+'KY_Res by Plant Acct-P29 (Reg)'!H223</f>
        <v>0</v>
      </c>
      <c r="I222" s="135"/>
      <c r="J222" s="135">
        <f>+'KY_Res by Plant Acct-P29 (Reg)'!J223</f>
        <v>0</v>
      </c>
      <c r="K222" s="135"/>
      <c r="L222" s="135">
        <f>+'KY_Res by Plant Acct-P29 (Reg)'!L223</f>
        <v>0</v>
      </c>
      <c r="M222" s="135"/>
      <c r="N222" s="135">
        <f>+'KY_Res by Plant Acct-P29 (Reg)'!N223</f>
        <v>0</v>
      </c>
      <c r="O222" s="135"/>
      <c r="P222" s="135">
        <f>+'KY_Res by Plant Acct-P29 (Reg)'!P223</f>
        <v>0</v>
      </c>
      <c r="Q222" s="135"/>
      <c r="R222" s="135">
        <f t="shared" si="12"/>
        <v>-87688.839999999851</v>
      </c>
    </row>
    <row r="223" spans="1:21" outlineLevel="1" x14ac:dyDescent="0.2">
      <c r="A223" s="3" t="s">
        <v>3104</v>
      </c>
      <c r="B223" s="135">
        <f>+'KY_Res by Plant Acct-P29 (Reg)'!B224</f>
        <v>-15455.420000000013</v>
      </c>
      <c r="C223" s="135"/>
      <c r="D223" s="135">
        <f>+'KY_Res by Plant Acct-P29 (Reg)'!D224</f>
        <v>0</v>
      </c>
      <c r="E223" s="135"/>
      <c r="F223" s="135">
        <f>+'KY_Res by Plant Acct-P29 (Reg)'!F224</f>
        <v>0</v>
      </c>
      <c r="G223" s="139"/>
      <c r="H223" s="135">
        <f>+'KY_Res by Plant Acct-P29 (Reg)'!H224</f>
        <v>0</v>
      </c>
      <c r="I223" s="139"/>
      <c r="J223" s="135">
        <f>+'KY_Res by Plant Acct-P29 (Reg)'!J224</f>
        <v>0</v>
      </c>
      <c r="K223" s="139"/>
      <c r="L223" s="135">
        <f>+'KY_Res by Plant Acct-P29 (Reg)'!L224</f>
        <v>0</v>
      </c>
      <c r="M223" s="135"/>
      <c r="N223" s="135">
        <f>+'KY_Res by Plant Acct-P29 (Reg)'!N224</f>
        <v>0</v>
      </c>
      <c r="O223" s="135"/>
      <c r="P223" s="135">
        <f>+'KY_Res by Plant Acct-P29 (Reg)'!P224</f>
        <v>0</v>
      </c>
      <c r="Q223" s="135"/>
      <c r="R223" s="135">
        <f t="shared" si="12"/>
        <v>-15455.420000000013</v>
      </c>
    </row>
    <row r="224" spans="1:21" outlineLevel="1" x14ac:dyDescent="0.2">
      <c r="A224" s="3" t="s">
        <v>3105</v>
      </c>
      <c r="B224" s="135">
        <f>+'KY_Res by Plant Acct-P29 (Reg)'!B225</f>
        <v>-72310.980000000098</v>
      </c>
      <c r="C224" s="135"/>
      <c r="D224" s="135">
        <f>+'KY_Res by Plant Acct-P29 (Reg)'!D225</f>
        <v>0</v>
      </c>
      <c r="E224" s="135"/>
      <c r="F224" s="135">
        <f>+'KY_Res by Plant Acct-P29 (Reg)'!F225</f>
        <v>0</v>
      </c>
      <c r="G224" s="139"/>
      <c r="H224" s="135">
        <f>+'KY_Res by Plant Acct-P29 (Reg)'!H225</f>
        <v>0</v>
      </c>
      <c r="I224" s="139"/>
      <c r="J224" s="135">
        <f>+'KY_Res by Plant Acct-P29 (Reg)'!J225</f>
        <v>0</v>
      </c>
      <c r="K224" s="139"/>
      <c r="L224" s="135">
        <f>+'KY_Res by Plant Acct-P29 (Reg)'!L225</f>
        <v>0</v>
      </c>
      <c r="M224" s="135"/>
      <c r="N224" s="135">
        <f>+'KY_Res by Plant Acct-P29 (Reg)'!N225</f>
        <v>0</v>
      </c>
      <c r="O224" s="135"/>
      <c r="P224" s="135">
        <f>+'KY_Res by Plant Acct-P29 (Reg)'!P225</f>
        <v>0</v>
      </c>
      <c r="Q224" s="135"/>
      <c r="R224" s="135">
        <f t="shared" si="12"/>
        <v>-72310.980000000098</v>
      </c>
    </row>
    <row r="225" spans="1:18" outlineLevel="1" x14ac:dyDescent="0.2">
      <c r="A225" s="3" t="s">
        <v>3106</v>
      </c>
      <c r="B225" s="135">
        <f>+'KY_Res by Plant Acct-P29 (Reg)'!B226</f>
        <v>-1281485.5100000016</v>
      </c>
      <c r="C225" s="135"/>
      <c r="D225" s="135">
        <f>+'KY_Res by Plant Acct-P29 (Reg)'!D226</f>
        <v>0</v>
      </c>
      <c r="E225" s="135"/>
      <c r="F225" s="135">
        <f>+'KY_Res by Plant Acct-P29 (Reg)'!F226</f>
        <v>0</v>
      </c>
      <c r="G225" s="139"/>
      <c r="H225" s="135">
        <f>+'KY_Res by Plant Acct-P29 (Reg)'!H226</f>
        <v>0</v>
      </c>
      <c r="I225" s="139"/>
      <c r="J225" s="135">
        <f>+'KY_Res by Plant Acct-P29 (Reg)'!J226</f>
        <v>0</v>
      </c>
      <c r="K225" s="139"/>
      <c r="L225" s="135">
        <f>+'KY_Res by Plant Acct-P29 (Reg)'!L226</f>
        <v>0</v>
      </c>
      <c r="M225" s="135"/>
      <c r="N225" s="135">
        <f>+'KY_Res by Plant Acct-P29 (Reg)'!N226</f>
        <v>0</v>
      </c>
      <c r="O225" s="135"/>
      <c r="P225" s="135">
        <f>+'KY_Res by Plant Acct-P29 (Reg)'!P226</f>
        <v>0</v>
      </c>
      <c r="Q225" s="135"/>
      <c r="R225" s="135">
        <f t="shared" si="12"/>
        <v>-1281485.5100000016</v>
      </c>
    </row>
    <row r="226" spans="1:18" outlineLevel="1" x14ac:dyDescent="0.2">
      <c r="A226" s="3" t="s">
        <v>3107</v>
      </c>
      <c r="B226" s="135">
        <f>+'KY_Res by Plant Acct-P29 (Reg)'!B227</f>
        <v>-2770382.3999999985</v>
      </c>
      <c r="C226" s="135"/>
      <c r="D226" s="135">
        <f>+'KY_Res by Plant Acct-P29 (Reg)'!D227</f>
        <v>0</v>
      </c>
      <c r="E226" s="135"/>
      <c r="F226" s="135">
        <f>+'KY_Res by Plant Acct-P29 (Reg)'!F227</f>
        <v>0</v>
      </c>
      <c r="G226" s="139"/>
      <c r="H226" s="135">
        <f>+'KY_Res by Plant Acct-P29 (Reg)'!H227</f>
        <v>0</v>
      </c>
      <c r="I226" s="139"/>
      <c r="J226" s="135">
        <f>+'KY_Res by Plant Acct-P29 (Reg)'!J227</f>
        <v>0</v>
      </c>
      <c r="K226" s="139"/>
      <c r="L226" s="135">
        <f>+'KY_Res by Plant Acct-P29 (Reg)'!L227</f>
        <v>0</v>
      </c>
      <c r="M226" s="135"/>
      <c r="N226" s="135">
        <f>+'KY_Res by Plant Acct-P29 (Reg)'!N227</f>
        <v>0</v>
      </c>
      <c r="O226" s="135"/>
      <c r="P226" s="135">
        <f>+'KY_Res by Plant Acct-P29 (Reg)'!P227</f>
        <v>0</v>
      </c>
      <c r="Q226" s="135"/>
      <c r="R226" s="135">
        <f t="shared" si="12"/>
        <v>-2770382.3999999985</v>
      </c>
    </row>
    <row r="227" spans="1:18" outlineLevel="1" x14ac:dyDescent="0.2">
      <c r="A227" s="3" t="s">
        <v>3108</v>
      </c>
      <c r="B227" s="135">
        <f>+'KY_Res by Plant Acct-P29 (Reg)'!B228</f>
        <v>-2645668.6800000076</v>
      </c>
      <c r="C227" s="135"/>
      <c r="D227" s="135">
        <f>+'KY_Res by Plant Acct-P29 (Reg)'!D228</f>
        <v>-11897.4</v>
      </c>
      <c r="E227" s="135"/>
      <c r="F227" s="135">
        <f>+'KY_Res by Plant Acct-P29 (Reg)'!F228</f>
        <v>0</v>
      </c>
      <c r="G227" s="139"/>
      <c r="H227" s="135">
        <f>+'KY_Res by Plant Acct-P29 (Reg)'!H228</f>
        <v>0</v>
      </c>
      <c r="I227" s="139"/>
      <c r="J227" s="135">
        <f>+'KY_Res by Plant Acct-P29 (Reg)'!J228</f>
        <v>0</v>
      </c>
      <c r="K227" s="139"/>
      <c r="L227" s="135">
        <f>+'KY_Res by Plant Acct-P29 (Reg)'!L228</f>
        <v>0</v>
      </c>
      <c r="M227" s="135"/>
      <c r="N227" s="135">
        <f>+'KY_Res by Plant Acct-P29 (Reg)'!N228</f>
        <v>0</v>
      </c>
      <c r="O227" s="135"/>
      <c r="P227" s="135">
        <f>+'KY_Res by Plant Acct-P29 (Reg)'!P228</f>
        <v>0</v>
      </c>
      <c r="Q227" s="135"/>
      <c r="R227" s="135">
        <f t="shared" si="12"/>
        <v>-2657566.0800000075</v>
      </c>
    </row>
    <row r="228" spans="1:18" outlineLevel="1" x14ac:dyDescent="0.2">
      <c r="A228" s="3" t="s">
        <v>3109</v>
      </c>
      <c r="B228" s="135">
        <f>+'KY_Res by Plant Acct-P29 (Reg)'!B229</f>
        <v>0</v>
      </c>
      <c r="C228" s="135"/>
      <c r="D228" s="135">
        <f>+'KY_Res by Plant Acct-P29 (Reg)'!D229</f>
        <v>0</v>
      </c>
      <c r="E228" s="135"/>
      <c r="F228" s="135">
        <f>+'KY_Res by Plant Acct-P29 (Reg)'!F229</f>
        <v>0</v>
      </c>
      <c r="G228" s="139"/>
      <c r="H228" s="135">
        <f>+'KY_Res by Plant Acct-P29 (Reg)'!H229</f>
        <v>0</v>
      </c>
      <c r="I228" s="139"/>
      <c r="J228" s="135">
        <f>+'KY_Res by Plant Acct-P29 (Reg)'!J229</f>
        <v>0</v>
      </c>
      <c r="K228" s="139"/>
      <c r="L228" s="135">
        <f>+'KY_Res by Plant Acct-P29 (Reg)'!L229</f>
        <v>0</v>
      </c>
      <c r="M228" s="135"/>
      <c r="N228" s="135">
        <f>+'KY_Res by Plant Acct-P29 (Reg)'!N229</f>
        <v>0</v>
      </c>
      <c r="O228" s="135"/>
      <c r="P228" s="135">
        <f>+'KY_Res by Plant Acct-P29 (Reg)'!P229</f>
        <v>0</v>
      </c>
      <c r="Q228" s="135"/>
      <c r="R228" s="135">
        <f t="shared" si="12"/>
        <v>0</v>
      </c>
    </row>
    <row r="229" spans="1:18" outlineLevel="1" x14ac:dyDescent="0.2">
      <c r="A229" s="3" t="s">
        <v>3110</v>
      </c>
      <c r="B229" s="135">
        <f>+'KY_Res by Plant Acct-P29 (Reg)'!B230</f>
        <v>-2409597.809999987</v>
      </c>
      <c r="C229" s="135"/>
      <c r="D229" s="135">
        <f>+'KY_Res by Plant Acct-P29 (Reg)'!D230</f>
        <v>-25972.2</v>
      </c>
      <c r="E229" s="135"/>
      <c r="F229" s="135">
        <f>+'KY_Res by Plant Acct-P29 (Reg)'!F230</f>
        <v>0</v>
      </c>
      <c r="G229" s="139"/>
      <c r="H229" s="135">
        <f>+'KY_Res by Plant Acct-P29 (Reg)'!H230</f>
        <v>0</v>
      </c>
      <c r="I229" s="139"/>
      <c r="J229" s="135">
        <f>+'KY_Res by Plant Acct-P29 (Reg)'!J230</f>
        <v>0</v>
      </c>
      <c r="K229" s="139"/>
      <c r="L229" s="135">
        <f>+'KY_Res by Plant Acct-P29 (Reg)'!L230</f>
        <v>0</v>
      </c>
      <c r="M229" s="135"/>
      <c r="N229" s="135">
        <f>+'KY_Res by Plant Acct-P29 (Reg)'!N230</f>
        <v>0</v>
      </c>
      <c r="O229" s="135"/>
      <c r="P229" s="135">
        <f>+'KY_Res by Plant Acct-P29 (Reg)'!P230</f>
        <v>0</v>
      </c>
      <c r="Q229" s="135"/>
      <c r="R229" s="135">
        <f t="shared" si="12"/>
        <v>-2435570.0099999872</v>
      </c>
    </row>
    <row r="230" spans="1:18" outlineLevel="1" x14ac:dyDescent="0.2">
      <c r="A230" s="3" t="s">
        <v>3111</v>
      </c>
      <c r="B230" s="135">
        <f>+'KY_Res by Plant Acct-P29 (Reg)'!B231</f>
        <v>0</v>
      </c>
      <c r="C230" s="135"/>
      <c r="D230" s="135">
        <f>+'KY_Res by Plant Acct-P29 (Reg)'!D231</f>
        <v>0</v>
      </c>
      <c r="E230" s="135"/>
      <c r="F230" s="135">
        <f>+'KY_Res by Plant Acct-P29 (Reg)'!F231</f>
        <v>0</v>
      </c>
      <c r="G230" s="139"/>
      <c r="H230" s="135">
        <f>+'KY_Res by Plant Acct-P29 (Reg)'!H231</f>
        <v>0</v>
      </c>
      <c r="I230" s="139"/>
      <c r="J230" s="135">
        <f>+'KY_Res by Plant Acct-P29 (Reg)'!J231</f>
        <v>0</v>
      </c>
      <c r="K230" s="139"/>
      <c r="L230" s="135">
        <f>+'KY_Res by Plant Acct-P29 (Reg)'!L231</f>
        <v>0</v>
      </c>
      <c r="M230" s="135"/>
      <c r="N230" s="135">
        <f>+'KY_Res by Plant Acct-P29 (Reg)'!N231</f>
        <v>0</v>
      </c>
      <c r="O230" s="135"/>
      <c r="P230" s="135">
        <f>+'KY_Res by Plant Acct-P29 (Reg)'!P231</f>
        <v>0</v>
      </c>
      <c r="Q230" s="135"/>
      <c r="R230" s="135">
        <f t="shared" si="12"/>
        <v>0</v>
      </c>
    </row>
    <row r="231" spans="1:18" outlineLevel="1" x14ac:dyDescent="0.2">
      <c r="A231" s="3" t="s">
        <v>3400</v>
      </c>
      <c r="B231" s="135">
        <f>+'KY_Res by Plant Acct-P29 (Reg)'!B232</f>
        <v>-1258125.6899999918</v>
      </c>
      <c r="C231" s="135"/>
      <c r="D231" s="135">
        <f>+'KY_Res by Plant Acct-P29 (Reg)'!D232</f>
        <v>-1455088.66</v>
      </c>
      <c r="E231" s="135"/>
      <c r="F231" s="135">
        <f>+'KY_Res by Plant Acct-P29 (Reg)'!F232</f>
        <v>424889.08</v>
      </c>
      <c r="G231" s="139"/>
      <c r="H231" s="135">
        <f>+'KY_Res by Plant Acct-P29 (Reg)'!H232</f>
        <v>-57703.54</v>
      </c>
      <c r="I231" s="139"/>
      <c r="J231" s="135">
        <f>+'KY_Res by Plant Acct-P29 (Reg)'!J232</f>
        <v>0</v>
      </c>
      <c r="K231" s="139"/>
      <c r="L231" s="135">
        <f>+'KY_Res by Plant Acct-P29 (Reg)'!L232</f>
        <v>762494.71</v>
      </c>
      <c r="M231" s="135"/>
      <c r="N231" s="135">
        <f>+'KY_Res by Plant Acct-P29 (Reg)'!N232</f>
        <v>0</v>
      </c>
      <c r="O231" s="135"/>
      <c r="P231" s="135">
        <f>+'KY_Res by Plant Acct-P29 (Reg)'!P232</f>
        <v>0</v>
      </c>
      <c r="Q231" s="135"/>
      <c r="R231" s="135">
        <f t="shared" si="12"/>
        <v>-1583534.0999999917</v>
      </c>
    </row>
    <row r="232" spans="1:18" outlineLevel="1" x14ac:dyDescent="0.2">
      <c r="A232" s="3" t="s">
        <v>3113</v>
      </c>
      <c r="B232" s="135">
        <f>+'KY_Res by Plant Acct-P29 (Reg)'!B233</f>
        <v>0</v>
      </c>
      <c r="C232" s="135"/>
      <c r="D232" s="135">
        <f>+'KY_Res by Plant Acct-P29 (Reg)'!D233</f>
        <v>0</v>
      </c>
      <c r="E232" s="135"/>
      <c r="F232" s="135">
        <f>+'KY_Res by Plant Acct-P29 (Reg)'!F233</f>
        <v>0</v>
      </c>
      <c r="G232" s="139"/>
      <c r="H232" s="135">
        <f>+'KY_Res by Plant Acct-P29 (Reg)'!H233</f>
        <v>0</v>
      </c>
      <c r="I232" s="139"/>
      <c r="J232" s="135">
        <f>+'KY_Res by Plant Acct-P29 (Reg)'!J233</f>
        <v>0</v>
      </c>
      <c r="K232" s="139"/>
      <c r="L232" s="135">
        <f>+'KY_Res by Plant Acct-P29 (Reg)'!L233</f>
        <v>0</v>
      </c>
      <c r="M232" s="135"/>
      <c r="N232" s="135">
        <f>+'KY_Res by Plant Acct-P29 (Reg)'!N233</f>
        <v>0</v>
      </c>
      <c r="O232" s="135"/>
      <c r="P232" s="135">
        <f>+'KY_Res by Plant Acct-P29 (Reg)'!P233</f>
        <v>0</v>
      </c>
      <c r="Q232" s="135"/>
      <c r="R232" s="135">
        <f t="shared" si="12"/>
        <v>0</v>
      </c>
    </row>
    <row r="233" spans="1:18" outlineLevel="1" x14ac:dyDescent="0.2">
      <c r="A233" s="22" t="s">
        <v>3401</v>
      </c>
      <c r="B233" s="135">
        <f>+'KY_Res by Plant Acct-P29 (Reg)'!B234</f>
        <v>-2449861.0400000038</v>
      </c>
      <c r="C233" s="135"/>
      <c r="D233" s="135">
        <f>+'KY_Res by Plant Acct-P29 (Reg)'!D234</f>
        <v>-4496.28</v>
      </c>
      <c r="E233" s="135"/>
      <c r="F233" s="135">
        <f>+'KY_Res by Plant Acct-P29 (Reg)'!F234</f>
        <v>0</v>
      </c>
      <c r="G233" s="139"/>
      <c r="H233" s="135">
        <f>+'KY_Res by Plant Acct-P29 (Reg)'!H234</f>
        <v>0</v>
      </c>
      <c r="I233" s="139"/>
      <c r="J233" s="135">
        <f>+'KY_Res by Plant Acct-P29 (Reg)'!J234</f>
        <v>0</v>
      </c>
      <c r="K233" s="139"/>
      <c r="L233" s="135">
        <f>+'KY_Res by Plant Acct-P29 (Reg)'!L234</f>
        <v>0</v>
      </c>
      <c r="M233" s="135"/>
      <c r="N233" s="135">
        <f>+'KY_Res by Plant Acct-P29 (Reg)'!N234</f>
        <v>0</v>
      </c>
      <c r="O233" s="135"/>
      <c r="P233" s="135">
        <f>+'KY_Res by Plant Acct-P29 (Reg)'!P234</f>
        <v>0</v>
      </c>
      <c r="Q233" s="135"/>
      <c r="R233" s="135">
        <f t="shared" si="12"/>
        <v>-2454357.3200000036</v>
      </c>
    </row>
    <row r="234" spans="1:18" outlineLevel="1" x14ac:dyDescent="0.2">
      <c r="A234" s="22" t="s">
        <v>3115</v>
      </c>
      <c r="B234" s="135">
        <f>+'KY_Res by Plant Acct-P29 (Reg)'!B235</f>
        <v>0</v>
      </c>
      <c r="C234" s="135"/>
      <c r="D234" s="135">
        <f>+'KY_Res by Plant Acct-P29 (Reg)'!D235</f>
        <v>0</v>
      </c>
      <c r="E234" s="135"/>
      <c r="F234" s="135">
        <f>+'KY_Res by Plant Acct-P29 (Reg)'!F235</f>
        <v>0</v>
      </c>
      <c r="G234" s="139"/>
      <c r="H234" s="135">
        <f>+'KY_Res by Plant Acct-P29 (Reg)'!H235</f>
        <v>0</v>
      </c>
      <c r="I234" s="139">
        <v>0</v>
      </c>
      <c r="J234" s="135">
        <f>+'KY_Res by Plant Acct-P29 (Reg)'!J235</f>
        <v>0</v>
      </c>
      <c r="K234" s="139"/>
      <c r="L234" s="135">
        <f>+'KY_Res by Plant Acct-P29 (Reg)'!L235</f>
        <v>0</v>
      </c>
      <c r="M234" s="135"/>
      <c r="N234" s="135">
        <f>+'KY_Res by Plant Acct-P29 (Reg)'!N235</f>
        <v>0</v>
      </c>
      <c r="O234" s="135"/>
      <c r="P234" s="135">
        <f>+'KY_Res by Plant Acct-P29 (Reg)'!P235</f>
        <v>0</v>
      </c>
      <c r="Q234" s="135"/>
      <c r="R234" s="135">
        <f t="shared" si="12"/>
        <v>0</v>
      </c>
    </row>
    <row r="235" spans="1:18" outlineLevel="1" x14ac:dyDescent="0.2">
      <c r="A235" s="3" t="s">
        <v>3116</v>
      </c>
      <c r="B235" s="135">
        <f>+'KY_Res by Plant Acct-P29 (Reg)'!B236</f>
        <v>0</v>
      </c>
      <c r="C235" s="135"/>
      <c r="D235" s="135">
        <f>+'KY_Res by Plant Acct-P29 (Reg)'!D236</f>
        <v>0</v>
      </c>
      <c r="E235" s="135"/>
      <c r="F235" s="135">
        <f>+'KY_Res by Plant Acct-P29 (Reg)'!F236</f>
        <v>0</v>
      </c>
      <c r="G235" s="139"/>
      <c r="H235" s="135">
        <f>+'KY_Res by Plant Acct-P29 (Reg)'!H236</f>
        <v>0</v>
      </c>
      <c r="I235" s="139"/>
      <c r="J235" s="135">
        <f>+'KY_Res by Plant Acct-P29 (Reg)'!J236</f>
        <v>0</v>
      </c>
      <c r="K235" s="139"/>
      <c r="L235" s="135">
        <f>+'KY_Res by Plant Acct-P29 (Reg)'!L236</f>
        <v>0</v>
      </c>
      <c r="M235" s="135"/>
      <c r="N235" s="135">
        <f>+'KY_Res by Plant Acct-P29 (Reg)'!N236</f>
        <v>0</v>
      </c>
      <c r="O235" s="135"/>
      <c r="P235" s="135">
        <f>+'KY_Res by Plant Acct-P29 (Reg)'!P236</f>
        <v>0</v>
      </c>
      <c r="Q235" s="135"/>
      <c r="R235" s="135">
        <f t="shared" si="12"/>
        <v>0</v>
      </c>
    </row>
    <row r="236" spans="1:18" outlineLevel="1" x14ac:dyDescent="0.2">
      <c r="A236" s="3" t="s">
        <v>3117</v>
      </c>
      <c r="B236" s="135">
        <f>+'KY_Res by Plant Acct-P29 (Reg)'!B237</f>
        <v>-34377552.859999992</v>
      </c>
      <c r="C236" s="135"/>
      <c r="D236" s="135">
        <f>+'KY_Res by Plant Acct-P29 (Reg)'!D237</f>
        <v>-1660505.08</v>
      </c>
      <c r="E236" s="135"/>
      <c r="F236" s="135">
        <f>+'KY_Res by Plant Acct-P29 (Reg)'!F237</f>
        <v>87703.679999999993</v>
      </c>
      <c r="G236" s="139"/>
      <c r="H236" s="135">
        <f>+'KY_Res by Plant Acct-P29 (Reg)'!H237</f>
        <v>-381379.1</v>
      </c>
      <c r="I236" s="139"/>
      <c r="J236" s="135">
        <f>+'KY_Res by Plant Acct-P29 (Reg)'!J237</f>
        <v>0</v>
      </c>
      <c r="K236" s="139"/>
      <c r="L236" s="135">
        <f>+'KY_Res by Plant Acct-P29 (Reg)'!L237</f>
        <v>34051.43</v>
      </c>
      <c r="M236" s="135"/>
      <c r="N236" s="135">
        <f>+'KY_Res by Plant Acct-P29 (Reg)'!N237</f>
        <v>-13440</v>
      </c>
      <c r="O236" s="135"/>
      <c r="P236" s="135">
        <f>+'KY_Res by Plant Acct-P29 (Reg)'!P237</f>
        <v>0</v>
      </c>
      <c r="Q236" s="135"/>
      <c r="R236" s="135">
        <f t="shared" si="12"/>
        <v>-36311121.929999992</v>
      </c>
    </row>
    <row r="237" spans="1:18" outlineLevel="1" x14ac:dyDescent="0.2">
      <c r="A237" s="3" t="s">
        <v>3118</v>
      </c>
      <c r="B237" s="135">
        <f>+'KY_Res by Plant Acct-P29 (Reg)'!B238</f>
        <v>0</v>
      </c>
      <c r="C237" s="135"/>
      <c r="D237" s="135">
        <f>+'KY_Res by Plant Acct-P29 (Reg)'!D238</f>
        <v>0</v>
      </c>
      <c r="E237" s="135"/>
      <c r="F237" s="135">
        <f>+'KY_Res by Plant Acct-P29 (Reg)'!F238</f>
        <v>0</v>
      </c>
      <c r="G237" s="139"/>
      <c r="H237" s="135">
        <f>+'KY_Res by Plant Acct-P29 (Reg)'!H238</f>
        <v>0</v>
      </c>
      <c r="I237" s="139"/>
      <c r="J237" s="135">
        <f>+'KY_Res by Plant Acct-P29 (Reg)'!J238</f>
        <v>0</v>
      </c>
      <c r="K237" s="139"/>
      <c r="L237" s="135">
        <f>+'KY_Res by Plant Acct-P29 (Reg)'!L238</f>
        <v>0</v>
      </c>
      <c r="M237" s="135"/>
      <c r="N237" s="135">
        <f>+'KY_Res by Plant Acct-P29 (Reg)'!N238</f>
        <v>0</v>
      </c>
      <c r="O237" s="135"/>
      <c r="P237" s="135">
        <f>+'KY_Res by Plant Acct-P29 (Reg)'!P238</f>
        <v>0</v>
      </c>
      <c r="Q237" s="135"/>
      <c r="R237" s="135">
        <f t="shared" si="12"/>
        <v>0</v>
      </c>
    </row>
    <row r="238" spans="1:18" outlineLevel="1" x14ac:dyDescent="0.2">
      <c r="A238" s="3" t="s">
        <v>3119</v>
      </c>
      <c r="B238" s="135">
        <f>+'KY_Res by Plant Acct-P29 (Reg)'!B239</f>
        <v>-1765853.64</v>
      </c>
      <c r="C238" s="135"/>
      <c r="D238" s="135">
        <f>+'KY_Res by Plant Acct-P29 (Reg)'!D239</f>
        <v>-2904563.36</v>
      </c>
      <c r="E238" s="135"/>
      <c r="F238" s="135">
        <f>+'KY_Res by Plant Acct-P29 (Reg)'!F239</f>
        <v>0</v>
      </c>
      <c r="G238" s="139"/>
      <c r="H238" s="135">
        <f>+'KY_Res by Plant Acct-P29 (Reg)'!H239</f>
        <v>0</v>
      </c>
      <c r="I238" s="139"/>
      <c r="J238" s="135">
        <f>+'KY_Res by Plant Acct-P29 (Reg)'!J239</f>
        <v>0</v>
      </c>
      <c r="K238" s="139"/>
      <c r="L238" s="135">
        <f>+'KY_Res by Plant Acct-P29 (Reg)'!L239</f>
        <v>0</v>
      </c>
      <c r="M238" s="135"/>
      <c r="N238" s="135">
        <f>+'KY_Res by Plant Acct-P29 (Reg)'!N239</f>
        <v>0</v>
      </c>
      <c r="O238" s="135"/>
      <c r="P238" s="135">
        <f>+'KY_Res by Plant Acct-P29 (Reg)'!P239</f>
        <v>0</v>
      </c>
      <c r="Q238" s="135"/>
      <c r="R238" s="135">
        <f>SUM(B238:P238)</f>
        <v>-4670417</v>
      </c>
    </row>
    <row r="239" spans="1:18" outlineLevel="1" x14ac:dyDescent="0.2">
      <c r="A239" s="3" t="s">
        <v>3120</v>
      </c>
      <c r="B239" s="135">
        <f>+'KY_Res by Plant Acct-P29 (Reg)'!B240</f>
        <v>-26589545.330000002</v>
      </c>
      <c r="C239" s="135"/>
      <c r="D239" s="135">
        <f>+'KY_Res by Plant Acct-P29 (Reg)'!D240</f>
        <v>-1718685.8</v>
      </c>
      <c r="E239" s="135"/>
      <c r="F239" s="135">
        <f>+'KY_Res by Plant Acct-P29 (Reg)'!F240</f>
        <v>981476.97</v>
      </c>
      <c r="G239" s="139"/>
      <c r="H239" s="135">
        <f>+'KY_Res by Plant Acct-P29 (Reg)'!H240</f>
        <v>0</v>
      </c>
      <c r="I239" s="139"/>
      <c r="J239" s="135">
        <f>+'KY_Res by Plant Acct-P29 (Reg)'!J240</f>
        <v>0</v>
      </c>
      <c r="K239" s="139"/>
      <c r="L239" s="135">
        <f>+'KY_Res by Plant Acct-P29 (Reg)'!L240</f>
        <v>16158.67</v>
      </c>
      <c r="M239" s="135"/>
      <c r="N239" s="135">
        <f>+'KY_Res by Plant Acct-P29 (Reg)'!N240</f>
        <v>0</v>
      </c>
      <c r="O239" s="135"/>
      <c r="P239" s="135">
        <f>+'KY_Res by Plant Acct-P29 (Reg)'!P240</f>
        <v>0</v>
      </c>
      <c r="Q239" s="135"/>
      <c r="R239" s="135">
        <f t="shared" si="12"/>
        <v>-27310595.490000002</v>
      </c>
    </row>
    <row r="240" spans="1:18" outlineLevel="1" x14ac:dyDescent="0.2">
      <c r="A240" s="3" t="s">
        <v>3121</v>
      </c>
      <c r="B240" s="135">
        <f>+'KY_Res by Plant Acct-P29 (Reg)'!B241</f>
        <v>0</v>
      </c>
      <c r="C240" s="135"/>
      <c r="D240" s="135">
        <f>+'KY_Res by Plant Acct-P29 (Reg)'!D241</f>
        <v>0</v>
      </c>
      <c r="E240" s="135"/>
      <c r="F240" s="135">
        <f>+'KY_Res by Plant Acct-P29 (Reg)'!F241</f>
        <v>0</v>
      </c>
      <c r="G240" s="139"/>
      <c r="H240" s="135">
        <f>+'KY_Res by Plant Acct-P29 (Reg)'!H241</f>
        <v>0</v>
      </c>
      <c r="I240" s="139"/>
      <c r="J240" s="135">
        <f>+'KY_Res by Plant Acct-P29 (Reg)'!J241</f>
        <v>0</v>
      </c>
      <c r="K240" s="139"/>
      <c r="L240" s="135">
        <f>+'KY_Res by Plant Acct-P29 (Reg)'!L241</f>
        <v>0</v>
      </c>
      <c r="M240" s="135"/>
      <c r="N240" s="135">
        <f>+'KY_Res by Plant Acct-P29 (Reg)'!N241</f>
        <v>0</v>
      </c>
      <c r="O240" s="135"/>
      <c r="P240" s="135">
        <f>+'KY_Res by Plant Acct-P29 (Reg)'!P241</f>
        <v>0</v>
      </c>
      <c r="Q240" s="135"/>
      <c r="R240" s="135">
        <f t="shared" si="12"/>
        <v>0</v>
      </c>
    </row>
    <row r="241" spans="1:18" outlineLevel="1" x14ac:dyDescent="0.2">
      <c r="A241" s="3" t="s">
        <v>3122</v>
      </c>
      <c r="B241" s="135">
        <f>+'KY_Res by Plant Acct-P29 (Reg)'!B242</f>
        <v>-2333646.5699999998</v>
      </c>
      <c r="C241" s="135"/>
      <c r="D241" s="135">
        <f>+'KY_Res by Plant Acct-P29 (Reg)'!D242</f>
        <v>-3835910.52</v>
      </c>
      <c r="E241" s="135"/>
      <c r="F241" s="135">
        <f>+'KY_Res by Plant Acct-P29 (Reg)'!F242</f>
        <v>0</v>
      </c>
      <c r="G241" s="139"/>
      <c r="H241" s="135">
        <f>+'KY_Res by Plant Acct-P29 (Reg)'!H242</f>
        <v>0</v>
      </c>
      <c r="I241" s="139"/>
      <c r="J241" s="135">
        <f>+'KY_Res by Plant Acct-P29 (Reg)'!J242</f>
        <v>0</v>
      </c>
      <c r="K241" s="139"/>
      <c r="L241" s="135">
        <f>+'KY_Res by Plant Acct-P29 (Reg)'!L242</f>
        <v>0</v>
      </c>
      <c r="M241" s="135"/>
      <c r="N241" s="135">
        <f>+'KY_Res by Plant Acct-P29 (Reg)'!N242</f>
        <v>0</v>
      </c>
      <c r="O241" s="135"/>
      <c r="P241" s="135">
        <f>+'KY_Res by Plant Acct-P29 (Reg)'!P242</f>
        <v>0</v>
      </c>
      <c r="Q241" s="135"/>
      <c r="R241" s="135">
        <f>SUM(B241:P241)</f>
        <v>-6169557.0899999999</v>
      </c>
    </row>
    <row r="242" spans="1:18" outlineLevel="1" x14ac:dyDescent="0.2">
      <c r="A242" s="3" t="s">
        <v>3123</v>
      </c>
      <c r="B242" s="135">
        <f>+'KY_Res by Plant Acct-P29 (Reg)'!B243</f>
        <v>-941515.26</v>
      </c>
      <c r="C242" s="135"/>
      <c r="D242" s="135">
        <f>+'KY_Res by Plant Acct-P29 (Reg)'!D243</f>
        <v>-1547607.24</v>
      </c>
      <c r="E242" s="135"/>
      <c r="F242" s="135">
        <f>+'KY_Res by Plant Acct-P29 (Reg)'!F243</f>
        <v>0</v>
      </c>
      <c r="G242" s="139"/>
      <c r="H242" s="135">
        <f>+'KY_Res by Plant Acct-P29 (Reg)'!H243</f>
        <v>0</v>
      </c>
      <c r="I242" s="139"/>
      <c r="J242" s="135">
        <f>+'KY_Res by Plant Acct-P29 (Reg)'!J243</f>
        <v>0</v>
      </c>
      <c r="K242" s="139"/>
      <c r="L242" s="135">
        <f>+'KY_Res by Plant Acct-P29 (Reg)'!L243</f>
        <v>0</v>
      </c>
      <c r="M242" s="135"/>
      <c r="N242" s="135">
        <f>+'KY_Res by Plant Acct-P29 (Reg)'!N243</f>
        <v>0</v>
      </c>
      <c r="O242" s="135"/>
      <c r="P242" s="135">
        <f>+'KY_Res by Plant Acct-P29 (Reg)'!P243</f>
        <v>0</v>
      </c>
      <c r="Q242" s="135"/>
      <c r="R242" s="135">
        <f>SUM(B242:P242)</f>
        <v>-2489122.5</v>
      </c>
    </row>
    <row r="243" spans="1:18" outlineLevel="1" x14ac:dyDescent="0.2">
      <c r="A243" s="3" t="s">
        <v>3124</v>
      </c>
      <c r="B243" s="135">
        <f>+'KY_Res by Plant Acct-P29 (Reg)'!B244</f>
        <v>-78939121.379999995</v>
      </c>
      <c r="C243" s="135"/>
      <c r="D243" s="135">
        <f>+'KY_Res by Plant Acct-P29 (Reg)'!D244</f>
        <v>-4152669.16</v>
      </c>
      <c r="E243" s="135"/>
      <c r="F243" s="135">
        <f>+'KY_Res by Plant Acct-P29 (Reg)'!F244</f>
        <v>4716538.75</v>
      </c>
      <c r="G243" s="139"/>
      <c r="H243" s="135">
        <f>+'KY_Res by Plant Acct-P29 (Reg)'!H244</f>
        <v>-1125257.2</v>
      </c>
      <c r="I243" s="139"/>
      <c r="J243" s="135">
        <f>+'KY_Res by Plant Acct-P29 (Reg)'!J244</f>
        <v>0</v>
      </c>
      <c r="K243" s="139"/>
      <c r="L243" s="135">
        <f>+'KY_Res by Plant Acct-P29 (Reg)'!L244</f>
        <v>253550.24</v>
      </c>
      <c r="M243" s="135"/>
      <c r="N243" s="135">
        <f>+'KY_Res by Plant Acct-P29 (Reg)'!N244</f>
        <v>-5400</v>
      </c>
      <c r="O243" s="135"/>
      <c r="P243" s="135">
        <f>+'KY_Res by Plant Acct-P29 (Reg)'!P244</f>
        <v>0</v>
      </c>
      <c r="Q243" s="135"/>
      <c r="R243" s="135">
        <f t="shared" si="12"/>
        <v>-79252358.75</v>
      </c>
    </row>
    <row r="244" spans="1:18" outlineLevel="1" x14ac:dyDescent="0.2">
      <c r="A244" s="3" t="s">
        <v>3125</v>
      </c>
      <c r="B244" s="135">
        <f>+'KY_Res by Plant Acct-P29 (Reg)'!B245</f>
        <v>0</v>
      </c>
      <c r="C244" s="135"/>
      <c r="D244" s="135">
        <f>+'KY_Res by Plant Acct-P29 (Reg)'!D245</f>
        <v>0</v>
      </c>
      <c r="E244" s="135"/>
      <c r="F244" s="135">
        <f>+'KY_Res by Plant Acct-P29 (Reg)'!F245</f>
        <v>0</v>
      </c>
      <c r="G244" s="139"/>
      <c r="H244" s="135">
        <f>+'KY_Res by Plant Acct-P29 (Reg)'!H245</f>
        <v>0</v>
      </c>
      <c r="I244" s="139"/>
      <c r="J244" s="135">
        <f>+'KY_Res by Plant Acct-P29 (Reg)'!J245</f>
        <v>0</v>
      </c>
      <c r="K244" s="139"/>
      <c r="L244" s="135">
        <f>+'KY_Res by Plant Acct-P29 (Reg)'!L245</f>
        <v>0</v>
      </c>
      <c r="M244" s="135"/>
      <c r="N244" s="135">
        <f>+'KY_Res by Plant Acct-P29 (Reg)'!N245</f>
        <v>0</v>
      </c>
      <c r="O244" s="135"/>
      <c r="P244" s="135">
        <f>+'KY_Res by Plant Acct-P29 (Reg)'!P245</f>
        <v>0</v>
      </c>
      <c r="Q244" s="135"/>
      <c r="R244" s="135">
        <f t="shared" si="12"/>
        <v>0</v>
      </c>
    </row>
    <row r="245" spans="1:18" outlineLevel="1" x14ac:dyDescent="0.2">
      <c r="A245" s="22" t="s">
        <v>3126</v>
      </c>
      <c r="B245" s="135">
        <f>+'KY_Res by Plant Acct-P29 (Reg)'!B246</f>
        <v>0</v>
      </c>
      <c r="C245" s="135"/>
      <c r="D245" s="135">
        <f>+'KY_Res by Plant Acct-P29 (Reg)'!D246</f>
        <v>-1786723.53</v>
      </c>
      <c r="E245" s="135"/>
      <c r="F245" s="135">
        <f>+'KY_Res by Plant Acct-P29 (Reg)'!F246</f>
        <v>0</v>
      </c>
      <c r="G245" s="139"/>
      <c r="H245" s="135">
        <f>+'KY_Res by Plant Acct-P29 (Reg)'!H246</f>
        <v>0</v>
      </c>
      <c r="I245" s="139"/>
      <c r="J245" s="135">
        <f>+'KY_Res by Plant Acct-P29 (Reg)'!J246</f>
        <v>0</v>
      </c>
      <c r="K245" s="139"/>
      <c r="L245" s="135">
        <f>+'KY_Res by Plant Acct-P29 (Reg)'!L246</f>
        <v>0</v>
      </c>
      <c r="M245" s="135"/>
      <c r="N245" s="135">
        <f>+'KY_Res by Plant Acct-P29 (Reg)'!N246</f>
        <v>0</v>
      </c>
      <c r="O245" s="135"/>
      <c r="P245" s="135">
        <f>+'KY_Res by Plant Acct-P29 (Reg)'!P246</f>
        <v>0</v>
      </c>
      <c r="Q245" s="135"/>
      <c r="R245" s="135">
        <f t="shared" si="12"/>
        <v>-1786723.53</v>
      </c>
    </row>
    <row r="246" spans="1:18" outlineLevel="1" x14ac:dyDescent="0.2">
      <c r="A246" s="22" t="s">
        <v>3127</v>
      </c>
      <c r="B246" s="135">
        <f>+'KY_Res by Plant Acct-P29 (Reg)'!B247</f>
        <v>0</v>
      </c>
      <c r="C246" s="135"/>
      <c r="D246" s="135">
        <f>+'KY_Res by Plant Acct-P29 (Reg)'!D247</f>
        <v>-1673674.31</v>
      </c>
      <c r="E246" s="135"/>
      <c r="F246" s="135">
        <f>+'KY_Res by Plant Acct-P29 (Reg)'!F247</f>
        <v>0</v>
      </c>
      <c r="G246" s="139"/>
      <c r="H246" s="135">
        <f>+'KY_Res by Plant Acct-P29 (Reg)'!H247</f>
        <v>0</v>
      </c>
      <c r="I246" s="139"/>
      <c r="J246" s="135">
        <f>+'KY_Res by Plant Acct-P29 (Reg)'!J247</f>
        <v>0</v>
      </c>
      <c r="K246" s="139"/>
      <c r="L246" s="135">
        <f>+'KY_Res by Plant Acct-P29 (Reg)'!L247</f>
        <v>0</v>
      </c>
      <c r="M246" s="135"/>
      <c r="N246" s="135">
        <f>+'KY_Res by Plant Acct-P29 (Reg)'!N247</f>
        <v>0</v>
      </c>
      <c r="O246" s="135"/>
      <c r="P246" s="135">
        <f>+'KY_Res by Plant Acct-P29 (Reg)'!P247</f>
        <v>0</v>
      </c>
      <c r="Q246" s="135"/>
      <c r="R246" s="135">
        <f>SUM(B246:P246)</f>
        <v>-1673674.31</v>
      </c>
    </row>
    <row r="247" spans="1:18" outlineLevel="1" x14ac:dyDescent="0.2">
      <c r="A247" s="22" t="s">
        <v>3128</v>
      </c>
      <c r="B247" s="135">
        <f>+'KY_Res by Plant Acct-P29 (Reg)'!B248</f>
        <v>0</v>
      </c>
      <c r="C247" s="135"/>
      <c r="D247" s="135">
        <f>+'KY_Res by Plant Acct-P29 (Reg)'!D248</f>
        <v>-5302.04</v>
      </c>
      <c r="E247" s="135"/>
      <c r="F247" s="135">
        <f>+'KY_Res by Plant Acct-P29 (Reg)'!F248</f>
        <v>0</v>
      </c>
      <c r="G247" s="139"/>
      <c r="H247" s="135">
        <f>+'KY_Res by Plant Acct-P29 (Reg)'!H248</f>
        <v>0</v>
      </c>
      <c r="I247" s="139"/>
      <c r="J247" s="135">
        <f>+'KY_Res by Plant Acct-P29 (Reg)'!J248</f>
        <v>0</v>
      </c>
      <c r="K247" s="139"/>
      <c r="L247" s="135">
        <f>+'KY_Res by Plant Acct-P29 (Reg)'!L248</f>
        <v>0</v>
      </c>
      <c r="M247" s="135"/>
      <c r="N247" s="135">
        <f>+'KY_Res by Plant Acct-P29 (Reg)'!N248</f>
        <v>0</v>
      </c>
      <c r="O247" s="135"/>
      <c r="P247" s="135">
        <f>+'KY_Res by Plant Acct-P29 (Reg)'!P248</f>
        <v>0</v>
      </c>
      <c r="Q247" s="135"/>
      <c r="R247" s="135">
        <f>SUM(B247:P247)</f>
        <v>-5302.04</v>
      </c>
    </row>
    <row r="248" spans="1:18" outlineLevel="1" x14ac:dyDescent="0.2">
      <c r="A248" s="22" t="s">
        <v>3129</v>
      </c>
      <c r="B248" s="135">
        <f>+'KY_Res by Plant Acct-P29 (Reg)'!B249</f>
        <v>-115151086.48999999</v>
      </c>
      <c r="C248" s="135"/>
      <c r="D248" s="135">
        <f>+'KY_Res by Plant Acct-P29 (Reg)'!D249</f>
        <v>-6812521.5300000003</v>
      </c>
      <c r="E248" s="135"/>
      <c r="F248" s="135">
        <f>+'KY_Res by Plant Acct-P29 (Reg)'!F249</f>
        <v>805495.08</v>
      </c>
      <c r="G248" s="139"/>
      <c r="H248" s="135">
        <f>+'KY_Res by Plant Acct-P29 (Reg)'!H249</f>
        <v>68750.44</v>
      </c>
      <c r="I248" s="139"/>
      <c r="J248" s="135">
        <f>+'KY_Res by Plant Acct-P29 (Reg)'!J249</f>
        <v>0</v>
      </c>
      <c r="K248" s="139"/>
      <c r="L248" s="135">
        <f>+'KY_Res by Plant Acct-P29 (Reg)'!L249</f>
        <v>290582.02</v>
      </c>
      <c r="M248" s="135"/>
      <c r="N248" s="135">
        <f>+'KY_Res by Plant Acct-P29 (Reg)'!N249</f>
        <v>-4050</v>
      </c>
      <c r="O248" s="135"/>
      <c r="P248" s="135">
        <f>+'KY_Res by Plant Acct-P29 (Reg)'!P249</f>
        <v>0</v>
      </c>
      <c r="Q248" s="135"/>
      <c r="R248" s="135">
        <f t="shared" si="12"/>
        <v>-120802830.48</v>
      </c>
    </row>
    <row r="249" spans="1:18" outlineLevel="1" x14ac:dyDescent="0.2">
      <c r="A249" s="22" t="s">
        <v>3130</v>
      </c>
      <c r="B249" s="135">
        <f>+'KY_Res by Plant Acct-P29 (Reg)'!B250</f>
        <v>0</v>
      </c>
      <c r="C249" s="135"/>
      <c r="D249" s="135">
        <f>+'KY_Res by Plant Acct-P29 (Reg)'!D250</f>
        <v>0</v>
      </c>
      <c r="E249" s="135"/>
      <c r="F249" s="135">
        <f>+'KY_Res by Plant Acct-P29 (Reg)'!F250</f>
        <v>0</v>
      </c>
      <c r="G249" s="139"/>
      <c r="H249" s="135">
        <f>+'KY_Res by Plant Acct-P29 (Reg)'!H250</f>
        <v>0</v>
      </c>
      <c r="I249" s="139"/>
      <c r="J249" s="135">
        <f>+'KY_Res by Plant Acct-P29 (Reg)'!J250</f>
        <v>0</v>
      </c>
      <c r="K249" s="139"/>
      <c r="L249" s="135">
        <f>+'KY_Res by Plant Acct-P29 (Reg)'!L250</f>
        <v>0</v>
      </c>
      <c r="M249" s="135"/>
      <c r="N249" s="135">
        <f>+'KY_Res by Plant Acct-P29 (Reg)'!N250</f>
        <v>0</v>
      </c>
      <c r="O249" s="135"/>
      <c r="P249" s="135">
        <f>+'KY_Res by Plant Acct-P29 (Reg)'!P250</f>
        <v>0</v>
      </c>
      <c r="Q249" s="135"/>
      <c r="R249" s="135">
        <f t="shared" si="12"/>
        <v>0</v>
      </c>
    </row>
    <row r="250" spans="1:18" outlineLevel="1" x14ac:dyDescent="0.2">
      <c r="A250" s="22" t="s">
        <v>3131</v>
      </c>
      <c r="B250" s="135">
        <f>+'KY_Res by Plant Acct-P29 (Reg)'!B251</f>
        <v>0</v>
      </c>
      <c r="C250" s="135"/>
      <c r="D250" s="135">
        <f>+'KY_Res by Plant Acct-P29 (Reg)'!D251</f>
        <v>0</v>
      </c>
      <c r="E250" s="135"/>
      <c r="F250" s="135">
        <f>+'KY_Res by Plant Acct-P29 (Reg)'!F251</f>
        <v>0</v>
      </c>
      <c r="G250" s="139"/>
      <c r="H250" s="135">
        <f>+'KY_Res by Plant Acct-P29 (Reg)'!H251</f>
        <v>0</v>
      </c>
      <c r="I250" s="139"/>
      <c r="J250" s="135">
        <f>+'KY_Res by Plant Acct-P29 (Reg)'!J251</f>
        <v>0</v>
      </c>
      <c r="K250" s="139"/>
      <c r="L250" s="135">
        <f>+'KY_Res by Plant Acct-P29 (Reg)'!L251</f>
        <v>0</v>
      </c>
      <c r="M250" s="135"/>
      <c r="N250" s="135">
        <f>+'KY_Res by Plant Acct-P29 (Reg)'!N251</f>
        <v>0</v>
      </c>
      <c r="O250" s="135"/>
      <c r="P250" s="135">
        <f>+'KY_Res by Plant Acct-P29 (Reg)'!P251</f>
        <v>0</v>
      </c>
      <c r="Q250" s="135"/>
      <c r="R250" s="135">
        <f t="shared" si="12"/>
        <v>0</v>
      </c>
    </row>
    <row r="251" spans="1:18" outlineLevel="1" x14ac:dyDescent="0.2">
      <c r="A251" s="22" t="s">
        <v>3132</v>
      </c>
      <c r="B251" s="135">
        <f>+'KY_Res by Plant Acct-P29 (Reg)'!B252</f>
        <v>-5036461.58</v>
      </c>
      <c r="C251" s="135"/>
      <c r="D251" s="135">
        <f>+'KY_Res by Plant Acct-P29 (Reg)'!D252</f>
        <v>-4798052.88</v>
      </c>
      <c r="E251" s="135"/>
      <c r="F251" s="135">
        <f>+'KY_Res by Plant Acct-P29 (Reg)'!F252</f>
        <v>0</v>
      </c>
      <c r="G251" s="139"/>
      <c r="H251" s="135">
        <f>+'KY_Res by Plant Acct-P29 (Reg)'!H252</f>
        <v>0</v>
      </c>
      <c r="I251" s="139"/>
      <c r="J251" s="135">
        <f>+'KY_Res by Plant Acct-P29 (Reg)'!J252</f>
        <v>0</v>
      </c>
      <c r="K251" s="139"/>
      <c r="L251" s="135">
        <f>+'KY_Res by Plant Acct-P29 (Reg)'!L252</f>
        <v>0</v>
      </c>
      <c r="M251" s="135"/>
      <c r="N251" s="135">
        <f>+'KY_Res by Plant Acct-P29 (Reg)'!N252</f>
        <v>0</v>
      </c>
      <c r="O251" s="135"/>
      <c r="P251" s="135">
        <f>+'KY_Res by Plant Acct-P29 (Reg)'!P252</f>
        <v>0</v>
      </c>
      <c r="Q251" s="135"/>
      <c r="R251" s="135">
        <f>SUM(B251:P251)</f>
        <v>-9834514.4600000009</v>
      </c>
    </row>
    <row r="252" spans="1:18" outlineLevel="1" x14ac:dyDescent="0.2">
      <c r="A252" s="22" t="s">
        <v>3133</v>
      </c>
      <c r="B252" s="135">
        <f>+'KY_Res by Plant Acct-P29 (Reg)'!B253</f>
        <v>-8987345.6600000169</v>
      </c>
      <c r="C252" s="135"/>
      <c r="D252" s="135">
        <f>+'KY_Res by Plant Acct-P29 (Reg)'!D253</f>
        <v>-805070.48</v>
      </c>
      <c r="E252" s="135"/>
      <c r="F252" s="135">
        <f>+'KY_Res by Plant Acct-P29 (Reg)'!F253</f>
        <v>0</v>
      </c>
      <c r="G252" s="139"/>
      <c r="H252" s="135">
        <f>+'KY_Res by Plant Acct-P29 (Reg)'!H253</f>
        <v>0</v>
      </c>
      <c r="I252" s="139"/>
      <c r="J252" s="135">
        <f>+'KY_Res by Plant Acct-P29 (Reg)'!J253</f>
        <v>0</v>
      </c>
      <c r="K252" s="139"/>
      <c r="L252" s="135">
        <f>+'KY_Res by Plant Acct-P29 (Reg)'!L253</f>
        <v>0</v>
      </c>
      <c r="M252" s="135"/>
      <c r="N252" s="135">
        <f>+'KY_Res by Plant Acct-P29 (Reg)'!N253</f>
        <v>0</v>
      </c>
      <c r="O252" s="135"/>
      <c r="P252" s="135">
        <f>+'KY_Res by Plant Acct-P29 (Reg)'!P253</f>
        <v>0</v>
      </c>
      <c r="Q252" s="135"/>
      <c r="R252" s="135">
        <f t="shared" si="12"/>
        <v>-9792416.1400000174</v>
      </c>
    </row>
    <row r="253" spans="1:18" outlineLevel="1" x14ac:dyDescent="0.2">
      <c r="A253" s="22" t="s">
        <v>3134</v>
      </c>
      <c r="B253" s="135">
        <f>+'KY_Res by Plant Acct-P29 (Reg)'!B254</f>
        <v>0</v>
      </c>
      <c r="C253" s="135"/>
      <c r="D253" s="135">
        <f>+'KY_Res by Plant Acct-P29 (Reg)'!D254</f>
        <v>0</v>
      </c>
      <c r="E253" s="135"/>
      <c r="F253" s="135">
        <f>+'KY_Res by Plant Acct-P29 (Reg)'!F254</f>
        <v>0</v>
      </c>
      <c r="G253" s="139"/>
      <c r="H253" s="135">
        <f>+'KY_Res by Plant Acct-P29 (Reg)'!H254</f>
        <v>0</v>
      </c>
      <c r="I253" s="139"/>
      <c r="J253" s="135">
        <f>+'KY_Res by Plant Acct-P29 (Reg)'!J254</f>
        <v>0</v>
      </c>
      <c r="K253" s="139"/>
      <c r="L253" s="135">
        <f>+'KY_Res by Plant Acct-P29 (Reg)'!L254</f>
        <v>0</v>
      </c>
      <c r="M253" s="135"/>
      <c r="N253" s="135">
        <f>+'KY_Res by Plant Acct-P29 (Reg)'!N254</f>
        <v>0</v>
      </c>
      <c r="O253" s="135"/>
      <c r="P253" s="135">
        <f>+'KY_Res by Plant Acct-P29 (Reg)'!P254</f>
        <v>0</v>
      </c>
      <c r="Q253" s="135"/>
      <c r="R253" s="135">
        <f t="shared" si="12"/>
        <v>0</v>
      </c>
    </row>
    <row r="254" spans="1:18" outlineLevel="1" x14ac:dyDescent="0.2">
      <c r="A254" s="124" t="s">
        <v>3135</v>
      </c>
      <c r="B254" s="135">
        <f>+'KY_Res by Plant Acct-P29 (Reg)'!B255</f>
        <v>-2337861.2600000002</v>
      </c>
      <c r="C254" s="135"/>
      <c r="D254" s="135">
        <f>+'KY_Res by Plant Acct-P29 (Reg)'!D255</f>
        <v>-2202747.84</v>
      </c>
      <c r="E254" s="135"/>
      <c r="F254" s="135">
        <f>+'KY_Res by Plant Acct-P29 (Reg)'!F255</f>
        <v>0</v>
      </c>
      <c r="G254" s="139"/>
      <c r="H254" s="135">
        <f>+'KY_Res by Plant Acct-P29 (Reg)'!H255</f>
        <v>0</v>
      </c>
      <c r="I254" s="139"/>
      <c r="J254" s="135">
        <f>+'KY_Res by Plant Acct-P29 (Reg)'!J255</f>
        <v>0</v>
      </c>
      <c r="K254" s="139"/>
      <c r="L254" s="135">
        <f>+'KY_Res by Plant Acct-P29 (Reg)'!L255</f>
        <v>0</v>
      </c>
      <c r="M254" s="135"/>
      <c r="N254" s="135">
        <f>+'KY_Res by Plant Acct-P29 (Reg)'!N255</f>
        <v>0</v>
      </c>
      <c r="O254" s="135"/>
      <c r="P254" s="135">
        <f>+'KY_Res by Plant Acct-P29 (Reg)'!P255</f>
        <v>0</v>
      </c>
      <c r="Q254" s="135"/>
      <c r="R254" s="135">
        <f>SUM(B254:P254)</f>
        <v>-4540609.0999999996</v>
      </c>
    </row>
    <row r="255" spans="1:18" outlineLevel="1" x14ac:dyDescent="0.2">
      <c r="A255" s="3" t="s">
        <v>3136</v>
      </c>
      <c r="B255" s="135">
        <f>+'KY_Res by Plant Acct-P29 (Reg)'!B256</f>
        <v>0</v>
      </c>
      <c r="C255" s="135"/>
      <c r="D255" s="135">
        <f>+'KY_Res by Plant Acct-P29 (Reg)'!D256</f>
        <v>0</v>
      </c>
      <c r="E255" s="135"/>
      <c r="F255" s="135">
        <f>+'KY_Res by Plant Acct-P29 (Reg)'!F256</f>
        <v>0</v>
      </c>
      <c r="G255" s="139"/>
      <c r="H255" s="135">
        <f>+'KY_Res by Plant Acct-P29 (Reg)'!H256</f>
        <v>0</v>
      </c>
      <c r="I255" s="139"/>
      <c r="J255" s="135">
        <f>+'KY_Res by Plant Acct-P29 (Reg)'!J256</f>
        <v>0</v>
      </c>
      <c r="K255" s="139"/>
      <c r="L255" s="135">
        <f>+'KY_Res by Plant Acct-P29 (Reg)'!L256</f>
        <v>0</v>
      </c>
      <c r="M255" s="135"/>
      <c r="N255" s="135">
        <f>+'KY_Res by Plant Acct-P29 (Reg)'!N256</f>
        <v>0</v>
      </c>
      <c r="O255" s="135"/>
      <c r="P255" s="135">
        <f>+'KY_Res by Plant Acct-P29 (Reg)'!P256</f>
        <v>0</v>
      </c>
      <c r="Q255" s="135"/>
      <c r="R255" s="135">
        <f t="shared" si="12"/>
        <v>0</v>
      </c>
    </row>
    <row r="256" spans="1:18" outlineLevel="1" x14ac:dyDescent="0.2">
      <c r="A256" s="3" t="s">
        <v>3137</v>
      </c>
      <c r="B256" s="135">
        <f>+'KY_Res by Plant Acct-P29 (Reg)'!B257</f>
        <v>-9.9999997764825821E-3</v>
      </c>
      <c r="C256" s="135"/>
      <c r="D256" s="135">
        <f>+'KY_Res by Plant Acct-P29 (Reg)'!D257</f>
        <v>0</v>
      </c>
      <c r="E256" s="135"/>
      <c r="F256" s="135">
        <f>+'KY_Res by Plant Acct-P29 (Reg)'!F257</f>
        <v>0</v>
      </c>
      <c r="G256" s="139"/>
      <c r="H256" s="135">
        <f>+'KY_Res by Plant Acct-P29 (Reg)'!H257</f>
        <v>0</v>
      </c>
      <c r="I256" s="139"/>
      <c r="J256" s="135">
        <f>+'KY_Res by Plant Acct-P29 (Reg)'!J257</f>
        <v>0</v>
      </c>
      <c r="K256" s="139"/>
      <c r="L256" s="135">
        <f>+'KY_Res by Plant Acct-P29 (Reg)'!L257</f>
        <v>0</v>
      </c>
      <c r="M256" s="135"/>
      <c r="N256" s="135">
        <f>+'KY_Res by Plant Acct-P29 (Reg)'!N257</f>
        <v>0</v>
      </c>
      <c r="O256" s="135"/>
      <c r="P256" s="135">
        <f>+'KY_Res by Plant Acct-P29 (Reg)'!P257</f>
        <v>0</v>
      </c>
      <c r="Q256" s="135"/>
      <c r="R256" s="135">
        <f t="shared" si="12"/>
        <v>-9.9999997764825821E-3</v>
      </c>
    </row>
    <row r="257" spans="1:21" outlineLevel="1" x14ac:dyDescent="0.2">
      <c r="A257" s="3" t="s">
        <v>3138</v>
      </c>
      <c r="B257" s="135">
        <f>+'KY_Res by Plant Acct-P29 (Reg)'!B258</f>
        <v>-9483323.9400000051</v>
      </c>
      <c r="C257" s="135"/>
      <c r="D257" s="135">
        <f>+'KY_Res by Plant Acct-P29 (Reg)'!D258</f>
        <v>-297957.96000000002</v>
      </c>
      <c r="E257" s="135"/>
      <c r="F257" s="135">
        <f>+'KY_Res by Plant Acct-P29 (Reg)'!F258</f>
        <v>0</v>
      </c>
      <c r="G257" s="139"/>
      <c r="H257" s="135">
        <f>+'KY_Res by Plant Acct-P29 (Reg)'!H258</f>
        <v>0</v>
      </c>
      <c r="I257" s="139"/>
      <c r="J257" s="135">
        <f>+'KY_Res by Plant Acct-P29 (Reg)'!J258</f>
        <v>0</v>
      </c>
      <c r="K257" s="139"/>
      <c r="L257" s="135">
        <f>+'KY_Res by Plant Acct-P29 (Reg)'!L258</f>
        <v>0</v>
      </c>
      <c r="M257" s="135"/>
      <c r="N257" s="135">
        <f>+'KY_Res by Plant Acct-P29 (Reg)'!N258</f>
        <v>0</v>
      </c>
      <c r="O257" s="135"/>
      <c r="P257" s="135">
        <f>+'KY_Res by Plant Acct-P29 (Reg)'!P258</f>
        <v>0</v>
      </c>
      <c r="Q257" s="135"/>
      <c r="R257" s="135">
        <f t="shared" si="12"/>
        <v>-9781281.900000006</v>
      </c>
    </row>
    <row r="258" spans="1:21" outlineLevel="1" x14ac:dyDescent="0.2">
      <c r="A258" s="3" t="s">
        <v>3139</v>
      </c>
      <c r="B258" s="135">
        <f>+'KY_Res by Plant Acct-P29 (Reg)'!B259</f>
        <v>14028945.000000004</v>
      </c>
      <c r="C258" s="135"/>
      <c r="D258" s="135">
        <f>+'KY_Res by Plant Acct-P29 (Reg)'!D259</f>
        <v>-7940.82</v>
      </c>
      <c r="E258" s="135"/>
      <c r="F258" s="135">
        <f>+'KY_Res by Plant Acct-P29 (Reg)'!F259</f>
        <v>0</v>
      </c>
      <c r="G258" s="139"/>
      <c r="H258" s="135">
        <f>+'KY_Res by Plant Acct-P29 (Reg)'!H259</f>
        <v>0</v>
      </c>
      <c r="I258" s="139"/>
      <c r="J258" s="135">
        <f>+'KY_Res by Plant Acct-P29 (Reg)'!J259</f>
        <v>0</v>
      </c>
      <c r="K258" s="139"/>
      <c r="L258" s="135">
        <f>+'KY_Res by Plant Acct-P29 (Reg)'!L259</f>
        <v>0</v>
      </c>
      <c r="M258" s="135"/>
      <c r="N258" s="135">
        <f>+'KY_Res by Plant Acct-P29 (Reg)'!N259</f>
        <v>0</v>
      </c>
      <c r="O258" s="135"/>
      <c r="P258" s="135">
        <f>+'KY_Res by Plant Acct-P29 (Reg)'!P259</f>
        <v>0</v>
      </c>
      <c r="Q258" s="135"/>
      <c r="R258" s="135">
        <f t="shared" si="12"/>
        <v>14021004.180000003</v>
      </c>
    </row>
    <row r="259" spans="1:21" outlineLevel="1" x14ac:dyDescent="0.2">
      <c r="A259" s="3" t="s">
        <v>3140</v>
      </c>
      <c r="B259" s="135">
        <f>+'KY_Res by Plant Acct-P29 (Reg)'!B260</f>
        <v>-39895160.860000014</v>
      </c>
      <c r="C259" s="135"/>
      <c r="D259" s="135">
        <f>+'KY_Res by Plant Acct-P29 (Reg)'!D260</f>
        <v>-689424.01</v>
      </c>
      <c r="E259" s="135"/>
      <c r="F259" s="135">
        <f>+'KY_Res by Plant Acct-P29 (Reg)'!F260</f>
        <v>58195113.700000003</v>
      </c>
      <c r="G259" s="139"/>
      <c r="H259" s="135">
        <f>+'KY_Res by Plant Acct-P29 (Reg)'!H260</f>
        <v>0</v>
      </c>
      <c r="I259" s="139"/>
      <c r="J259" s="135">
        <f>+'KY_Res by Plant Acct-P29 (Reg)'!J260</f>
        <v>0</v>
      </c>
      <c r="K259" s="139"/>
      <c r="L259" s="135">
        <f>+'KY_Res by Plant Acct-P29 (Reg)'!L260</f>
        <v>0</v>
      </c>
      <c r="M259" s="135"/>
      <c r="N259" s="135">
        <f>+'KY_Res by Plant Acct-P29 (Reg)'!N260</f>
        <v>0</v>
      </c>
      <c r="O259" s="135"/>
      <c r="P259" s="135">
        <f>+'KY_Res by Plant Acct-P29 (Reg)'!P260</f>
        <v>0</v>
      </c>
      <c r="Q259" s="135"/>
      <c r="R259" s="135">
        <f t="shared" si="12"/>
        <v>17610528.829999991</v>
      </c>
    </row>
    <row r="260" spans="1:21" outlineLevel="1" x14ac:dyDescent="0.2">
      <c r="A260" s="3" t="s">
        <v>3402</v>
      </c>
      <c r="B260" s="135">
        <f>+'KY_Res by Plant Acct-P29 (Reg)'!B261</f>
        <v>10.010000000000005</v>
      </c>
      <c r="C260" s="135"/>
      <c r="D260" s="135">
        <f>+'KY_Res by Plant Acct-P29 (Reg)'!D261</f>
        <v>0</v>
      </c>
      <c r="E260" s="135"/>
      <c r="F260" s="135">
        <f>+'KY_Res by Plant Acct-P29 (Reg)'!F261</f>
        <v>0</v>
      </c>
      <c r="G260" s="139"/>
      <c r="H260" s="135">
        <f>+'KY_Res by Plant Acct-P29 (Reg)'!H261</f>
        <v>0</v>
      </c>
      <c r="I260" s="139"/>
      <c r="J260" s="135">
        <f>+'KY_Res by Plant Acct-P29 (Reg)'!J261</f>
        <v>0</v>
      </c>
      <c r="K260" s="139"/>
      <c r="L260" s="135">
        <f>+'KY_Res by Plant Acct-P29 (Reg)'!L261</f>
        <v>0</v>
      </c>
      <c r="M260" s="135"/>
      <c r="N260" s="135">
        <f>+'KY_Res by Plant Acct-P29 (Reg)'!N261</f>
        <v>0</v>
      </c>
      <c r="O260" s="135"/>
      <c r="P260" s="135">
        <f>+'KY_Res by Plant Acct-P29 (Reg)'!P261</f>
        <v>0</v>
      </c>
      <c r="Q260" s="135"/>
      <c r="R260" s="135">
        <f t="shared" si="12"/>
        <v>10.010000000000005</v>
      </c>
    </row>
    <row r="261" spans="1:21" outlineLevel="1" x14ac:dyDescent="0.2">
      <c r="A261" s="3" t="s">
        <v>3142</v>
      </c>
      <c r="B261" s="135">
        <f>+'KY_Res by Plant Acct-P29 (Reg)'!B262</f>
        <v>-2283666.7299999995</v>
      </c>
      <c r="C261" s="135"/>
      <c r="D261" s="135">
        <f>+'KY_Res by Plant Acct-P29 (Reg)'!D262</f>
        <v>-373860.6</v>
      </c>
      <c r="E261" s="135"/>
      <c r="F261" s="135">
        <f>+'KY_Res by Plant Acct-P29 (Reg)'!F262</f>
        <v>16872.400000000001</v>
      </c>
      <c r="G261" s="139"/>
      <c r="H261" s="135">
        <f>+'KY_Res by Plant Acct-P29 (Reg)'!H262</f>
        <v>0</v>
      </c>
      <c r="I261" s="139"/>
      <c r="J261" s="135">
        <f>+'KY_Res by Plant Acct-P29 (Reg)'!J262</f>
        <v>0</v>
      </c>
      <c r="K261" s="139"/>
      <c r="L261" s="135">
        <f>+'KY_Res by Plant Acct-P29 (Reg)'!L262</f>
        <v>0</v>
      </c>
      <c r="M261" s="135"/>
      <c r="N261" s="135">
        <f>+'KY_Res by Plant Acct-P29 (Reg)'!N262</f>
        <v>0</v>
      </c>
      <c r="O261" s="135"/>
      <c r="P261" s="135">
        <f>+'KY_Res by Plant Acct-P29 (Reg)'!P262</f>
        <v>0</v>
      </c>
      <c r="Q261" s="135"/>
      <c r="R261" s="135">
        <f t="shared" si="12"/>
        <v>-2640654.9299999997</v>
      </c>
    </row>
    <row r="262" spans="1:21" outlineLevel="1" x14ac:dyDescent="0.2">
      <c r="A262" s="3" t="s">
        <v>3143</v>
      </c>
      <c r="B262" s="135">
        <f>+'KY_Res by Plant Acct-P29 (Reg)'!B263</f>
        <v>0</v>
      </c>
      <c r="C262" s="135"/>
      <c r="D262" s="135">
        <f>+'KY_Res by Plant Acct-P29 (Reg)'!D263</f>
        <v>0</v>
      </c>
      <c r="E262" s="135"/>
      <c r="F262" s="135">
        <f>+'KY_Res by Plant Acct-P29 (Reg)'!F263</f>
        <v>0</v>
      </c>
      <c r="G262" s="139"/>
      <c r="H262" s="135">
        <f>+'KY_Res by Plant Acct-P29 (Reg)'!H263</f>
        <v>0</v>
      </c>
      <c r="I262" s="139"/>
      <c r="J262" s="135">
        <f>+'KY_Res by Plant Acct-P29 (Reg)'!J263</f>
        <v>0</v>
      </c>
      <c r="K262" s="139"/>
      <c r="L262" s="135">
        <f>+'KY_Res by Plant Acct-P29 (Reg)'!L263</f>
        <v>0</v>
      </c>
      <c r="M262" s="135"/>
      <c r="N262" s="135">
        <f>+'KY_Res by Plant Acct-P29 (Reg)'!N263</f>
        <v>0</v>
      </c>
      <c r="O262" s="135"/>
      <c r="P262" s="135">
        <f>+'KY_Res by Plant Acct-P29 (Reg)'!P263</f>
        <v>0</v>
      </c>
      <c r="Q262" s="135"/>
      <c r="R262" s="135">
        <f t="shared" si="12"/>
        <v>0</v>
      </c>
    </row>
    <row r="263" spans="1:21" outlineLevel="1" x14ac:dyDescent="0.2">
      <c r="A263" s="3" t="s">
        <v>3144</v>
      </c>
      <c r="B263" s="135">
        <f>+'KY_Res by Plant Acct-P29 (Reg)'!B264</f>
        <v>-76538500.709999979</v>
      </c>
      <c r="C263" s="135"/>
      <c r="D263" s="135">
        <f>+'KY_Res by Plant Acct-P29 (Reg)'!D264</f>
        <v>-5646656.0999999996</v>
      </c>
      <c r="E263" s="135"/>
      <c r="F263" s="135">
        <f>+'KY_Res by Plant Acct-P29 (Reg)'!F264</f>
        <v>915543.69</v>
      </c>
      <c r="G263" s="139"/>
      <c r="H263" s="135">
        <f>+'KY_Res by Plant Acct-P29 (Reg)'!H264</f>
        <v>-2919918.53</v>
      </c>
      <c r="I263" s="139"/>
      <c r="J263" s="135">
        <f>+'KY_Res by Plant Acct-P29 (Reg)'!J264</f>
        <v>0</v>
      </c>
      <c r="K263" s="139"/>
      <c r="L263" s="135">
        <f>+'KY_Res by Plant Acct-P29 (Reg)'!L264</f>
        <v>500114.51</v>
      </c>
      <c r="M263" s="135"/>
      <c r="N263" s="135">
        <f>+'KY_Res by Plant Acct-P29 (Reg)'!N264</f>
        <v>0</v>
      </c>
      <c r="O263" s="135"/>
      <c r="P263" s="135">
        <f>+'KY_Res by Plant Acct-P29 (Reg)'!P264</f>
        <v>-110646.78000000003</v>
      </c>
      <c r="Q263" s="135"/>
      <c r="R263" s="135">
        <f t="shared" si="12"/>
        <v>-83800063.919999972</v>
      </c>
    </row>
    <row r="264" spans="1:21" outlineLevel="1" x14ac:dyDescent="0.2">
      <c r="A264" s="3" t="s">
        <v>3145</v>
      </c>
      <c r="B264" s="135">
        <f>+'KY_Res by Plant Acct-P29 (Reg)'!B265</f>
        <v>0</v>
      </c>
      <c r="C264" s="135"/>
      <c r="D264" s="135">
        <f>+'KY_Res by Plant Acct-P29 (Reg)'!D265</f>
        <v>0</v>
      </c>
      <c r="E264" s="135"/>
      <c r="F264" s="135">
        <f>+'KY_Res by Plant Acct-P29 (Reg)'!F265</f>
        <v>0</v>
      </c>
      <c r="G264" s="139"/>
      <c r="H264" s="135">
        <f>+'KY_Res by Plant Acct-P29 (Reg)'!H265</f>
        <v>0</v>
      </c>
      <c r="I264" s="139"/>
      <c r="J264" s="135">
        <f>+'KY_Res by Plant Acct-P29 (Reg)'!J265</f>
        <v>0</v>
      </c>
      <c r="K264" s="139"/>
      <c r="L264" s="135">
        <f>+'KY_Res by Plant Acct-P29 (Reg)'!L265</f>
        <v>0</v>
      </c>
      <c r="M264" s="135"/>
      <c r="N264" s="135">
        <f>+'KY_Res by Plant Acct-P29 (Reg)'!N265</f>
        <v>0</v>
      </c>
      <c r="O264" s="135"/>
      <c r="P264" s="135">
        <f>+'KY_Res by Plant Acct-P29 (Reg)'!P265</f>
        <v>0</v>
      </c>
      <c r="Q264" s="135"/>
      <c r="R264" s="135">
        <f t="shared" si="12"/>
        <v>0</v>
      </c>
    </row>
    <row r="265" spans="1:21" outlineLevel="1" x14ac:dyDescent="0.2">
      <c r="A265" s="3" t="s">
        <v>3146</v>
      </c>
      <c r="B265" s="135">
        <f>+'KY_Res by Plant Acct-P29 (Reg)'!B266</f>
        <v>-102738.73</v>
      </c>
      <c r="C265" s="135">
        <f>+'KY_Res by Plant Acct-P29 (Reg)'!C266</f>
        <v>0</v>
      </c>
      <c r="D265" s="135">
        <f>+'KY_Res by Plant Acct-P29 (Reg)'!D266</f>
        <v>-2493530.36</v>
      </c>
      <c r="E265" s="135">
        <f>+'KY_Res by Plant Acct-P29 (Reg)'!E266</f>
        <v>0</v>
      </c>
      <c r="F265" s="135">
        <f>+'KY_Res by Plant Acct-P29 (Reg)'!F266</f>
        <v>0</v>
      </c>
      <c r="G265" s="135">
        <f>+'KY_Res by Plant Acct-P29 (Reg)'!G266</f>
        <v>0</v>
      </c>
      <c r="H265" s="135">
        <f>+'KY_Res by Plant Acct-P29 (Reg)'!H266</f>
        <v>0</v>
      </c>
      <c r="I265" s="135">
        <f>+'KY_Res by Plant Acct-P29 (Reg)'!I266</f>
        <v>0</v>
      </c>
      <c r="J265" s="135">
        <f>+'KY_Res by Plant Acct-P29 (Reg)'!J266</f>
        <v>0</v>
      </c>
      <c r="K265" s="135">
        <f>+'KY_Res by Plant Acct-P29 (Reg)'!K266</f>
        <v>0</v>
      </c>
      <c r="L265" s="135">
        <f>+'KY_Res by Plant Acct-P29 (Reg)'!L266</f>
        <v>0</v>
      </c>
      <c r="M265" s="135">
        <f>+'KY_Res by Plant Acct-P29 (Reg)'!M266</f>
        <v>0</v>
      </c>
      <c r="N265" s="135">
        <f>+'KY_Res by Plant Acct-P29 (Reg)'!N266</f>
        <v>0</v>
      </c>
      <c r="O265" s="135">
        <f>+'KY_Res by Plant Acct-P29 (Reg)'!O266</f>
        <v>0</v>
      </c>
      <c r="P265" s="135">
        <f>+'KY_Res by Plant Acct-P29 (Reg)'!P266</f>
        <v>0</v>
      </c>
      <c r="Q265" s="135">
        <f>+'KY_Res by Plant Acct-P29 (Reg)'!Q266</f>
        <v>0</v>
      </c>
      <c r="R265" s="135">
        <f t="shared" si="12"/>
        <v>-2596269.09</v>
      </c>
    </row>
    <row r="266" spans="1:21" outlineLevel="1" x14ac:dyDescent="0.2">
      <c r="A266" s="3" t="s">
        <v>3147</v>
      </c>
      <c r="B266" s="135">
        <f>+'KY_Res by Plant Acct-P29 (Reg)'!B267</f>
        <v>-17903798.390000004</v>
      </c>
      <c r="C266" s="135"/>
      <c r="D266" s="135">
        <f>+'KY_Res by Plant Acct-P29 (Reg)'!D267</f>
        <v>-3076698.63</v>
      </c>
      <c r="E266" s="135"/>
      <c r="F266" s="135">
        <f>+'KY_Res by Plant Acct-P29 (Reg)'!F267</f>
        <v>194351.21</v>
      </c>
      <c r="G266" s="139"/>
      <c r="H266" s="135">
        <f>+'KY_Res by Plant Acct-P29 (Reg)'!H267</f>
        <v>-2570.3200000000002</v>
      </c>
      <c r="I266" s="139"/>
      <c r="J266" s="135">
        <f>+'KY_Res by Plant Acct-P29 (Reg)'!J267</f>
        <v>0</v>
      </c>
      <c r="K266" s="139"/>
      <c r="L266" s="135">
        <f>+'KY_Res by Plant Acct-P29 (Reg)'!L267</f>
        <v>8295.9700000000012</v>
      </c>
      <c r="M266" s="135"/>
      <c r="N266" s="135">
        <f>+'KY_Res by Plant Acct-P29 (Reg)'!N267</f>
        <v>0</v>
      </c>
      <c r="O266" s="135"/>
      <c r="P266" s="135">
        <f>+'KY_Res by Plant Acct-P29 (Reg)'!P267</f>
        <v>-2514.7200000000003</v>
      </c>
      <c r="Q266" s="135"/>
      <c r="R266" s="135">
        <f t="shared" si="12"/>
        <v>-20782934.880000003</v>
      </c>
    </row>
    <row r="267" spans="1:21" outlineLevel="1" x14ac:dyDescent="0.2">
      <c r="A267" s="3" t="s">
        <v>3148</v>
      </c>
      <c r="B267" s="135">
        <f>+'KY_Res by Plant Acct-P29 (Reg)'!B268</f>
        <v>0</v>
      </c>
      <c r="C267" s="135"/>
      <c r="D267" s="135">
        <f>+'KY_Res by Plant Acct-P29 (Reg)'!D268</f>
        <v>0</v>
      </c>
      <c r="E267" s="135"/>
      <c r="F267" s="135">
        <f>+'KY_Res by Plant Acct-P29 (Reg)'!F268</f>
        <v>0</v>
      </c>
      <c r="G267" s="139"/>
      <c r="H267" s="135">
        <f>+'KY_Res by Plant Acct-P29 (Reg)'!H268</f>
        <v>0</v>
      </c>
      <c r="I267" s="139"/>
      <c r="J267" s="135">
        <f>+'KY_Res by Plant Acct-P29 (Reg)'!J268</f>
        <v>0</v>
      </c>
      <c r="K267" s="139"/>
      <c r="L267" s="135">
        <f>+'KY_Res by Plant Acct-P29 (Reg)'!L268</f>
        <v>0</v>
      </c>
      <c r="M267" s="135"/>
      <c r="N267" s="135">
        <f>+'KY_Res by Plant Acct-P29 (Reg)'!N268</f>
        <v>0</v>
      </c>
      <c r="O267" s="135"/>
      <c r="P267" s="135">
        <f>+'KY_Res by Plant Acct-P29 (Reg)'!P268</f>
        <v>0</v>
      </c>
      <c r="Q267" s="135"/>
      <c r="R267" s="135">
        <f t="shared" si="12"/>
        <v>0</v>
      </c>
    </row>
    <row r="268" spans="1:21" outlineLevel="1" x14ac:dyDescent="0.2">
      <c r="A268" s="141" t="s">
        <v>3149</v>
      </c>
      <c r="B268" s="135">
        <f>+'KY_Res by Plant Acct-P29 (Reg)'!B269</f>
        <v>-1809902.56</v>
      </c>
      <c r="C268" s="135"/>
      <c r="D268" s="135">
        <f>+'KY_Res by Plant Acct-P29 (Reg)'!D269</f>
        <v>-526521.59999999998</v>
      </c>
      <c r="E268" s="135"/>
      <c r="F268" s="135">
        <f>+'KY_Res by Plant Acct-P29 (Reg)'!F269</f>
        <v>0</v>
      </c>
      <c r="G268" s="139"/>
      <c r="H268" s="135">
        <f>+'KY_Res by Plant Acct-P29 (Reg)'!H269</f>
        <v>0</v>
      </c>
      <c r="I268" s="139"/>
      <c r="J268" s="135">
        <f>+'KY_Res by Plant Acct-P29 (Reg)'!J269</f>
        <v>0</v>
      </c>
      <c r="K268" s="139"/>
      <c r="L268" s="135">
        <f>+'KY_Res by Plant Acct-P29 (Reg)'!L269</f>
        <v>0</v>
      </c>
      <c r="M268" s="135"/>
      <c r="N268" s="135">
        <f>+'KY_Res by Plant Acct-P29 (Reg)'!N269</f>
        <v>0</v>
      </c>
      <c r="O268" s="135"/>
      <c r="P268" s="135">
        <f>+'KY_Res by Plant Acct-P29 (Reg)'!P269</f>
        <v>0</v>
      </c>
      <c r="Q268" s="135"/>
      <c r="R268" s="135">
        <f t="shared" si="12"/>
        <v>-2336424.16</v>
      </c>
      <c r="S268" s="17"/>
      <c r="T268" s="15"/>
      <c r="U268" s="15"/>
    </row>
    <row r="269" spans="1:21" outlineLevel="1" x14ac:dyDescent="0.2">
      <c r="A269" s="22" t="s">
        <v>3150</v>
      </c>
      <c r="B269" s="135">
        <f>+'KY_Res by Plant Acct-P29 (Reg)'!B270</f>
        <v>-51028974.829999991</v>
      </c>
      <c r="C269" s="135"/>
      <c r="D269" s="135">
        <f>+'KY_Res by Plant Acct-P29 (Reg)'!D270</f>
        <v>-828665.06</v>
      </c>
      <c r="E269" s="135"/>
      <c r="F269" s="135">
        <f>+'KY_Res by Plant Acct-P29 (Reg)'!F270</f>
        <v>485877.28</v>
      </c>
      <c r="G269" s="139"/>
      <c r="H269" s="135">
        <f>+'KY_Res by Plant Acct-P29 (Reg)'!H270</f>
        <v>0</v>
      </c>
      <c r="I269" s="139"/>
      <c r="J269" s="135">
        <f>+'KY_Res by Plant Acct-P29 (Reg)'!J270</f>
        <v>0</v>
      </c>
      <c r="K269" s="139"/>
      <c r="L269" s="135">
        <f>+'KY_Res by Plant Acct-P29 (Reg)'!L270</f>
        <v>613292.49</v>
      </c>
      <c r="M269" s="135"/>
      <c r="N269" s="135">
        <f>+'KY_Res by Plant Acct-P29 (Reg)'!N270</f>
        <v>0</v>
      </c>
      <c r="O269" s="135"/>
      <c r="P269" s="135">
        <f>+'KY_Res by Plant Acct-P29 (Reg)'!P270</f>
        <v>-150693.15</v>
      </c>
      <c r="Q269" s="135"/>
      <c r="R269" s="135">
        <f t="shared" si="12"/>
        <v>-50909163.269999988</v>
      </c>
    </row>
    <row r="270" spans="1:21" outlineLevel="1" x14ac:dyDescent="0.2">
      <c r="A270" s="22" t="s">
        <v>3151</v>
      </c>
      <c r="B270" s="135">
        <f>+'KY_Res by Plant Acct-P29 (Reg)'!B271</f>
        <v>0</v>
      </c>
      <c r="C270" s="135"/>
      <c r="D270" s="135">
        <f>+'KY_Res by Plant Acct-P29 (Reg)'!D271</f>
        <v>0</v>
      </c>
      <c r="E270" s="135"/>
      <c r="F270" s="135">
        <f>+'KY_Res by Plant Acct-P29 (Reg)'!F271</f>
        <v>0</v>
      </c>
      <c r="G270" s="139"/>
      <c r="H270" s="135">
        <f>+'KY_Res by Plant Acct-P29 (Reg)'!H271</f>
        <v>0</v>
      </c>
      <c r="I270" s="139"/>
      <c r="J270" s="135">
        <f>+'KY_Res by Plant Acct-P29 (Reg)'!J271</f>
        <v>0</v>
      </c>
      <c r="K270" s="139"/>
      <c r="L270" s="135">
        <f>+'KY_Res by Plant Acct-P29 (Reg)'!L271</f>
        <v>0</v>
      </c>
      <c r="M270" s="135"/>
      <c r="N270" s="135">
        <f>+'KY_Res by Plant Acct-P29 (Reg)'!N271</f>
        <v>0</v>
      </c>
      <c r="O270" s="135"/>
      <c r="P270" s="135">
        <f>+'KY_Res by Plant Acct-P29 (Reg)'!P271</f>
        <v>0</v>
      </c>
      <c r="Q270" s="135"/>
      <c r="R270" s="135">
        <f t="shared" si="12"/>
        <v>0</v>
      </c>
    </row>
    <row r="271" spans="1:21" x14ac:dyDescent="0.2">
      <c r="A271" s="3" t="s">
        <v>3152</v>
      </c>
      <c r="B271" s="135">
        <f>SUM(B220:B270)</f>
        <v>-478331346.19999999</v>
      </c>
      <c r="C271" s="135"/>
      <c r="D271" s="135">
        <f>SUM(D220:D270)</f>
        <v>-49569877.06000001</v>
      </c>
      <c r="E271" s="135"/>
      <c r="F271" s="139">
        <f>SUM(F220:F270)</f>
        <v>71290646.280000001</v>
      </c>
      <c r="G271" s="139"/>
      <c r="H271" s="139">
        <f>SUM(H220:H270)</f>
        <v>-4465567.74</v>
      </c>
      <c r="I271" s="139"/>
      <c r="J271" s="139">
        <f>SUM(J220:J270)</f>
        <v>0</v>
      </c>
      <c r="K271" s="139"/>
      <c r="L271" s="139">
        <f>SUM(L220:L270)</f>
        <v>2545035.67</v>
      </c>
      <c r="M271" s="135"/>
      <c r="N271" s="135">
        <f>SUM(N220:N270)</f>
        <v>-417878.95</v>
      </c>
      <c r="O271" s="135"/>
      <c r="P271" s="135">
        <f>SUM(P220:P270)</f>
        <v>-263854.65000000002</v>
      </c>
      <c r="Q271" s="135"/>
      <c r="R271" s="135">
        <f>SUM(R220:R270)</f>
        <v>-459212842.65000004</v>
      </c>
    </row>
    <row r="272" spans="1:21" outlineLevel="1" x14ac:dyDescent="0.2">
      <c r="A272" s="3" t="s">
        <v>3153</v>
      </c>
      <c r="B272" s="135">
        <f>+'KY_Res by Plant Acct-P29 (Reg)'!B273</f>
        <v>0</v>
      </c>
      <c r="C272" s="135"/>
      <c r="D272" s="135">
        <f>+'KY_Res by Plant Acct-P29 (Reg)'!D273</f>
        <v>0</v>
      </c>
      <c r="E272" s="135"/>
      <c r="F272" s="135">
        <f>+'KY_Res by Plant Acct-P29 (Reg)'!F273</f>
        <v>0</v>
      </c>
      <c r="G272" s="139"/>
      <c r="H272" s="135">
        <f>+'KY_Res by Plant Acct-P29 (Reg)'!H273</f>
        <v>0</v>
      </c>
      <c r="I272" s="139"/>
      <c r="J272" s="135">
        <f>+'KY_Res by Plant Acct-P29 (Reg)'!J273</f>
        <v>0</v>
      </c>
      <c r="K272" s="139"/>
      <c r="L272" s="135">
        <f>+'KY_Res by Plant Acct-P29 (Reg)'!L273</f>
        <v>0</v>
      </c>
      <c r="M272" s="135"/>
      <c r="N272" s="135">
        <f>+'KY_Res by Plant Acct-P29 (Reg)'!N273</f>
        <v>0</v>
      </c>
      <c r="O272" s="135"/>
      <c r="P272" s="135">
        <f>+'KY_Res by Plant Acct-P29 (Reg)'!P273</f>
        <v>0</v>
      </c>
      <c r="Q272" s="135"/>
      <c r="R272" s="135">
        <f>SUM(B272:P272)</f>
        <v>0</v>
      </c>
    </row>
    <row r="273" spans="1:18" outlineLevel="1" x14ac:dyDescent="0.2">
      <c r="A273" s="3" t="s">
        <v>3154</v>
      </c>
      <c r="B273" s="135">
        <f>+'KY_Res by Plant Acct-P29 (Reg)'!B274</f>
        <v>0</v>
      </c>
      <c r="C273" s="135"/>
      <c r="D273" s="135">
        <f>+'KY_Res by Plant Acct-P29 (Reg)'!D274</f>
        <v>0</v>
      </c>
      <c r="E273" s="135"/>
      <c r="F273" s="135">
        <f>+'KY_Res by Plant Acct-P29 (Reg)'!F274</f>
        <v>0</v>
      </c>
      <c r="G273" s="139"/>
      <c r="H273" s="135">
        <f>+'KY_Res by Plant Acct-P29 (Reg)'!H274</f>
        <v>0</v>
      </c>
      <c r="I273" s="139"/>
      <c r="J273" s="135">
        <f>+'KY_Res by Plant Acct-P29 (Reg)'!J274</f>
        <v>0</v>
      </c>
      <c r="K273" s="139"/>
      <c r="L273" s="135">
        <f>+'KY_Res by Plant Acct-P29 (Reg)'!L274</f>
        <v>0</v>
      </c>
      <c r="M273" s="135"/>
      <c r="N273" s="135">
        <f>+'KY_Res by Plant Acct-P29 (Reg)'!N274</f>
        <v>0</v>
      </c>
      <c r="O273" s="135"/>
      <c r="P273" s="135">
        <f>+'KY_Res by Plant Acct-P29 (Reg)'!P274</f>
        <v>0</v>
      </c>
      <c r="Q273" s="135"/>
      <c r="R273" s="135">
        <f>SUM(B273:P273)</f>
        <v>0</v>
      </c>
    </row>
    <row r="274" spans="1:18" x14ac:dyDescent="0.2">
      <c r="A274" s="3" t="s">
        <v>3155</v>
      </c>
      <c r="B274" s="135">
        <f>SUM(B272:B273)</f>
        <v>0</v>
      </c>
      <c r="C274" s="135"/>
      <c r="D274" s="135">
        <f>SUM(D272:D273)</f>
        <v>0</v>
      </c>
      <c r="E274" s="135"/>
      <c r="F274" s="139">
        <f>SUM(F272:F273)</f>
        <v>0</v>
      </c>
      <c r="G274" s="139"/>
      <c r="H274" s="139">
        <f>SUM(H272:H273)</f>
        <v>0</v>
      </c>
      <c r="I274" s="139"/>
      <c r="J274" s="139">
        <f>SUM(J272:J273)</f>
        <v>0</v>
      </c>
      <c r="K274" s="139"/>
      <c r="L274" s="139">
        <f>SUM(L272:L273)</f>
        <v>0</v>
      </c>
      <c r="M274" s="135"/>
      <c r="N274" s="135">
        <f>SUM(N272:N273)</f>
        <v>0</v>
      </c>
      <c r="O274" s="135"/>
      <c r="P274" s="135">
        <f>SUM(P272:P273)</f>
        <v>0</v>
      </c>
      <c r="Q274" s="135"/>
      <c r="R274" s="135">
        <f>SUM(R272:R273)</f>
        <v>0</v>
      </c>
    </row>
    <row r="275" spans="1:18" outlineLevel="1" x14ac:dyDescent="0.2">
      <c r="A275" s="3" t="s">
        <v>3156</v>
      </c>
      <c r="B275" s="135">
        <f>+'KY_Res by Plant Acct-P29 (Reg)'!B276</f>
        <v>-7068.3199999999924</v>
      </c>
      <c r="C275" s="135"/>
      <c r="D275" s="135">
        <f>+'KY_Res by Plant Acct-P29 (Reg)'!D276</f>
        <v>0</v>
      </c>
      <c r="E275" s="135"/>
      <c r="F275" s="135">
        <f>+'KY_Res by Plant Acct-P29 (Reg)'!F276</f>
        <v>0</v>
      </c>
      <c r="G275" s="139"/>
      <c r="H275" s="135">
        <f>+'KY_Res by Plant Acct-P29 (Reg)'!H276</f>
        <v>0</v>
      </c>
      <c r="I275" s="139"/>
      <c r="J275" s="135">
        <f>+'KY_Res by Plant Acct-P29 (Reg)'!J276</f>
        <v>0</v>
      </c>
      <c r="K275" s="139"/>
      <c r="L275" s="135">
        <f>+'KY_Res by Plant Acct-P29 (Reg)'!L276</f>
        <v>0</v>
      </c>
      <c r="M275" s="135"/>
      <c r="N275" s="135">
        <f>+'KY_Res by Plant Acct-P29 (Reg)'!N276</f>
        <v>0</v>
      </c>
      <c r="O275" s="135"/>
      <c r="P275" s="135">
        <f>+'KY_Res by Plant Acct-P29 (Reg)'!P276</f>
        <v>0</v>
      </c>
      <c r="Q275" s="135"/>
      <c r="R275" s="135">
        <f t="shared" ref="R275:R287" si="13">SUM(B275:P275)</f>
        <v>-7068.3199999999924</v>
      </c>
    </row>
    <row r="276" spans="1:18" outlineLevel="1" x14ac:dyDescent="0.2">
      <c r="A276" s="3" t="s">
        <v>3157</v>
      </c>
      <c r="B276" s="135">
        <f>+'KY_Res by Plant Acct-P29 (Reg)'!B277</f>
        <v>-547.34000000000015</v>
      </c>
      <c r="C276" s="135"/>
      <c r="D276" s="135">
        <f>+'KY_Res by Plant Acct-P29 (Reg)'!D277</f>
        <v>0</v>
      </c>
      <c r="E276" s="135"/>
      <c r="F276" s="135">
        <f>+'KY_Res by Plant Acct-P29 (Reg)'!F277</f>
        <v>0</v>
      </c>
      <c r="G276" s="135"/>
      <c r="H276" s="135">
        <f>+'KY_Res by Plant Acct-P29 (Reg)'!H277</f>
        <v>0</v>
      </c>
      <c r="I276" s="135"/>
      <c r="J276" s="135">
        <f>+'KY_Res by Plant Acct-P29 (Reg)'!J277</f>
        <v>0</v>
      </c>
      <c r="K276" s="135"/>
      <c r="L276" s="135">
        <f>+'KY_Res by Plant Acct-P29 (Reg)'!L277</f>
        <v>0</v>
      </c>
      <c r="M276" s="135"/>
      <c r="N276" s="135">
        <f>+'KY_Res by Plant Acct-P29 (Reg)'!N277</f>
        <v>0</v>
      </c>
      <c r="O276" s="135"/>
      <c r="P276" s="135">
        <f>+'KY_Res by Plant Acct-P29 (Reg)'!P277</f>
        <v>0</v>
      </c>
      <c r="Q276" s="135"/>
      <c r="R276" s="135">
        <f t="shared" si="13"/>
        <v>-547.34000000000015</v>
      </c>
    </row>
    <row r="277" spans="1:18" outlineLevel="1" x14ac:dyDescent="0.2">
      <c r="A277" s="3" t="s">
        <v>3158</v>
      </c>
      <c r="B277" s="135">
        <f>+'KY_Res by Plant Acct-P29 (Reg)'!B278</f>
        <v>-32811.970000000059</v>
      </c>
      <c r="C277" s="135"/>
      <c r="D277" s="135">
        <f>+'KY_Res by Plant Acct-P29 (Reg)'!D278</f>
        <v>0</v>
      </c>
      <c r="E277" s="135"/>
      <c r="F277" s="135">
        <f>+'KY_Res by Plant Acct-P29 (Reg)'!F278</f>
        <v>0</v>
      </c>
      <c r="G277" s="135"/>
      <c r="H277" s="135">
        <f>+'KY_Res by Plant Acct-P29 (Reg)'!H278</f>
        <v>0</v>
      </c>
      <c r="I277" s="135"/>
      <c r="J277" s="135">
        <f>+'KY_Res by Plant Acct-P29 (Reg)'!J278</f>
        <v>0</v>
      </c>
      <c r="K277" s="135"/>
      <c r="L277" s="135">
        <f>+'KY_Res by Plant Acct-P29 (Reg)'!L278</f>
        <v>0</v>
      </c>
      <c r="M277" s="135"/>
      <c r="N277" s="135">
        <f>+'KY_Res by Plant Acct-P29 (Reg)'!N278</f>
        <v>0</v>
      </c>
      <c r="O277" s="135"/>
      <c r="P277" s="135">
        <f>+'KY_Res by Plant Acct-P29 (Reg)'!P278</f>
        <v>0</v>
      </c>
      <c r="Q277" s="135"/>
      <c r="R277" s="135">
        <f t="shared" si="13"/>
        <v>-32811.970000000059</v>
      </c>
    </row>
    <row r="278" spans="1:18" outlineLevel="1" x14ac:dyDescent="0.2">
      <c r="A278" s="3" t="s">
        <v>3159</v>
      </c>
      <c r="B278" s="135">
        <f>+'KY_Res by Plant Acct-P29 (Reg)'!B279</f>
        <v>-337718.79999999888</v>
      </c>
      <c r="C278" s="135"/>
      <c r="D278" s="135">
        <f>+'KY_Res by Plant Acct-P29 (Reg)'!D279</f>
        <v>-16160.16</v>
      </c>
      <c r="E278" s="135"/>
      <c r="F278" s="135">
        <f>+'KY_Res by Plant Acct-P29 (Reg)'!F279</f>
        <v>0</v>
      </c>
      <c r="G278" s="135"/>
      <c r="H278" s="135">
        <f>+'KY_Res by Plant Acct-P29 (Reg)'!H279</f>
        <v>0</v>
      </c>
      <c r="I278" s="135"/>
      <c r="J278" s="135">
        <f>+'KY_Res by Plant Acct-P29 (Reg)'!J279</f>
        <v>0</v>
      </c>
      <c r="K278" s="135"/>
      <c r="L278" s="135">
        <f>+'KY_Res by Plant Acct-P29 (Reg)'!L279</f>
        <v>0</v>
      </c>
      <c r="M278" s="135"/>
      <c r="N278" s="135">
        <f>+'KY_Res by Plant Acct-P29 (Reg)'!N279</f>
        <v>0</v>
      </c>
      <c r="O278" s="135"/>
      <c r="P278" s="135">
        <f>+'KY_Res by Plant Acct-P29 (Reg)'!P279</f>
        <v>0</v>
      </c>
      <c r="Q278" s="135"/>
      <c r="R278" s="135">
        <f t="shared" si="13"/>
        <v>-353878.95999999886</v>
      </c>
    </row>
    <row r="279" spans="1:18" outlineLevel="1" x14ac:dyDescent="0.2">
      <c r="A279" s="3" t="s">
        <v>3160</v>
      </c>
      <c r="B279" s="135">
        <f>+'KY_Res by Plant Acct-P29 (Reg)'!B280</f>
        <v>-624487.90999999992</v>
      </c>
      <c r="C279" s="135"/>
      <c r="D279" s="135">
        <f>+'KY_Res by Plant Acct-P29 (Reg)'!D280</f>
        <v>-669.24</v>
      </c>
      <c r="E279" s="135"/>
      <c r="F279" s="135">
        <f>+'KY_Res by Plant Acct-P29 (Reg)'!F280</f>
        <v>0</v>
      </c>
      <c r="G279" s="135"/>
      <c r="H279" s="135">
        <f>+'KY_Res by Plant Acct-P29 (Reg)'!H280</f>
        <v>0</v>
      </c>
      <c r="I279" s="135"/>
      <c r="J279" s="135">
        <f>+'KY_Res by Plant Acct-P29 (Reg)'!J280</f>
        <v>0</v>
      </c>
      <c r="K279" s="135"/>
      <c r="L279" s="135">
        <f>+'KY_Res by Plant Acct-P29 (Reg)'!L280</f>
        <v>0</v>
      </c>
      <c r="M279" s="135"/>
      <c r="N279" s="135">
        <f>+'KY_Res by Plant Acct-P29 (Reg)'!N280</f>
        <v>0</v>
      </c>
      <c r="O279" s="135"/>
      <c r="P279" s="135">
        <f>+'KY_Res by Plant Acct-P29 (Reg)'!P280</f>
        <v>0</v>
      </c>
      <c r="Q279" s="135"/>
      <c r="R279" s="135">
        <f t="shared" si="13"/>
        <v>-625157.14999999991</v>
      </c>
    </row>
    <row r="280" spans="1:18" outlineLevel="1" x14ac:dyDescent="0.2">
      <c r="A280" s="3" t="s">
        <v>3161</v>
      </c>
      <c r="B280" s="135">
        <f>+'KY_Res by Plant Acct-P29 (Reg)'!B281</f>
        <v>950801.37000000104</v>
      </c>
      <c r="C280" s="135"/>
      <c r="D280" s="135">
        <f>+'KY_Res by Plant Acct-P29 (Reg)'!D281</f>
        <v>0</v>
      </c>
      <c r="E280" s="135"/>
      <c r="F280" s="135">
        <f>+'KY_Res by Plant Acct-P29 (Reg)'!F281</f>
        <v>0</v>
      </c>
      <c r="G280" s="135"/>
      <c r="H280" s="135">
        <f>+'KY_Res by Plant Acct-P29 (Reg)'!H281</f>
        <v>0</v>
      </c>
      <c r="I280" s="135"/>
      <c r="J280" s="135">
        <f>+'KY_Res by Plant Acct-P29 (Reg)'!J281</f>
        <v>0</v>
      </c>
      <c r="K280" s="135"/>
      <c r="L280" s="135">
        <f>+'KY_Res by Plant Acct-P29 (Reg)'!L281</f>
        <v>0</v>
      </c>
      <c r="M280" s="135"/>
      <c r="N280" s="135">
        <f>+'KY_Res by Plant Acct-P29 (Reg)'!N281</f>
        <v>0</v>
      </c>
      <c r="O280" s="135"/>
      <c r="P280" s="135">
        <f>+'KY_Res by Plant Acct-P29 (Reg)'!P281</f>
        <v>0</v>
      </c>
      <c r="Q280" s="135"/>
      <c r="R280" s="135">
        <f t="shared" si="13"/>
        <v>950801.37000000104</v>
      </c>
    </row>
    <row r="281" spans="1:18" outlineLevel="1" x14ac:dyDescent="0.2">
      <c r="A281" s="3" t="s">
        <v>3162</v>
      </c>
      <c r="B281" s="135">
        <f>+'KY_Res by Plant Acct-P29 (Reg)'!B282</f>
        <v>-11553369.209999997</v>
      </c>
      <c r="C281" s="135"/>
      <c r="D281" s="135">
        <f>+'KY_Res by Plant Acct-P29 (Reg)'!D282</f>
        <v>-268289.88</v>
      </c>
      <c r="E281" s="135"/>
      <c r="F281" s="135">
        <f>+'KY_Res by Plant Acct-P29 (Reg)'!F282</f>
        <v>-2947.63</v>
      </c>
      <c r="G281" s="135"/>
      <c r="H281" s="135">
        <f>+'KY_Res by Plant Acct-P29 (Reg)'!H282</f>
        <v>0</v>
      </c>
      <c r="I281" s="135"/>
      <c r="J281" s="135">
        <f>+'KY_Res by Plant Acct-P29 (Reg)'!J282</f>
        <v>0</v>
      </c>
      <c r="K281" s="135"/>
      <c r="L281" s="135">
        <f>+'KY_Res by Plant Acct-P29 (Reg)'!L282</f>
        <v>416789.78</v>
      </c>
      <c r="M281" s="135"/>
      <c r="N281" s="135">
        <f>+'KY_Res by Plant Acct-P29 (Reg)'!N282</f>
        <v>0</v>
      </c>
      <c r="O281" s="135"/>
      <c r="P281" s="135">
        <f>+'KY_Res by Plant Acct-P29 (Reg)'!P282</f>
        <v>0</v>
      </c>
      <c r="Q281" s="135"/>
      <c r="R281" s="135">
        <f t="shared" si="13"/>
        <v>-11407816.939999999</v>
      </c>
    </row>
    <row r="282" spans="1:18" outlineLevel="1" x14ac:dyDescent="0.2">
      <c r="A282" s="3" t="s">
        <v>3163</v>
      </c>
      <c r="B282" s="135">
        <f>+'KY_Res by Plant Acct-P29 (Reg)'!B283</f>
        <v>-10812289.210000001</v>
      </c>
      <c r="C282" s="135"/>
      <c r="D282" s="135">
        <f>+'KY_Res by Plant Acct-P29 (Reg)'!D283</f>
        <v>-419064</v>
      </c>
      <c r="E282" s="135"/>
      <c r="F282" s="135">
        <f>+'KY_Res by Plant Acct-P29 (Reg)'!F283</f>
        <v>-1119923.17</v>
      </c>
      <c r="G282" s="135"/>
      <c r="H282" s="135">
        <f>+'KY_Res by Plant Acct-P29 (Reg)'!H283</f>
        <v>0</v>
      </c>
      <c r="I282" s="135"/>
      <c r="J282" s="135">
        <f>+'KY_Res by Plant Acct-P29 (Reg)'!J283</f>
        <v>0</v>
      </c>
      <c r="K282" s="135"/>
      <c r="L282" s="135">
        <f>+'KY_Res by Plant Acct-P29 (Reg)'!L283</f>
        <v>391649.79</v>
      </c>
      <c r="M282" s="135"/>
      <c r="N282" s="135">
        <f>+'KY_Res by Plant Acct-P29 (Reg)'!N283</f>
        <v>0</v>
      </c>
      <c r="O282" s="135"/>
      <c r="P282" s="135">
        <f>+'KY_Res by Plant Acct-P29 (Reg)'!P283</f>
        <v>0</v>
      </c>
      <c r="Q282" s="135"/>
      <c r="R282" s="135">
        <f t="shared" si="13"/>
        <v>-11959626.590000002</v>
      </c>
    </row>
    <row r="283" spans="1:18" outlineLevel="1" x14ac:dyDescent="0.2">
      <c r="A283" s="3" t="s">
        <v>3164</v>
      </c>
      <c r="B283" s="135">
        <f>+'KY_Res by Plant Acct-P29 (Reg)'!B284</f>
        <v>-19997929.310000002</v>
      </c>
      <c r="C283" s="135"/>
      <c r="D283" s="135">
        <f>+'KY_Res by Plant Acct-P29 (Reg)'!D284</f>
        <v>-670178.74</v>
      </c>
      <c r="E283" s="135"/>
      <c r="F283" s="135">
        <f>+'KY_Res by Plant Acct-P29 (Reg)'!F284</f>
        <v>868740.82</v>
      </c>
      <c r="G283" s="135"/>
      <c r="H283" s="135">
        <f>+'KY_Res by Plant Acct-P29 (Reg)'!H284</f>
        <v>0</v>
      </c>
      <c r="I283" s="135"/>
      <c r="J283" s="135">
        <f>+'KY_Res by Plant Acct-P29 (Reg)'!J284</f>
        <v>0</v>
      </c>
      <c r="K283" s="135"/>
      <c r="L283" s="135">
        <f>+'KY_Res by Plant Acct-P29 (Reg)'!L284</f>
        <v>10358</v>
      </c>
      <c r="M283" s="135"/>
      <c r="N283" s="135">
        <f>+'KY_Res by Plant Acct-P29 (Reg)'!N284</f>
        <v>0</v>
      </c>
      <c r="O283" s="135"/>
      <c r="P283" s="135">
        <f>+'KY_Res by Plant Acct-P29 (Reg)'!P284</f>
        <v>0</v>
      </c>
      <c r="Q283" s="135"/>
      <c r="R283" s="135">
        <f t="shared" si="13"/>
        <v>-19789009.23</v>
      </c>
    </row>
    <row r="284" spans="1:18" outlineLevel="1" x14ac:dyDescent="0.2">
      <c r="A284" s="3" t="s">
        <v>3165</v>
      </c>
      <c r="B284" s="135">
        <f>+'KY_Res by Plant Acct-P29 (Reg)'!B285</f>
        <v>-23338020.170000006</v>
      </c>
      <c r="C284" s="135"/>
      <c r="D284" s="135">
        <f>+'KY_Res by Plant Acct-P29 (Reg)'!D285</f>
        <v>-863146.93</v>
      </c>
      <c r="E284" s="135"/>
      <c r="F284" s="135">
        <f>+'KY_Res by Plant Acct-P29 (Reg)'!F285</f>
        <v>165635.96</v>
      </c>
      <c r="G284" s="135"/>
      <c r="H284" s="135">
        <f>+'KY_Res by Plant Acct-P29 (Reg)'!H285</f>
        <v>0</v>
      </c>
      <c r="I284" s="135"/>
      <c r="J284" s="135">
        <f>+'KY_Res by Plant Acct-P29 (Reg)'!J285</f>
        <v>0</v>
      </c>
      <c r="K284" s="135"/>
      <c r="L284" s="135">
        <f>+'KY_Res by Plant Acct-P29 (Reg)'!L285</f>
        <v>133541.04</v>
      </c>
      <c r="M284" s="135"/>
      <c r="N284" s="135">
        <f>+'KY_Res by Plant Acct-P29 (Reg)'!N285</f>
        <v>0</v>
      </c>
      <c r="O284" s="135"/>
      <c r="P284" s="135">
        <f>+'KY_Res by Plant Acct-P29 (Reg)'!P285</f>
        <v>0</v>
      </c>
      <c r="Q284" s="135"/>
      <c r="R284" s="135">
        <f t="shared" si="13"/>
        <v>-23901990.100000005</v>
      </c>
    </row>
    <row r="285" spans="1:18" outlineLevel="1" x14ac:dyDescent="0.2">
      <c r="A285" s="3" t="s">
        <v>3166</v>
      </c>
      <c r="B285" s="135">
        <f>+'KY_Res by Plant Acct-P29 (Reg)'!B286</f>
        <v>15976.370000000112</v>
      </c>
      <c r="C285" s="135"/>
      <c r="D285" s="135">
        <f>+'KY_Res by Plant Acct-P29 (Reg)'!D286</f>
        <v>0</v>
      </c>
      <c r="E285" s="135"/>
      <c r="F285" s="135">
        <f>+'KY_Res by Plant Acct-P29 (Reg)'!F286</f>
        <v>0</v>
      </c>
      <c r="G285" s="139"/>
      <c r="H285" s="135">
        <f>+'KY_Res by Plant Acct-P29 (Reg)'!H286</f>
        <v>0</v>
      </c>
      <c r="I285" s="139"/>
      <c r="J285" s="135">
        <f>+'KY_Res by Plant Acct-P29 (Reg)'!J286</f>
        <v>0</v>
      </c>
      <c r="K285" s="139"/>
      <c r="L285" s="135">
        <f>+'KY_Res by Plant Acct-P29 (Reg)'!L286</f>
        <v>0</v>
      </c>
      <c r="M285" s="135"/>
      <c r="N285" s="135">
        <f>+'KY_Res by Plant Acct-P29 (Reg)'!N286</f>
        <v>0</v>
      </c>
      <c r="O285" s="135"/>
      <c r="P285" s="135">
        <f>+'KY_Res by Plant Acct-P29 (Reg)'!P286</f>
        <v>0</v>
      </c>
      <c r="Q285" s="135"/>
      <c r="R285" s="135">
        <f t="shared" si="13"/>
        <v>15976.370000000112</v>
      </c>
    </row>
    <row r="286" spans="1:18" outlineLevel="1" x14ac:dyDescent="0.2">
      <c r="A286" s="3" t="s">
        <v>3167</v>
      </c>
      <c r="B286" s="135">
        <f>+'KY_Res by Plant Acct-P29 (Reg)'!B287</f>
        <v>-28195875.580000006</v>
      </c>
      <c r="C286" s="135"/>
      <c r="D286" s="135">
        <f>+'KY_Res by Plant Acct-P29 (Reg)'!D287</f>
        <v>-1254547.74</v>
      </c>
      <c r="E286" s="135"/>
      <c r="F286" s="135">
        <f>+'KY_Res by Plant Acct-P29 (Reg)'!F287</f>
        <v>3551.37</v>
      </c>
      <c r="G286" s="135"/>
      <c r="H286" s="135">
        <f>+'KY_Res by Plant Acct-P29 (Reg)'!H287</f>
        <v>0</v>
      </c>
      <c r="I286" s="135"/>
      <c r="J286" s="135">
        <f>+'KY_Res by Plant Acct-P29 (Reg)'!J287</f>
        <v>0</v>
      </c>
      <c r="K286" s="135"/>
      <c r="L286" s="135">
        <f>+'KY_Res by Plant Acct-P29 (Reg)'!L287</f>
        <v>895.26</v>
      </c>
      <c r="M286" s="135"/>
      <c r="N286" s="135">
        <f>+'KY_Res by Plant Acct-P29 (Reg)'!N287</f>
        <v>0</v>
      </c>
      <c r="O286" s="135"/>
      <c r="P286" s="135">
        <f>+'KY_Res by Plant Acct-P29 (Reg)'!P287</f>
        <v>-219.98</v>
      </c>
      <c r="Q286" s="135"/>
      <c r="R286" s="135">
        <f t="shared" si="13"/>
        <v>-29446196.670000002</v>
      </c>
    </row>
    <row r="287" spans="1:18" outlineLevel="1" x14ac:dyDescent="0.2">
      <c r="A287" s="3" t="s">
        <v>3168</v>
      </c>
      <c r="B287" s="135">
        <f>+'KY_Res by Plant Acct-P29 (Reg)'!B288</f>
        <v>-4434453.75</v>
      </c>
      <c r="C287" s="135"/>
      <c r="D287" s="135">
        <f>+'KY_Res by Plant Acct-P29 (Reg)'!D288</f>
        <v>-460673.71</v>
      </c>
      <c r="E287" s="135"/>
      <c r="F287" s="135">
        <f>+'KY_Res by Plant Acct-P29 (Reg)'!F288</f>
        <v>41720.61</v>
      </c>
      <c r="G287" s="135"/>
      <c r="H287" s="135">
        <f>+'KY_Res by Plant Acct-P29 (Reg)'!H288</f>
        <v>0</v>
      </c>
      <c r="I287" s="135"/>
      <c r="J287" s="135">
        <f>+'KY_Res by Plant Acct-P29 (Reg)'!J288</f>
        <v>0</v>
      </c>
      <c r="K287" s="135"/>
      <c r="L287" s="135">
        <f>+'KY_Res by Plant Acct-P29 (Reg)'!L288</f>
        <v>0</v>
      </c>
      <c r="M287" s="135"/>
      <c r="N287" s="135">
        <f>+'KY_Res by Plant Acct-P29 (Reg)'!N288</f>
        <v>0</v>
      </c>
      <c r="O287" s="135"/>
      <c r="P287" s="135">
        <f>+'KY_Res by Plant Acct-P29 (Reg)'!P288</f>
        <v>0</v>
      </c>
      <c r="Q287" s="135"/>
      <c r="R287" s="135">
        <f t="shared" si="13"/>
        <v>-4853406.8499999996</v>
      </c>
    </row>
    <row r="288" spans="1:18" x14ac:dyDescent="0.2">
      <c r="A288" s="3" t="s">
        <v>3169</v>
      </c>
      <c r="B288" s="135">
        <f>SUM(B275:B287)</f>
        <v>-98367793.830000013</v>
      </c>
      <c r="C288" s="135"/>
      <c r="D288" s="135">
        <f>SUM(D275:D287)</f>
        <v>-3952730.4000000004</v>
      </c>
      <c r="E288" s="135"/>
      <c r="F288" s="139">
        <f>SUM(F275:F287)</f>
        <v>-43222.039999999877</v>
      </c>
      <c r="G288" s="139"/>
      <c r="H288" s="139">
        <f>SUM(H275:H287)</f>
        <v>0</v>
      </c>
      <c r="I288" s="139"/>
      <c r="J288" s="139">
        <f>SUM(J275:J287)</f>
        <v>0</v>
      </c>
      <c r="K288" s="139"/>
      <c r="L288" s="139">
        <f>SUM(L275:L287)</f>
        <v>953233.87000000011</v>
      </c>
      <c r="M288" s="139"/>
      <c r="N288" s="135">
        <f>SUM(N275:N287)</f>
        <v>0</v>
      </c>
      <c r="O288" s="135"/>
      <c r="P288" s="135">
        <f>SUM(P275:P287)</f>
        <v>-219.98</v>
      </c>
      <c r="Q288" s="135"/>
      <c r="R288" s="135">
        <f>SUM(R275:R287)</f>
        <v>-101410732.38</v>
      </c>
    </row>
    <row r="289" spans="1:18" ht="12" customHeight="1" outlineLevel="1" x14ac:dyDescent="0.2">
      <c r="A289" s="3" t="s">
        <v>3170</v>
      </c>
      <c r="B289" s="135">
        <f>+'KY_Res by Plant Acct-P29 (Reg)'!B290</f>
        <v>-452526.56000000006</v>
      </c>
      <c r="C289" s="135"/>
      <c r="D289" s="135">
        <f>+'KY_Res by Plant Acct-P29 (Reg)'!D290</f>
        <v>0</v>
      </c>
      <c r="E289" s="135"/>
      <c r="F289" s="135">
        <f>+'KY_Res by Plant Acct-P29 (Reg)'!F290</f>
        <v>0</v>
      </c>
      <c r="G289" s="139"/>
      <c r="H289" s="135">
        <f>+'KY_Res by Plant Acct-P29 (Reg)'!H290</f>
        <v>0</v>
      </c>
      <c r="I289" s="139"/>
      <c r="J289" s="135">
        <f>+'KY_Res by Plant Acct-P29 (Reg)'!J290</f>
        <v>0</v>
      </c>
      <c r="K289" s="139"/>
      <c r="L289" s="135">
        <f>+'KY_Res by Plant Acct-P29 (Reg)'!L290</f>
        <v>0</v>
      </c>
      <c r="M289" s="139"/>
      <c r="N289" s="135">
        <f>+'KY_Res by Plant Acct-P29 (Reg)'!N290</f>
        <v>0</v>
      </c>
      <c r="O289" s="135"/>
      <c r="P289" s="135">
        <f>+'KY_Res by Plant Acct-P29 (Reg)'!P290</f>
        <v>0</v>
      </c>
      <c r="Q289" s="135"/>
      <c r="R289" s="135">
        <f t="shared" ref="R289:R347" si="14">SUM(B289:P289)</f>
        <v>-452526.56000000006</v>
      </c>
    </row>
    <row r="290" spans="1:18" ht="12" customHeight="1" outlineLevel="1" x14ac:dyDescent="0.2">
      <c r="A290" s="3" t="s">
        <v>3171</v>
      </c>
      <c r="B290" s="135">
        <f>+'KY_Res by Plant Acct-P29 (Reg)'!B291</f>
        <v>-13527.170000000158</v>
      </c>
      <c r="C290" s="135"/>
      <c r="D290" s="135">
        <f>+'KY_Res by Plant Acct-P29 (Reg)'!D291</f>
        <v>0</v>
      </c>
      <c r="E290" s="135"/>
      <c r="F290" s="135">
        <f>+'KY_Res by Plant Acct-P29 (Reg)'!F291</f>
        <v>0</v>
      </c>
      <c r="G290" s="139"/>
      <c r="H290" s="135">
        <f>+'KY_Res by Plant Acct-P29 (Reg)'!H291</f>
        <v>0</v>
      </c>
      <c r="I290" s="139"/>
      <c r="J290" s="135">
        <f>+'KY_Res by Plant Acct-P29 (Reg)'!J291</f>
        <v>0</v>
      </c>
      <c r="K290" s="139"/>
      <c r="L290" s="135">
        <f>+'KY_Res by Plant Acct-P29 (Reg)'!L291</f>
        <v>0</v>
      </c>
      <c r="M290" s="139"/>
      <c r="N290" s="135">
        <f>+'KY_Res by Plant Acct-P29 (Reg)'!N291</f>
        <v>0</v>
      </c>
      <c r="O290" s="135"/>
      <c r="P290" s="135">
        <f>+'KY_Res by Plant Acct-P29 (Reg)'!P291</f>
        <v>0</v>
      </c>
      <c r="Q290" s="135"/>
      <c r="R290" s="135">
        <f t="shared" si="14"/>
        <v>-13527.170000000158</v>
      </c>
    </row>
    <row r="291" spans="1:18" ht="12" customHeight="1" outlineLevel="1" x14ac:dyDescent="0.2">
      <c r="A291" s="3" t="s">
        <v>3172</v>
      </c>
      <c r="B291" s="135">
        <f>+'KY_Res by Plant Acct-P29 (Reg)'!B292</f>
        <v>-56033.130000000121</v>
      </c>
      <c r="C291" s="135"/>
      <c r="D291" s="135">
        <f>+'KY_Res by Plant Acct-P29 (Reg)'!D292</f>
        <v>0</v>
      </c>
      <c r="E291" s="135"/>
      <c r="F291" s="135">
        <f>+'KY_Res by Plant Acct-P29 (Reg)'!F292</f>
        <v>0</v>
      </c>
      <c r="G291" s="139"/>
      <c r="H291" s="135">
        <f>+'KY_Res by Plant Acct-P29 (Reg)'!H292</f>
        <v>0</v>
      </c>
      <c r="I291" s="139"/>
      <c r="J291" s="135">
        <f>+'KY_Res by Plant Acct-P29 (Reg)'!J292</f>
        <v>0</v>
      </c>
      <c r="K291" s="139"/>
      <c r="L291" s="135">
        <f>+'KY_Res by Plant Acct-P29 (Reg)'!L292</f>
        <v>0</v>
      </c>
      <c r="M291" s="139"/>
      <c r="N291" s="135">
        <f>+'KY_Res by Plant Acct-P29 (Reg)'!N292</f>
        <v>0</v>
      </c>
      <c r="O291" s="135"/>
      <c r="P291" s="135">
        <f>+'KY_Res by Plant Acct-P29 (Reg)'!P292</f>
        <v>0</v>
      </c>
      <c r="Q291" s="135"/>
      <c r="R291" s="135">
        <f t="shared" si="14"/>
        <v>-56033.130000000121</v>
      </c>
    </row>
    <row r="292" spans="1:18" ht="12" customHeight="1" outlineLevel="1" x14ac:dyDescent="0.2">
      <c r="A292" s="3" t="s">
        <v>3173</v>
      </c>
      <c r="B292" s="135">
        <f>+'KY_Res by Plant Acct-P29 (Reg)'!B293</f>
        <v>-618589.01000000071</v>
      </c>
      <c r="C292" s="135"/>
      <c r="D292" s="135">
        <f>+'KY_Res by Plant Acct-P29 (Reg)'!D293</f>
        <v>0</v>
      </c>
      <c r="E292" s="135"/>
      <c r="F292" s="135">
        <f>+'KY_Res by Plant Acct-P29 (Reg)'!F293</f>
        <v>0</v>
      </c>
      <c r="G292" s="139"/>
      <c r="H292" s="135">
        <f>+'KY_Res by Plant Acct-P29 (Reg)'!H293</f>
        <v>0</v>
      </c>
      <c r="I292" s="139"/>
      <c r="J292" s="135">
        <f>+'KY_Res by Plant Acct-P29 (Reg)'!J293</f>
        <v>0</v>
      </c>
      <c r="K292" s="139"/>
      <c r="L292" s="135">
        <f>+'KY_Res by Plant Acct-P29 (Reg)'!L293</f>
        <v>0</v>
      </c>
      <c r="M292" s="139"/>
      <c r="N292" s="135">
        <f>+'KY_Res by Plant Acct-P29 (Reg)'!N293</f>
        <v>0</v>
      </c>
      <c r="O292" s="135"/>
      <c r="P292" s="135">
        <f>+'KY_Res by Plant Acct-P29 (Reg)'!P293</f>
        <v>0</v>
      </c>
      <c r="Q292" s="135"/>
      <c r="R292" s="135">
        <f t="shared" si="14"/>
        <v>-618589.01000000071</v>
      </c>
    </row>
    <row r="293" spans="1:18" ht="12" customHeight="1" outlineLevel="1" x14ac:dyDescent="0.2">
      <c r="A293" s="3" t="s">
        <v>3174</v>
      </c>
      <c r="B293" s="135">
        <f>+'KY_Res by Plant Acct-P29 (Reg)'!B294</f>
        <v>-112734.56000000052</v>
      </c>
      <c r="C293" s="135"/>
      <c r="D293" s="135">
        <f>+'KY_Res by Plant Acct-P29 (Reg)'!D294</f>
        <v>0</v>
      </c>
      <c r="E293" s="135"/>
      <c r="F293" s="135">
        <f>+'KY_Res by Plant Acct-P29 (Reg)'!F294</f>
        <v>0</v>
      </c>
      <c r="G293" s="139"/>
      <c r="H293" s="135">
        <f>+'KY_Res by Plant Acct-P29 (Reg)'!H294</f>
        <v>0</v>
      </c>
      <c r="I293" s="139"/>
      <c r="J293" s="135">
        <f>+'KY_Res by Plant Acct-P29 (Reg)'!J294</f>
        <v>0</v>
      </c>
      <c r="K293" s="139"/>
      <c r="L293" s="135">
        <f>+'KY_Res by Plant Acct-P29 (Reg)'!L294</f>
        <v>0</v>
      </c>
      <c r="M293" s="139"/>
      <c r="N293" s="135">
        <f>+'KY_Res by Plant Acct-P29 (Reg)'!N294</f>
        <v>0</v>
      </c>
      <c r="O293" s="135"/>
      <c r="P293" s="135">
        <f>+'KY_Res by Plant Acct-P29 (Reg)'!P294</f>
        <v>0</v>
      </c>
      <c r="Q293" s="135"/>
      <c r="R293" s="135">
        <f t="shared" si="14"/>
        <v>-112734.56000000052</v>
      </c>
    </row>
    <row r="294" spans="1:18" ht="12" customHeight="1" outlineLevel="1" x14ac:dyDescent="0.2">
      <c r="A294" s="3" t="s">
        <v>3175</v>
      </c>
      <c r="B294" s="135">
        <f>+'KY_Res by Plant Acct-P29 (Reg)'!B295</f>
        <v>1576281.3599999994</v>
      </c>
      <c r="C294" s="135"/>
      <c r="D294" s="135">
        <f>+'KY_Res by Plant Acct-P29 (Reg)'!D295</f>
        <v>0</v>
      </c>
      <c r="E294" s="135"/>
      <c r="F294" s="135">
        <f>+'KY_Res by Plant Acct-P29 (Reg)'!F295</f>
        <v>0</v>
      </c>
      <c r="G294" s="139"/>
      <c r="H294" s="135">
        <f>+'KY_Res by Plant Acct-P29 (Reg)'!H295</f>
        <v>0</v>
      </c>
      <c r="I294" s="139"/>
      <c r="J294" s="135">
        <f>+'KY_Res by Plant Acct-P29 (Reg)'!J295</f>
        <v>0</v>
      </c>
      <c r="K294" s="139"/>
      <c r="L294" s="135">
        <f>+'KY_Res by Plant Acct-P29 (Reg)'!L295</f>
        <v>0</v>
      </c>
      <c r="M294" s="139"/>
      <c r="N294" s="135">
        <f>+'KY_Res by Plant Acct-P29 (Reg)'!N295</f>
        <v>0</v>
      </c>
      <c r="O294" s="135"/>
      <c r="P294" s="135">
        <f>+'KY_Res by Plant Acct-P29 (Reg)'!P295</f>
        <v>0</v>
      </c>
      <c r="Q294" s="135"/>
      <c r="R294" s="135">
        <f t="shared" si="14"/>
        <v>1576281.3599999994</v>
      </c>
    </row>
    <row r="295" spans="1:18" ht="12" customHeight="1" outlineLevel="1" x14ac:dyDescent="0.2">
      <c r="A295" s="3" t="s">
        <v>3176</v>
      </c>
      <c r="B295" s="135">
        <f>+'KY_Res by Plant Acct-P29 (Reg)'!B296</f>
        <v>-188196.74999999953</v>
      </c>
      <c r="C295" s="135"/>
      <c r="D295" s="135">
        <f>+'KY_Res by Plant Acct-P29 (Reg)'!D296</f>
        <v>0</v>
      </c>
      <c r="E295" s="135"/>
      <c r="F295" s="135">
        <f>+'KY_Res by Plant Acct-P29 (Reg)'!F296</f>
        <v>0</v>
      </c>
      <c r="G295" s="139"/>
      <c r="H295" s="135">
        <f>+'KY_Res by Plant Acct-P29 (Reg)'!H296</f>
        <v>0</v>
      </c>
      <c r="I295" s="139"/>
      <c r="J295" s="135">
        <f>+'KY_Res by Plant Acct-P29 (Reg)'!J296</f>
        <v>0</v>
      </c>
      <c r="K295" s="139"/>
      <c r="L295" s="135">
        <f>+'KY_Res by Plant Acct-P29 (Reg)'!L296</f>
        <v>0</v>
      </c>
      <c r="M295" s="139"/>
      <c r="N295" s="135">
        <f>+'KY_Res by Plant Acct-P29 (Reg)'!N296</f>
        <v>0</v>
      </c>
      <c r="O295" s="135"/>
      <c r="P295" s="135">
        <f>+'KY_Res by Plant Acct-P29 (Reg)'!P296</f>
        <v>0</v>
      </c>
      <c r="Q295" s="135"/>
      <c r="R295" s="135">
        <f t="shared" si="14"/>
        <v>-188196.74999999953</v>
      </c>
    </row>
    <row r="296" spans="1:18" ht="12" customHeight="1" outlineLevel="1" x14ac:dyDescent="0.2">
      <c r="A296" s="3" t="s">
        <v>3177</v>
      </c>
      <c r="B296" s="135">
        <f>+'KY_Res by Plant Acct-P29 (Reg)'!B297</f>
        <v>1203143.5100000016</v>
      </c>
      <c r="C296" s="135"/>
      <c r="D296" s="135">
        <f>+'KY_Res by Plant Acct-P29 (Reg)'!D297</f>
        <v>0</v>
      </c>
      <c r="E296" s="135"/>
      <c r="F296" s="135">
        <f>+'KY_Res by Plant Acct-P29 (Reg)'!F297</f>
        <v>0</v>
      </c>
      <c r="G296" s="139"/>
      <c r="H296" s="135">
        <f>+'KY_Res by Plant Acct-P29 (Reg)'!H297</f>
        <v>0</v>
      </c>
      <c r="I296" s="139"/>
      <c r="J296" s="135">
        <f>+'KY_Res by Plant Acct-P29 (Reg)'!J297</f>
        <v>0</v>
      </c>
      <c r="K296" s="139"/>
      <c r="L296" s="135">
        <f>+'KY_Res by Plant Acct-P29 (Reg)'!L297</f>
        <v>0</v>
      </c>
      <c r="M296" s="139"/>
      <c r="N296" s="135">
        <f>+'KY_Res by Plant Acct-P29 (Reg)'!N297</f>
        <v>0</v>
      </c>
      <c r="O296" s="135"/>
      <c r="P296" s="135">
        <f>+'KY_Res by Plant Acct-P29 (Reg)'!P297</f>
        <v>0</v>
      </c>
      <c r="Q296" s="135"/>
      <c r="R296" s="135">
        <f t="shared" si="14"/>
        <v>1203143.5100000016</v>
      </c>
    </row>
    <row r="297" spans="1:18" ht="12" customHeight="1" outlineLevel="1" x14ac:dyDescent="0.2">
      <c r="A297" s="3" t="s">
        <v>3178</v>
      </c>
      <c r="B297" s="135">
        <f>+'KY_Res by Plant Acct-P29 (Reg)'!B298</f>
        <v>-163224.86000000034</v>
      </c>
      <c r="C297" s="135"/>
      <c r="D297" s="135">
        <f>+'KY_Res by Plant Acct-P29 (Reg)'!D298</f>
        <v>0</v>
      </c>
      <c r="E297" s="135"/>
      <c r="F297" s="135">
        <f>+'KY_Res by Plant Acct-P29 (Reg)'!F298</f>
        <v>0</v>
      </c>
      <c r="G297" s="139"/>
      <c r="H297" s="135">
        <f>+'KY_Res by Plant Acct-P29 (Reg)'!H298</f>
        <v>0</v>
      </c>
      <c r="I297" s="139"/>
      <c r="J297" s="135">
        <f>+'KY_Res by Plant Acct-P29 (Reg)'!J298</f>
        <v>0</v>
      </c>
      <c r="K297" s="139"/>
      <c r="L297" s="135">
        <f>+'KY_Res by Plant Acct-P29 (Reg)'!L298</f>
        <v>0</v>
      </c>
      <c r="M297" s="139"/>
      <c r="N297" s="135">
        <f>+'KY_Res by Plant Acct-P29 (Reg)'!N298</f>
        <v>0</v>
      </c>
      <c r="O297" s="135"/>
      <c r="P297" s="135">
        <f>+'KY_Res by Plant Acct-P29 (Reg)'!P298</f>
        <v>0</v>
      </c>
      <c r="Q297" s="135"/>
      <c r="R297" s="135">
        <f t="shared" si="14"/>
        <v>-163224.86000000034</v>
      </c>
    </row>
    <row r="298" spans="1:18" ht="12" customHeight="1" outlineLevel="1" x14ac:dyDescent="0.2">
      <c r="A298" s="3" t="s">
        <v>3179</v>
      </c>
      <c r="B298" s="135">
        <f>+'KY_Res by Plant Acct-P29 (Reg)'!B299</f>
        <v>-46592.28</v>
      </c>
      <c r="C298" s="135"/>
      <c r="D298" s="135">
        <f>+'KY_Res by Plant Acct-P29 (Reg)'!D299</f>
        <v>-76585.649999999994</v>
      </c>
      <c r="E298" s="135"/>
      <c r="F298" s="135">
        <f>+'KY_Res by Plant Acct-P29 (Reg)'!F299</f>
        <v>0</v>
      </c>
      <c r="G298" s="139"/>
      <c r="H298" s="135">
        <f>+'KY_Res by Plant Acct-P29 (Reg)'!H299</f>
        <v>0</v>
      </c>
      <c r="I298" s="139"/>
      <c r="J298" s="135">
        <f>+'KY_Res by Plant Acct-P29 (Reg)'!J299</f>
        <v>0</v>
      </c>
      <c r="K298" s="139"/>
      <c r="L298" s="135">
        <f>+'KY_Res by Plant Acct-P29 (Reg)'!L299</f>
        <v>0</v>
      </c>
      <c r="M298" s="139"/>
      <c r="N298" s="135">
        <f>+'KY_Res by Plant Acct-P29 (Reg)'!N299</f>
        <v>0</v>
      </c>
      <c r="O298" s="135"/>
      <c r="P298" s="135">
        <f>+'KY_Res by Plant Acct-P29 (Reg)'!P299</f>
        <v>0</v>
      </c>
      <c r="Q298" s="135"/>
      <c r="R298" s="135">
        <f>SUM(B298:P298)</f>
        <v>-123177.93</v>
      </c>
    </row>
    <row r="299" spans="1:18" ht="12.75" customHeight="1" outlineLevel="1" x14ac:dyDescent="0.2">
      <c r="A299" s="3" t="s">
        <v>3180</v>
      </c>
      <c r="B299" s="135">
        <f>+'KY_Res by Plant Acct-P29 (Reg)'!B300</f>
        <v>-4159.01</v>
      </c>
      <c r="C299" s="135"/>
      <c r="D299" s="135">
        <f>+'KY_Res by Plant Acct-P29 (Reg)'!D300</f>
        <v>-6836.38</v>
      </c>
      <c r="E299" s="135"/>
      <c r="F299" s="135">
        <f>+'KY_Res by Plant Acct-P29 (Reg)'!F300</f>
        <v>0</v>
      </c>
      <c r="G299" s="139"/>
      <c r="H299" s="135">
        <f>+'KY_Res by Plant Acct-P29 (Reg)'!H300</f>
        <v>0</v>
      </c>
      <c r="I299" s="139"/>
      <c r="J299" s="135">
        <f>+'KY_Res by Plant Acct-P29 (Reg)'!J300</f>
        <v>0</v>
      </c>
      <c r="K299" s="139"/>
      <c r="L299" s="135">
        <f>+'KY_Res by Plant Acct-P29 (Reg)'!L300</f>
        <v>0</v>
      </c>
      <c r="M299" s="139"/>
      <c r="N299" s="135">
        <f>+'KY_Res by Plant Acct-P29 (Reg)'!N300</f>
        <v>0</v>
      </c>
      <c r="O299" s="135"/>
      <c r="P299" s="135">
        <f>+'KY_Res by Plant Acct-P29 (Reg)'!P300</f>
        <v>0</v>
      </c>
      <c r="Q299" s="135"/>
      <c r="R299" s="135">
        <f>SUM(B299:P299)</f>
        <v>-10995.39</v>
      </c>
    </row>
    <row r="300" spans="1:18" ht="12.75" customHeight="1" outlineLevel="1" x14ac:dyDescent="0.2">
      <c r="A300" s="22" t="s">
        <v>3181</v>
      </c>
      <c r="B300" s="135">
        <f>+'KY_Res by Plant Acct-P29 (Reg)'!B301</f>
        <v>0</v>
      </c>
      <c r="C300" s="135"/>
      <c r="D300" s="135">
        <f>+'KY_Res by Plant Acct-P29 (Reg)'!D301</f>
        <v>-55081.94</v>
      </c>
      <c r="E300" s="135"/>
      <c r="F300" s="135">
        <f>+'KY_Res by Plant Acct-P29 (Reg)'!F301</f>
        <v>0</v>
      </c>
      <c r="G300" s="139"/>
      <c r="H300" s="135">
        <f>+'KY_Res by Plant Acct-P29 (Reg)'!H301</f>
        <v>0</v>
      </c>
      <c r="I300" s="139"/>
      <c r="J300" s="135">
        <f>+'KY_Res by Plant Acct-P29 (Reg)'!J301</f>
        <v>0</v>
      </c>
      <c r="K300" s="139"/>
      <c r="L300" s="135">
        <f>+'KY_Res by Plant Acct-P29 (Reg)'!L301</f>
        <v>0</v>
      </c>
      <c r="M300" s="139"/>
      <c r="N300" s="135">
        <f>+'KY_Res by Plant Acct-P29 (Reg)'!N301</f>
        <v>0</v>
      </c>
      <c r="O300" s="135"/>
      <c r="P300" s="135">
        <f>+'KY_Res by Plant Acct-P29 (Reg)'!P301</f>
        <v>0</v>
      </c>
      <c r="Q300" s="135"/>
      <c r="R300" s="135">
        <f>SUM(B300:P300)</f>
        <v>-55081.94</v>
      </c>
    </row>
    <row r="301" spans="1:18" ht="12" customHeight="1" outlineLevel="1" x14ac:dyDescent="0.2">
      <c r="A301" s="3" t="s">
        <v>3182</v>
      </c>
      <c r="B301" s="135">
        <f>+'KY_Res by Plant Acct-P29 (Reg)'!B302</f>
        <v>-35169.03</v>
      </c>
      <c r="C301" s="135"/>
      <c r="D301" s="135">
        <f>+'KY_Res by Plant Acct-P29 (Reg)'!D302</f>
        <v>-34490.519999999997</v>
      </c>
      <c r="E301" s="135"/>
      <c r="F301" s="135">
        <f>+'KY_Res by Plant Acct-P29 (Reg)'!F302</f>
        <v>0</v>
      </c>
      <c r="G301" s="139"/>
      <c r="H301" s="135">
        <f>+'KY_Res by Plant Acct-P29 (Reg)'!H302</f>
        <v>0</v>
      </c>
      <c r="I301" s="139"/>
      <c r="J301" s="135">
        <f>+'KY_Res by Plant Acct-P29 (Reg)'!J302</f>
        <v>0</v>
      </c>
      <c r="K301" s="139"/>
      <c r="L301" s="135">
        <f>+'KY_Res by Plant Acct-P29 (Reg)'!L302</f>
        <v>0</v>
      </c>
      <c r="M301" s="139"/>
      <c r="N301" s="135">
        <f>+'KY_Res by Plant Acct-P29 (Reg)'!N302</f>
        <v>0</v>
      </c>
      <c r="O301" s="135"/>
      <c r="P301" s="135">
        <f>+'KY_Res by Plant Acct-P29 (Reg)'!P302</f>
        <v>0</v>
      </c>
      <c r="Q301" s="135"/>
      <c r="R301" s="135">
        <f>SUM(B301:P301)</f>
        <v>-69659.549999999988</v>
      </c>
    </row>
    <row r="302" spans="1:18" ht="12" customHeight="1" outlineLevel="1" x14ac:dyDescent="0.2">
      <c r="A302" s="3" t="s">
        <v>3183</v>
      </c>
      <c r="B302" s="135">
        <f>+'KY_Res by Plant Acct-P29 (Reg)'!B303</f>
        <v>-10346384.310000001</v>
      </c>
      <c r="C302" s="135"/>
      <c r="D302" s="135">
        <f>+'KY_Res by Plant Acct-P29 (Reg)'!D303</f>
        <v>-419561.12</v>
      </c>
      <c r="E302" s="135"/>
      <c r="F302" s="135">
        <f>+'KY_Res by Plant Acct-P29 (Reg)'!F303</f>
        <v>16691.150000000001</v>
      </c>
      <c r="G302" s="139"/>
      <c r="H302" s="135">
        <f>+'KY_Res by Plant Acct-P29 (Reg)'!H303</f>
        <v>0</v>
      </c>
      <c r="I302" s="139"/>
      <c r="J302" s="135">
        <f>+'KY_Res by Plant Acct-P29 (Reg)'!J303</f>
        <v>0</v>
      </c>
      <c r="K302" s="139"/>
      <c r="L302" s="135">
        <f>+'KY_Res by Plant Acct-P29 (Reg)'!L303</f>
        <v>0</v>
      </c>
      <c r="M302" s="139"/>
      <c r="N302" s="135">
        <f>+'KY_Res by Plant Acct-P29 (Reg)'!N303</f>
        <v>0</v>
      </c>
      <c r="O302" s="135"/>
      <c r="P302" s="135">
        <f>+'KY_Res by Plant Acct-P29 (Reg)'!P303</f>
        <v>0</v>
      </c>
      <c r="Q302" s="135"/>
      <c r="R302" s="135">
        <f t="shared" si="14"/>
        <v>-10749254.279999999</v>
      </c>
    </row>
    <row r="303" spans="1:18" ht="12" customHeight="1" outlineLevel="1" x14ac:dyDescent="0.2">
      <c r="A303" s="3" t="s">
        <v>3184</v>
      </c>
      <c r="B303" s="135">
        <f>+'KY_Res by Plant Acct-P29 (Reg)'!B304</f>
        <v>-552798.97000000067</v>
      </c>
      <c r="C303" s="135"/>
      <c r="D303" s="135">
        <f>+'KY_Res by Plant Acct-P29 (Reg)'!D304</f>
        <v>0</v>
      </c>
      <c r="E303" s="135"/>
      <c r="F303" s="135">
        <f>+'KY_Res by Plant Acct-P29 (Reg)'!F304</f>
        <v>0</v>
      </c>
      <c r="G303" s="139"/>
      <c r="H303" s="135">
        <f>+'KY_Res by Plant Acct-P29 (Reg)'!H304</f>
        <v>0</v>
      </c>
      <c r="I303" s="139"/>
      <c r="J303" s="135">
        <f>+'KY_Res by Plant Acct-P29 (Reg)'!J304</f>
        <v>0</v>
      </c>
      <c r="K303" s="139"/>
      <c r="L303" s="135">
        <f>+'KY_Res by Plant Acct-P29 (Reg)'!L304</f>
        <v>0</v>
      </c>
      <c r="M303" s="139"/>
      <c r="N303" s="135">
        <f>+'KY_Res by Plant Acct-P29 (Reg)'!N304</f>
        <v>0</v>
      </c>
      <c r="O303" s="135"/>
      <c r="P303" s="135">
        <f>+'KY_Res by Plant Acct-P29 (Reg)'!P304</f>
        <v>0</v>
      </c>
      <c r="Q303" s="135"/>
      <c r="R303" s="135">
        <f t="shared" si="14"/>
        <v>-552798.97000000067</v>
      </c>
    </row>
    <row r="304" spans="1:18" ht="12" customHeight="1" outlineLevel="1" x14ac:dyDescent="0.2">
      <c r="A304" s="3" t="s">
        <v>3185</v>
      </c>
      <c r="B304" s="135">
        <f>+'KY_Res by Plant Acct-P29 (Reg)'!B305</f>
        <v>-6038210.8099999987</v>
      </c>
      <c r="C304" s="135"/>
      <c r="D304" s="135">
        <f>+'KY_Res by Plant Acct-P29 (Reg)'!D305</f>
        <v>-187595.66</v>
      </c>
      <c r="E304" s="135"/>
      <c r="F304" s="135">
        <f>+'KY_Res by Plant Acct-P29 (Reg)'!F305</f>
        <v>10096.51</v>
      </c>
      <c r="G304" s="139"/>
      <c r="H304" s="135">
        <f>+'KY_Res by Plant Acct-P29 (Reg)'!H305</f>
        <v>0</v>
      </c>
      <c r="I304" s="139"/>
      <c r="J304" s="135">
        <f>+'KY_Res by Plant Acct-P29 (Reg)'!J305</f>
        <v>0</v>
      </c>
      <c r="K304" s="139"/>
      <c r="L304" s="135">
        <f>+'KY_Res by Plant Acct-P29 (Reg)'!L305</f>
        <v>0</v>
      </c>
      <c r="M304" s="139"/>
      <c r="N304" s="135">
        <f>+'KY_Res by Plant Acct-P29 (Reg)'!N305</f>
        <v>0</v>
      </c>
      <c r="O304" s="135"/>
      <c r="P304" s="135">
        <f>+'KY_Res by Plant Acct-P29 (Reg)'!P305</f>
        <v>0</v>
      </c>
      <c r="Q304" s="135"/>
      <c r="R304" s="135">
        <f t="shared" si="14"/>
        <v>-6215709.959999999</v>
      </c>
    </row>
    <row r="305" spans="1:18" ht="12" customHeight="1" outlineLevel="1" x14ac:dyDescent="0.2">
      <c r="A305" s="3" t="s">
        <v>3186</v>
      </c>
      <c r="B305" s="135">
        <f>+'KY_Res by Plant Acct-P29 (Reg)'!B306</f>
        <v>-765600.87000000104</v>
      </c>
      <c r="C305" s="135"/>
      <c r="D305" s="135">
        <f>+'KY_Res by Plant Acct-P29 (Reg)'!D306</f>
        <v>0</v>
      </c>
      <c r="E305" s="135"/>
      <c r="F305" s="135">
        <f>+'KY_Res by Plant Acct-P29 (Reg)'!F306</f>
        <v>0</v>
      </c>
      <c r="G305" s="139"/>
      <c r="H305" s="135">
        <f>+'KY_Res by Plant Acct-P29 (Reg)'!H306</f>
        <v>0</v>
      </c>
      <c r="I305" s="139"/>
      <c r="J305" s="135">
        <f>+'KY_Res by Plant Acct-P29 (Reg)'!J306</f>
        <v>0</v>
      </c>
      <c r="K305" s="139"/>
      <c r="L305" s="135">
        <f>+'KY_Res by Plant Acct-P29 (Reg)'!L306</f>
        <v>0</v>
      </c>
      <c r="M305" s="139"/>
      <c r="N305" s="135">
        <f>+'KY_Res by Plant Acct-P29 (Reg)'!N306</f>
        <v>0</v>
      </c>
      <c r="O305" s="135"/>
      <c r="P305" s="135">
        <f>+'KY_Res by Plant Acct-P29 (Reg)'!P306</f>
        <v>0</v>
      </c>
      <c r="Q305" s="135"/>
      <c r="R305" s="135">
        <f t="shared" si="14"/>
        <v>-765600.87000000104</v>
      </c>
    </row>
    <row r="306" spans="1:18" ht="12" customHeight="1" outlineLevel="1" x14ac:dyDescent="0.2">
      <c r="A306" s="3" t="s">
        <v>3187</v>
      </c>
      <c r="B306" s="135">
        <f>+'KY_Res by Plant Acct-P29 (Reg)'!B307</f>
        <v>-13720476.190000001</v>
      </c>
      <c r="C306" s="135"/>
      <c r="D306" s="135">
        <f>+'KY_Res by Plant Acct-P29 (Reg)'!D307</f>
        <v>-143537.60999999999</v>
      </c>
      <c r="E306" s="135"/>
      <c r="F306" s="135">
        <f>+'KY_Res by Plant Acct-P29 (Reg)'!F307</f>
        <v>146757.87</v>
      </c>
      <c r="G306" s="139"/>
      <c r="H306" s="135">
        <f>+'KY_Res by Plant Acct-P29 (Reg)'!H307</f>
        <v>0</v>
      </c>
      <c r="I306" s="139"/>
      <c r="J306" s="135">
        <f>+'KY_Res by Plant Acct-P29 (Reg)'!J307</f>
        <v>0</v>
      </c>
      <c r="K306" s="139"/>
      <c r="L306" s="135">
        <f>+'KY_Res by Plant Acct-P29 (Reg)'!L307</f>
        <v>56804.02</v>
      </c>
      <c r="M306" s="139"/>
      <c r="N306" s="135">
        <f>+'KY_Res by Plant Acct-P29 (Reg)'!N307</f>
        <v>-42500</v>
      </c>
      <c r="O306" s="135"/>
      <c r="P306" s="135">
        <f>+'KY_Res by Plant Acct-P29 (Reg)'!P307</f>
        <v>0</v>
      </c>
      <c r="Q306" s="135"/>
      <c r="R306" s="135">
        <f t="shared" si="14"/>
        <v>-13702951.910000002</v>
      </c>
    </row>
    <row r="307" spans="1:18" ht="12" customHeight="1" outlineLevel="1" x14ac:dyDescent="0.2">
      <c r="A307" s="3" t="s">
        <v>3188</v>
      </c>
      <c r="B307" s="135">
        <f>+'KY_Res by Plant Acct-P29 (Reg)'!B308</f>
        <v>-2792859.1300000004</v>
      </c>
      <c r="C307" s="135"/>
      <c r="D307" s="135">
        <f>+'KY_Res by Plant Acct-P29 (Reg)'!D308</f>
        <v>0</v>
      </c>
      <c r="E307" s="135"/>
      <c r="F307" s="135">
        <f>+'KY_Res by Plant Acct-P29 (Reg)'!F308</f>
        <v>1442895.9</v>
      </c>
      <c r="G307" s="139"/>
      <c r="H307" s="135">
        <f>+'KY_Res by Plant Acct-P29 (Reg)'!H308</f>
        <v>0</v>
      </c>
      <c r="I307" s="139"/>
      <c r="J307" s="135">
        <f>+'KY_Res by Plant Acct-P29 (Reg)'!J308</f>
        <v>0</v>
      </c>
      <c r="K307" s="139"/>
      <c r="L307" s="135">
        <f>+'KY_Res by Plant Acct-P29 (Reg)'!L308</f>
        <v>0</v>
      </c>
      <c r="M307" s="139"/>
      <c r="N307" s="135">
        <f>+'KY_Res by Plant Acct-P29 (Reg)'!N308</f>
        <v>0</v>
      </c>
      <c r="O307" s="135"/>
      <c r="P307" s="135">
        <f>+'KY_Res by Plant Acct-P29 (Reg)'!P308</f>
        <v>0</v>
      </c>
      <c r="Q307" s="135"/>
      <c r="R307" s="135">
        <f t="shared" si="14"/>
        <v>-1349963.2300000004</v>
      </c>
    </row>
    <row r="308" spans="1:18" ht="12" customHeight="1" outlineLevel="1" x14ac:dyDescent="0.2">
      <c r="A308" s="3" t="s">
        <v>3189</v>
      </c>
      <c r="B308" s="135">
        <f>+'KY_Res by Plant Acct-P29 (Reg)'!B309</f>
        <v>-17768312.43</v>
      </c>
      <c r="C308" s="135"/>
      <c r="D308" s="135">
        <f>+'KY_Res by Plant Acct-P29 (Reg)'!D309</f>
        <v>-414394.94</v>
      </c>
      <c r="E308" s="135"/>
      <c r="F308" s="135">
        <f>+'KY_Res by Plant Acct-P29 (Reg)'!F309</f>
        <v>0</v>
      </c>
      <c r="G308" s="139"/>
      <c r="H308" s="135">
        <f>+'KY_Res by Plant Acct-P29 (Reg)'!H309</f>
        <v>0</v>
      </c>
      <c r="I308" s="139"/>
      <c r="J308" s="135">
        <f>+'KY_Res by Plant Acct-P29 (Reg)'!J309</f>
        <v>0</v>
      </c>
      <c r="K308" s="139"/>
      <c r="L308" s="135">
        <f>+'KY_Res by Plant Acct-P29 (Reg)'!L309</f>
        <v>0</v>
      </c>
      <c r="M308" s="139"/>
      <c r="N308" s="135">
        <f>+'KY_Res by Plant Acct-P29 (Reg)'!N309</f>
        <v>0</v>
      </c>
      <c r="O308" s="135"/>
      <c r="P308" s="135">
        <f>+'KY_Res by Plant Acct-P29 (Reg)'!P309</f>
        <v>0</v>
      </c>
      <c r="Q308" s="135"/>
      <c r="R308" s="135">
        <f t="shared" si="14"/>
        <v>-18182707.370000001</v>
      </c>
    </row>
    <row r="309" spans="1:18" ht="12" customHeight="1" outlineLevel="1" x14ac:dyDescent="0.2">
      <c r="A309" s="3" t="s">
        <v>3190</v>
      </c>
      <c r="B309" s="135">
        <f>+'KY_Res by Plant Acct-P29 (Reg)'!B310</f>
        <v>-545032.16999999993</v>
      </c>
      <c r="C309" s="135"/>
      <c r="D309" s="135">
        <f>+'KY_Res by Plant Acct-P29 (Reg)'!D310</f>
        <v>-248.76</v>
      </c>
      <c r="E309" s="135"/>
      <c r="F309" s="135">
        <f>+'KY_Res by Plant Acct-P29 (Reg)'!F310</f>
        <v>0</v>
      </c>
      <c r="G309" s="139"/>
      <c r="H309" s="135">
        <f>+'KY_Res by Plant Acct-P29 (Reg)'!H310</f>
        <v>0</v>
      </c>
      <c r="I309" s="139"/>
      <c r="J309" s="135">
        <f>+'KY_Res by Plant Acct-P29 (Reg)'!J310</f>
        <v>0</v>
      </c>
      <c r="K309" s="139"/>
      <c r="L309" s="135">
        <f>+'KY_Res by Plant Acct-P29 (Reg)'!L310</f>
        <v>0</v>
      </c>
      <c r="M309" s="139"/>
      <c r="N309" s="135">
        <f>+'KY_Res by Plant Acct-P29 (Reg)'!N310</f>
        <v>0</v>
      </c>
      <c r="O309" s="135"/>
      <c r="P309" s="135">
        <f>+'KY_Res by Plant Acct-P29 (Reg)'!P310</f>
        <v>0</v>
      </c>
      <c r="Q309" s="135"/>
      <c r="R309" s="135">
        <f t="shared" si="14"/>
        <v>-545280.92999999993</v>
      </c>
    </row>
    <row r="310" spans="1:18" ht="12" customHeight="1" outlineLevel="1" x14ac:dyDescent="0.2">
      <c r="A310" s="3" t="s">
        <v>3403</v>
      </c>
      <c r="B310" s="135">
        <f>+'KY_Res by Plant Acct-P29 (Reg)'!B312</f>
        <v>-6192.4199999999992</v>
      </c>
      <c r="C310" s="135"/>
      <c r="D310" s="135">
        <f>+'KY_Res by Plant Acct-P29 (Reg)'!D312</f>
        <v>-6072.96</v>
      </c>
      <c r="E310" s="135"/>
      <c r="F310" s="135">
        <f>+'KY_Res by Plant Acct-P29 (Reg)'!F312</f>
        <v>0</v>
      </c>
      <c r="G310" s="139"/>
      <c r="H310" s="135">
        <f>+'KY_Res by Plant Acct-P29 (Reg)'!H312</f>
        <v>0</v>
      </c>
      <c r="I310" s="139"/>
      <c r="J310" s="135">
        <f>+'KY_Res by Plant Acct-P29 (Reg)'!J312</f>
        <v>0</v>
      </c>
      <c r="K310" s="139"/>
      <c r="L310" s="135">
        <f>+'KY_Res by Plant Acct-P29 (Reg)'!L312</f>
        <v>0</v>
      </c>
      <c r="M310" s="139"/>
      <c r="N310" s="135">
        <f>+'KY_Res by Plant Acct-P29 (Reg)'!N312</f>
        <v>0</v>
      </c>
      <c r="O310" s="135"/>
      <c r="P310" s="135">
        <f>+'KY_Res by Plant Acct-P29 (Reg)'!P312</f>
        <v>0</v>
      </c>
      <c r="Q310" s="135"/>
      <c r="R310" s="135">
        <f>SUM(B310:P310)</f>
        <v>-12265.38</v>
      </c>
    </row>
    <row r="311" spans="1:18" outlineLevel="1" x14ac:dyDescent="0.2">
      <c r="A311" s="3" t="s">
        <v>3193</v>
      </c>
      <c r="B311" s="135">
        <f>+'KY_Res by Plant Acct-P29 (Reg)'!B313</f>
        <v>-9.0949470177292824E-13</v>
      </c>
      <c r="C311" s="135"/>
      <c r="D311" s="135">
        <f>+'KY_Res by Plant Acct-P29 (Reg)'!D313</f>
        <v>0</v>
      </c>
      <c r="E311" s="135"/>
      <c r="F311" s="135">
        <f>+'KY_Res by Plant Acct-P29 (Reg)'!F313</f>
        <v>0</v>
      </c>
      <c r="G311" s="139"/>
      <c r="H311" s="135">
        <f>+'KY_Res by Plant Acct-P29 (Reg)'!H313</f>
        <v>0</v>
      </c>
      <c r="I311" s="139"/>
      <c r="J311" s="135">
        <f>+'KY_Res by Plant Acct-P29 (Reg)'!J313</f>
        <v>0</v>
      </c>
      <c r="K311" s="139"/>
      <c r="L311" s="135">
        <f>+'KY_Res by Plant Acct-P29 (Reg)'!L313</f>
        <v>0</v>
      </c>
      <c r="M311" s="135"/>
      <c r="N311" s="135">
        <f>+'KY_Res by Plant Acct-P29 (Reg)'!N313</f>
        <v>0</v>
      </c>
      <c r="O311" s="135"/>
      <c r="P311" s="135">
        <f>+'KY_Res by Plant Acct-P29 (Reg)'!P313</f>
        <v>0</v>
      </c>
      <c r="Q311" s="135"/>
      <c r="R311" s="135">
        <f t="shared" ref="R311:R317" si="15">SUM(B311:P311)</f>
        <v>-9.0949470177292824E-13</v>
      </c>
    </row>
    <row r="312" spans="1:18" ht="12" customHeight="1" outlineLevel="1" x14ac:dyDescent="0.2">
      <c r="A312" s="3" t="s">
        <v>3194</v>
      </c>
      <c r="B312" s="135">
        <f>+'KY_Res by Plant Acct-P29 (Reg)'!B314</f>
        <v>-1020711.7</v>
      </c>
      <c r="C312" s="135"/>
      <c r="D312" s="135">
        <f>+'KY_Res by Plant Acct-P29 (Reg)'!D314</f>
        <v>-216059.17</v>
      </c>
      <c r="E312" s="135"/>
      <c r="F312" s="135">
        <f>+'KY_Res by Plant Acct-P29 (Reg)'!F314</f>
        <v>0</v>
      </c>
      <c r="G312" s="139"/>
      <c r="H312" s="135">
        <f>+'KY_Res by Plant Acct-P29 (Reg)'!H314</f>
        <v>0</v>
      </c>
      <c r="I312" s="139"/>
      <c r="J312" s="135">
        <f>+'KY_Res by Plant Acct-P29 (Reg)'!J314</f>
        <v>0</v>
      </c>
      <c r="K312" s="139"/>
      <c r="L312" s="135">
        <f>+'KY_Res by Plant Acct-P29 (Reg)'!L314</f>
        <v>0</v>
      </c>
      <c r="M312" s="139"/>
      <c r="N312" s="135">
        <f>+'KY_Res by Plant Acct-P29 (Reg)'!N314</f>
        <v>0</v>
      </c>
      <c r="O312" s="135"/>
      <c r="P312" s="135">
        <f>+'KY_Res by Plant Acct-P29 (Reg)'!P314</f>
        <v>0</v>
      </c>
      <c r="Q312" s="135"/>
      <c r="R312" s="135">
        <f t="shared" si="15"/>
        <v>-1236770.8699999999</v>
      </c>
    </row>
    <row r="313" spans="1:18" ht="12" customHeight="1" outlineLevel="1" x14ac:dyDescent="0.2">
      <c r="A313" s="3" t="s">
        <v>3195</v>
      </c>
      <c r="B313" s="135">
        <f>+'KY_Res by Plant Acct-P29 (Reg)'!B315</f>
        <v>0</v>
      </c>
      <c r="C313" s="135"/>
      <c r="D313" s="135">
        <f>+'KY_Res by Plant Acct-P29 (Reg)'!D315</f>
        <v>0</v>
      </c>
      <c r="E313" s="135"/>
      <c r="F313" s="135">
        <f>+'KY_Res by Plant Acct-P29 (Reg)'!F315</f>
        <v>0</v>
      </c>
      <c r="G313" s="139"/>
      <c r="H313" s="135">
        <f>+'KY_Res by Plant Acct-P29 (Reg)'!H315</f>
        <v>0</v>
      </c>
      <c r="I313" s="139"/>
      <c r="J313" s="135">
        <f>+'KY_Res by Plant Acct-P29 (Reg)'!J315</f>
        <v>0</v>
      </c>
      <c r="K313" s="139"/>
      <c r="L313" s="135">
        <f>+'KY_Res by Plant Acct-P29 (Reg)'!L315</f>
        <v>0</v>
      </c>
      <c r="M313" s="139"/>
      <c r="N313" s="135">
        <f>+'KY_Res by Plant Acct-P29 (Reg)'!N315</f>
        <v>0</v>
      </c>
      <c r="O313" s="135"/>
      <c r="P313" s="135">
        <f>+'KY_Res by Plant Acct-P29 (Reg)'!P315</f>
        <v>0</v>
      </c>
      <c r="Q313" s="135"/>
      <c r="R313" s="135">
        <f t="shared" si="15"/>
        <v>0</v>
      </c>
    </row>
    <row r="314" spans="1:18" ht="12" customHeight="1" outlineLevel="1" x14ac:dyDescent="0.2">
      <c r="A314" s="22" t="s">
        <v>3196</v>
      </c>
      <c r="B314" s="135">
        <f>+'KY_Res by Plant Acct-P29 (Reg)'!B316</f>
        <v>-26197</v>
      </c>
      <c r="C314" s="135">
        <f>+'KY_Res by Plant Acct-P29 (Reg)'!C316</f>
        <v>0</v>
      </c>
      <c r="D314" s="135">
        <f>+'KY_Res by Plant Acct-P29 (Reg)'!D316</f>
        <v>-31436.400000000001</v>
      </c>
      <c r="E314" s="135">
        <f>+'KY_Res by Plant Acct-P29 (Reg)'!E316</f>
        <v>0</v>
      </c>
      <c r="F314" s="135">
        <f>+'KY_Res by Plant Acct-P29 (Reg)'!F316</f>
        <v>0</v>
      </c>
      <c r="G314" s="135">
        <f>+'KY_Res by Plant Acct-P29 (Reg)'!G316</f>
        <v>0</v>
      </c>
      <c r="H314" s="135">
        <f>+'KY_Res by Plant Acct-P29 (Reg)'!H316</f>
        <v>0</v>
      </c>
      <c r="I314" s="135">
        <f>+'KY_Res by Plant Acct-P29 (Reg)'!I316</f>
        <v>0</v>
      </c>
      <c r="J314" s="135">
        <f>+'KY_Res by Plant Acct-P29 (Reg)'!J316</f>
        <v>0</v>
      </c>
      <c r="K314" s="135">
        <f>+'KY_Res by Plant Acct-P29 (Reg)'!K316</f>
        <v>0</v>
      </c>
      <c r="L314" s="135">
        <f>+'KY_Res by Plant Acct-P29 (Reg)'!L316</f>
        <v>0</v>
      </c>
      <c r="M314" s="135">
        <f>+'KY_Res by Plant Acct-P29 (Reg)'!M316</f>
        <v>0</v>
      </c>
      <c r="N314" s="135">
        <f>+'KY_Res by Plant Acct-P29 (Reg)'!N316</f>
        <v>0</v>
      </c>
      <c r="O314" s="135">
        <f>+'KY_Res by Plant Acct-P29 (Reg)'!O316</f>
        <v>0</v>
      </c>
      <c r="P314" s="135">
        <f>+'KY_Res by Plant Acct-P29 (Reg)'!P316</f>
        <v>0</v>
      </c>
      <c r="Q314" s="135"/>
      <c r="R314" s="135">
        <f t="shared" si="15"/>
        <v>-57633.4</v>
      </c>
    </row>
    <row r="315" spans="1:18" ht="12" customHeight="1" outlineLevel="1" x14ac:dyDescent="0.2">
      <c r="A315" s="22" t="s">
        <v>3197</v>
      </c>
      <c r="B315" s="135">
        <f>+'KY_Res by Plant Acct-P29 (Reg)'!B317</f>
        <v>-132.91</v>
      </c>
      <c r="C315" s="135"/>
      <c r="D315" s="135">
        <f>+'KY_Res by Plant Acct-P29 (Reg)'!D317</f>
        <v>-3225.91</v>
      </c>
      <c r="E315" s="135"/>
      <c r="F315" s="135">
        <f>+'KY_Res by Plant Acct-P29 (Reg)'!F317</f>
        <v>0</v>
      </c>
      <c r="G315" s="135">
        <f>+'KY_Res by Plant Acct-P29 (Reg)'!G317</f>
        <v>0</v>
      </c>
      <c r="H315" s="135">
        <f>+'KY_Res by Plant Acct-P29 (Reg)'!H317</f>
        <v>0</v>
      </c>
      <c r="I315" s="135">
        <f>+'KY_Res by Plant Acct-P29 (Reg)'!I317</f>
        <v>0</v>
      </c>
      <c r="J315" s="135">
        <f>+'KY_Res by Plant Acct-P29 (Reg)'!J317</f>
        <v>0</v>
      </c>
      <c r="K315" s="135">
        <f>+'KY_Res by Plant Acct-P29 (Reg)'!K317</f>
        <v>0</v>
      </c>
      <c r="L315" s="135">
        <f>+'KY_Res by Plant Acct-P29 (Reg)'!L317</f>
        <v>0</v>
      </c>
      <c r="M315" s="135">
        <f>+'KY_Res by Plant Acct-P29 (Reg)'!M317</f>
        <v>0</v>
      </c>
      <c r="N315" s="135">
        <f>+'KY_Res by Plant Acct-P29 (Reg)'!N317</f>
        <v>0</v>
      </c>
      <c r="O315" s="135">
        <f>+'KY_Res by Plant Acct-P29 (Reg)'!O317</f>
        <v>0</v>
      </c>
      <c r="P315" s="135">
        <f>+'KY_Res by Plant Acct-P29 (Reg)'!P317</f>
        <v>0</v>
      </c>
      <c r="Q315" s="135"/>
      <c r="R315" s="135">
        <f t="shared" si="15"/>
        <v>-3358.8199999999997</v>
      </c>
    </row>
    <row r="316" spans="1:18" ht="12" customHeight="1" outlineLevel="1" x14ac:dyDescent="0.2">
      <c r="A316" s="3" t="s">
        <v>3198</v>
      </c>
      <c r="B316" s="135">
        <f>+'KY_Res by Plant Acct-P29 (Reg)'!B318</f>
        <v>-27949814.349999998</v>
      </c>
      <c r="C316" s="135"/>
      <c r="D316" s="135">
        <f>+'KY_Res by Plant Acct-P29 (Reg)'!D318</f>
        <v>-983359.04</v>
      </c>
      <c r="E316" s="135"/>
      <c r="F316" s="135">
        <f>+'KY_Res by Plant Acct-P29 (Reg)'!F318</f>
        <v>161.99</v>
      </c>
      <c r="G316" s="139"/>
      <c r="H316" s="135">
        <f>+'KY_Res by Plant Acct-P29 (Reg)'!H318</f>
        <v>0</v>
      </c>
      <c r="I316" s="139"/>
      <c r="J316" s="135">
        <f>+'KY_Res by Plant Acct-P29 (Reg)'!J318</f>
        <v>0</v>
      </c>
      <c r="K316" s="139"/>
      <c r="L316" s="135">
        <f>+'KY_Res by Plant Acct-P29 (Reg)'!L318</f>
        <v>0</v>
      </c>
      <c r="M316" s="139"/>
      <c r="N316" s="135">
        <f>+'KY_Res by Plant Acct-P29 (Reg)'!N318</f>
        <v>0</v>
      </c>
      <c r="O316" s="135"/>
      <c r="P316" s="135">
        <f>+'KY_Res by Plant Acct-P29 (Reg)'!P318</f>
        <v>0</v>
      </c>
      <c r="Q316" s="135"/>
      <c r="R316" s="135">
        <f t="shared" si="15"/>
        <v>-28933011.399999999</v>
      </c>
    </row>
    <row r="317" spans="1:18" ht="12" customHeight="1" outlineLevel="1" x14ac:dyDescent="0.2">
      <c r="A317" s="3" t="s">
        <v>3199</v>
      </c>
      <c r="B317" s="135">
        <f>+'KY_Res by Plant Acct-P29 (Reg)'!B319</f>
        <v>-2346075.8000000003</v>
      </c>
      <c r="C317" s="135"/>
      <c r="D317" s="135">
        <f>+'KY_Res by Plant Acct-P29 (Reg)'!D319</f>
        <v>-24084.959999999999</v>
      </c>
      <c r="E317" s="135"/>
      <c r="F317" s="135">
        <f>+'KY_Res by Plant Acct-P29 (Reg)'!F319</f>
        <v>0</v>
      </c>
      <c r="G317" s="139"/>
      <c r="H317" s="135">
        <f>+'KY_Res by Plant Acct-P29 (Reg)'!H319</f>
        <v>0</v>
      </c>
      <c r="I317" s="139"/>
      <c r="J317" s="135">
        <f>+'KY_Res by Plant Acct-P29 (Reg)'!J319</f>
        <v>0</v>
      </c>
      <c r="K317" s="139"/>
      <c r="L317" s="135">
        <f>+'KY_Res by Plant Acct-P29 (Reg)'!L319</f>
        <v>0</v>
      </c>
      <c r="M317" s="139"/>
      <c r="N317" s="135">
        <f>+'KY_Res by Plant Acct-P29 (Reg)'!N319</f>
        <v>0</v>
      </c>
      <c r="O317" s="135"/>
      <c r="P317" s="135">
        <f>+'KY_Res by Plant Acct-P29 (Reg)'!P319</f>
        <v>0</v>
      </c>
      <c r="Q317" s="135"/>
      <c r="R317" s="135">
        <f t="shared" si="15"/>
        <v>-2370160.7600000002</v>
      </c>
    </row>
    <row r="318" spans="1:18" ht="12" customHeight="1" x14ac:dyDescent="0.2">
      <c r="A318" s="3" t="s">
        <v>3200</v>
      </c>
      <c r="B318" s="135">
        <f>SUM(B289:B317)</f>
        <v>-82790126.549999997</v>
      </c>
      <c r="C318" s="135"/>
      <c r="D318" s="135">
        <f>SUM(D289:D317)</f>
        <v>-2602571.0199999996</v>
      </c>
      <c r="E318" s="135"/>
      <c r="F318" s="139">
        <f>SUM(F289:F317)</f>
        <v>1616603.42</v>
      </c>
      <c r="G318" s="139"/>
      <c r="H318" s="139">
        <f>SUM(H289:H317)</f>
        <v>0</v>
      </c>
      <c r="I318" s="139"/>
      <c r="J318" s="139">
        <f>SUM(J289:J317)</f>
        <v>0</v>
      </c>
      <c r="K318" s="139"/>
      <c r="L318" s="139">
        <f>SUM(L289:L317)</f>
        <v>56804.02</v>
      </c>
      <c r="M318" s="139"/>
      <c r="N318" s="135">
        <f>SUM(N289:N317)</f>
        <v>-42500</v>
      </c>
      <c r="O318" s="135"/>
      <c r="P318" s="135">
        <f>SUM(P289:P317)</f>
        <v>0</v>
      </c>
      <c r="Q318" s="135"/>
      <c r="R318" s="135">
        <f>SUM(R289:R317)</f>
        <v>-83761790.13000001</v>
      </c>
    </row>
    <row r="319" spans="1:18" ht="12" customHeight="1" outlineLevel="1" x14ac:dyDescent="0.2">
      <c r="A319" s="3" t="s">
        <v>3404</v>
      </c>
      <c r="B319" s="135">
        <f>+'KY_Res by Plant Acct-P29 (Reg)'!B321</f>
        <v>0</v>
      </c>
      <c r="C319" s="135"/>
      <c r="D319" s="135">
        <f>+'KY_Res by Plant Acct-P29 (Reg)'!D321</f>
        <v>0</v>
      </c>
      <c r="E319" s="135"/>
      <c r="F319" s="135">
        <f>+'KY_Res by Plant Acct-P29 (Reg)'!F321</f>
        <v>0</v>
      </c>
      <c r="G319" s="135"/>
      <c r="H319" s="135">
        <f>+'KY_Res by Plant Acct-P29 (Reg)'!H321</f>
        <v>0</v>
      </c>
      <c r="I319" s="135"/>
      <c r="J319" s="135">
        <f>+'KY_Res by Plant Acct-P29 (Reg)'!J321</f>
        <v>0</v>
      </c>
      <c r="K319" s="135"/>
      <c r="L319" s="135">
        <f>+'KY_Res by Plant Acct-P29 (Reg)'!L321</f>
        <v>0</v>
      </c>
      <c r="M319" s="135"/>
      <c r="N319" s="135">
        <f>+'KY_Res by Plant Acct-P29 (Reg)'!N321</f>
        <v>0</v>
      </c>
      <c r="O319" s="135"/>
      <c r="P319" s="135">
        <f>+'KY_Res by Plant Acct-P29 (Reg)'!P321</f>
        <v>0</v>
      </c>
      <c r="Q319" s="135"/>
      <c r="R319" s="135">
        <f t="shared" si="14"/>
        <v>0</v>
      </c>
    </row>
    <row r="320" spans="1:18" ht="12" customHeight="1" outlineLevel="1" x14ac:dyDescent="0.2">
      <c r="A320" s="3" t="s">
        <v>3405</v>
      </c>
      <c r="B320" s="135">
        <f>+'KY_Res by Plant Acct-P29 (Reg)'!B322</f>
        <v>0</v>
      </c>
      <c r="C320" s="135"/>
      <c r="D320" s="135">
        <f>+'KY_Res by Plant Acct-P29 (Reg)'!D322</f>
        <v>0</v>
      </c>
      <c r="E320" s="135"/>
      <c r="F320" s="135">
        <f>+'KY_Res by Plant Acct-P29 (Reg)'!F322</f>
        <v>0</v>
      </c>
      <c r="G320" s="135"/>
      <c r="H320" s="135">
        <f>+'KY_Res by Plant Acct-P29 (Reg)'!H322</f>
        <v>0</v>
      </c>
      <c r="I320" s="135"/>
      <c r="J320" s="135">
        <f>+'KY_Res by Plant Acct-P29 (Reg)'!J322</f>
        <v>0</v>
      </c>
      <c r="K320" s="135"/>
      <c r="L320" s="135">
        <f>+'KY_Res by Plant Acct-P29 (Reg)'!L322</f>
        <v>0</v>
      </c>
      <c r="M320" s="135"/>
      <c r="N320" s="135">
        <f>+'KY_Res by Plant Acct-P29 (Reg)'!N322</f>
        <v>0</v>
      </c>
      <c r="O320" s="135"/>
      <c r="P320" s="135">
        <f>+'KY_Res by Plant Acct-P29 (Reg)'!P322</f>
        <v>0</v>
      </c>
      <c r="Q320" s="135"/>
      <c r="R320" s="135">
        <f t="shared" si="14"/>
        <v>0</v>
      </c>
    </row>
    <row r="321" spans="1:18" ht="12" customHeight="1" outlineLevel="1" x14ac:dyDescent="0.2">
      <c r="A321" s="3" t="s">
        <v>3406</v>
      </c>
      <c r="B321" s="135">
        <f>+'KY_Res by Plant Acct-P29 (Reg)'!B323</f>
        <v>0</v>
      </c>
      <c r="C321" s="135"/>
      <c r="D321" s="135">
        <f>+'KY_Res by Plant Acct-P29 (Reg)'!D323</f>
        <v>0</v>
      </c>
      <c r="E321" s="135"/>
      <c r="F321" s="135">
        <f>+'KY_Res by Plant Acct-P29 (Reg)'!F323</f>
        <v>0</v>
      </c>
      <c r="G321" s="135"/>
      <c r="H321" s="135">
        <f>+'KY_Res by Plant Acct-P29 (Reg)'!H323</f>
        <v>0</v>
      </c>
      <c r="I321" s="135"/>
      <c r="J321" s="135">
        <f>+'KY_Res by Plant Acct-P29 (Reg)'!J323</f>
        <v>0</v>
      </c>
      <c r="K321" s="135"/>
      <c r="L321" s="135">
        <f>+'KY_Res by Plant Acct-P29 (Reg)'!L323</f>
        <v>0</v>
      </c>
      <c r="M321" s="135"/>
      <c r="N321" s="135">
        <f>+'KY_Res by Plant Acct-P29 (Reg)'!N323</f>
        <v>0</v>
      </c>
      <c r="O321" s="135"/>
      <c r="P321" s="135">
        <f>+'KY_Res by Plant Acct-P29 (Reg)'!P323</f>
        <v>0</v>
      </c>
      <c r="Q321" s="135"/>
      <c r="R321" s="135">
        <f t="shared" si="14"/>
        <v>0</v>
      </c>
    </row>
    <row r="322" spans="1:18" ht="12" customHeight="1" outlineLevel="1" x14ac:dyDescent="0.2">
      <c r="A322" s="3" t="s">
        <v>3407</v>
      </c>
      <c r="B322" s="135">
        <f>+'KY_Res by Plant Acct-P29 (Reg)'!B324</f>
        <v>0</v>
      </c>
      <c r="C322" s="135"/>
      <c r="D322" s="135">
        <f>+'KY_Res by Plant Acct-P29 (Reg)'!D324</f>
        <v>0</v>
      </c>
      <c r="E322" s="135"/>
      <c r="F322" s="135">
        <f>+'KY_Res by Plant Acct-P29 (Reg)'!F324</f>
        <v>0</v>
      </c>
      <c r="G322" s="135"/>
      <c r="H322" s="135">
        <f>+'KY_Res by Plant Acct-P29 (Reg)'!H324</f>
        <v>0</v>
      </c>
      <c r="I322" s="135"/>
      <c r="J322" s="135">
        <f>+'KY_Res by Plant Acct-P29 (Reg)'!J324</f>
        <v>0</v>
      </c>
      <c r="K322" s="135"/>
      <c r="L322" s="135">
        <f>+'KY_Res by Plant Acct-P29 (Reg)'!L324</f>
        <v>0</v>
      </c>
      <c r="M322" s="135"/>
      <c r="N322" s="135">
        <f>+'KY_Res by Plant Acct-P29 (Reg)'!N324</f>
        <v>0</v>
      </c>
      <c r="O322" s="135"/>
      <c r="P322" s="135">
        <f>+'KY_Res by Plant Acct-P29 (Reg)'!P324</f>
        <v>0</v>
      </c>
      <c r="Q322" s="135"/>
      <c r="R322" s="135">
        <f t="shared" si="14"/>
        <v>0</v>
      </c>
    </row>
    <row r="323" spans="1:18" ht="12" customHeight="1" outlineLevel="1" x14ac:dyDescent="0.2">
      <c r="A323" s="3" t="s">
        <v>3408</v>
      </c>
      <c r="B323" s="135">
        <f>+'KY_Res by Plant Acct-P29 (Reg)'!B325</f>
        <v>0</v>
      </c>
      <c r="C323" s="135"/>
      <c r="D323" s="135">
        <f>+'KY_Res by Plant Acct-P29 (Reg)'!D325</f>
        <v>0</v>
      </c>
      <c r="E323" s="135"/>
      <c r="F323" s="135">
        <f>+'KY_Res by Plant Acct-P29 (Reg)'!F325</f>
        <v>0</v>
      </c>
      <c r="G323" s="135"/>
      <c r="H323" s="135">
        <f>+'KY_Res by Plant Acct-P29 (Reg)'!H325</f>
        <v>0</v>
      </c>
      <c r="I323" s="135"/>
      <c r="J323" s="135">
        <f>+'KY_Res by Plant Acct-P29 (Reg)'!J325</f>
        <v>0</v>
      </c>
      <c r="K323" s="135"/>
      <c r="L323" s="135">
        <f>+'KY_Res by Plant Acct-P29 (Reg)'!L325</f>
        <v>0</v>
      </c>
      <c r="M323" s="135"/>
      <c r="N323" s="135">
        <f>+'KY_Res by Plant Acct-P29 (Reg)'!N325</f>
        <v>0</v>
      </c>
      <c r="O323" s="135"/>
      <c r="P323" s="135">
        <f>+'KY_Res by Plant Acct-P29 (Reg)'!P325</f>
        <v>0</v>
      </c>
      <c r="Q323" s="135"/>
      <c r="R323" s="135">
        <f t="shared" si="14"/>
        <v>0</v>
      </c>
    </row>
    <row r="324" spans="1:18" ht="12" customHeight="1" outlineLevel="1" x14ac:dyDescent="0.2">
      <c r="A324" s="3" t="s">
        <v>3409</v>
      </c>
      <c r="B324" s="135">
        <f>+'KY_Res by Plant Acct-P29 (Reg)'!B326</f>
        <v>0</v>
      </c>
      <c r="C324" s="135"/>
      <c r="D324" s="135">
        <f>+'KY_Res by Plant Acct-P29 (Reg)'!D326</f>
        <v>0</v>
      </c>
      <c r="E324" s="135"/>
      <c r="F324" s="135">
        <f>+'KY_Res by Plant Acct-P29 (Reg)'!F326</f>
        <v>0</v>
      </c>
      <c r="G324" s="135"/>
      <c r="H324" s="135">
        <f>+'KY_Res by Plant Acct-P29 (Reg)'!H326</f>
        <v>0</v>
      </c>
      <c r="I324" s="135"/>
      <c r="J324" s="135">
        <f>+'KY_Res by Plant Acct-P29 (Reg)'!J326</f>
        <v>0</v>
      </c>
      <c r="K324" s="135"/>
      <c r="L324" s="135">
        <f>+'KY_Res by Plant Acct-P29 (Reg)'!L326</f>
        <v>0</v>
      </c>
      <c r="M324" s="135"/>
      <c r="N324" s="135">
        <f>+'KY_Res by Plant Acct-P29 (Reg)'!N326</f>
        <v>0</v>
      </c>
      <c r="O324" s="135"/>
      <c r="P324" s="135">
        <f>+'KY_Res by Plant Acct-P29 (Reg)'!P326</f>
        <v>0</v>
      </c>
      <c r="Q324" s="135"/>
      <c r="R324" s="135">
        <f t="shared" si="14"/>
        <v>0</v>
      </c>
    </row>
    <row r="325" spans="1:18" ht="12" customHeight="1" outlineLevel="1" x14ac:dyDescent="0.2">
      <c r="A325" s="3" t="s">
        <v>3410</v>
      </c>
      <c r="B325" s="135">
        <f>+'KY_Res by Plant Acct-P29 (Reg)'!B327</f>
        <v>0</v>
      </c>
      <c r="C325" s="135"/>
      <c r="D325" s="135">
        <f>+'KY_Res by Plant Acct-P29 (Reg)'!D327</f>
        <v>0</v>
      </c>
      <c r="E325" s="135"/>
      <c r="F325" s="135">
        <f>+'KY_Res by Plant Acct-P29 (Reg)'!F327</f>
        <v>0</v>
      </c>
      <c r="G325" s="135"/>
      <c r="H325" s="135">
        <f>+'KY_Res by Plant Acct-P29 (Reg)'!H327</f>
        <v>0</v>
      </c>
      <c r="I325" s="135"/>
      <c r="J325" s="135">
        <f>+'KY_Res by Plant Acct-P29 (Reg)'!J327</f>
        <v>0</v>
      </c>
      <c r="K325" s="135"/>
      <c r="L325" s="135">
        <f>+'KY_Res by Plant Acct-P29 (Reg)'!L327</f>
        <v>0</v>
      </c>
      <c r="M325" s="135"/>
      <c r="N325" s="135">
        <f>+'KY_Res by Plant Acct-P29 (Reg)'!N327</f>
        <v>0</v>
      </c>
      <c r="O325" s="135"/>
      <c r="P325" s="135">
        <f>+'KY_Res by Plant Acct-P29 (Reg)'!P327</f>
        <v>0</v>
      </c>
      <c r="Q325" s="135"/>
      <c r="R325" s="135">
        <f t="shared" si="14"/>
        <v>0</v>
      </c>
    </row>
    <row r="326" spans="1:18" ht="12" customHeight="1" outlineLevel="1" x14ac:dyDescent="0.2">
      <c r="A326" s="3" t="s">
        <v>3411</v>
      </c>
      <c r="B326" s="135">
        <f>+'KY_Res by Plant Acct-P29 (Reg)'!B328</f>
        <v>0</v>
      </c>
      <c r="C326" s="135"/>
      <c r="D326" s="135">
        <f>+'KY_Res by Plant Acct-P29 (Reg)'!D328</f>
        <v>0</v>
      </c>
      <c r="E326" s="135"/>
      <c r="F326" s="135">
        <f>+'KY_Res by Plant Acct-P29 (Reg)'!F328</f>
        <v>0</v>
      </c>
      <c r="G326" s="135"/>
      <c r="H326" s="135">
        <f>+'KY_Res by Plant Acct-P29 (Reg)'!H328</f>
        <v>0</v>
      </c>
      <c r="I326" s="135"/>
      <c r="J326" s="135">
        <f>+'KY_Res by Plant Acct-P29 (Reg)'!J328</f>
        <v>0</v>
      </c>
      <c r="K326" s="135"/>
      <c r="L326" s="135">
        <f>+'KY_Res by Plant Acct-P29 (Reg)'!L328</f>
        <v>0</v>
      </c>
      <c r="M326" s="135"/>
      <c r="N326" s="135">
        <f>+'KY_Res by Plant Acct-P29 (Reg)'!N328</f>
        <v>0</v>
      </c>
      <c r="O326" s="135"/>
      <c r="P326" s="135">
        <f>+'KY_Res by Plant Acct-P29 (Reg)'!P328</f>
        <v>0</v>
      </c>
      <c r="Q326" s="135"/>
      <c r="R326" s="135">
        <f t="shared" si="14"/>
        <v>0</v>
      </c>
    </row>
    <row r="327" spans="1:18" ht="12" customHeight="1" x14ac:dyDescent="0.2">
      <c r="A327" s="3" t="s">
        <v>3209</v>
      </c>
      <c r="B327" s="135">
        <f>SUM(B319:B326)</f>
        <v>0</v>
      </c>
      <c r="C327" s="135"/>
      <c r="D327" s="135">
        <f>SUM(D319:D326)</f>
        <v>0</v>
      </c>
      <c r="E327" s="135"/>
      <c r="F327" s="135">
        <f>SUM(F319:F326)</f>
        <v>0</v>
      </c>
      <c r="G327" s="135"/>
      <c r="H327" s="135">
        <f>SUM(H319:H326)</f>
        <v>0</v>
      </c>
      <c r="I327" s="135"/>
      <c r="J327" s="135">
        <f>SUM(J319:J326)</f>
        <v>0</v>
      </c>
      <c r="K327" s="135"/>
      <c r="L327" s="135">
        <f>SUM(L319:L326)</f>
        <v>0</v>
      </c>
      <c r="M327" s="135"/>
      <c r="N327" s="135">
        <f>SUM(N319:N326)</f>
        <v>0</v>
      </c>
      <c r="O327" s="135"/>
      <c r="P327" s="135">
        <f>SUM(P319:P326)</f>
        <v>0</v>
      </c>
      <c r="Q327" s="135"/>
      <c r="R327" s="135">
        <f>SUM(R319:R326)</f>
        <v>0</v>
      </c>
    </row>
    <row r="328" spans="1:18" outlineLevel="1" x14ac:dyDescent="0.2">
      <c r="A328" s="3" t="s">
        <v>3210</v>
      </c>
      <c r="B328" s="135">
        <f>+'KY_Res by Plant Acct-P29 (Reg)'!B330</f>
        <v>-496.25999999999476</v>
      </c>
      <c r="C328" s="135"/>
      <c r="D328" s="135">
        <f>+'KY_Res by Plant Acct-P29 (Reg)'!D330</f>
        <v>0</v>
      </c>
      <c r="E328" s="135"/>
      <c r="F328" s="135">
        <f>+'KY_Res by Plant Acct-P29 (Reg)'!F330</f>
        <v>0</v>
      </c>
      <c r="G328" s="135"/>
      <c r="H328" s="135">
        <f>+'KY_Res by Plant Acct-P29 (Reg)'!H330</f>
        <v>0</v>
      </c>
      <c r="I328" s="135"/>
      <c r="J328" s="135">
        <f>+'KY_Res by Plant Acct-P29 (Reg)'!J330</f>
        <v>0</v>
      </c>
      <c r="K328" s="135"/>
      <c r="L328" s="135">
        <f>+'KY_Res by Plant Acct-P29 (Reg)'!L330</f>
        <v>0</v>
      </c>
      <c r="M328" s="135"/>
      <c r="N328" s="135">
        <f>+'KY_Res by Plant Acct-P29 (Reg)'!N330</f>
        <v>0</v>
      </c>
      <c r="O328" s="135"/>
      <c r="P328" s="135">
        <f>+'KY_Res by Plant Acct-P29 (Reg)'!P330</f>
        <v>0</v>
      </c>
      <c r="Q328" s="135"/>
      <c r="R328" s="135">
        <f t="shared" si="14"/>
        <v>-496.25999999999476</v>
      </c>
    </row>
    <row r="329" spans="1:18" outlineLevel="1" x14ac:dyDescent="0.2">
      <c r="A329" s="3" t="s">
        <v>3211</v>
      </c>
      <c r="B329" s="135">
        <f>+'KY_Res by Plant Acct-P29 (Reg)'!B331</f>
        <v>-747.65999999999985</v>
      </c>
      <c r="C329" s="135"/>
      <c r="D329" s="135">
        <f>+'KY_Res by Plant Acct-P29 (Reg)'!D331</f>
        <v>0</v>
      </c>
      <c r="E329" s="135"/>
      <c r="F329" s="135">
        <f>+'KY_Res by Plant Acct-P29 (Reg)'!F331</f>
        <v>0</v>
      </c>
      <c r="G329" s="135"/>
      <c r="H329" s="135">
        <f>+'KY_Res by Plant Acct-P29 (Reg)'!H331</f>
        <v>0</v>
      </c>
      <c r="I329" s="135"/>
      <c r="J329" s="135">
        <f>+'KY_Res by Plant Acct-P29 (Reg)'!J331</f>
        <v>0</v>
      </c>
      <c r="K329" s="135"/>
      <c r="L329" s="135">
        <f>+'KY_Res by Plant Acct-P29 (Reg)'!L331</f>
        <v>0</v>
      </c>
      <c r="M329" s="135"/>
      <c r="N329" s="135">
        <f>+'KY_Res by Plant Acct-P29 (Reg)'!N331</f>
        <v>0</v>
      </c>
      <c r="O329" s="135"/>
      <c r="P329" s="135">
        <f>+'KY_Res by Plant Acct-P29 (Reg)'!P331</f>
        <v>0</v>
      </c>
      <c r="Q329" s="135"/>
      <c r="R329" s="135">
        <f t="shared" si="14"/>
        <v>-747.65999999999985</v>
      </c>
    </row>
    <row r="330" spans="1:18" outlineLevel="1" x14ac:dyDescent="0.2">
      <c r="A330" s="3" t="s">
        <v>3212</v>
      </c>
      <c r="B330" s="135">
        <f>+'KY_Res by Plant Acct-P29 (Reg)'!B332</f>
        <v>25231.799999999981</v>
      </c>
      <c r="C330" s="135"/>
      <c r="D330" s="135">
        <f>+'KY_Res by Plant Acct-P29 (Reg)'!D332</f>
        <v>0</v>
      </c>
      <c r="E330" s="135"/>
      <c r="F330" s="135">
        <f>+'KY_Res by Plant Acct-P29 (Reg)'!F332</f>
        <v>0</v>
      </c>
      <c r="G330" s="135"/>
      <c r="H330" s="135">
        <f>+'KY_Res by Plant Acct-P29 (Reg)'!H332</f>
        <v>0</v>
      </c>
      <c r="I330" s="135"/>
      <c r="J330" s="135">
        <f>+'KY_Res by Plant Acct-P29 (Reg)'!J332</f>
        <v>0</v>
      </c>
      <c r="K330" s="135"/>
      <c r="L330" s="135">
        <f>+'KY_Res by Plant Acct-P29 (Reg)'!L332</f>
        <v>0</v>
      </c>
      <c r="M330" s="135"/>
      <c r="N330" s="135">
        <f>+'KY_Res by Plant Acct-P29 (Reg)'!N332</f>
        <v>0</v>
      </c>
      <c r="O330" s="135"/>
      <c r="P330" s="135">
        <f>+'KY_Res by Plant Acct-P29 (Reg)'!P332</f>
        <v>0</v>
      </c>
      <c r="Q330" s="135"/>
      <c r="R330" s="135">
        <f t="shared" si="14"/>
        <v>25231.799999999981</v>
      </c>
    </row>
    <row r="331" spans="1:18" outlineLevel="1" x14ac:dyDescent="0.2">
      <c r="A331" s="3" t="s">
        <v>3213</v>
      </c>
      <c r="B331" s="135">
        <f>+'KY_Res by Plant Acct-P29 (Reg)'!B333</f>
        <v>-595.92999999999938</v>
      </c>
      <c r="C331" s="135"/>
      <c r="D331" s="135">
        <f>+'KY_Res by Plant Acct-P29 (Reg)'!D333</f>
        <v>0</v>
      </c>
      <c r="E331" s="135"/>
      <c r="F331" s="135">
        <f>+'KY_Res by Plant Acct-P29 (Reg)'!F333</f>
        <v>0</v>
      </c>
      <c r="G331" s="135"/>
      <c r="H331" s="135">
        <f>+'KY_Res by Plant Acct-P29 (Reg)'!H333</f>
        <v>0</v>
      </c>
      <c r="I331" s="135"/>
      <c r="J331" s="135">
        <f>+'KY_Res by Plant Acct-P29 (Reg)'!J333</f>
        <v>0</v>
      </c>
      <c r="K331" s="135"/>
      <c r="L331" s="135">
        <f>+'KY_Res by Plant Acct-P29 (Reg)'!L333</f>
        <v>0</v>
      </c>
      <c r="M331" s="135"/>
      <c r="N331" s="135">
        <f>+'KY_Res by Plant Acct-P29 (Reg)'!N333</f>
        <v>0</v>
      </c>
      <c r="O331" s="135"/>
      <c r="P331" s="135">
        <f>+'KY_Res by Plant Acct-P29 (Reg)'!P333</f>
        <v>0</v>
      </c>
      <c r="Q331" s="135"/>
      <c r="R331" s="135">
        <f t="shared" si="14"/>
        <v>-595.92999999999938</v>
      </c>
    </row>
    <row r="332" spans="1:18" outlineLevel="1" x14ac:dyDescent="0.2">
      <c r="A332" s="3" t="s">
        <v>3214</v>
      </c>
      <c r="B332" s="135">
        <f>+'KY_Res by Plant Acct-P29 (Reg)'!B334</f>
        <v>-58312.55</v>
      </c>
      <c r="C332" s="135"/>
      <c r="D332" s="135">
        <f>+'KY_Res by Plant Acct-P29 (Reg)'!D334</f>
        <v>-20469.240000000002</v>
      </c>
      <c r="E332" s="135"/>
      <c r="F332" s="135">
        <f>+'KY_Res by Plant Acct-P29 (Reg)'!F334</f>
        <v>0</v>
      </c>
      <c r="G332" s="135"/>
      <c r="H332" s="135">
        <f>+'KY_Res by Plant Acct-P29 (Reg)'!H334</f>
        <v>0</v>
      </c>
      <c r="I332" s="135"/>
      <c r="J332" s="135">
        <f>+'KY_Res by Plant Acct-P29 (Reg)'!J334</f>
        <v>0</v>
      </c>
      <c r="K332" s="135"/>
      <c r="L332" s="135">
        <f>+'KY_Res by Plant Acct-P29 (Reg)'!L334</f>
        <v>0</v>
      </c>
      <c r="M332" s="135"/>
      <c r="N332" s="135">
        <f>+'KY_Res by Plant Acct-P29 (Reg)'!N334</f>
        <v>0</v>
      </c>
      <c r="O332" s="135"/>
      <c r="P332" s="135">
        <f>+'KY_Res by Plant Acct-P29 (Reg)'!P334</f>
        <v>0</v>
      </c>
      <c r="Q332" s="135"/>
      <c r="R332" s="135">
        <f t="shared" si="14"/>
        <v>-78781.790000000008</v>
      </c>
    </row>
    <row r="333" spans="1:18" outlineLevel="1" x14ac:dyDescent="0.2">
      <c r="A333" s="3" t="s">
        <v>3215</v>
      </c>
      <c r="B333" s="135">
        <f>+'KY_Res by Plant Acct-P29 (Reg)'!B335</f>
        <v>-4325.070000000007</v>
      </c>
      <c r="C333" s="135"/>
      <c r="D333" s="135">
        <f>+'KY_Res by Plant Acct-P29 (Reg)'!D335</f>
        <v>0</v>
      </c>
      <c r="E333" s="135"/>
      <c r="F333" s="135">
        <f>+'KY_Res by Plant Acct-P29 (Reg)'!F335</f>
        <v>0</v>
      </c>
      <c r="G333" s="135"/>
      <c r="H333" s="135">
        <f>+'KY_Res by Plant Acct-P29 (Reg)'!H335</f>
        <v>0</v>
      </c>
      <c r="I333" s="135"/>
      <c r="J333" s="135">
        <f>+'KY_Res by Plant Acct-P29 (Reg)'!J335</f>
        <v>0</v>
      </c>
      <c r="K333" s="135"/>
      <c r="L333" s="135">
        <f>+'KY_Res by Plant Acct-P29 (Reg)'!L335</f>
        <v>0</v>
      </c>
      <c r="M333" s="135"/>
      <c r="N333" s="135">
        <f>+'KY_Res by Plant Acct-P29 (Reg)'!N335</f>
        <v>0</v>
      </c>
      <c r="O333" s="135"/>
      <c r="P333" s="135">
        <f>+'KY_Res by Plant Acct-P29 (Reg)'!P335</f>
        <v>0</v>
      </c>
      <c r="Q333" s="135"/>
      <c r="R333" s="135">
        <f t="shared" si="14"/>
        <v>-4325.070000000007</v>
      </c>
    </row>
    <row r="334" spans="1:18" outlineLevel="1" x14ac:dyDescent="0.2">
      <c r="A334" s="3" t="s">
        <v>3216</v>
      </c>
      <c r="B334" s="135">
        <f>+'KY_Res by Plant Acct-P29 (Reg)'!B336</f>
        <v>37807.979999999516</v>
      </c>
      <c r="C334" s="135"/>
      <c r="D334" s="135">
        <f>+'KY_Res by Plant Acct-P29 (Reg)'!D336</f>
        <v>-65061.36</v>
      </c>
      <c r="E334" s="135"/>
      <c r="F334" s="135">
        <f>+'KY_Res by Plant Acct-P29 (Reg)'!F336</f>
        <v>0</v>
      </c>
      <c r="G334" s="135"/>
      <c r="H334" s="135">
        <f>+'KY_Res by Plant Acct-P29 (Reg)'!H336</f>
        <v>0</v>
      </c>
      <c r="I334" s="135"/>
      <c r="J334" s="135">
        <f>+'KY_Res by Plant Acct-P29 (Reg)'!J336</f>
        <v>0</v>
      </c>
      <c r="K334" s="135"/>
      <c r="L334" s="135">
        <f>+'KY_Res by Plant Acct-P29 (Reg)'!L336</f>
        <v>0</v>
      </c>
      <c r="M334" s="135"/>
      <c r="N334" s="135">
        <f>+'KY_Res by Plant Acct-P29 (Reg)'!N336</f>
        <v>0</v>
      </c>
      <c r="O334" s="135"/>
      <c r="P334" s="135">
        <f>+'KY_Res by Plant Acct-P29 (Reg)'!P336</f>
        <v>0</v>
      </c>
      <c r="Q334" s="135"/>
      <c r="R334" s="135">
        <f t="shared" si="14"/>
        <v>-27253.380000000485</v>
      </c>
    </row>
    <row r="335" spans="1:18" outlineLevel="1" x14ac:dyDescent="0.2">
      <c r="A335" s="3" t="s">
        <v>3217</v>
      </c>
      <c r="B335" s="135">
        <f>+'KY_Res by Plant Acct-P29 (Reg)'!B337</f>
        <v>-2445.0099999999911</v>
      </c>
      <c r="C335" s="135"/>
      <c r="D335" s="135">
        <f>+'KY_Res by Plant Acct-P29 (Reg)'!D337</f>
        <v>0</v>
      </c>
      <c r="E335" s="135"/>
      <c r="F335" s="135">
        <f>+'KY_Res by Plant Acct-P29 (Reg)'!F337</f>
        <v>0</v>
      </c>
      <c r="G335" s="135"/>
      <c r="H335" s="135">
        <f>+'KY_Res by Plant Acct-P29 (Reg)'!H337</f>
        <v>0</v>
      </c>
      <c r="I335" s="135"/>
      <c r="J335" s="135">
        <f>+'KY_Res by Plant Acct-P29 (Reg)'!J337</f>
        <v>0</v>
      </c>
      <c r="K335" s="135"/>
      <c r="L335" s="135">
        <f>+'KY_Res by Plant Acct-P29 (Reg)'!L337</f>
        <v>0</v>
      </c>
      <c r="M335" s="135"/>
      <c r="N335" s="135">
        <f>+'KY_Res by Plant Acct-P29 (Reg)'!N337</f>
        <v>0</v>
      </c>
      <c r="O335" s="135"/>
      <c r="P335" s="135">
        <f>+'KY_Res by Plant Acct-P29 (Reg)'!P337</f>
        <v>0</v>
      </c>
      <c r="Q335" s="135"/>
      <c r="R335" s="135">
        <f t="shared" si="14"/>
        <v>-2445.0099999999911</v>
      </c>
    </row>
    <row r="336" spans="1:18" outlineLevel="1" x14ac:dyDescent="0.2">
      <c r="A336" s="22" t="s">
        <v>3412</v>
      </c>
      <c r="B336" s="135">
        <f>+'KY_Res by Plant Acct-P29 (Reg)'!B338</f>
        <v>-35814.61</v>
      </c>
      <c r="C336" s="135"/>
      <c r="D336" s="135">
        <f>+'KY_Res by Plant Acct-P29 (Reg)'!D338</f>
        <v>-13223.16</v>
      </c>
      <c r="E336" s="135"/>
      <c r="F336" s="135">
        <f>+'KY_Res by Plant Acct-P29 (Reg)'!F338</f>
        <v>0</v>
      </c>
      <c r="G336" s="135"/>
      <c r="H336" s="135">
        <f>+'KY_Res by Plant Acct-P29 (Reg)'!H338</f>
        <v>0</v>
      </c>
      <c r="I336" s="135"/>
      <c r="J336" s="135">
        <f>+'KY_Res by Plant Acct-P29 (Reg)'!J338</f>
        <v>0</v>
      </c>
      <c r="K336" s="135"/>
      <c r="L336" s="135">
        <f>+'KY_Res by Plant Acct-P29 (Reg)'!L338</f>
        <v>0</v>
      </c>
      <c r="M336" s="135"/>
      <c r="N336" s="135">
        <f>+'KY_Res by Plant Acct-P29 (Reg)'!N338</f>
        <v>0</v>
      </c>
      <c r="O336" s="135"/>
      <c r="P336" s="135">
        <f>+'KY_Res by Plant Acct-P29 (Reg)'!P338</f>
        <v>0</v>
      </c>
      <c r="Q336" s="135"/>
      <c r="R336" s="135">
        <f t="shared" si="14"/>
        <v>-49037.770000000004</v>
      </c>
    </row>
    <row r="337" spans="1:18" outlineLevel="1" x14ac:dyDescent="0.2">
      <c r="A337" s="22" t="s">
        <v>3413</v>
      </c>
      <c r="B337" s="135">
        <f>+'KY_Res by Plant Acct-P29 (Reg)'!B339</f>
        <v>0</v>
      </c>
      <c r="C337" s="135"/>
      <c r="D337" s="135">
        <f>+'KY_Res by Plant Acct-P29 (Reg)'!D339</f>
        <v>-23.78</v>
      </c>
      <c r="E337" s="135"/>
      <c r="F337" s="135">
        <f>+'KY_Res by Plant Acct-P29 (Reg)'!F339</f>
        <v>0</v>
      </c>
      <c r="G337" s="135"/>
      <c r="H337" s="135">
        <f>+'KY_Res by Plant Acct-P29 (Reg)'!H339</f>
        <v>0</v>
      </c>
      <c r="I337" s="135"/>
      <c r="J337" s="135">
        <f>+'KY_Res by Plant Acct-P29 (Reg)'!J339</f>
        <v>0</v>
      </c>
      <c r="K337" s="135"/>
      <c r="L337" s="135">
        <f>+'KY_Res by Plant Acct-P29 (Reg)'!L339</f>
        <v>0</v>
      </c>
      <c r="M337" s="135"/>
      <c r="N337" s="135">
        <f>+'KY_Res by Plant Acct-P29 (Reg)'!N339</f>
        <v>0</v>
      </c>
      <c r="O337" s="135"/>
      <c r="P337" s="135">
        <f>+'KY_Res by Plant Acct-P29 (Reg)'!P339</f>
        <v>0</v>
      </c>
      <c r="Q337" s="135"/>
      <c r="R337" s="135">
        <f t="shared" si="14"/>
        <v>-23.78</v>
      </c>
    </row>
    <row r="338" spans="1:18" outlineLevel="1" x14ac:dyDescent="0.2">
      <c r="A338" s="22" t="s">
        <v>3220</v>
      </c>
      <c r="B338" s="135">
        <f>+'KY_Res by Plant Acct-P29 (Reg)'!B340</f>
        <v>-234.54</v>
      </c>
      <c r="C338" s="135"/>
      <c r="D338" s="135">
        <f>+'KY_Res by Plant Acct-P29 (Reg)'!D340</f>
        <v>-385.45</v>
      </c>
      <c r="E338" s="135"/>
      <c r="F338" s="135">
        <f>+'KY_Res by Plant Acct-P29 (Reg)'!F340</f>
        <v>0</v>
      </c>
      <c r="G338" s="135"/>
      <c r="H338" s="135">
        <f>+'KY_Res by Plant Acct-P29 (Reg)'!H340</f>
        <v>0</v>
      </c>
      <c r="I338" s="135"/>
      <c r="J338" s="135">
        <f>+'KY_Res by Plant Acct-P29 (Reg)'!J340</f>
        <v>0</v>
      </c>
      <c r="K338" s="135"/>
      <c r="L338" s="135">
        <f>+'KY_Res by Plant Acct-P29 (Reg)'!L340</f>
        <v>0</v>
      </c>
      <c r="M338" s="135"/>
      <c r="N338" s="135">
        <f>+'KY_Res by Plant Acct-P29 (Reg)'!N340</f>
        <v>0</v>
      </c>
      <c r="O338" s="135"/>
      <c r="P338" s="135">
        <f>+'KY_Res by Plant Acct-P29 (Reg)'!P340</f>
        <v>0</v>
      </c>
      <c r="Q338" s="135"/>
      <c r="R338" s="135">
        <f>SUM(B338:P338)</f>
        <v>-619.99</v>
      </c>
    </row>
    <row r="339" spans="1:18" outlineLevel="1" x14ac:dyDescent="0.2">
      <c r="A339" s="22" t="s">
        <v>3221</v>
      </c>
      <c r="B339" s="135">
        <f>+'KY_Res by Plant Acct-P29 (Reg)'!B341</f>
        <v>-45.51</v>
      </c>
      <c r="C339" s="135"/>
      <c r="D339" s="135">
        <f>+'KY_Res by Plant Acct-P29 (Reg)'!D341</f>
        <v>-74.84</v>
      </c>
      <c r="E339" s="135"/>
      <c r="F339" s="135">
        <f>+'KY_Res by Plant Acct-P29 (Reg)'!F341</f>
        <v>0</v>
      </c>
      <c r="G339" s="135"/>
      <c r="H339" s="135">
        <f>+'KY_Res by Plant Acct-P29 (Reg)'!H341</f>
        <v>0</v>
      </c>
      <c r="I339" s="135"/>
      <c r="J339" s="135">
        <f>+'KY_Res by Plant Acct-P29 (Reg)'!J341</f>
        <v>0</v>
      </c>
      <c r="K339" s="135"/>
      <c r="L339" s="135">
        <f>+'KY_Res by Plant Acct-P29 (Reg)'!L341</f>
        <v>0</v>
      </c>
      <c r="M339" s="135"/>
      <c r="N339" s="135">
        <f>+'KY_Res by Plant Acct-P29 (Reg)'!N341</f>
        <v>0</v>
      </c>
      <c r="O339" s="135"/>
      <c r="P339" s="135">
        <f>+'KY_Res by Plant Acct-P29 (Reg)'!P341</f>
        <v>0</v>
      </c>
      <c r="Q339" s="135"/>
      <c r="R339" s="135">
        <f>SUM(B339:P339)</f>
        <v>-120.35</v>
      </c>
    </row>
    <row r="340" spans="1:18" outlineLevel="1" x14ac:dyDescent="0.2">
      <c r="A340" s="22" t="s">
        <v>3414</v>
      </c>
      <c r="B340" s="135">
        <f>+'KY_Res by Plant Acct-P29 (Reg)'!B342</f>
        <v>-13414.060000000001</v>
      </c>
      <c r="C340" s="135"/>
      <c r="D340" s="135">
        <f>+'KY_Res by Plant Acct-P29 (Reg)'!D342</f>
        <v>-10904.04</v>
      </c>
      <c r="E340" s="135"/>
      <c r="F340" s="135">
        <f>+'KY_Res by Plant Acct-P29 (Reg)'!F342</f>
        <v>0</v>
      </c>
      <c r="G340" s="135"/>
      <c r="H340" s="135">
        <f>+'KY_Res by Plant Acct-P29 (Reg)'!H342</f>
        <v>0</v>
      </c>
      <c r="I340" s="135"/>
      <c r="J340" s="135">
        <f>+'KY_Res by Plant Acct-P29 (Reg)'!J342</f>
        <v>0</v>
      </c>
      <c r="K340" s="135"/>
      <c r="L340" s="135">
        <f>+'KY_Res by Plant Acct-P29 (Reg)'!L342</f>
        <v>0</v>
      </c>
      <c r="M340" s="135"/>
      <c r="N340" s="135">
        <f>+'KY_Res by Plant Acct-P29 (Reg)'!N342</f>
        <v>0</v>
      </c>
      <c r="O340" s="135"/>
      <c r="P340" s="135">
        <f>+'KY_Res by Plant Acct-P29 (Reg)'!P342</f>
        <v>0</v>
      </c>
      <c r="Q340" s="135"/>
      <c r="R340" s="135">
        <f>SUM(B340:P340)</f>
        <v>-24318.100000000002</v>
      </c>
    </row>
    <row r="341" spans="1:18" outlineLevel="1" x14ac:dyDescent="0.2">
      <c r="A341" s="3" t="s">
        <v>3223</v>
      </c>
      <c r="B341" s="135">
        <f>+'KY_Res by Plant Acct-P29 (Reg)'!B343</f>
        <v>-571669.6</v>
      </c>
      <c r="C341" s="135"/>
      <c r="D341" s="135">
        <f>+'KY_Res by Plant Acct-P29 (Reg)'!D343</f>
        <v>-18214.150000000001</v>
      </c>
      <c r="E341" s="135"/>
      <c r="F341" s="135">
        <f>+'KY_Res by Plant Acct-P29 (Reg)'!F343</f>
        <v>37817.54</v>
      </c>
      <c r="G341" s="135"/>
      <c r="H341" s="135">
        <f>+'KY_Res by Plant Acct-P29 (Reg)'!H343</f>
        <v>0</v>
      </c>
      <c r="I341" s="135"/>
      <c r="J341" s="135">
        <f>+'KY_Res by Plant Acct-P29 (Reg)'!J343</f>
        <v>0</v>
      </c>
      <c r="K341" s="135"/>
      <c r="L341" s="135">
        <f>+'KY_Res by Plant Acct-P29 (Reg)'!L343</f>
        <v>5116.3500000000004</v>
      </c>
      <c r="M341" s="135"/>
      <c r="N341" s="135">
        <f>+'KY_Res by Plant Acct-P29 (Reg)'!N343</f>
        <v>0</v>
      </c>
      <c r="O341" s="135"/>
      <c r="P341" s="135">
        <f>+'KY_Res by Plant Acct-P29 (Reg)'!P343</f>
        <v>0</v>
      </c>
      <c r="Q341" s="135"/>
      <c r="R341" s="135">
        <f t="shared" si="14"/>
        <v>-546949.86</v>
      </c>
    </row>
    <row r="342" spans="1:18" outlineLevel="1" x14ac:dyDescent="0.2">
      <c r="A342" s="3" t="s">
        <v>3415</v>
      </c>
      <c r="B342" s="135">
        <f>+'KY_Res by Plant Acct-P29 (Reg)'!B344</f>
        <v>-107184.34999999998</v>
      </c>
      <c r="C342" s="135"/>
      <c r="D342" s="135">
        <f>+'KY_Res by Plant Acct-P29 (Reg)'!D344</f>
        <v>-2810.4</v>
      </c>
      <c r="E342" s="135"/>
      <c r="F342" s="135">
        <f>+'KY_Res by Plant Acct-P29 (Reg)'!F344</f>
        <v>0</v>
      </c>
      <c r="G342" s="135"/>
      <c r="H342" s="135">
        <f>+'KY_Res by Plant Acct-P29 (Reg)'!H344</f>
        <v>0</v>
      </c>
      <c r="I342" s="135"/>
      <c r="J342" s="135">
        <f>+'KY_Res by Plant Acct-P29 (Reg)'!J344</f>
        <v>0</v>
      </c>
      <c r="K342" s="135"/>
      <c r="L342" s="135">
        <f>+'KY_Res by Plant Acct-P29 (Reg)'!L344</f>
        <v>0</v>
      </c>
      <c r="M342" s="135"/>
      <c r="N342" s="135">
        <f>+'KY_Res by Plant Acct-P29 (Reg)'!N344</f>
        <v>0</v>
      </c>
      <c r="O342" s="135"/>
      <c r="P342" s="135">
        <f>+'KY_Res by Plant Acct-P29 (Reg)'!P344</f>
        <v>0</v>
      </c>
      <c r="Q342" s="135"/>
      <c r="R342" s="135">
        <f t="shared" si="14"/>
        <v>-109994.74999999997</v>
      </c>
    </row>
    <row r="343" spans="1:18" outlineLevel="1" x14ac:dyDescent="0.2">
      <c r="A343" s="3" t="s">
        <v>3416</v>
      </c>
      <c r="B343" s="135">
        <f>+'KY_Res by Plant Acct-P29 (Reg)'!B345</f>
        <v>-336897.15999999992</v>
      </c>
      <c r="C343" s="135"/>
      <c r="D343" s="135">
        <f>+'KY_Res by Plant Acct-P29 (Reg)'!D345</f>
        <v>-4378.2</v>
      </c>
      <c r="E343" s="135"/>
      <c r="F343" s="135">
        <f>+'KY_Res by Plant Acct-P29 (Reg)'!F345</f>
        <v>0</v>
      </c>
      <c r="G343" s="135"/>
      <c r="H343" s="135">
        <f>+'KY_Res by Plant Acct-P29 (Reg)'!H345</f>
        <v>0</v>
      </c>
      <c r="I343" s="135"/>
      <c r="J343" s="135">
        <f>+'KY_Res by Plant Acct-P29 (Reg)'!J345</f>
        <v>0</v>
      </c>
      <c r="K343" s="135"/>
      <c r="L343" s="135">
        <f>+'KY_Res by Plant Acct-P29 (Reg)'!L345</f>
        <v>0</v>
      </c>
      <c r="M343" s="135"/>
      <c r="N343" s="135">
        <f>+'KY_Res by Plant Acct-P29 (Reg)'!N345</f>
        <v>0</v>
      </c>
      <c r="O343" s="135"/>
      <c r="P343" s="135">
        <f>+'KY_Res by Plant Acct-P29 (Reg)'!P345</f>
        <v>0</v>
      </c>
      <c r="Q343" s="135"/>
      <c r="R343" s="135">
        <f t="shared" si="14"/>
        <v>-341275.35999999993</v>
      </c>
    </row>
    <row r="344" spans="1:18" outlineLevel="1" x14ac:dyDescent="0.2">
      <c r="A344" s="3" t="s">
        <v>3417</v>
      </c>
      <c r="B344" s="135">
        <f>+'KY_Res by Plant Acct-P29 (Reg)'!B346</f>
        <v>-3301257.55</v>
      </c>
      <c r="C344" s="135"/>
      <c r="D344" s="135">
        <f>+'KY_Res by Plant Acct-P29 (Reg)'!D346</f>
        <v>-253459.67</v>
      </c>
      <c r="E344" s="135"/>
      <c r="F344" s="135">
        <f>+'KY_Res by Plant Acct-P29 (Reg)'!F346</f>
        <v>41198.51</v>
      </c>
      <c r="G344" s="135"/>
      <c r="H344" s="135">
        <f>+'KY_Res by Plant Acct-P29 (Reg)'!H346</f>
        <v>5812.31</v>
      </c>
      <c r="I344" s="135"/>
      <c r="J344" s="135">
        <f>+'KY_Res by Plant Acct-P29 (Reg)'!J346</f>
        <v>0</v>
      </c>
      <c r="K344" s="135"/>
      <c r="L344" s="135">
        <f>+'KY_Res by Plant Acct-P29 (Reg)'!L346</f>
        <v>0</v>
      </c>
      <c r="M344" s="135"/>
      <c r="N344" s="135">
        <f>+'KY_Res by Plant Acct-P29 (Reg)'!N346</f>
        <v>-2650</v>
      </c>
      <c r="O344" s="135"/>
      <c r="P344" s="135">
        <f>+'KY_Res by Plant Acct-P29 (Reg)'!P346</f>
        <v>0</v>
      </c>
      <c r="Q344" s="135"/>
      <c r="R344" s="135">
        <f t="shared" si="14"/>
        <v>-3510356.4</v>
      </c>
    </row>
    <row r="345" spans="1:18" outlineLevel="1" x14ac:dyDescent="0.2">
      <c r="A345" s="3" t="s">
        <v>3227</v>
      </c>
      <c r="B345" s="135">
        <f>+'KY_Res by Plant Acct-P29 (Reg)'!B347</f>
        <v>-12429.889999999996</v>
      </c>
      <c r="C345" s="135"/>
      <c r="D345" s="135">
        <f>+'KY_Res by Plant Acct-P29 (Reg)'!D347</f>
        <v>-885.84</v>
      </c>
      <c r="E345" s="135"/>
      <c r="F345" s="135">
        <f>+'KY_Res by Plant Acct-P29 (Reg)'!F347</f>
        <v>0</v>
      </c>
      <c r="G345" s="135"/>
      <c r="H345" s="135">
        <f>+'KY_Res by Plant Acct-P29 (Reg)'!H347</f>
        <v>0</v>
      </c>
      <c r="I345" s="135"/>
      <c r="J345" s="135">
        <f>+'KY_Res by Plant Acct-P29 (Reg)'!J347</f>
        <v>0</v>
      </c>
      <c r="K345" s="135"/>
      <c r="L345" s="135">
        <f>+'KY_Res by Plant Acct-P29 (Reg)'!L347</f>
        <v>0</v>
      </c>
      <c r="M345" s="135"/>
      <c r="N345" s="135">
        <f>+'KY_Res by Plant Acct-P29 (Reg)'!N347</f>
        <v>0</v>
      </c>
      <c r="O345" s="135"/>
      <c r="P345" s="135">
        <f>+'KY_Res by Plant Acct-P29 (Reg)'!P347</f>
        <v>0</v>
      </c>
      <c r="Q345" s="135"/>
      <c r="R345" s="135">
        <f t="shared" si="14"/>
        <v>-13315.729999999996</v>
      </c>
    </row>
    <row r="346" spans="1:18" outlineLevel="1" x14ac:dyDescent="0.2">
      <c r="A346" s="3" t="s">
        <v>3228</v>
      </c>
      <c r="B346" s="135">
        <f>+'KY_Res by Plant Acct-P29 (Reg)'!B348</f>
        <v>-1486748.84</v>
      </c>
      <c r="C346" s="135"/>
      <c r="D346" s="135">
        <f>+'KY_Res by Plant Acct-P29 (Reg)'!D348</f>
        <v>-72086.759999999995</v>
      </c>
      <c r="E346" s="135"/>
      <c r="F346" s="135">
        <f>+'KY_Res by Plant Acct-P29 (Reg)'!F348</f>
        <v>0</v>
      </c>
      <c r="G346" s="135"/>
      <c r="H346" s="135">
        <f>+'KY_Res by Plant Acct-P29 (Reg)'!H348</f>
        <v>0</v>
      </c>
      <c r="I346" s="135"/>
      <c r="J346" s="135">
        <f>+'KY_Res by Plant Acct-P29 (Reg)'!J348</f>
        <v>0</v>
      </c>
      <c r="K346" s="135"/>
      <c r="L346" s="135">
        <f>+'KY_Res by Plant Acct-P29 (Reg)'!L348</f>
        <v>0</v>
      </c>
      <c r="M346" s="135"/>
      <c r="N346" s="135">
        <f>+'KY_Res by Plant Acct-P29 (Reg)'!N348</f>
        <v>0</v>
      </c>
      <c r="O346" s="135"/>
      <c r="P346" s="135">
        <f>+'KY_Res by Plant Acct-P29 (Reg)'!P348</f>
        <v>0</v>
      </c>
      <c r="Q346" s="135"/>
      <c r="R346" s="135">
        <f>SUM(B346:P346)</f>
        <v>-1558835.6</v>
      </c>
    </row>
    <row r="347" spans="1:18" outlineLevel="1" x14ac:dyDescent="0.2">
      <c r="A347" s="3" t="s">
        <v>3229</v>
      </c>
      <c r="B347" s="135">
        <f>+'KY_Res by Plant Acct-P29 (Reg)'!B349</f>
        <v>-290574.32</v>
      </c>
      <c r="C347" s="135"/>
      <c r="D347" s="135">
        <f>+'KY_Res by Plant Acct-P29 (Reg)'!D349</f>
        <v>-79815.38</v>
      </c>
      <c r="E347" s="135"/>
      <c r="F347" s="135">
        <f>+'KY_Res by Plant Acct-P29 (Reg)'!F349</f>
        <v>44585.53</v>
      </c>
      <c r="G347" s="135"/>
      <c r="H347" s="135">
        <f>+'KY_Res by Plant Acct-P29 (Reg)'!H349</f>
        <v>2570.3200000000002</v>
      </c>
      <c r="I347" s="135"/>
      <c r="J347" s="135">
        <f>+'KY_Res by Plant Acct-P29 (Reg)'!J349</f>
        <v>0</v>
      </c>
      <c r="K347" s="135"/>
      <c r="L347" s="135">
        <f>+'KY_Res by Plant Acct-P29 (Reg)'!L349</f>
        <v>0</v>
      </c>
      <c r="M347" s="135"/>
      <c r="N347" s="135">
        <f>+'KY_Res by Plant Acct-P29 (Reg)'!N349</f>
        <v>0</v>
      </c>
      <c r="O347" s="135"/>
      <c r="P347" s="135">
        <f>+'KY_Res by Plant Acct-P29 (Reg)'!P349</f>
        <v>0</v>
      </c>
      <c r="Q347" s="135"/>
      <c r="R347" s="135">
        <f t="shared" si="14"/>
        <v>-323233.85000000003</v>
      </c>
    </row>
    <row r="348" spans="1:18" x14ac:dyDescent="0.2">
      <c r="A348" s="3" t="s">
        <v>3230</v>
      </c>
      <c r="B348" s="135">
        <f>SUM(B328:B347)</f>
        <v>-6160153.1299999999</v>
      </c>
      <c r="C348" s="135"/>
      <c r="D348" s="135">
        <f>SUM(D328:D347)</f>
        <v>-541792.27</v>
      </c>
      <c r="E348" s="135"/>
      <c r="F348" s="135">
        <f>SUM(F328:F347)</f>
        <v>123601.58</v>
      </c>
      <c r="G348" s="135"/>
      <c r="H348" s="135">
        <f>SUM(H328:H347)</f>
        <v>8382.630000000001</v>
      </c>
      <c r="I348" s="135"/>
      <c r="J348" s="135">
        <f>SUM(J328:J347)</f>
        <v>0</v>
      </c>
      <c r="K348" s="135"/>
      <c r="L348" s="135">
        <f>SUM(L328:L347)</f>
        <v>5116.3500000000004</v>
      </c>
      <c r="M348" s="135"/>
      <c r="N348" s="135">
        <f>SUM(N328:N347)</f>
        <v>-2650</v>
      </c>
      <c r="O348" s="135"/>
      <c r="P348" s="135">
        <f>SUM(P328:P347)</f>
        <v>0</v>
      </c>
      <c r="Q348" s="135"/>
      <c r="R348" s="135">
        <f>SUM(R328:R347)</f>
        <v>-6567494.8399999999</v>
      </c>
    </row>
    <row r="349" spans="1:18" x14ac:dyDescent="0.2">
      <c r="A349" s="3" t="s">
        <v>3231</v>
      </c>
      <c r="B349" s="135">
        <f>+'KY_Res by Plant Acct-P29 (Reg)'!B351</f>
        <v>-21563814.689999998</v>
      </c>
      <c r="C349" s="135"/>
      <c r="D349" s="135">
        <f>+'KY_Res by Plant Acct-P29 (Reg)'!D351</f>
        <v>-14878816.300000001</v>
      </c>
      <c r="E349" s="135"/>
      <c r="F349" s="135">
        <f>+'KY_Res by Plant Acct-P29 (Reg)'!F351</f>
        <v>765926.26</v>
      </c>
      <c r="G349" s="135"/>
      <c r="H349" s="135">
        <f>+'KY_Res by Plant Acct-P29 (Reg)'!H351</f>
        <v>16140022.1</v>
      </c>
      <c r="I349" s="135"/>
      <c r="J349" s="135">
        <f>+'KY_Res by Plant Acct-P29 (Reg)'!J351</f>
        <v>0</v>
      </c>
      <c r="K349" s="135"/>
      <c r="L349" s="135">
        <f>+'KY_Res by Plant Acct-P29 (Reg)'!L351</f>
        <v>0</v>
      </c>
      <c r="M349" s="135"/>
      <c r="N349" s="135">
        <f>+'KY_Res by Plant Acct-P29 (Reg)'!N351</f>
        <v>0</v>
      </c>
      <c r="O349" s="135"/>
      <c r="P349" s="135">
        <f>+'KY_Res by Plant Acct-P29 (Reg)'!P351</f>
        <v>0</v>
      </c>
      <c r="Q349" s="135"/>
      <c r="R349" s="135">
        <f>SUM(B349:P349)</f>
        <v>-19536682.629999995</v>
      </c>
    </row>
    <row r="350" spans="1:18" x14ac:dyDescent="0.2">
      <c r="A350" s="22" t="s">
        <v>3232</v>
      </c>
      <c r="B350" s="149">
        <f>+'KY_Res by Plant Acct-P29 (Reg)'!B352</f>
        <v>0</v>
      </c>
      <c r="C350" s="135"/>
      <c r="D350" s="149">
        <f>+'KY_Res by Plant Acct-P29 (Reg)'!D352</f>
        <v>-4145442.97</v>
      </c>
      <c r="E350" s="135"/>
      <c r="F350" s="149">
        <f>+'KY_Res by Plant Acct-P29 (Reg)'!F352</f>
        <v>0</v>
      </c>
      <c r="G350" s="135"/>
      <c r="H350" s="149">
        <f>+'KY_Res by Plant Acct-P29 (Reg)'!H352</f>
        <v>-16140022.1</v>
      </c>
      <c r="I350" s="135"/>
      <c r="J350" s="149">
        <f>+'KY_Res by Plant Acct-P29 (Reg)'!J352</f>
        <v>0</v>
      </c>
      <c r="K350" s="135"/>
      <c r="L350" s="149">
        <f>+'KY_Res by Plant Acct-P29 (Reg)'!L352</f>
        <v>0</v>
      </c>
      <c r="M350" s="135"/>
      <c r="N350" s="149">
        <f>+'KY_Res by Plant Acct-P29 (Reg)'!N352</f>
        <v>0</v>
      </c>
      <c r="O350" s="135"/>
      <c r="P350" s="149">
        <f>+'KY_Res by Plant Acct-P29 (Reg)'!P352</f>
        <v>0</v>
      </c>
      <c r="Q350" s="135"/>
      <c r="R350" s="149">
        <f>SUM(B350:P350)</f>
        <v>-20285465.07</v>
      </c>
    </row>
    <row r="351" spans="1:18" x14ac:dyDescent="0.2">
      <c r="B351" s="135">
        <f>B349+B348+B318+B288+B274+B271+B215+B206+B169+B327+B219+B216+B350</f>
        <v>-868545973.66999996</v>
      </c>
      <c r="C351" s="135"/>
      <c r="D351" s="135">
        <f>D349+D348+D318+D288+D274+D271+D215+D206+D169+D327+D219+D216+D350</f>
        <v>-80186938.820000008</v>
      </c>
      <c r="E351" s="135"/>
      <c r="F351" s="135">
        <f>F349+F348+F318+F288+F274+F271+F215+F206+F169+F327+F219+F216+F350</f>
        <v>74287530.469999999</v>
      </c>
      <c r="G351" s="135"/>
      <c r="H351" s="135">
        <f>H349+H348+H318+H288+H274+H271+H215+H206+H169+H327+H219+H216+H350</f>
        <v>76448.429999999702</v>
      </c>
      <c r="I351" s="135"/>
      <c r="J351" s="135">
        <f>J349+J348+J318+J288+J274+J271+J215+J206+J169+J327+J219+J216+J350</f>
        <v>0</v>
      </c>
      <c r="K351" s="135"/>
      <c r="L351" s="135">
        <f>L349+L348+L318+L288+L274+L271+L215+L206+L169+L327+L219+L216+L350</f>
        <v>3641835.22</v>
      </c>
      <c r="M351" s="135"/>
      <c r="N351" s="135">
        <f>N349+N348+N318+N288+N274+N271+N215+N206+N169+N327+N219+N216+N350</f>
        <v>-463028.95</v>
      </c>
      <c r="O351" s="135"/>
      <c r="P351" s="135">
        <f>P349+P348+P318+P288+P274+P271+P215+P206+P169+P327+P219+P216+P350</f>
        <v>-264723.98</v>
      </c>
      <c r="Q351" s="135"/>
      <c r="R351" s="135">
        <f>R349+R348+R318+R288+R274+R271+R215+R206+R169+R327+R219+R216+R350</f>
        <v>-871454851.30000007</v>
      </c>
    </row>
    <row r="352" spans="1:18" x14ac:dyDescent="0.2"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1:18" x14ac:dyDescent="0.2">
      <c r="A353" s="10" t="s">
        <v>24</v>
      </c>
      <c r="B353" s="138"/>
      <c r="C353" s="135"/>
      <c r="D353" s="138"/>
      <c r="E353" s="135"/>
      <c r="F353" s="138"/>
      <c r="G353" s="135"/>
      <c r="H353" s="138"/>
      <c r="I353" s="135"/>
      <c r="J353" s="138"/>
      <c r="K353" s="135"/>
      <c r="L353" s="138"/>
      <c r="M353" s="135"/>
      <c r="N353" s="138"/>
      <c r="O353" s="135"/>
      <c r="P353" s="138"/>
      <c r="Q353" s="135"/>
      <c r="R353" s="138"/>
    </row>
    <row r="354" spans="1:18" x14ac:dyDescent="0.2">
      <c r="A354" s="3" t="s">
        <v>3418</v>
      </c>
      <c r="B354" s="138">
        <f>+'KY_Res by Plant Acct-P29 (Reg)'!B356+'IN_Res by Plant Acct-P30 (Reg)'!B15</f>
        <v>-2965005.2600000002</v>
      </c>
      <c r="C354" s="135"/>
      <c r="D354" s="138">
        <f>+'KY_Res by Plant Acct-P29 (Reg)'!D356+'IN_Res by Plant Acct-P30 (Reg)'!D15</f>
        <v>-128814.72</v>
      </c>
      <c r="E354" s="135"/>
      <c r="F354" s="138">
        <f>+'KY_Res by Plant Acct-P29 (Reg)'!F356+'IN_Res by Plant Acct-P30 (Reg)'!F15</f>
        <v>0</v>
      </c>
      <c r="G354" s="135"/>
      <c r="H354" s="138">
        <f>+'KY_Res by Plant Acct-P29 (Reg)'!H356+'IN_Res by Plant Acct-P30 (Reg)'!H15</f>
        <v>-31.34</v>
      </c>
      <c r="I354" s="135"/>
      <c r="J354" s="138">
        <f>+'KY_Res by Plant Acct-P29 (Reg)'!J356+'IN_Res by Plant Acct-P30 (Reg)'!J15</f>
        <v>0</v>
      </c>
      <c r="K354" s="135"/>
      <c r="L354" s="138">
        <f>+'KY_Res by Plant Acct-P29 (Reg)'!L356+'IN_Res by Plant Acct-P30 (Reg)'!L15</f>
        <v>0</v>
      </c>
      <c r="M354" s="135"/>
      <c r="N354" s="138">
        <f>+'KY_Res by Plant Acct-P29 (Reg)'!N356+'IN_Res by Plant Acct-P30 (Reg)'!N15</f>
        <v>0</v>
      </c>
      <c r="O354" s="135"/>
      <c r="P354" s="138">
        <f>+'KY_Res by Plant Acct-P29 (Reg)'!P356+'IN_Res by Plant Acct-P30 (Reg)'!P15</f>
        <v>0</v>
      </c>
      <c r="Q354" s="135"/>
      <c r="R354" s="135">
        <f>SUM(B354:P354)</f>
        <v>-3093851.3200000003</v>
      </c>
    </row>
    <row r="355" spans="1:18" x14ac:dyDescent="0.2">
      <c r="A355" s="3" t="s">
        <v>3419</v>
      </c>
      <c r="B355" s="138">
        <f>+'KY_Res by Plant Acct-P29 (Reg)'!B357+'IN_Res by Plant Acct-P30 (Reg)'!B16</f>
        <v>0</v>
      </c>
      <c r="C355" s="135"/>
      <c r="D355" s="138">
        <f>+'KY_Res by Plant Acct-P29 (Reg)'!D357+'IN_Res by Plant Acct-P30 (Reg)'!D16</f>
        <v>0</v>
      </c>
      <c r="E355" s="135"/>
      <c r="F355" s="138">
        <f>+'KY_Res by Plant Acct-P29 (Reg)'!F357+'IN_Res by Plant Acct-P30 (Reg)'!F16</f>
        <v>0</v>
      </c>
      <c r="G355" s="135"/>
      <c r="H355" s="138">
        <f>+'KY_Res by Plant Acct-P29 (Reg)'!H357+'IN_Res by Plant Acct-P30 (Reg)'!H16</f>
        <v>26900</v>
      </c>
      <c r="I355" s="135"/>
      <c r="J355" s="138">
        <f>+'KY_Res by Plant Acct-P29 (Reg)'!J357+'IN_Res by Plant Acct-P30 (Reg)'!J16</f>
        <v>0</v>
      </c>
      <c r="K355" s="135"/>
      <c r="L355" s="138">
        <f>+'KY_Res by Plant Acct-P29 (Reg)'!L357+'IN_Res by Plant Acct-P30 (Reg)'!L16</f>
        <v>-26900</v>
      </c>
      <c r="M355" s="135"/>
      <c r="N355" s="138">
        <f>+'KY_Res by Plant Acct-P29 (Reg)'!N357+'IN_Res by Plant Acct-P30 (Reg)'!N16</f>
        <v>0</v>
      </c>
      <c r="O355" s="135"/>
      <c r="P355" s="138">
        <f>+'KY_Res by Plant Acct-P29 (Reg)'!P357+'IN_Res by Plant Acct-P30 (Reg)'!P16</f>
        <v>0</v>
      </c>
      <c r="Q355" s="135"/>
      <c r="R355" s="135">
        <f t="shared" ref="R355:R371" si="16">SUM(B355:P355)</f>
        <v>0</v>
      </c>
    </row>
    <row r="356" spans="1:18" x14ac:dyDescent="0.2">
      <c r="A356" s="3" t="s">
        <v>3420</v>
      </c>
      <c r="B356" s="138">
        <f>+'KY_Res by Plant Acct-P29 (Reg)'!B358+'IN_Res by Plant Acct-P30 (Reg)'!B17</f>
        <v>-1851088.21</v>
      </c>
      <c r="C356" s="135"/>
      <c r="D356" s="138">
        <f>+'KY_Res by Plant Acct-P29 (Reg)'!D358+'IN_Res by Plant Acct-P30 (Reg)'!D17</f>
        <v>-263772.53000000003</v>
      </c>
      <c r="E356" s="135"/>
      <c r="F356" s="138">
        <f>+'KY_Res by Plant Acct-P29 (Reg)'!F358+'IN_Res by Plant Acct-P30 (Reg)'!F17</f>
        <v>70611.929999999993</v>
      </c>
      <c r="G356" s="135"/>
      <c r="H356" s="138">
        <f>+'KY_Res by Plant Acct-P29 (Reg)'!H358+'IN_Res by Plant Acct-P30 (Reg)'!H17</f>
        <v>0</v>
      </c>
      <c r="I356" s="135"/>
      <c r="J356" s="138">
        <f>+'KY_Res by Plant Acct-P29 (Reg)'!J358+'IN_Res by Plant Acct-P30 (Reg)'!J17</f>
        <v>0</v>
      </c>
      <c r="K356" s="135"/>
      <c r="L356" s="138">
        <f>+'KY_Res by Plant Acct-P29 (Reg)'!L358+'IN_Res by Plant Acct-P30 (Reg)'!L17</f>
        <v>965.31999999999994</v>
      </c>
      <c r="M356" s="135"/>
      <c r="N356" s="138">
        <f>+'KY_Res by Plant Acct-P29 (Reg)'!N358+'IN_Res by Plant Acct-P30 (Reg)'!N17</f>
        <v>-13492.08</v>
      </c>
      <c r="O356" s="135"/>
      <c r="P356" s="138">
        <f>+'KY_Res by Plant Acct-P29 (Reg)'!P358+'IN_Res by Plant Acct-P30 (Reg)'!P17</f>
        <v>0</v>
      </c>
      <c r="Q356" s="135"/>
      <c r="R356" s="135">
        <f t="shared" si="16"/>
        <v>-2056775.5700000003</v>
      </c>
    </row>
    <row r="357" spans="1:18" x14ac:dyDescent="0.2">
      <c r="A357" s="3" t="s">
        <v>3236</v>
      </c>
      <c r="B357" s="138">
        <f>+'KY_Res by Plant Acct-P29 (Reg)'!B359</f>
        <v>-84272.069999999992</v>
      </c>
      <c r="C357" s="135"/>
      <c r="D357" s="138">
        <f>+'KY_Res by Plant Acct-P29 (Reg)'!D359</f>
        <v>-3879.48</v>
      </c>
      <c r="E357" s="135"/>
      <c r="F357" s="138">
        <f>+'KY_Res by Plant Acct-P29 (Reg)'!F359</f>
        <v>0</v>
      </c>
      <c r="G357" s="135"/>
      <c r="H357" s="138">
        <f>+'KY_Res by Plant Acct-P29 (Reg)'!H359</f>
        <v>0</v>
      </c>
      <c r="I357" s="135"/>
      <c r="J357" s="138">
        <f>+'KY_Res by Plant Acct-P29 (Reg)'!J359</f>
        <v>0</v>
      </c>
      <c r="K357" s="135"/>
      <c r="L357" s="138">
        <f>+'KY_Res by Plant Acct-P29 (Reg)'!L359</f>
        <v>0</v>
      </c>
      <c r="M357" s="135"/>
      <c r="N357" s="138">
        <f>+'KY_Res by Plant Acct-P29 (Reg)'!N359</f>
        <v>0</v>
      </c>
      <c r="O357" s="135"/>
      <c r="P357" s="138">
        <f>+'KY_Res by Plant Acct-P29 (Reg)'!P359</f>
        <v>0</v>
      </c>
      <c r="Q357" s="135"/>
      <c r="R357" s="135">
        <f t="shared" si="16"/>
        <v>-88151.549999999988</v>
      </c>
    </row>
    <row r="358" spans="1:18" x14ac:dyDescent="0.2">
      <c r="A358" s="3" t="s">
        <v>3421</v>
      </c>
      <c r="B358" s="138">
        <f>+'KY_Res by Plant Acct-P29 (Reg)'!B360</f>
        <v>6.5369931689929217E-13</v>
      </c>
      <c r="C358" s="135"/>
      <c r="D358" s="138">
        <f>+'KY_Res by Plant Acct-P29 (Reg)'!D360</f>
        <v>0</v>
      </c>
      <c r="E358" s="135"/>
      <c r="F358" s="138">
        <f>+'KY_Res by Plant Acct-P29 (Reg)'!F360</f>
        <v>0</v>
      </c>
      <c r="G358" s="135"/>
      <c r="H358" s="138">
        <f>+'KY_Res by Plant Acct-P29 (Reg)'!H360</f>
        <v>0</v>
      </c>
      <c r="I358" s="135"/>
      <c r="J358" s="138">
        <f>+'KY_Res by Plant Acct-P29 (Reg)'!J360</f>
        <v>0</v>
      </c>
      <c r="K358" s="135"/>
      <c r="L358" s="138">
        <f>+'KY_Res by Plant Acct-P29 (Reg)'!L360</f>
        <v>0</v>
      </c>
      <c r="M358" s="135"/>
      <c r="N358" s="138">
        <f>+'KY_Res by Plant Acct-P29 (Reg)'!N360</f>
        <v>0</v>
      </c>
      <c r="O358" s="135"/>
      <c r="P358" s="138">
        <f>+'KY_Res by Plant Acct-P29 (Reg)'!P360</f>
        <v>0</v>
      </c>
      <c r="Q358" s="135"/>
      <c r="R358" s="135">
        <f>SUM(B358:P358)</f>
        <v>6.5369931689929217E-13</v>
      </c>
    </row>
    <row r="359" spans="1:18" x14ac:dyDescent="0.2">
      <c r="A359" s="3" t="s">
        <v>3422</v>
      </c>
      <c r="B359" s="138">
        <f>+'KY_Res by Plant Acct-P29 (Reg)'!B362+'IN_Res by Plant Acct-P30 (Reg)'!B18</f>
        <v>-67432987.720000014</v>
      </c>
      <c r="C359" s="135"/>
      <c r="D359" s="138">
        <f>+'KY_Res by Plant Acct-P29 (Reg)'!D362+'IN_Res by Plant Acct-P30 (Reg)'!D18</f>
        <v>-2586194.8200000003</v>
      </c>
      <c r="E359" s="135"/>
      <c r="F359" s="138">
        <f>+'KY_Res by Plant Acct-P29 (Reg)'!F362+'IN_Res by Plant Acct-P30 (Reg)'!F18</f>
        <v>1387645.07</v>
      </c>
      <c r="G359" s="139"/>
      <c r="H359" s="138">
        <f>+'KY_Res by Plant Acct-P29 (Reg)'!H362+'IN_Res by Plant Acct-P30 (Reg)'!H18</f>
        <v>-152184.9</v>
      </c>
      <c r="I359" s="139"/>
      <c r="J359" s="138">
        <f>+'KY_Res by Plant Acct-P29 (Reg)'!J362+'IN_Res by Plant Acct-P30 (Reg)'!J18</f>
        <v>0</v>
      </c>
      <c r="K359" s="139"/>
      <c r="L359" s="138">
        <f>+'KY_Res by Plant Acct-P29 (Reg)'!L362+'IN_Res by Plant Acct-P30 (Reg)'!L18</f>
        <v>127247.31</v>
      </c>
      <c r="M359" s="139"/>
      <c r="N359" s="138">
        <f>+'KY_Res by Plant Acct-P29 (Reg)'!N362+'IN_Res by Plant Acct-P30 (Reg)'!N18</f>
        <v>-158311.54</v>
      </c>
      <c r="O359" s="135"/>
      <c r="P359" s="138">
        <f>+'KY_Res by Plant Acct-P29 (Reg)'!P362+'IN_Res by Plant Acct-P30 (Reg)'!P18</f>
        <v>26121.49</v>
      </c>
      <c r="Q359" s="135"/>
      <c r="R359" s="135">
        <f t="shared" si="16"/>
        <v>-68788665.110000044</v>
      </c>
    </row>
    <row r="360" spans="1:18" x14ac:dyDescent="0.2">
      <c r="A360" s="3" t="s">
        <v>3240</v>
      </c>
      <c r="B360" s="138">
        <f>+'KY_Res by Plant Acct-P29 (Reg)'!B363</f>
        <v>-25337.720000000118</v>
      </c>
      <c r="C360" s="135"/>
      <c r="D360" s="138">
        <f>+'KY_Res by Plant Acct-P29 (Reg)'!D363</f>
        <v>-8476.68</v>
      </c>
      <c r="E360" s="135"/>
      <c r="F360" s="138">
        <f>+'KY_Res by Plant Acct-P29 (Reg)'!F363</f>
        <v>0</v>
      </c>
      <c r="G360" s="139"/>
      <c r="H360" s="138">
        <f>+'KY_Res by Plant Acct-P29 (Reg)'!H363</f>
        <v>0</v>
      </c>
      <c r="I360" s="139"/>
      <c r="J360" s="138">
        <f>+'KY_Res by Plant Acct-P29 (Reg)'!J363</f>
        <v>0</v>
      </c>
      <c r="K360" s="139"/>
      <c r="L360" s="138">
        <f>+'KY_Res by Plant Acct-P29 (Reg)'!L363</f>
        <v>0</v>
      </c>
      <c r="M360" s="139"/>
      <c r="N360" s="138">
        <f>+'KY_Res by Plant Acct-P29 (Reg)'!N363</f>
        <v>0</v>
      </c>
      <c r="O360" s="135"/>
      <c r="P360" s="138">
        <f>+'KY_Res by Plant Acct-P29 (Reg)'!P363</f>
        <v>0</v>
      </c>
      <c r="Q360" s="135"/>
      <c r="R360" s="135">
        <f t="shared" si="16"/>
        <v>-33814.400000000118</v>
      </c>
    </row>
    <row r="361" spans="1:18" x14ac:dyDescent="0.2">
      <c r="A361" s="3" t="s">
        <v>3241</v>
      </c>
      <c r="B361" s="138">
        <f>+'KY_Res by Plant Acct-P29 (Reg)'!B364</f>
        <v>4726.5500000000757</v>
      </c>
      <c r="C361" s="135"/>
      <c r="D361" s="138">
        <f>+'KY_Res by Plant Acct-P29 (Reg)'!D364</f>
        <v>0</v>
      </c>
      <c r="E361" s="135"/>
      <c r="F361" s="138">
        <f>+'KY_Res by Plant Acct-P29 (Reg)'!F364</f>
        <v>0</v>
      </c>
      <c r="G361" s="139"/>
      <c r="H361" s="138">
        <f>+'KY_Res by Plant Acct-P29 (Reg)'!H364</f>
        <v>0</v>
      </c>
      <c r="I361" s="139"/>
      <c r="J361" s="138">
        <f>+'KY_Res by Plant Acct-P29 (Reg)'!J364</f>
        <v>0</v>
      </c>
      <c r="K361" s="139"/>
      <c r="L361" s="138">
        <f>+'KY_Res by Plant Acct-P29 (Reg)'!L364</f>
        <v>0</v>
      </c>
      <c r="M361" s="139"/>
      <c r="N361" s="138">
        <f>+'KY_Res by Plant Acct-P29 (Reg)'!N364</f>
        <v>0</v>
      </c>
      <c r="O361" s="135"/>
      <c r="P361" s="138">
        <f>+'KY_Res by Plant Acct-P29 (Reg)'!P364</f>
        <v>0</v>
      </c>
      <c r="Q361" s="135"/>
      <c r="R361" s="135">
        <f t="shared" si="16"/>
        <v>4726.5500000000757</v>
      </c>
    </row>
    <row r="362" spans="1:18" x14ac:dyDescent="0.2">
      <c r="A362" s="3" t="s">
        <v>3242</v>
      </c>
      <c r="B362" s="138">
        <f>+'KY_Res by Plant Acct-P29 (Reg)'!B365</f>
        <v>-2.6057023205794394E-10</v>
      </c>
      <c r="C362" s="135"/>
      <c r="D362" s="138">
        <f>+'KY_Res by Plant Acct-P29 (Reg)'!D365</f>
        <v>0</v>
      </c>
      <c r="E362" s="135"/>
      <c r="F362" s="138">
        <f>+'KY_Res by Plant Acct-P29 (Reg)'!F365</f>
        <v>0</v>
      </c>
      <c r="G362" s="139"/>
      <c r="H362" s="138">
        <f>+'KY_Res by Plant Acct-P29 (Reg)'!H365</f>
        <v>0</v>
      </c>
      <c r="I362" s="139"/>
      <c r="J362" s="138">
        <f>+'KY_Res by Plant Acct-P29 (Reg)'!J365</f>
        <v>0</v>
      </c>
      <c r="K362" s="139"/>
      <c r="L362" s="138">
        <f>+'KY_Res by Plant Acct-P29 (Reg)'!L365</f>
        <v>0</v>
      </c>
      <c r="M362" s="139"/>
      <c r="N362" s="138">
        <f>+'KY_Res by Plant Acct-P29 (Reg)'!N365</f>
        <v>0</v>
      </c>
      <c r="O362" s="135"/>
      <c r="P362" s="138">
        <f>+'KY_Res by Plant Acct-P29 (Reg)'!P365</f>
        <v>0</v>
      </c>
      <c r="Q362" s="135"/>
      <c r="R362" s="135">
        <f t="shared" si="16"/>
        <v>-2.6057023205794394E-10</v>
      </c>
    </row>
    <row r="363" spans="1:18" x14ac:dyDescent="0.2">
      <c r="A363" s="3" t="s">
        <v>3243</v>
      </c>
      <c r="B363" s="138">
        <f>+'KY_Res by Plant Acct-P29 (Reg)'!B366</f>
        <v>-9.822542779147625E-11</v>
      </c>
      <c r="C363" s="135"/>
      <c r="D363" s="138">
        <f>+'KY_Res by Plant Acct-P29 (Reg)'!D366</f>
        <v>0</v>
      </c>
      <c r="E363" s="135"/>
      <c r="F363" s="138">
        <f>+'KY_Res by Plant Acct-P29 (Reg)'!F366</f>
        <v>0</v>
      </c>
      <c r="G363" s="139"/>
      <c r="H363" s="138">
        <f>+'KY_Res by Plant Acct-P29 (Reg)'!H366</f>
        <v>0</v>
      </c>
      <c r="I363" s="139"/>
      <c r="J363" s="138">
        <f>+'KY_Res by Plant Acct-P29 (Reg)'!J366</f>
        <v>0</v>
      </c>
      <c r="K363" s="139"/>
      <c r="L363" s="138">
        <f>+'KY_Res by Plant Acct-P29 (Reg)'!L366</f>
        <v>0</v>
      </c>
      <c r="M363" s="139"/>
      <c r="N363" s="138">
        <f>+'KY_Res by Plant Acct-P29 (Reg)'!N366</f>
        <v>0</v>
      </c>
      <c r="O363" s="135"/>
      <c r="P363" s="138">
        <f>+'KY_Res by Plant Acct-P29 (Reg)'!P366</f>
        <v>0</v>
      </c>
      <c r="Q363" s="135"/>
      <c r="R363" s="135">
        <f t="shared" si="16"/>
        <v>-9.822542779147625E-11</v>
      </c>
    </row>
    <row r="364" spans="1:18" x14ac:dyDescent="0.2">
      <c r="A364" s="150" t="s">
        <v>3244</v>
      </c>
      <c r="B364" s="138">
        <f>+'KY_Res by Plant Acct-P29 (Reg)'!B367</f>
        <v>0</v>
      </c>
      <c r="C364" s="138">
        <f>+'KY_Res by Plant Acct-P29 (Reg)'!C367</f>
        <v>0</v>
      </c>
      <c r="D364" s="138">
        <f>+'KY_Res by Plant Acct-P29 (Reg)'!D367</f>
        <v>0</v>
      </c>
      <c r="E364" s="138">
        <f>+'KY_Res by Plant Acct-P29 (Reg)'!E367</f>
        <v>0</v>
      </c>
      <c r="F364" s="138">
        <f>+'KY_Res by Plant Acct-P29 (Reg)'!F367</f>
        <v>0</v>
      </c>
      <c r="G364" s="138">
        <f>+'KY_Res by Plant Acct-P29 (Reg)'!G367</f>
        <v>0</v>
      </c>
      <c r="H364" s="138">
        <f>+'KY_Res by Plant Acct-P29 (Reg)'!H367</f>
        <v>0</v>
      </c>
      <c r="I364" s="138">
        <f>+'KY_Res by Plant Acct-P29 (Reg)'!I367</f>
        <v>0</v>
      </c>
      <c r="J364" s="138">
        <f>+'KY_Res by Plant Acct-P29 (Reg)'!J367</f>
        <v>0</v>
      </c>
      <c r="K364" s="138">
        <f>+'KY_Res by Plant Acct-P29 (Reg)'!K367</f>
        <v>0</v>
      </c>
      <c r="L364" s="138">
        <f>+'KY_Res by Plant Acct-P29 (Reg)'!L367</f>
        <v>0</v>
      </c>
      <c r="M364" s="138">
        <f>+'KY_Res by Plant Acct-P29 (Reg)'!M367</f>
        <v>0</v>
      </c>
      <c r="N364" s="138">
        <f>+'KY_Res by Plant Acct-P29 (Reg)'!N367</f>
        <v>0</v>
      </c>
      <c r="O364" s="138">
        <f>+'KY_Res by Plant Acct-P29 (Reg)'!O367</f>
        <v>0</v>
      </c>
      <c r="P364" s="138">
        <f>+'KY_Res by Plant Acct-P29 (Reg)'!P367</f>
        <v>0</v>
      </c>
      <c r="Q364" s="135"/>
      <c r="R364" s="135">
        <f t="shared" si="16"/>
        <v>0</v>
      </c>
    </row>
    <row r="365" spans="1:18" x14ac:dyDescent="0.2">
      <c r="A365" s="3" t="s">
        <v>3423</v>
      </c>
      <c r="B365" s="138">
        <f>+'KY_Res by Plant Acct-P29 (Reg)'!B368+'IN_Res by Plant Acct-P30 (Reg)'!B19</f>
        <v>-24518154.919999998</v>
      </c>
      <c r="C365" s="135"/>
      <c r="D365" s="138">
        <f>+'KY_Res by Plant Acct-P29 (Reg)'!D368+'IN_Res by Plant Acct-P30 (Reg)'!D19</f>
        <v>-754384.05</v>
      </c>
      <c r="E365" s="135"/>
      <c r="F365" s="138">
        <f>+'KY_Res by Plant Acct-P29 (Reg)'!F368+'IN_Res by Plant Acct-P30 (Reg)'!F19</f>
        <v>189827.35</v>
      </c>
      <c r="G365" s="139"/>
      <c r="H365" s="138">
        <f>+'KY_Res by Plant Acct-P29 (Reg)'!H368+'IN_Res by Plant Acct-P30 (Reg)'!H19</f>
        <v>0</v>
      </c>
      <c r="I365" s="139"/>
      <c r="J365" s="138">
        <f>+'KY_Res by Plant Acct-P29 (Reg)'!J368+'IN_Res by Plant Acct-P30 (Reg)'!J19</f>
        <v>0</v>
      </c>
      <c r="K365" s="139"/>
      <c r="L365" s="138">
        <f>+'KY_Res by Plant Acct-P29 (Reg)'!L368+'IN_Res by Plant Acct-P30 (Reg)'!L19</f>
        <v>75564.600000000006</v>
      </c>
      <c r="M365" s="139"/>
      <c r="N365" s="138">
        <f>+'KY_Res by Plant Acct-P29 (Reg)'!N368+'IN_Res by Plant Acct-P30 (Reg)'!N19</f>
        <v>-3465.83</v>
      </c>
      <c r="O365" s="135"/>
      <c r="P365" s="138">
        <f>+'KY_Res by Plant Acct-P29 (Reg)'!P368+'IN_Res by Plant Acct-P30 (Reg)'!P19</f>
        <v>-7549.63</v>
      </c>
      <c r="Q365" s="135"/>
      <c r="R365" s="135">
        <f t="shared" si="16"/>
        <v>-25018162.479999993</v>
      </c>
    </row>
    <row r="366" spans="1:18" x14ac:dyDescent="0.2">
      <c r="A366" s="3" t="s">
        <v>3424</v>
      </c>
      <c r="B366" s="138">
        <f>+'KY_Res by Plant Acct-P29 (Reg)'!B369+'IN_Res by Plant Acct-P30 (Reg)'!B20</f>
        <v>-22514553.059999999</v>
      </c>
      <c r="C366" s="135"/>
      <c r="D366" s="138">
        <f>+'KY_Res by Plant Acct-P29 (Reg)'!D369+'IN_Res by Plant Acct-P30 (Reg)'!D20</f>
        <v>-2427812.4</v>
      </c>
      <c r="E366" s="135"/>
      <c r="F366" s="138">
        <f>+'KY_Res by Plant Acct-P29 (Reg)'!F369+'IN_Res by Plant Acct-P30 (Reg)'!F20</f>
        <v>389631.44</v>
      </c>
      <c r="G366" s="139"/>
      <c r="H366" s="138">
        <f>+'KY_Res by Plant Acct-P29 (Reg)'!H369+'IN_Res by Plant Acct-P30 (Reg)'!H20</f>
        <v>0</v>
      </c>
      <c r="I366" s="139"/>
      <c r="J366" s="138">
        <f>+'KY_Res by Plant Acct-P29 (Reg)'!J369+'IN_Res by Plant Acct-P30 (Reg)'!J20</f>
        <v>0</v>
      </c>
      <c r="K366" s="139"/>
      <c r="L366" s="138">
        <f>+'KY_Res by Plant Acct-P29 (Reg)'!L369+'IN_Res by Plant Acct-P30 (Reg)'!L20</f>
        <v>561670.54999999993</v>
      </c>
      <c r="M366" s="139"/>
      <c r="N366" s="138">
        <f>+'KY_Res by Plant Acct-P29 (Reg)'!N369+'IN_Res by Plant Acct-P30 (Reg)'!N20</f>
        <v>-1262.01</v>
      </c>
      <c r="O366" s="135"/>
      <c r="P366" s="138">
        <f>+'KY_Res by Plant Acct-P29 (Reg)'!P369+'IN_Res by Plant Acct-P30 (Reg)'!P20</f>
        <v>-21178.57</v>
      </c>
      <c r="Q366" s="135"/>
      <c r="R366" s="135">
        <f t="shared" si="16"/>
        <v>-24013504.049999997</v>
      </c>
    </row>
    <row r="367" spans="1:18" x14ac:dyDescent="0.2">
      <c r="A367" s="3" t="s">
        <v>3425</v>
      </c>
      <c r="B367" s="138">
        <f>+'KY_Res by Plant Acct-P29 (Reg)'!B370+'IN_Res by Plant Acct-P30 (Reg)'!B21</f>
        <v>-27080117.839999992</v>
      </c>
      <c r="C367" s="135"/>
      <c r="D367" s="138">
        <f>+'KY_Res by Plant Acct-P29 (Reg)'!D370+'IN_Res by Plant Acct-P30 (Reg)'!D21</f>
        <v>-1457687.21</v>
      </c>
      <c r="E367" s="135"/>
      <c r="F367" s="138">
        <f>+'KY_Res by Plant Acct-P29 (Reg)'!F370+'IN_Res by Plant Acct-P30 (Reg)'!F21</f>
        <v>379145.06</v>
      </c>
      <c r="G367" s="139"/>
      <c r="H367" s="138">
        <f>+'KY_Res by Plant Acct-P29 (Reg)'!H370+'IN_Res by Plant Acct-P30 (Reg)'!H21</f>
        <v>0</v>
      </c>
      <c r="I367" s="139"/>
      <c r="J367" s="138">
        <f>+'KY_Res by Plant Acct-P29 (Reg)'!J370+'IN_Res by Plant Acct-P30 (Reg)'!J21</f>
        <v>0</v>
      </c>
      <c r="K367" s="139"/>
      <c r="L367" s="138">
        <f>+'KY_Res by Plant Acct-P29 (Reg)'!L370+'IN_Res by Plant Acct-P30 (Reg)'!L21</f>
        <v>992249.55999999994</v>
      </c>
      <c r="M367" s="139"/>
      <c r="N367" s="138">
        <f>+'KY_Res by Plant Acct-P29 (Reg)'!N370+'IN_Res by Plant Acct-P30 (Reg)'!N21</f>
        <v>-3408.49</v>
      </c>
      <c r="O367" s="135"/>
      <c r="P367" s="138">
        <f>+'KY_Res by Plant Acct-P29 (Reg)'!P370+'IN_Res by Plant Acct-P30 (Reg)'!P21</f>
        <v>-191.83</v>
      </c>
      <c r="Q367" s="135"/>
      <c r="R367" s="135">
        <f t="shared" si="16"/>
        <v>-27170010.749999993</v>
      </c>
    </row>
    <row r="368" spans="1:18" x14ac:dyDescent="0.2">
      <c r="A368" s="3" t="s">
        <v>3426</v>
      </c>
      <c r="B368" s="138">
        <f>+'KY_Res by Plant Acct-P29 (Reg)'!B371</f>
        <v>-647630.53999999992</v>
      </c>
      <c r="C368" s="135"/>
      <c r="D368" s="138">
        <f>+'KY_Res by Plant Acct-P29 (Reg)'!D371</f>
        <v>-33530.870000000003</v>
      </c>
      <c r="E368" s="135"/>
      <c r="F368" s="138">
        <f>+'KY_Res by Plant Acct-P29 (Reg)'!F371</f>
        <v>0</v>
      </c>
      <c r="G368" s="139"/>
      <c r="H368" s="138">
        <f>+'KY_Res by Plant Acct-P29 (Reg)'!H371</f>
        <v>70938.92</v>
      </c>
      <c r="I368" s="139"/>
      <c r="J368" s="138">
        <f>+'KY_Res by Plant Acct-P29 (Reg)'!J371</f>
        <v>0</v>
      </c>
      <c r="K368" s="139"/>
      <c r="L368" s="138">
        <f>+'KY_Res by Plant Acct-P29 (Reg)'!L371</f>
        <v>0</v>
      </c>
      <c r="M368" s="139"/>
      <c r="N368" s="138">
        <f>+'KY_Res by Plant Acct-P29 (Reg)'!N371</f>
        <v>0</v>
      </c>
      <c r="O368" s="135"/>
      <c r="P368" s="138">
        <f>+'KY_Res by Plant Acct-P29 (Reg)'!P371</f>
        <v>0</v>
      </c>
      <c r="Q368" s="135"/>
      <c r="R368" s="135">
        <f t="shared" si="16"/>
        <v>-610222.48999999987</v>
      </c>
    </row>
    <row r="369" spans="1:18" x14ac:dyDescent="0.2">
      <c r="A369" s="3" t="s">
        <v>3427</v>
      </c>
      <c r="B369" s="138">
        <f>+'KY_Res by Plant Acct-P29 (Reg)'!B372</f>
        <v>-2917032.37</v>
      </c>
      <c r="C369" s="135"/>
      <c r="D369" s="138">
        <f>+'KY_Res by Plant Acct-P29 (Reg)'!D372</f>
        <v>-220454.2</v>
      </c>
      <c r="E369" s="135"/>
      <c r="F369" s="138">
        <f>+'KY_Res by Plant Acct-P29 (Reg)'!F372</f>
        <v>0</v>
      </c>
      <c r="G369" s="139"/>
      <c r="H369" s="138">
        <f>+'KY_Res by Plant Acct-P29 (Reg)'!H372</f>
        <v>8878.2199999999993</v>
      </c>
      <c r="I369" s="139"/>
      <c r="J369" s="138">
        <f>+'KY_Res by Plant Acct-P29 (Reg)'!J372</f>
        <v>0</v>
      </c>
      <c r="K369" s="139"/>
      <c r="L369" s="138">
        <f>+'KY_Res by Plant Acct-P29 (Reg)'!L372</f>
        <v>0</v>
      </c>
      <c r="M369" s="139"/>
      <c r="N369" s="138">
        <f>+'KY_Res by Plant Acct-P29 (Reg)'!N372</f>
        <v>0</v>
      </c>
      <c r="O369" s="135"/>
      <c r="P369" s="138">
        <f>+'KY_Res by Plant Acct-P29 (Reg)'!P372</f>
        <v>0</v>
      </c>
      <c r="Q369" s="135"/>
      <c r="R369" s="135">
        <f t="shared" si="16"/>
        <v>-3128608.35</v>
      </c>
    </row>
    <row r="370" spans="1:18" x14ac:dyDescent="0.2">
      <c r="A370" s="3" t="s">
        <v>3250</v>
      </c>
      <c r="B370" s="138">
        <f>+'KY_Res by Plant Acct-P29 (Reg)'!B373</f>
        <v>-736.41999999999973</v>
      </c>
      <c r="C370" s="135"/>
      <c r="D370" s="138">
        <f>+'KY_Res by Plant Acct-P29 (Reg)'!D373</f>
        <v>-142.44</v>
      </c>
      <c r="E370" s="135"/>
      <c r="F370" s="138">
        <f>+'KY_Res by Plant Acct-P29 (Reg)'!F373</f>
        <v>0</v>
      </c>
      <c r="G370" s="139"/>
      <c r="H370" s="138">
        <f>+'KY_Res by Plant Acct-P29 (Reg)'!H373</f>
        <v>0</v>
      </c>
      <c r="I370" s="139"/>
      <c r="J370" s="138">
        <f>+'KY_Res by Plant Acct-P29 (Reg)'!J373</f>
        <v>0</v>
      </c>
      <c r="K370" s="139"/>
      <c r="L370" s="138">
        <f>+'KY_Res by Plant Acct-P29 (Reg)'!L373</f>
        <v>0</v>
      </c>
      <c r="M370" s="139"/>
      <c r="N370" s="138">
        <f>+'KY_Res by Plant Acct-P29 (Reg)'!N373</f>
        <v>0</v>
      </c>
      <c r="O370" s="135"/>
      <c r="P370" s="138">
        <f>+'KY_Res by Plant Acct-P29 (Reg)'!P373</f>
        <v>0</v>
      </c>
      <c r="Q370" s="135"/>
      <c r="R370" s="135">
        <f t="shared" si="16"/>
        <v>-878.85999999999967</v>
      </c>
    </row>
    <row r="371" spans="1:18" x14ac:dyDescent="0.2">
      <c r="A371" s="3" t="s">
        <v>3251</v>
      </c>
      <c r="B371" s="149">
        <f>+'KY_Res by Plant Acct-P29 (Reg)'!B374</f>
        <v>-23860.07</v>
      </c>
      <c r="C371" s="135"/>
      <c r="D371" s="149">
        <f>+'KY_Res by Plant Acct-P29 (Reg)'!D374</f>
        <v>-5422.36</v>
      </c>
      <c r="E371" s="135"/>
      <c r="F371" s="149">
        <f>+'KY_Res by Plant Acct-P29 (Reg)'!F374</f>
        <v>0</v>
      </c>
      <c r="G371" s="139"/>
      <c r="H371" s="149">
        <f>+'KY_Res by Plant Acct-P29 (Reg)'!H374</f>
        <v>0</v>
      </c>
      <c r="I371" s="139"/>
      <c r="J371" s="149">
        <f>+'KY_Res by Plant Acct-P29 (Reg)'!J374</f>
        <v>0</v>
      </c>
      <c r="K371" s="139"/>
      <c r="L371" s="149">
        <f>+'KY_Res by Plant Acct-P29 (Reg)'!L374</f>
        <v>0</v>
      </c>
      <c r="M371" s="139"/>
      <c r="N371" s="149">
        <f>+'KY_Res by Plant Acct-P29 (Reg)'!N374</f>
        <v>0</v>
      </c>
      <c r="O371" s="135"/>
      <c r="P371" s="149">
        <f>+'KY_Res by Plant Acct-P29 (Reg)'!P374</f>
        <v>0</v>
      </c>
      <c r="Q371" s="135"/>
      <c r="R371" s="149">
        <f t="shared" si="16"/>
        <v>-29282.43</v>
      </c>
    </row>
    <row r="372" spans="1:18" x14ac:dyDescent="0.2">
      <c r="B372" s="135">
        <f>SUM(B354:B371)</f>
        <v>-150056049.65000001</v>
      </c>
      <c r="C372" s="135"/>
      <c r="D372" s="135">
        <f>SUM(D354:D371)</f>
        <v>-7890571.7600000007</v>
      </c>
      <c r="E372" s="135"/>
      <c r="F372" s="139">
        <f>SUM(F354:F371)</f>
        <v>2416860.85</v>
      </c>
      <c r="G372" s="139"/>
      <c r="H372" s="139">
        <f>SUM(H354:H371)</f>
        <v>-45499.099999999991</v>
      </c>
      <c r="I372" s="139"/>
      <c r="J372" s="139">
        <f>SUM(J354:J371)</f>
        <v>0</v>
      </c>
      <c r="K372" s="139"/>
      <c r="L372" s="139">
        <f>SUM(L354:L371)</f>
        <v>1730797.3399999999</v>
      </c>
      <c r="M372" s="139"/>
      <c r="N372" s="135">
        <f>SUM(N354:N371)</f>
        <v>-179939.94999999998</v>
      </c>
      <c r="O372" s="135"/>
      <c r="P372" s="135">
        <f>SUM(P354:P371)</f>
        <v>-2798.5399999999991</v>
      </c>
      <c r="Q372" s="135"/>
      <c r="R372" s="135">
        <f>SUM(R354:R371)</f>
        <v>-154027200.81000006</v>
      </c>
    </row>
    <row r="373" spans="1:18" x14ac:dyDescent="0.2">
      <c r="B373" s="135"/>
      <c r="C373" s="135"/>
      <c r="D373" s="135"/>
      <c r="E373" s="135"/>
      <c r="F373" s="139"/>
      <c r="G373" s="139"/>
      <c r="H373" s="139"/>
      <c r="I373" s="139"/>
      <c r="J373" s="139"/>
      <c r="K373" s="139"/>
      <c r="L373" s="139"/>
      <c r="M373" s="139"/>
      <c r="N373" s="135"/>
      <c r="O373" s="135"/>
      <c r="P373" s="135"/>
      <c r="Q373" s="135"/>
      <c r="R373" s="135"/>
    </row>
    <row r="374" spans="1:18" x14ac:dyDescent="0.2">
      <c r="B374" s="138"/>
      <c r="C374" s="135"/>
      <c r="D374" s="138"/>
      <c r="E374" s="135"/>
      <c r="F374" s="151"/>
      <c r="G374" s="139"/>
      <c r="H374" s="151"/>
      <c r="I374" s="139"/>
      <c r="J374" s="151"/>
      <c r="K374" s="139"/>
      <c r="L374" s="151"/>
      <c r="M374" s="139"/>
      <c r="N374" s="138"/>
      <c r="O374" s="135"/>
      <c r="P374" s="138"/>
      <c r="Q374" s="135"/>
      <c r="R374" s="138"/>
    </row>
    <row r="375" spans="1:18" ht="13.5" thickBot="1" x14ac:dyDescent="0.25">
      <c r="A375" s="10" t="s">
        <v>3252</v>
      </c>
      <c r="B375" s="143">
        <f>B372+B351+B164+B55+B40+B29</f>
        <v>-1628951035.3799999</v>
      </c>
      <c r="C375" s="135"/>
      <c r="D375" s="143">
        <f>D372+D351+D164+D55+D40+D29</f>
        <v>-140200476.83000004</v>
      </c>
      <c r="E375" s="135"/>
      <c r="F375" s="152">
        <f>F372+F351+F164+F55+F40+F29</f>
        <v>87908239.349999994</v>
      </c>
      <c r="G375" s="139"/>
      <c r="H375" s="152">
        <f>H372+H351+H164+H55+H40+H29</f>
        <v>-266846.47000000032</v>
      </c>
      <c r="I375" s="139"/>
      <c r="J375" s="152">
        <f>J372+J351+J164+J55+J40+J29</f>
        <v>0</v>
      </c>
      <c r="K375" s="139"/>
      <c r="L375" s="152">
        <f>L372+L351+L164+L55+L40+L29</f>
        <v>13008305.449999999</v>
      </c>
      <c r="M375" s="139"/>
      <c r="N375" s="152">
        <f>N372+N351+N164+N55+N40+N29</f>
        <v>-818586.28</v>
      </c>
      <c r="O375" s="135"/>
      <c r="P375" s="143">
        <f>P372+P351+P164+P55+P40+P29</f>
        <v>-980953.86999999988</v>
      </c>
      <c r="Q375" s="135"/>
      <c r="R375" s="143">
        <f>R372+R351+R164+R55+R40+R29</f>
        <v>-1670301354.0300002</v>
      </c>
    </row>
    <row r="376" spans="1:18" ht="13.5" thickTop="1" x14ac:dyDescent="0.2">
      <c r="B376" s="145"/>
      <c r="C376" s="146"/>
      <c r="D376" s="145"/>
      <c r="E376" s="146"/>
      <c r="F376" s="153"/>
      <c r="G376" s="154"/>
      <c r="H376" s="153"/>
      <c r="I376" s="154"/>
      <c r="J376" s="153"/>
      <c r="K376" s="154"/>
      <c r="L376" s="153"/>
      <c r="M376" s="154"/>
      <c r="N376" s="145"/>
      <c r="O376" s="146"/>
      <c r="P376" s="145"/>
      <c r="Q376" s="146"/>
      <c r="R376" s="145"/>
    </row>
    <row r="378" spans="1:18" x14ac:dyDescent="0.2">
      <c r="A378" s="10" t="s">
        <v>21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1:18" x14ac:dyDescent="0.2">
      <c r="A379" s="3" t="s">
        <v>3253</v>
      </c>
      <c r="B379" s="135">
        <f>+'KY_Res by Plant Acct-P29 (Reg)'!B382</f>
        <v>0</v>
      </c>
      <c r="C379" s="135"/>
      <c r="D379" s="135">
        <f>+'KY_Res by Plant Acct-P29 (Reg)'!D382</f>
        <v>0</v>
      </c>
      <c r="E379" s="135"/>
      <c r="F379" s="135">
        <f>+'KY_Res by Plant Acct-P29 (Reg)'!F382</f>
        <v>0</v>
      </c>
      <c r="G379" s="135"/>
      <c r="H379" s="135">
        <f>+'KY_Res by Plant Acct-P29 (Reg)'!H382</f>
        <v>0</v>
      </c>
      <c r="I379" s="135"/>
      <c r="J379" s="135">
        <f>+'KY_Res by Plant Acct-P29 (Reg)'!J382</f>
        <v>0</v>
      </c>
      <c r="K379" s="135"/>
      <c r="L379" s="135">
        <f>+'KY_Res by Plant Acct-P29 (Reg)'!L382</f>
        <v>0</v>
      </c>
      <c r="M379" s="135"/>
      <c r="N379" s="135">
        <f>+'KY_Res by Plant Acct-P29 (Reg)'!N382</f>
        <v>0</v>
      </c>
      <c r="O379" s="135"/>
      <c r="P379" s="135">
        <f>+'KY_Res by Plant Acct-P29 (Reg)'!P382</f>
        <v>0</v>
      </c>
      <c r="Q379" s="135"/>
      <c r="R379" s="135">
        <v>0</v>
      </c>
    </row>
    <row r="380" spans="1:18" x14ac:dyDescent="0.2">
      <c r="A380" s="3" t="s">
        <v>3254</v>
      </c>
      <c r="B380" s="149">
        <f>+'KY_Res by Plant Acct-P29 (Reg)'!B383</f>
        <v>0</v>
      </c>
      <c r="C380" s="135"/>
      <c r="D380" s="149">
        <f>+'KY_Res by Plant Acct-P29 (Reg)'!D383</f>
        <v>0</v>
      </c>
      <c r="E380" s="135"/>
      <c r="F380" s="149">
        <f>+'KY_Res by Plant Acct-P29 (Reg)'!F383</f>
        <v>0</v>
      </c>
      <c r="G380" s="135"/>
      <c r="H380" s="149">
        <f>+'KY_Res by Plant Acct-P29 (Reg)'!H383</f>
        <v>0</v>
      </c>
      <c r="I380" s="135"/>
      <c r="J380" s="149">
        <f>+'KY_Res by Plant Acct-P29 (Reg)'!J383</f>
        <v>0</v>
      </c>
      <c r="K380" s="135"/>
      <c r="L380" s="149">
        <f>+'KY_Res by Plant Acct-P29 (Reg)'!L383</f>
        <v>0</v>
      </c>
      <c r="M380" s="135"/>
      <c r="N380" s="149">
        <f>+'KY_Res by Plant Acct-P29 (Reg)'!N383</f>
        <v>0</v>
      </c>
      <c r="O380" s="135"/>
      <c r="P380" s="149">
        <f>+'KY_Res by Plant Acct-P29 (Reg)'!P383</f>
        <v>0</v>
      </c>
      <c r="Q380" s="135"/>
      <c r="R380" s="149">
        <f>SUM(B380:P380)</f>
        <v>0</v>
      </c>
    </row>
    <row r="381" spans="1:18" x14ac:dyDescent="0.2">
      <c r="B381" s="135">
        <f>SUM(B379:B380)</f>
        <v>0</v>
      </c>
      <c r="C381" s="135"/>
      <c r="D381" s="135">
        <f t="shared" ref="D381:R381" si="17">SUM(D379:D380)</f>
        <v>0</v>
      </c>
      <c r="E381" s="135"/>
      <c r="F381" s="135">
        <f t="shared" si="17"/>
        <v>0</v>
      </c>
      <c r="G381" s="135"/>
      <c r="H381" s="135">
        <f t="shared" si="17"/>
        <v>0</v>
      </c>
      <c r="I381" s="135"/>
      <c r="J381" s="135">
        <f t="shared" si="17"/>
        <v>0</v>
      </c>
      <c r="K381" s="135"/>
      <c r="L381" s="135">
        <f t="shared" si="17"/>
        <v>0</v>
      </c>
      <c r="M381" s="135"/>
      <c r="N381" s="135">
        <f t="shared" si="17"/>
        <v>0</v>
      </c>
      <c r="O381" s="135"/>
      <c r="P381" s="135">
        <f t="shared" si="17"/>
        <v>0</v>
      </c>
      <c r="Q381" s="135"/>
      <c r="R381" s="135">
        <f t="shared" si="17"/>
        <v>0</v>
      </c>
    </row>
    <row r="383" spans="1:18" ht="13.5" thickBot="1" x14ac:dyDescent="0.25">
      <c r="A383" s="10" t="s">
        <v>3255</v>
      </c>
      <c r="B383" s="143">
        <f>B381</f>
        <v>0</v>
      </c>
      <c r="C383" s="135"/>
      <c r="D383" s="143">
        <f>D381</f>
        <v>0</v>
      </c>
      <c r="E383" s="135"/>
      <c r="F383" s="143">
        <f>F381</f>
        <v>0</v>
      </c>
      <c r="G383" s="135"/>
      <c r="H383" s="143">
        <f>H381</f>
        <v>0</v>
      </c>
      <c r="I383" s="135"/>
      <c r="J383" s="143">
        <f>J381</f>
        <v>0</v>
      </c>
      <c r="K383" s="135"/>
      <c r="L383" s="143">
        <f>L381</f>
        <v>0</v>
      </c>
      <c r="M383" s="135"/>
      <c r="N383" s="143">
        <f>N381</f>
        <v>0</v>
      </c>
      <c r="O383" s="135"/>
      <c r="P383" s="143">
        <f>P381</f>
        <v>0</v>
      </c>
      <c r="Q383" s="135"/>
      <c r="R383" s="143">
        <f>R381</f>
        <v>0</v>
      </c>
    </row>
    <row r="384" spans="1:18" ht="13.5" thickTop="1" x14ac:dyDescent="0.2"/>
    <row r="388" spans="1:18" x14ac:dyDescent="0.2">
      <c r="A388" s="10" t="s">
        <v>27</v>
      </c>
      <c r="B388" s="145"/>
      <c r="C388" s="146"/>
      <c r="D388" s="145"/>
      <c r="E388" s="146"/>
      <c r="F388" s="145"/>
      <c r="G388" s="146"/>
      <c r="H388" s="145"/>
      <c r="I388" s="146"/>
      <c r="J388" s="145"/>
      <c r="K388" s="146"/>
      <c r="L388" s="145"/>
      <c r="M388" s="146"/>
      <c r="N388" s="145"/>
      <c r="O388" s="146"/>
      <c r="P388" s="145"/>
      <c r="Q388" s="146"/>
      <c r="R388" s="145"/>
    </row>
    <row r="389" spans="1:18" x14ac:dyDescent="0.2">
      <c r="A389" s="3" t="s">
        <v>3256</v>
      </c>
      <c r="B389" s="138">
        <f>+'KY_Res by Plant Acct-P29 (Reg)'!B392</f>
        <v>1.6058265828178264E-12</v>
      </c>
      <c r="C389" s="135"/>
      <c r="D389" s="138">
        <f>+'KY_Res by Plant Acct-P29 (Reg)'!D392</f>
        <v>0</v>
      </c>
      <c r="E389" s="135"/>
      <c r="F389" s="138">
        <f>+'KY_Res by Plant Acct-P29 (Reg)'!F392</f>
        <v>0</v>
      </c>
      <c r="G389" s="135"/>
      <c r="H389" s="138">
        <f>+'KY_Res by Plant Acct-P29 (Reg)'!H392</f>
        <v>0</v>
      </c>
      <c r="I389" s="135"/>
      <c r="J389" s="138">
        <f>+'KY_Res by Plant Acct-P29 (Reg)'!J392</f>
        <v>0</v>
      </c>
      <c r="K389" s="135"/>
      <c r="L389" s="138">
        <f>+'KY_Res by Plant Acct-P29 (Reg)'!L392</f>
        <v>0</v>
      </c>
      <c r="M389" s="135"/>
      <c r="N389" s="138">
        <f>+'KY_Res by Plant Acct-P29 (Reg)'!N392</f>
        <v>0</v>
      </c>
      <c r="O389" s="135"/>
      <c r="P389" s="138">
        <f>+'KY_Res by Plant Acct-P29 (Reg)'!P392</f>
        <v>0</v>
      </c>
      <c r="Q389" s="135"/>
      <c r="R389" s="138">
        <f t="shared" ref="R389:R404" si="18">SUM(B389:P389)</f>
        <v>1.6058265828178264E-12</v>
      </c>
    </row>
    <row r="390" spans="1:18" x14ac:dyDescent="0.2">
      <c r="A390" s="3" t="s">
        <v>3257</v>
      </c>
      <c r="B390" s="138">
        <f>+'KY_Res by Plant Acct-P29 (Reg)'!B393</f>
        <v>-77439.69</v>
      </c>
      <c r="C390" s="135"/>
      <c r="D390" s="138">
        <f>+'KY_Res by Plant Acct-P29 (Reg)'!D393</f>
        <v>0</v>
      </c>
      <c r="E390" s="135"/>
      <c r="F390" s="138">
        <f>+'KY_Res by Plant Acct-P29 (Reg)'!F393</f>
        <v>0</v>
      </c>
      <c r="G390" s="135"/>
      <c r="H390" s="138">
        <f>+'KY_Res by Plant Acct-P29 (Reg)'!H393</f>
        <v>0</v>
      </c>
      <c r="I390" s="135"/>
      <c r="J390" s="138">
        <f>+'KY_Res by Plant Acct-P29 (Reg)'!J393</f>
        <v>0</v>
      </c>
      <c r="K390" s="135"/>
      <c r="L390" s="138">
        <f>+'KY_Res by Plant Acct-P29 (Reg)'!L393</f>
        <v>0</v>
      </c>
      <c r="M390" s="135"/>
      <c r="N390" s="138">
        <f>+'KY_Res by Plant Acct-P29 (Reg)'!N393</f>
        <v>0</v>
      </c>
      <c r="O390" s="135"/>
      <c r="P390" s="138">
        <f>+'KY_Res by Plant Acct-P29 (Reg)'!P393</f>
        <v>0</v>
      </c>
      <c r="Q390" s="135"/>
      <c r="R390" s="138">
        <f t="shared" si="18"/>
        <v>-77439.69</v>
      </c>
    </row>
    <row r="391" spans="1:18" x14ac:dyDescent="0.2">
      <c r="A391" s="3" t="s">
        <v>3428</v>
      </c>
      <c r="B391" s="138">
        <f>+'KY_Res by Plant Acct-P29 (Reg)'!B394</f>
        <v>-84213.340000000026</v>
      </c>
      <c r="C391" s="135"/>
      <c r="D391" s="138">
        <f>+'KY_Res by Plant Acct-P29 (Reg)'!D394</f>
        <v>-7289.76</v>
      </c>
      <c r="E391" s="135"/>
      <c r="F391" s="138">
        <f>+'KY_Res by Plant Acct-P29 (Reg)'!F394</f>
        <v>597.48</v>
      </c>
      <c r="G391" s="139"/>
      <c r="H391" s="138">
        <f>+'KY_Res by Plant Acct-P29 (Reg)'!H394</f>
        <v>0</v>
      </c>
      <c r="I391" s="139"/>
      <c r="J391" s="138">
        <f>+'KY_Res by Plant Acct-P29 (Reg)'!J394</f>
        <v>0</v>
      </c>
      <c r="K391" s="139"/>
      <c r="L391" s="138">
        <f>+'KY_Res by Plant Acct-P29 (Reg)'!L394</f>
        <v>780.63</v>
      </c>
      <c r="M391" s="139"/>
      <c r="N391" s="138">
        <f>+'KY_Res by Plant Acct-P29 (Reg)'!N394</f>
        <v>0</v>
      </c>
      <c r="O391" s="135"/>
      <c r="P391" s="138">
        <f>+'KY_Res by Plant Acct-P29 (Reg)'!P394</f>
        <v>0</v>
      </c>
      <c r="Q391" s="135"/>
      <c r="R391" s="138">
        <f t="shared" si="18"/>
        <v>-90124.99000000002</v>
      </c>
    </row>
    <row r="392" spans="1:18" x14ac:dyDescent="0.2">
      <c r="A392" s="3" t="s">
        <v>3259</v>
      </c>
      <c r="B392" s="138">
        <f>+'KY_Res by Plant Acct-P29 (Reg)'!B395</f>
        <v>-236075.32</v>
      </c>
      <c r="C392" s="135"/>
      <c r="D392" s="138">
        <f>+'KY_Res by Plant Acct-P29 (Reg)'!D395</f>
        <v>-34462.93</v>
      </c>
      <c r="E392" s="135"/>
      <c r="F392" s="138">
        <f>+'KY_Res by Plant Acct-P29 (Reg)'!F395</f>
        <v>3808.67</v>
      </c>
      <c r="G392" s="139"/>
      <c r="H392" s="138">
        <f>+'KY_Res by Plant Acct-P29 (Reg)'!H395</f>
        <v>-1025.9000000000001</v>
      </c>
      <c r="I392" s="139"/>
      <c r="J392" s="138">
        <f>+'KY_Res by Plant Acct-P29 (Reg)'!J395</f>
        <v>0</v>
      </c>
      <c r="K392" s="139"/>
      <c r="L392" s="138">
        <f>+'KY_Res by Plant Acct-P29 (Reg)'!L395</f>
        <v>0</v>
      </c>
      <c r="M392" s="139"/>
      <c r="N392" s="138">
        <f>+'KY_Res by Plant Acct-P29 (Reg)'!N395</f>
        <v>0</v>
      </c>
      <c r="O392" s="135"/>
      <c r="P392" s="138">
        <f>+'KY_Res by Plant Acct-P29 (Reg)'!P395</f>
        <v>0</v>
      </c>
      <c r="Q392" s="135"/>
      <c r="R392" s="138">
        <f t="shared" si="18"/>
        <v>-267755.48000000004</v>
      </c>
    </row>
    <row r="393" spans="1:18" x14ac:dyDescent="0.2">
      <c r="A393" s="3" t="s">
        <v>3260</v>
      </c>
      <c r="B393" s="138">
        <f>+'KY_Res by Plant Acct-P29 (Reg)'!B396</f>
        <v>-121465792.15999998</v>
      </c>
      <c r="C393" s="135"/>
      <c r="D393" s="138">
        <f>+'KY_Res by Plant Acct-P29 (Reg)'!D396</f>
        <v>-6468862.3499999996</v>
      </c>
      <c r="E393" s="135"/>
      <c r="F393" s="138">
        <f>+'KY_Res by Plant Acct-P29 (Reg)'!F396</f>
        <v>309953.23</v>
      </c>
      <c r="G393" s="139"/>
      <c r="H393" s="138">
        <f>+'KY_Res by Plant Acct-P29 (Reg)'!H396</f>
        <v>0</v>
      </c>
      <c r="I393" s="139"/>
      <c r="J393" s="138">
        <f>+'KY_Res by Plant Acct-P29 (Reg)'!J396</f>
        <v>0</v>
      </c>
      <c r="K393" s="139"/>
      <c r="L393" s="138">
        <f>+'KY_Res by Plant Acct-P29 (Reg)'!L396</f>
        <v>413585.53</v>
      </c>
      <c r="M393" s="139"/>
      <c r="N393" s="138">
        <f>+'KY_Res by Plant Acct-P29 (Reg)'!N396</f>
        <v>0</v>
      </c>
      <c r="O393" s="135"/>
      <c r="P393" s="138">
        <f>+'KY_Res by Plant Acct-P29 (Reg)'!P396</f>
        <v>4945.8599999999997</v>
      </c>
      <c r="Q393" s="135"/>
      <c r="R393" s="138">
        <f t="shared" si="18"/>
        <v>-127206169.88999997</v>
      </c>
    </row>
    <row r="394" spans="1:18" x14ac:dyDescent="0.2">
      <c r="A394" s="22" t="s">
        <v>3261</v>
      </c>
      <c r="B394" s="138">
        <f>+'KY_Res by Plant Acct-P29 (Reg)'!B397</f>
        <v>-1706570.2</v>
      </c>
      <c r="C394" s="135"/>
      <c r="D394" s="138">
        <f>+'KY_Res by Plant Acct-P29 (Reg)'!D397</f>
        <v>-966627.44</v>
      </c>
      <c r="E394" s="135"/>
      <c r="F394" s="138">
        <f>+'KY_Res by Plant Acct-P29 (Reg)'!F397</f>
        <v>0</v>
      </c>
      <c r="G394" s="139"/>
      <c r="H394" s="138">
        <f>+'KY_Res by Plant Acct-P29 (Reg)'!H397</f>
        <v>0</v>
      </c>
      <c r="I394" s="139"/>
      <c r="J394" s="138">
        <f>+'KY_Res by Plant Acct-P29 (Reg)'!J397</f>
        <v>0</v>
      </c>
      <c r="K394" s="139"/>
      <c r="L394" s="138">
        <f>+'KY_Res by Plant Acct-P29 (Reg)'!L397</f>
        <v>0</v>
      </c>
      <c r="M394" s="139"/>
      <c r="N394" s="138">
        <f>+'KY_Res by Plant Acct-P29 (Reg)'!N397</f>
        <v>0</v>
      </c>
      <c r="O394" s="135"/>
      <c r="P394" s="138">
        <f>+'KY_Res by Plant Acct-P29 (Reg)'!P397</f>
        <v>0</v>
      </c>
      <c r="Q394" s="135"/>
      <c r="R394" s="138">
        <f>SUM(B394:P394)</f>
        <v>-2673197.6399999997</v>
      </c>
    </row>
    <row r="395" spans="1:18" x14ac:dyDescent="0.2">
      <c r="A395" s="3" t="s">
        <v>3262</v>
      </c>
      <c r="B395" s="138">
        <f>+'KY_Res by Plant Acct-P29 (Reg)'!B398</f>
        <v>-2057282.9500000004</v>
      </c>
      <c r="C395" s="135"/>
      <c r="D395" s="138">
        <f>+'KY_Res by Plant Acct-P29 (Reg)'!D398</f>
        <v>-490303.87</v>
      </c>
      <c r="E395" s="135"/>
      <c r="F395" s="138">
        <f>+'KY_Res by Plant Acct-P29 (Reg)'!F398</f>
        <v>87472.57</v>
      </c>
      <c r="G395" s="139"/>
      <c r="H395" s="138">
        <f>+'KY_Res by Plant Acct-P29 (Reg)'!H398</f>
        <v>0</v>
      </c>
      <c r="I395" s="139"/>
      <c r="J395" s="138">
        <f>+'KY_Res by Plant Acct-P29 (Reg)'!J398</f>
        <v>0</v>
      </c>
      <c r="K395" s="139"/>
      <c r="L395" s="138">
        <f>+'KY_Res by Plant Acct-P29 (Reg)'!L398</f>
        <v>21864.98</v>
      </c>
      <c r="M395" s="139"/>
      <c r="N395" s="138">
        <f>+'KY_Res by Plant Acct-P29 (Reg)'!N398</f>
        <v>-9.25</v>
      </c>
      <c r="O395" s="135"/>
      <c r="P395" s="138">
        <f>+'KY_Res by Plant Acct-P29 (Reg)'!P398</f>
        <v>0</v>
      </c>
      <c r="Q395" s="135"/>
      <c r="R395" s="138">
        <f t="shared" si="18"/>
        <v>-2438258.5200000005</v>
      </c>
    </row>
    <row r="396" spans="1:18" x14ac:dyDescent="0.2">
      <c r="A396" s="3" t="s">
        <v>3429</v>
      </c>
      <c r="B396" s="138">
        <f>+'KY_Res by Plant Acct-P29 (Reg)'!B399</f>
        <v>-1215347.4999999995</v>
      </c>
      <c r="C396" s="135"/>
      <c r="D396" s="138">
        <f>+'KY_Res by Plant Acct-P29 (Reg)'!D399</f>
        <v>-157464.24</v>
      </c>
      <c r="E396" s="135"/>
      <c r="F396" s="138">
        <f>+'KY_Res by Plant Acct-P29 (Reg)'!F399</f>
        <v>24883.53</v>
      </c>
      <c r="G396" s="139"/>
      <c r="H396" s="138">
        <f>+'KY_Res by Plant Acct-P29 (Reg)'!H399</f>
        <v>0</v>
      </c>
      <c r="I396" s="139"/>
      <c r="J396" s="138">
        <f>+'KY_Res by Plant Acct-P29 (Reg)'!J399</f>
        <v>0</v>
      </c>
      <c r="K396" s="139"/>
      <c r="L396" s="138">
        <f>+'KY_Res by Plant Acct-P29 (Reg)'!L399</f>
        <v>47161.63</v>
      </c>
      <c r="M396" s="139"/>
      <c r="N396" s="138">
        <f>+'KY_Res by Plant Acct-P29 (Reg)'!N399</f>
        <v>0</v>
      </c>
      <c r="O396" s="135"/>
      <c r="P396" s="138">
        <f>+'KY_Res by Plant Acct-P29 (Reg)'!P399</f>
        <v>0</v>
      </c>
      <c r="Q396" s="135"/>
      <c r="R396" s="138">
        <f t="shared" si="18"/>
        <v>-1300766.5799999996</v>
      </c>
    </row>
    <row r="397" spans="1:18" x14ac:dyDescent="0.2">
      <c r="A397" s="3" t="s">
        <v>3264</v>
      </c>
      <c r="B397" s="138">
        <f>+'KY_Res by Plant Acct-P29 (Reg)'!B400</f>
        <v>-86959304.530000016</v>
      </c>
      <c r="C397" s="135"/>
      <c r="D397" s="138">
        <f>+'KY_Res by Plant Acct-P29 (Reg)'!D400</f>
        <v>-7670175.4900000002</v>
      </c>
      <c r="E397" s="135"/>
      <c r="F397" s="138">
        <f>+'KY_Res by Plant Acct-P29 (Reg)'!F400</f>
        <v>7034482.9400000004</v>
      </c>
      <c r="G397" s="139"/>
      <c r="H397" s="138">
        <f>+'KY_Res by Plant Acct-P29 (Reg)'!H400</f>
        <v>0</v>
      </c>
      <c r="I397" s="139"/>
      <c r="J397" s="138">
        <f>+'KY_Res by Plant Acct-P29 (Reg)'!J400</f>
        <v>0</v>
      </c>
      <c r="K397" s="139"/>
      <c r="L397" s="138">
        <f>+'KY_Res by Plant Acct-P29 (Reg)'!L400</f>
        <v>1550883.99</v>
      </c>
      <c r="M397" s="139"/>
      <c r="N397" s="138">
        <f>+'KY_Res by Plant Acct-P29 (Reg)'!N400</f>
        <v>0</v>
      </c>
      <c r="O397" s="135"/>
      <c r="P397" s="138">
        <f>+'KY_Res by Plant Acct-P29 (Reg)'!P400</f>
        <v>0</v>
      </c>
      <c r="Q397" s="135"/>
      <c r="R397" s="138">
        <f t="shared" si="18"/>
        <v>-86044113.090000018</v>
      </c>
    </row>
    <row r="398" spans="1:18" x14ac:dyDescent="0.2">
      <c r="A398" s="22" t="s">
        <v>3265</v>
      </c>
      <c r="B398" s="138">
        <f>+'KY_Res by Plant Acct-P29 (Reg)'!B401</f>
        <v>-6280935.3800000008</v>
      </c>
      <c r="C398" s="135"/>
      <c r="D398" s="138">
        <f>+'KY_Res by Plant Acct-P29 (Reg)'!D401</f>
        <v>-5397907.9299999997</v>
      </c>
      <c r="E398" s="135"/>
      <c r="F398" s="138">
        <f>+'KY_Res by Plant Acct-P29 (Reg)'!F401</f>
        <v>0</v>
      </c>
      <c r="G398" s="139"/>
      <c r="H398" s="138">
        <f>+'KY_Res by Plant Acct-P29 (Reg)'!H401</f>
        <v>0</v>
      </c>
      <c r="I398" s="139"/>
      <c r="J398" s="138">
        <f>+'KY_Res by Plant Acct-P29 (Reg)'!J401</f>
        <v>0</v>
      </c>
      <c r="K398" s="139"/>
      <c r="L398" s="138">
        <f>+'KY_Res by Plant Acct-P29 (Reg)'!L401</f>
        <v>0</v>
      </c>
      <c r="M398" s="139"/>
      <c r="N398" s="138">
        <f>+'KY_Res by Plant Acct-P29 (Reg)'!N401</f>
        <v>0</v>
      </c>
      <c r="O398" s="135"/>
      <c r="P398" s="138">
        <f>+'KY_Res by Plant Acct-P29 (Reg)'!P401</f>
        <v>0</v>
      </c>
      <c r="Q398" s="135"/>
      <c r="R398" s="138">
        <f>SUM(B398:P398)</f>
        <v>-11678843.310000001</v>
      </c>
    </row>
    <row r="399" spans="1:18" x14ac:dyDescent="0.2">
      <c r="A399" s="3" t="s">
        <v>3266</v>
      </c>
      <c r="B399" s="138">
        <f>+'KY_Res by Plant Acct-P29 (Reg)'!B402</f>
        <v>-12193326.890000002</v>
      </c>
      <c r="C399" s="135"/>
      <c r="D399" s="138">
        <f>+'KY_Res by Plant Acct-P29 (Reg)'!D402</f>
        <v>-1923297.97</v>
      </c>
      <c r="E399" s="135"/>
      <c r="F399" s="138">
        <f>+'KY_Res by Plant Acct-P29 (Reg)'!F402</f>
        <v>846588.36</v>
      </c>
      <c r="G399" s="139"/>
      <c r="H399" s="138">
        <f>+'KY_Res by Plant Acct-P29 (Reg)'!H402</f>
        <v>0</v>
      </c>
      <c r="I399" s="139"/>
      <c r="J399" s="138">
        <f>+'KY_Res by Plant Acct-P29 (Reg)'!J402</f>
        <v>0</v>
      </c>
      <c r="K399" s="139"/>
      <c r="L399" s="138">
        <f>+'KY_Res by Plant Acct-P29 (Reg)'!L402</f>
        <v>308286.78000000003</v>
      </c>
      <c r="M399" s="139"/>
      <c r="N399" s="138">
        <f>+'KY_Res by Plant Acct-P29 (Reg)'!N402</f>
        <v>-2541.2199999999998</v>
      </c>
      <c r="O399" s="135"/>
      <c r="P399" s="138">
        <f>+'KY_Res by Plant Acct-P29 (Reg)'!P402</f>
        <v>0</v>
      </c>
      <c r="Q399" s="135"/>
      <c r="R399" s="138">
        <f t="shared" si="18"/>
        <v>-12964290.940000005</v>
      </c>
    </row>
    <row r="400" spans="1:18" x14ac:dyDescent="0.2">
      <c r="A400" s="3" t="s">
        <v>3267</v>
      </c>
      <c r="B400" s="138">
        <f>+'KY_Res by Plant Acct-P29 (Reg)'!B403</f>
        <v>-3593862.24</v>
      </c>
      <c r="C400" s="135"/>
      <c r="D400" s="138">
        <f>+'KY_Res by Plant Acct-P29 (Reg)'!D403</f>
        <v>-1049809.74</v>
      </c>
      <c r="E400" s="135"/>
      <c r="F400" s="138">
        <f>+'KY_Res by Plant Acct-P29 (Reg)'!F403</f>
        <v>183921.28</v>
      </c>
      <c r="G400" s="139"/>
      <c r="H400" s="138">
        <f>+'KY_Res by Plant Acct-P29 (Reg)'!H403</f>
        <v>0</v>
      </c>
      <c r="I400" s="139"/>
      <c r="J400" s="138">
        <f>+'KY_Res by Plant Acct-P29 (Reg)'!J403</f>
        <v>0</v>
      </c>
      <c r="K400" s="139"/>
      <c r="L400" s="138">
        <f>+'KY_Res by Plant Acct-P29 (Reg)'!L403</f>
        <v>0</v>
      </c>
      <c r="M400" s="139"/>
      <c r="N400" s="138">
        <f>+'KY_Res by Plant Acct-P29 (Reg)'!N403</f>
        <v>0</v>
      </c>
      <c r="O400" s="135"/>
      <c r="P400" s="138">
        <f>+'KY_Res by Plant Acct-P29 (Reg)'!P403</f>
        <v>0</v>
      </c>
      <c r="Q400" s="135"/>
      <c r="R400" s="138">
        <f t="shared" si="18"/>
        <v>-4459750.7</v>
      </c>
    </row>
    <row r="401" spans="1:18" x14ac:dyDescent="0.2">
      <c r="A401" s="3" t="s">
        <v>3268</v>
      </c>
      <c r="B401" s="138">
        <f>+'KY_Res by Plant Acct-P29 (Reg)'!B404</f>
        <v>-189279.78</v>
      </c>
      <c r="C401" s="135"/>
      <c r="D401" s="138">
        <f>+'KY_Res by Plant Acct-P29 (Reg)'!D404</f>
        <v>-27379.56</v>
      </c>
      <c r="E401" s="135"/>
      <c r="F401" s="138">
        <f>+'KY_Res by Plant Acct-P29 (Reg)'!F404</f>
        <v>0</v>
      </c>
      <c r="G401" s="139"/>
      <c r="H401" s="138">
        <f>+'KY_Res by Plant Acct-P29 (Reg)'!H404</f>
        <v>0</v>
      </c>
      <c r="I401" s="139"/>
      <c r="J401" s="138">
        <f>+'KY_Res by Plant Acct-P29 (Reg)'!J404</f>
        <v>0</v>
      </c>
      <c r="K401" s="139"/>
      <c r="L401" s="138">
        <f>+'KY_Res by Plant Acct-P29 (Reg)'!L404</f>
        <v>0</v>
      </c>
      <c r="M401" s="139"/>
      <c r="N401" s="138">
        <f>+'KY_Res by Plant Acct-P29 (Reg)'!N404</f>
        <v>0</v>
      </c>
      <c r="O401" s="135"/>
      <c r="P401" s="138">
        <f>+'KY_Res by Plant Acct-P29 (Reg)'!P404</f>
        <v>0</v>
      </c>
      <c r="Q401" s="135"/>
      <c r="R401" s="138">
        <f t="shared" si="18"/>
        <v>-216659.34</v>
      </c>
    </row>
    <row r="402" spans="1:18" x14ac:dyDescent="0.2">
      <c r="A402" s="3" t="s">
        <v>3269</v>
      </c>
      <c r="B402" s="138">
        <f>+'KY_Res by Plant Acct-P29 (Reg)'!B405</f>
        <v>-26030.78</v>
      </c>
      <c r="C402" s="135"/>
      <c r="D402" s="138">
        <f>+'KY_Res by Plant Acct-P29 (Reg)'!D405</f>
        <v>-1420.92</v>
      </c>
      <c r="E402" s="135"/>
      <c r="F402" s="138">
        <f>+'KY_Res by Plant Acct-P29 (Reg)'!F405</f>
        <v>0</v>
      </c>
      <c r="G402" s="139"/>
      <c r="H402" s="138">
        <f>+'KY_Res by Plant Acct-P29 (Reg)'!H405</f>
        <v>0</v>
      </c>
      <c r="I402" s="139"/>
      <c r="J402" s="138">
        <f>+'KY_Res by Plant Acct-P29 (Reg)'!J405</f>
        <v>0</v>
      </c>
      <c r="K402" s="139"/>
      <c r="L402" s="138">
        <f>+'KY_Res by Plant Acct-P29 (Reg)'!L405</f>
        <v>0</v>
      </c>
      <c r="M402" s="139"/>
      <c r="N402" s="138">
        <f>+'KY_Res by Plant Acct-P29 (Reg)'!N405</f>
        <v>0</v>
      </c>
      <c r="O402" s="135"/>
      <c r="P402" s="138">
        <f>+'KY_Res by Plant Acct-P29 (Reg)'!P405</f>
        <v>0</v>
      </c>
      <c r="Q402" s="135"/>
      <c r="R402" s="138">
        <f t="shared" si="18"/>
        <v>-27451.699999999997</v>
      </c>
    </row>
    <row r="403" spans="1:18" x14ac:dyDescent="0.2">
      <c r="A403" s="3" t="s">
        <v>3270</v>
      </c>
      <c r="B403" s="135">
        <f>+'KY_Res by Plant Acct-P29 (Reg)'!B406</f>
        <v>-302.84000000000003</v>
      </c>
      <c r="C403" s="135"/>
      <c r="D403" s="135">
        <f>+'KY_Res by Plant Acct-P29 (Reg)'!D406</f>
        <v>-298.87</v>
      </c>
      <c r="E403" s="135"/>
      <c r="F403" s="135">
        <f>+'KY_Res by Plant Acct-P29 (Reg)'!F406</f>
        <v>0</v>
      </c>
      <c r="G403" s="139"/>
      <c r="H403" s="135">
        <f>+'KY_Res by Plant Acct-P29 (Reg)'!H406</f>
        <v>0</v>
      </c>
      <c r="I403" s="139"/>
      <c r="J403" s="135">
        <f>+'KY_Res by Plant Acct-P29 (Reg)'!J406</f>
        <v>0</v>
      </c>
      <c r="K403" s="139"/>
      <c r="L403" s="135">
        <f>+'KY_Res by Plant Acct-P29 (Reg)'!L406</f>
        <v>0</v>
      </c>
      <c r="M403" s="139"/>
      <c r="N403" s="135">
        <f>+'KY_Res by Plant Acct-P29 (Reg)'!N406</f>
        <v>0</v>
      </c>
      <c r="O403" s="135"/>
      <c r="P403" s="135">
        <f>+'KY_Res by Plant Acct-P29 (Reg)'!P406</f>
        <v>0</v>
      </c>
      <c r="Q403" s="135"/>
      <c r="R403" s="138">
        <f t="shared" si="18"/>
        <v>-601.71</v>
      </c>
    </row>
    <row r="404" spans="1:18" x14ac:dyDescent="0.2">
      <c r="A404" s="3" t="s">
        <v>3271</v>
      </c>
      <c r="B404" s="147">
        <f>+'KY_Res by Plant Acct-P29 (Reg)'!B407</f>
        <v>-1243440.6000000015</v>
      </c>
      <c r="C404" s="86"/>
      <c r="D404" s="147">
        <f>+'KY_Res by Plant Acct-P29 (Reg)'!D407</f>
        <v>-621776.65</v>
      </c>
      <c r="E404" s="86"/>
      <c r="F404" s="147">
        <f>+'KY_Res by Plant Acct-P29 (Reg)'!F407</f>
        <v>487435.15</v>
      </c>
      <c r="G404" s="155"/>
      <c r="H404" s="147">
        <f>+'KY_Res by Plant Acct-P29 (Reg)'!H407</f>
        <v>0</v>
      </c>
      <c r="I404" s="155"/>
      <c r="J404" s="147">
        <f>+'KY_Res by Plant Acct-P29 (Reg)'!J407</f>
        <v>0</v>
      </c>
      <c r="K404" s="155"/>
      <c r="L404" s="147">
        <f>+'KY_Res by Plant Acct-P29 (Reg)'!L407</f>
        <v>0</v>
      </c>
      <c r="M404" s="155"/>
      <c r="N404" s="147">
        <f>+'KY_Res by Plant Acct-P29 (Reg)'!N407</f>
        <v>0</v>
      </c>
      <c r="O404" s="86"/>
      <c r="P404" s="147">
        <f>+'KY_Res by Plant Acct-P29 (Reg)'!P407</f>
        <v>0</v>
      </c>
      <c r="Q404" s="86"/>
      <c r="R404" s="147">
        <f t="shared" si="18"/>
        <v>-1377782.1000000015</v>
      </c>
    </row>
    <row r="405" spans="1:18" x14ac:dyDescent="0.2">
      <c r="B405" s="135">
        <f>SUM(B389:B404)</f>
        <v>-237329204.20000002</v>
      </c>
      <c r="C405" s="135"/>
      <c r="D405" s="135">
        <f>SUM(D389:D404)</f>
        <v>-24817077.719999999</v>
      </c>
      <c r="E405" s="135"/>
      <c r="F405" s="139">
        <f>SUM(F389:F404)</f>
        <v>8979143.2100000009</v>
      </c>
      <c r="G405" s="139"/>
      <c r="H405" s="139">
        <f>SUM(H389:H404)</f>
        <v>-1025.9000000000001</v>
      </c>
      <c r="I405" s="139"/>
      <c r="J405" s="139">
        <f>SUM(J389:J404)</f>
        <v>0</v>
      </c>
      <c r="K405" s="139"/>
      <c r="L405" s="139">
        <f>SUM(L389:L404)</f>
        <v>2342563.54</v>
      </c>
      <c r="M405" s="139"/>
      <c r="N405" s="139">
        <f>SUM(N389:N404)</f>
        <v>-2550.4699999999998</v>
      </c>
      <c r="O405" s="135"/>
      <c r="P405" s="135">
        <f>SUM(P389:P404)</f>
        <v>4945.8599999999997</v>
      </c>
      <c r="Q405" s="135"/>
      <c r="R405" s="135">
        <f>SUM(R389:R404)</f>
        <v>-250823205.67999998</v>
      </c>
    </row>
    <row r="406" spans="1:18" x14ac:dyDescent="0.2">
      <c r="B406" s="135"/>
      <c r="C406" s="135"/>
      <c r="D406" s="135"/>
      <c r="E406" s="135"/>
      <c r="F406" s="139"/>
      <c r="G406" s="139"/>
      <c r="H406" s="139"/>
      <c r="I406" s="139"/>
      <c r="J406" s="139"/>
      <c r="K406" s="139"/>
      <c r="L406" s="139"/>
      <c r="M406" s="139"/>
      <c r="N406" s="139"/>
      <c r="O406" s="135"/>
      <c r="P406" s="135"/>
      <c r="Q406" s="135"/>
      <c r="R406" s="135"/>
    </row>
    <row r="407" spans="1:18" x14ac:dyDescent="0.2">
      <c r="A407" s="10" t="s">
        <v>28</v>
      </c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1:18" x14ac:dyDescent="0.2">
      <c r="A408" s="3" t="s">
        <v>3272</v>
      </c>
      <c r="B408" s="135">
        <f>+'KY_Res by Plant Acct-P29 (Reg)'!B411</f>
        <v>-9768</v>
      </c>
      <c r="C408" s="135"/>
      <c r="D408" s="135">
        <f>+'KY_Res by Plant Acct-P29 (Reg)'!D411</f>
        <v>-2814.33</v>
      </c>
      <c r="E408" s="135"/>
      <c r="F408" s="135">
        <f>+'KY_Res by Plant Acct-P29 (Reg)'!F411</f>
        <v>0</v>
      </c>
      <c r="G408" s="135"/>
      <c r="H408" s="135">
        <f>+'KY_Res by Plant Acct-P29 (Reg)'!H411</f>
        <v>0</v>
      </c>
      <c r="I408" s="135"/>
      <c r="J408" s="135">
        <f>+'KY_Res by Plant Acct-P29 (Reg)'!J411</f>
        <v>0</v>
      </c>
      <c r="K408" s="135"/>
      <c r="L408" s="135">
        <f>+'KY_Res by Plant Acct-P29 (Reg)'!L411</f>
        <v>0</v>
      </c>
      <c r="M408" s="135"/>
      <c r="N408" s="135">
        <f>+'KY_Res by Plant Acct-P29 (Reg)'!N411</f>
        <v>0</v>
      </c>
      <c r="O408" s="135"/>
      <c r="P408" s="135">
        <f>+'KY_Res by Plant Acct-P29 (Reg)'!P411</f>
        <v>0</v>
      </c>
      <c r="Q408" s="135"/>
      <c r="R408" s="138">
        <f>SUM(B408:P408)</f>
        <v>-12582.33</v>
      </c>
    </row>
    <row r="409" spans="1:18" x14ac:dyDescent="0.2">
      <c r="A409" s="3" t="s">
        <v>3273</v>
      </c>
      <c r="B409" s="135">
        <f>+'KY_Res by Plant Acct-P29 (Reg)'!B412</f>
        <v>-658995.97000000032</v>
      </c>
      <c r="C409" s="135"/>
      <c r="D409" s="135">
        <f>+'KY_Res by Plant Acct-P29 (Reg)'!D412</f>
        <v>-42314.04</v>
      </c>
      <c r="E409" s="135"/>
      <c r="F409" s="135">
        <f>+'KY_Res by Plant Acct-P29 (Reg)'!F412</f>
        <v>0</v>
      </c>
      <c r="G409" s="135"/>
      <c r="H409" s="135">
        <f>+'KY_Res by Plant Acct-P29 (Reg)'!H412</f>
        <v>0</v>
      </c>
      <c r="I409" s="135"/>
      <c r="J409" s="135">
        <f>+'KY_Res by Plant Acct-P29 (Reg)'!J412</f>
        <v>0</v>
      </c>
      <c r="K409" s="135"/>
      <c r="L409" s="135">
        <f>+'KY_Res by Plant Acct-P29 (Reg)'!L412</f>
        <v>0</v>
      </c>
      <c r="M409" s="135"/>
      <c r="N409" s="135">
        <f>+'KY_Res by Plant Acct-P29 (Reg)'!N412</f>
        <v>0</v>
      </c>
      <c r="O409" s="135"/>
      <c r="P409" s="135">
        <f>+'KY_Res by Plant Acct-P29 (Reg)'!P412</f>
        <v>0</v>
      </c>
      <c r="Q409" s="135"/>
      <c r="R409" s="138">
        <f t="shared" ref="R409:R415" si="19">SUM(B409:P409)</f>
        <v>-701310.01000000036</v>
      </c>
    </row>
    <row r="410" spans="1:18" x14ac:dyDescent="0.2">
      <c r="A410" s="3" t="s">
        <v>3274</v>
      </c>
      <c r="B410" s="135">
        <f>+'KY_Res by Plant Acct-P29 (Reg)'!B413</f>
        <v>-102622.93000000002</v>
      </c>
      <c r="C410" s="135"/>
      <c r="D410" s="135">
        <f>+'KY_Res by Plant Acct-P29 (Reg)'!D413</f>
        <v>-28859.42</v>
      </c>
      <c r="E410" s="135"/>
      <c r="F410" s="135">
        <f>+'KY_Res by Plant Acct-P29 (Reg)'!F413</f>
        <v>2173</v>
      </c>
      <c r="G410" s="135"/>
      <c r="H410" s="135">
        <f>+'KY_Res by Plant Acct-P29 (Reg)'!H413</f>
        <v>0</v>
      </c>
      <c r="I410" s="135"/>
      <c r="J410" s="135">
        <f>+'KY_Res by Plant Acct-P29 (Reg)'!J413</f>
        <v>0</v>
      </c>
      <c r="K410" s="135"/>
      <c r="L410" s="135">
        <f>+'KY_Res by Plant Acct-P29 (Reg)'!L413</f>
        <v>-22.96</v>
      </c>
      <c r="M410" s="135"/>
      <c r="N410" s="135">
        <f>+'KY_Res by Plant Acct-P29 (Reg)'!N413</f>
        <v>-647.89</v>
      </c>
      <c r="O410" s="135"/>
      <c r="P410" s="135">
        <f>+'KY_Res by Plant Acct-P29 (Reg)'!P413</f>
        <v>0</v>
      </c>
      <c r="Q410" s="135"/>
      <c r="R410" s="138">
        <f t="shared" si="19"/>
        <v>-129980.20000000004</v>
      </c>
    </row>
    <row r="411" spans="1:18" x14ac:dyDescent="0.2">
      <c r="A411" s="3" t="s">
        <v>3430</v>
      </c>
      <c r="B411" s="135">
        <f>+'KY_Res by Plant Acct-P29 (Reg)'!B414</f>
        <v>-2537953.0499999993</v>
      </c>
      <c r="C411" s="135"/>
      <c r="D411" s="135">
        <f>+'KY_Res by Plant Acct-P29 (Reg)'!D414</f>
        <v>-311725.27</v>
      </c>
      <c r="E411" s="135"/>
      <c r="F411" s="135">
        <f>+'KY_Res by Plant Acct-P29 (Reg)'!F414</f>
        <v>245638.37</v>
      </c>
      <c r="G411" s="135"/>
      <c r="H411" s="135">
        <f>+'KY_Res by Plant Acct-P29 (Reg)'!H414</f>
        <v>-3022.62</v>
      </c>
      <c r="I411" s="135"/>
      <c r="J411" s="135">
        <f>+'KY_Res by Plant Acct-P29 (Reg)'!J414</f>
        <v>0</v>
      </c>
      <c r="K411" s="135"/>
      <c r="L411" s="135">
        <f>+'KY_Res by Plant Acct-P29 (Reg)'!L414</f>
        <v>0</v>
      </c>
      <c r="M411" s="135"/>
      <c r="N411" s="135">
        <f>+'KY_Res by Plant Acct-P29 (Reg)'!N414</f>
        <v>0</v>
      </c>
      <c r="O411" s="135"/>
      <c r="P411" s="135">
        <f>+'KY_Res by Plant Acct-P29 (Reg)'!P414</f>
        <v>0</v>
      </c>
      <c r="Q411" s="135"/>
      <c r="R411" s="138">
        <f t="shared" si="19"/>
        <v>-2607062.5699999994</v>
      </c>
    </row>
    <row r="412" spans="1:18" x14ac:dyDescent="0.2">
      <c r="A412" s="3" t="s">
        <v>3276</v>
      </c>
      <c r="B412" s="135">
        <f>+'KY_Res by Plant Acct-P29 (Reg)'!B415</f>
        <v>0</v>
      </c>
      <c r="C412" s="135"/>
      <c r="D412" s="135">
        <f>+'KY_Res by Plant Acct-P29 (Reg)'!D415</f>
        <v>0</v>
      </c>
      <c r="E412" s="135"/>
      <c r="F412" s="135">
        <f>+'KY_Res by Plant Acct-P29 (Reg)'!F415</f>
        <v>0</v>
      </c>
      <c r="G412" s="135"/>
      <c r="H412" s="135">
        <f>+'KY_Res by Plant Acct-P29 (Reg)'!H415</f>
        <v>0</v>
      </c>
      <c r="I412" s="135"/>
      <c r="J412" s="135">
        <f>+'KY_Res by Plant Acct-P29 (Reg)'!J415</f>
        <v>0</v>
      </c>
      <c r="K412" s="135"/>
      <c r="L412" s="135">
        <f>+'KY_Res by Plant Acct-P29 (Reg)'!L415</f>
        <v>0</v>
      </c>
      <c r="M412" s="135"/>
      <c r="N412" s="135">
        <f>+'KY_Res by Plant Acct-P29 (Reg)'!N415</f>
        <v>0</v>
      </c>
      <c r="O412" s="135"/>
      <c r="P412" s="135">
        <f>+'KY_Res by Plant Acct-P29 (Reg)'!P415</f>
        <v>0</v>
      </c>
      <c r="Q412" s="135"/>
      <c r="R412" s="138">
        <f t="shared" si="19"/>
        <v>0</v>
      </c>
    </row>
    <row r="413" spans="1:18" x14ac:dyDescent="0.2">
      <c r="A413" s="3" t="s">
        <v>3277</v>
      </c>
      <c r="B413" s="135">
        <f>+'KY_Res by Plant Acct-P29 (Reg)'!B416</f>
        <v>-2158257.16</v>
      </c>
      <c r="C413" s="135"/>
      <c r="D413" s="135">
        <f>+'KY_Res by Plant Acct-P29 (Reg)'!D416</f>
        <v>-230161.18</v>
      </c>
      <c r="E413" s="135"/>
      <c r="F413" s="135">
        <f>+'KY_Res by Plant Acct-P29 (Reg)'!F416</f>
        <v>174040.09</v>
      </c>
      <c r="G413" s="135"/>
      <c r="H413" s="135">
        <f>+'KY_Res by Plant Acct-P29 (Reg)'!H416</f>
        <v>45178.26</v>
      </c>
      <c r="I413" s="135"/>
      <c r="J413" s="135">
        <f>+'KY_Res by Plant Acct-P29 (Reg)'!J416</f>
        <v>0</v>
      </c>
      <c r="K413" s="135"/>
      <c r="L413" s="135">
        <f>+'KY_Res by Plant Acct-P29 (Reg)'!L416</f>
        <v>-1545.44</v>
      </c>
      <c r="M413" s="135"/>
      <c r="N413" s="135">
        <f>+'KY_Res by Plant Acct-P29 (Reg)'!N416</f>
        <v>-43607.11</v>
      </c>
      <c r="O413" s="135"/>
      <c r="P413" s="135">
        <f>+'KY_Res by Plant Acct-P29 (Reg)'!P416</f>
        <v>0</v>
      </c>
      <c r="Q413" s="135"/>
      <c r="R413" s="138">
        <f t="shared" si="19"/>
        <v>-2214352.5400000005</v>
      </c>
    </row>
    <row r="414" spans="1:18" x14ac:dyDescent="0.2">
      <c r="A414" s="3" t="s">
        <v>3278</v>
      </c>
      <c r="B414" s="86">
        <f>+'KY_Res by Plant Acct-P29 (Reg)'!B417</f>
        <v>-94571.839999999997</v>
      </c>
      <c r="C414" s="86"/>
      <c r="D414" s="86">
        <f>+'KY_Res by Plant Acct-P29 (Reg)'!D417</f>
        <v>-12645.36</v>
      </c>
      <c r="E414" s="86"/>
      <c r="F414" s="86">
        <f>+'KY_Res by Plant Acct-P29 (Reg)'!F417</f>
        <v>0</v>
      </c>
      <c r="G414" s="86"/>
      <c r="H414" s="86">
        <f>+'KY_Res by Plant Acct-P29 (Reg)'!H417</f>
        <v>0</v>
      </c>
      <c r="I414" s="86"/>
      <c r="J414" s="86">
        <f>+'KY_Res by Plant Acct-P29 (Reg)'!J417</f>
        <v>0</v>
      </c>
      <c r="K414" s="86"/>
      <c r="L414" s="86">
        <f>+'KY_Res by Plant Acct-P29 (Reg)'!L417</f>
        <v>0</v>
      </c>
      <c r="M414" s="86"/>
      <c r="N414" s="86">
        <f>+'KY_Res by Plant Acct-P29 (Reg)'!N417</f>
        <v>0</v>
      </c>
      <c r="O414" s="86"/>
      <c r="P414" s="86">
        <f>+'KY_Res by Plant Acct-P29 (Reg)'!P417</f>
        <v>0</v>
      </c>
      <c r="Q414" s="86"/>
      <c r="R414" s="86">
        <f t="shared" si="19"/>
        <v>-107217.2</v>
      </c>
    </row>
    <row r="415" spans="1:18" x14ac:dyDescent="0.2">
      <c r="A415" s="22" t="s">
        <v>3431</v>
      </c>
      <c r="B415" s="86">
        <f>+'KY_Res by Plant Acct-P29 (Reg)'!B418</f>
        <v>-9.0949470177292824E-13</v>
      </c>
      <c r="C415" s="86"/>
      <c r="D415" s="86">
        <f>+'KY_Res by Plant Acct-P29 (Reg)'!D418</f>
        <v>0</v>
      </c>
      <c r="E415" s="86"/>
      <c r="F415" s="86">
        <f>+'KY_Res by Plant Acct-P29 (Reg)'!F418</f>
        <v>0</v>
      </c>
      <c r="G415" s="86"/>
      <c r="H415" s="86">
        <f>+'KY_Res by Plant Acct-P29 (Reg)'!H418</f>
        <v>0</v>
      </c>
      <c r="I415" s="86"/>
      <c r="J415" s="86">
        <f>+'KY_Res by Plant Acct-P29 (Reg)'!J418</f>
        <v>0</v>
      </c>
      <c r="K415" s="86"/>
      <c r="L415" s="86">
        <f>+'KY_Res by Plant Acct-P29 (Reg)'!L418</f>
        <v>0</v>
      </c>
      <c r="M415" s="86"/>
      <c r="N415" s="86">
        <f>+'KY_Res by Plant Acct-P29 (Reg)'!N418</f>
        <v>0</v>
      </c>
      <c r="O415" s="86"/>
      <c r="P415" s="86">
        <f>+'KY_Res by Plant Acct-P29 (Reg)'!P418</f>
        <v>0</v>
      </c>
      <c r="Q415" s="86"/>
      <c r="R415" s="86">
        <f t="shared" si="19"/>
        <v>-9.0949470177292824E-13</v>
      </c>
    </row>
    <row r="416" spans="1:18" x14ac:dyDescent="0.2">
      <c r="B416" s="148">
        <f>SUM(B408:B415)</f>
        <v>-5562168.9499999993</v>
      </c>
      <c r="C416" s="135"/>
      <c r="D416" s="148">
        <f>SUM(D408:D415)</f>
        <v>-628519.6</v>
      </c>
      <c r="E416" s="135"/>
      <c r="F416" s="148">
        <f>SUM(F408:F415)</f>
        <v>421851.45999999996</v>
      </c>
      <c r="G416" s="135"/>
      <c r="H416" s="148">
        <f>SUM(H408:H415)</f>
        <v>42155.64</v>
      </c>
      <c r="I416" s="135"/>
      <c r="J416" s="148">
        <f>SUM(J408:J415)</f>
        <v>0</v>
      </c>
      <c r="K416" s="135"/>
      <c r="L416" s="148">
        <f>SUM(L408:L415)</f>
        <v>-1568.4</v>
      </c>
      <c r="M416" s="135"/>
      <c r="N416" s="148">
        <f>SUM(N408:N415)</f>
        <v>-44255</v>
      </c>
      <c r="O416" s="135"/>
      <c r="P416" s="148">
        <f>SUM(P408:P415)</f>
        <v>0</v>
      </c>
      <c r="Q416" s="135"/>
      <c r="R416" s="148">
        <f>SUM(R408:R415)</f>
        <v>-5772504.8500000006</v>
      </c>
    </row>
    <row r="419" spans="1:18" x14ac:dyDescent="0.2">
      <c r="A419" s="10" t="s">
        <v>30</v>
      </c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1:18" x14ac:dyDescent="0.2">
      <c r="A420" s="3" t="s">
        <v>3432</v>
      </c>
      <c r="B420" s="135">
        <f>+'KY_Res by Plant Acct-P29 (Reg)'!B423</f>
        <v>0</v>
      </c>
      <c r="C420" s="135"/>
      <c r="D420" s="135">
        <f>+'KY_Res by Plant Acct-P29 (Reg)'!D423</f>
        <v>0</v>
      </c>
      <c r="E420" s="135"/>
      <c r="F420" s="135">
        <f>+'KY_Res by Plant Acct-P29 (Reg)'!F423</f>
        <v>0</v>
      </c>
      <c r="G420" s="135"/>
      <c r="H420" s="135">
        <f>+'KY_Res by Plant Acct-P29 (Reg)'!H423</f>
        <v>0</v>
      </c>
      <c r="I420" s="135"/>
      <c r="J420" s="135">
        <f>+'KY_Res by Plant Acct-P29 (Reg)'!J423</f>
        <v>0</v>
      </c>
      <c r="K420" s="135"/>
      <c r="L420" s="135">
        <f>+'KY_Res by Plant Acct-P29 (Reg)'!L423</f>
        <v>0</v>
      </c>
      <c r="M420" s="135"/>
      <c r="N420" s="135">
        <f>+'KY_Res by Plant Acct-P29 (Reg)'!N423</f>
        <v>0</v>
      </c>
      <c r="O420" s="135"/>
      <c r="P420" s="135">
        <f>+'KY_Res by Plant Acct-P29 (Reg)'!P423</f>
        <v>0</v>
      </c>
      <c r="Q420" s="135"/>
      <c r="R420" s="138">
        <f t="shared" ref="R420:R437" si="20">SUM(B420:P420)</f>
        <v>0</v>
      </c>
    </row>
    <row r="421" spans="1:18" x14ac:dyDescent="0.2">
      <c r="A421" s="3" t="s">
        <v>3433</v>
      </c>
      <c r="B421" s="135">
        <f>+'KY_Res by Plant Acct-P29 (Reg)'!B424</f>
        <v>-72165.17</v>
      </c>
      <c r="C421" s="135"/>
      <c r="D421" s="135">
        <f>+'KY_Res by Plant Acct-P29 (Reg)'!D424</f>
        <v>-579.59</v>
      </c>
      <c r="E421" s="135"/>
      <c r="F421" s="135">
        <f>+'KY_Res by Plant Acct-P29 (Reg)'!F424</f>
        <v>0</v>
      </c>
      <c r="G421" s="135"/>
      <c r="H421" s="135">
        <f>+'KY_Res by Plant Acct-P29 (Reg)'!H424</f>
        <v>2996.91</v>
      </c>
      <c r="I421" s="135"/>
      <c r="J421" s="135">
        <f>+'KY_Res by Plant Acct-P29 (Reg)'!J424</f>
        <v>0</v>
      </c>
      <c r="K421" s="135"/>
      <c r="L421" s="135">
        <f>+'KY_Res by Plant Acct-P29 (Reg)'!L424</f>
        <v>0</v>
      </c>
      <c r="M421" s="135"/>
      <c r="N421" s="135">
        <f>+'KY_Res by Plant Acct-P29 (Reg)'!N424</f>
        <v>0</v>
      </c>
      <c r="O421" s="135"/>
      <c r="P421" s="135">
        <f>+'KY_Res by Plant Acct-P29 (Reg)'!P424</f>
        <v>0</v>
      </c>
      <c r="Q421" s="135"/>
      <c r="R421" s="138">
        <f t="shared" si="20"/>
        <v>-69747.849999999991</v>
      </c>
    </row>
    <row r="422" spans="1:18" x14ac:dyDescent="0.2">
      <c r="A422" s="3" t="s">
        <v>3282</v>
      </c>
      <c r="B422" s="135">
        <f>+'KY_Res by Plant Acct-P29 (Reg)'!B425</f>
        <v>-1267387.1399999999</v>
      </c>
      <c r="C422" s="135"/>
      <c r="D422" s="135">
        <f>+'KY_Res by Plant Acct-P29 (Reg)'!D425</f>
        <v>-198725.09</v>
      </c>
      <c r="E422" s="135"/>
      <c r="F422" s="135">
        <f>+'KY_Res by Plant Acct-P29 (Reg)'!F425</f>
        <v>3024.64</v>
      </c>
      <c r="G422" s="139"/>
      <c r="H422" s="135">
        <f>+'KY_Res by Plant Acct-P29 (Reg)'!H425</f>
        <v>0</v>
      </c>
      <c r="I422" s="139"/>
      <c r="J422" s="135">
        <f>+'KY_Res by Plant Acct-P29 (Reg)'!J425</f>
        <v>0</v>
      </c>
      <c r="K422" s="139"/>
      <c r="L422" s="135">
        <f>+'KY_Res by Plant Acct-P29 (Reg)'!L425</f>
        <v>176.2</v>
      </c>
      <c r="M422" s="139"/>
      <c r="N422" s="135">
        <f>+'KY_Res by Plant Acct-P29 (Reg)'!N425</f>
        <v>0</v>
      </c>
      <c r="O422" s="135"/>
      <c r="P422" s="135">
        <f>+'KY_Res by Plant Acct-P29 (Reg)'!P425</f>
        <v>0</v>
      </c>
      <c r="Q422" s="135"/>
      <c r="R422" s="138">
        <f t="shared" si="20"/>
        <v>-1462911.3900000001</v>
      </c>
    </row>
    <row r="423" spans="1:18" x14ac:dyDescent="0.2">
      <c r="A423" s="3" t="s">
        <v>3283</v>
      </c>
      <c r="B423" s="135">
        <f>+'KY_Res by Plant Acct-P29 (Reg)'!B426</f>
        <v>-15931.55</v>
      </c>
      <c r="C423" s="135"/>
      <c r="D423" s="135">
        <f>+'KY_Res by Plant Acct-P29 (Reg)'!D426</f>
        <v>-377.53</v>
      </c>
      <c r="E423" s="135"/>
      <c r="F423" s="135">
        <f>+'KY_Res by Plant Acct-P29 (Reg)'!F426</f>
        <v>108.56</v>
      </c>
      <c r="G423" s="139"/>
      <c r="H423" s="135">
        <f>+'KY_Res by Plant Acct-P29 (Reg)'!H426</f>
        <v>0</v>
      </c>
      <c r="I423" s="139"/>
      <c r="J423" s="135">
        <f>+'KY_Res by Plant Acct-P29 (Reg)'!J426</f>
        <v>0</v>
      </c>
      <c r="K423" s="139"/>
      <c r="L423" s="135">
        <f>+'KY_Res by Plant Acct-P29 (Reg)'!L426</f>
        <v>-0.04</v>
      </c>
      <c r="M423" s="139"/>
      <c r="N423" s="135">
        <f>+'KY_Res by Plant Acct-P29 (Reg)'!N426</f>
        <v>-7.83</v>
      </c>
      <c r="O423" s="135"/>
      <c r="P423" s="135">
        <f>+'KY_Res by Plant Acct-P29 (Reg)'!P426</f>
        <v>0</v>
      </c>
      <c r="Q423" s="135"/>
      <c r="R423" s="138">
        <f t="shared" si="20"/>
        <v>-16208.390000000001</v>
      </c>
    </row>
    <row r="424" spans="1:18" x14ac:dyDescent="0.2">
      <c r="A424" s="3" t="s">
        <v>3434</v>
      </c>
      <c r="B424" s="135">
        <f>+'KY_Res by Plant Acct-P29 (Reg)'!B427+'IN_Res by Plant Acct-P30 (Reg)'!B29</f>
        <v>-816079.8899999999</v>
      </c>
      <c r="C424" s="135"/>
      <c r="D424" s="135">
        <f>+'KY_Res by Plant Acct-P29 (Reg)'!D427+'IN_Res by Plant Acct-P30 (Reg)'!D29</f>
        <v>-94573.9</v>
      </c>
      <c r="E424" s="135"/>
      <c r="F424" s="135">
        <f>+'KY_Res by Plant Acct-P29 (Reg)'!F427+'IN_Res by Plant Acct-P30 (Reg)'!F29</f>
        <v>9637.7999999999993</v>
      </c>
      <c r="G424" s="139"/>
      <c r="H424" s="135">
        <f>+'KY_Res by Plant Acct-P29 (Reg)'!H427+'IN_Res by Plant Acct-P30 (Reg)'!H29</f>
        <v>0</v>
      </c>
      <c r="I424" s="139"/>
      <c r="J424" s="135">
        <f>+'KY_Res by Plant Acct-P29 (Reg)'!J427+'IN_Res by Plant Acct-P30 (Reg)'!J29</f>
        <v>0</v>
      </c>
      <c r="K424" s="139"/>
      <c r="L424" s="135">
        <f>+'KY_Res by Plant Acct-P29 (Reg)'!L427+'IN_Res by Plant Acct-P30 (Reg)'!L29</f>
        <v>21160.15</v>
      </c>
      <c r="M424" s="139"/>
      <c r="N424" s="135">
        <f>+'KY_Res by Plant Acct-P29 (Reg)'!N427+'IN_Res by Plant Acct-P30 (Reg)'!N29</f>
        <v>-74.069999999999993</v>
      </c>
      <c r="O424" s="135"/>
      <c r="P424" s="135">
        <f>+'KY_Res by Plant Acct-P29 (Reg)'!P427+'IN_Res by Plant Acct-P30 (Reg)'!P29</f>
        <v>0</v>
      </c>
      <c r="Q424" s="135"/>
      <c r="R424" s="138">
        <f t="shared" si="20"/>
        <v>-879929.9099999998</v>
      </c>
    </row>
    <row r="425" spans="1:18" x14ac:dyDescent="0.2">
      <c r="A425" s="3" t="s">
        <v>3285</v>
      </c>
      <c r="B425" s="135">
        <f>+'KY_Res by Plant Acct-P29 (Reg)'!B428</f>
        <v>-569589.96</v>
      </c>
      <c r="C425" s="135"/>
      <c r="D425" s="135">
        <f>+'KY_Res by Plant Acct-P29 (Reg)'!D428</f>
        <v>0</v>
      </c>
      <c r="E425" s="135"/>
      <c r="F425" s="135">
        <f>+'KY_Res by Plant Acct-P29 (Reg)'!F428</f>
        <v>0</v>
      </c>
      <c r="G425" s="139"/>
      <c r="H425" s="135">
        <f>+'KY_Res by Plant Acct-P29 (Reg)'!H428</f>
        <v>0</v>
      </c>
      <c r="I425" s="139"/>
      <c r="J425" s="135">
        <f>+'KY_Res by Plant Acct-P29 (Reg)'!J428</f>
        <v>0</v>
      </c>
      <c r="K425" s="139"/>
      <c r="L425" s="135">
        <f>+'KY_Res by Plant Acct-P29 (Reg)'!L428</f>
        <v>0</v>
      </c>
      <c r="M425" s="139"/>
      <c r="N425" s="135">
        <f>+'KY_Res by Plant Acct-P29 (Reg)'!N428</f>
        <v>0</v>
      </c>
      <c r="O425" s="135"/>
      <c r="P425" s="135">
        <f>+'KY_Res by Plant Acct-P29 (Reg)'!P428</f>
        <v>0</v>
      </c>
      <c r="Q425" s="135"/>
      <c r="R425" s="138">
        <f t="shared" si="20"/>
        <v>-569589.96</v>
      </c>
    </row>
    <row r="426" spans="1:18" x14ac:dyDescent="0.2">
      <c r="A426" s="3" t="s">
        <v>3435</v>
      </c>
      <c r="B426" s="135">
        <f>+'KY_Res by Plant Acct-P29 (Reg)'!B429</f>
        <v>-452027.29</v>
      </c>
      <c r="C426" s="135"/>
      <c r="D426" s="135">
        <f>+'KY_Res by Plant Acct-P29 (Reg)'!D429</f>
        <v>0</v>
      </c>
      <c r="E426" s="135"/>
      <c r="F426" s="135">
        <f>+'KY_Res by Plant Acct-P29 (Reg)'!F429</f>
        <v>0</v>
      </c>
      <c r="G426" s="139"/>
      <c r="H426" s="135">
        <f>+'KY_Res by Plant Acct-P29 (Reg)'!H429</f>
        <v>0</v>
      </c>
      <c r="I426" s="139"/>
      <c r="J426" s="135">
        <f>+'KY_Res by Plant Acct-P29 (Reg)'!J429</f>
        <v>0</v>
      </c>
      <c r="K426" s="139"/>
      <c r="L426" s="135">
        <f>+'KY_Res by Plant Acct-P29 (Reg)'!L429</f>
        <v>0</v>
      </c>
      <c r="M426" s="139"/>
      <c r="N426" s="135">
        <f>+'KY_Res by Plant Acct-P29 (Reg)'!N429</f>
        <v>0</v>
      </c>
      <c r="O426" s="135"/>
      <c r="P426" s="135">
        <f>+'KY_Res by Plant Acct-P29 (Reg)'!P429</f>
        <v>0</v>
      </c>
      <c r="Q426" s="135"/>
      <c r="R426" s="138">
        <f t="shared" si="20"/>
        <v>-452027.29</v>
      </c>
    </row>
    <row r="427" spans="1:18" x14ac:dyDescent="0.2">
      <c r="A427" s="3" t="s">
        <v>3436</v>
      </c>
      <c r="B427" s="135">
        <f>+'KY_Res by Plant Acct-P29 (Reg)'!B430</f>
        <v>-8101402.5800000001</v>
      </c>
      <c r="C427" s="135"/>
      <c r="D427" s="135">
        <f>+'KY_Res by Plant Acct-P29 (Reg)'!D430</f>
        <v>-80085.48</v>
      </c>
      <c r="E427" s="135"/>
      <c r="F427" s="135">
        <f>+'KY_Res by Plant Acct-P29 (Reg)'!F430</f>
        <v>0</v>
      </c>
      <c r="G427" s="139"/>
      <c r="H427" s="135">
        <f>+'KY_Res by Plant Acct-P29 (Reg)'!H430</f>
        <v>0</v>
      </c>
      <c r="I427" s="139"/>
      <c r="J427" s="135">
        <f>+'KY_Res by Plant Acct-P29 (Reg)'!J430</f>
        <v>0</v>
      </c>
      <c r="K427" s="139"/>
      <c r="L427" s="135">
        <f>+'KY_Res by Plant Acct-P29 (Reg)'!L430</f>
        <v>0</v>
      </c>
      <c r="M427" s="139"/>
      <c r="N427" s="135">
        <f>+'KY_Res by Plant Acct-P29 (Reg)'!N430</f>
        <v>0</v>
      </c>
      <c r="O427" s="135"/>
      <c r="P427" s="135">
        <f>+'KY_Res by Plant Acct-P29 (Reg)'!P430</f>
        <v>0</v>
      </c>
      <c r="Q427" s="135"/>
      <c r="R427" s="138">
        <f t="shared" si="20"/>
        <v>-8181488.0600000005</v>
      </c>
    </row>
    <row r="428" spans="1:18" x14ac:dyDescent="0.2">
      <c r="A428" s="3" t="s">
        <v>3437</v>
      </c>
      <c r="B428" s="135">
        <f>+'KY_Res by Plant Acct-P29 (Reg)'!B431+'IN_Res by Plant Acct-P30 (Reg)'!B30</f>
        <v>-2089202.0799999998</v>
      </c>
      <c r="C428" s="135"/>
      <c r="D428" s="135">
        <f>+'KY_Res by Plant Acct-P29 (Reg)'!D431+'IN_Res by Plant Acct-P30 (Reg)'!D30</f>
        <v>-43166.400000000001</v>
      </c>
      <c r="E428" s="135"/>
      <c r="F428" s="135">
        <f>+'KY_Res by Plant Acct-P29 (Reg)'!F431+'IN_Res by Plant Acct-P30 (Reg)'!F30</f>
        <v>0</v>
      </c>
      <c r="G428" s="139"/>
      <c r="H428" s="135">
        <f>+'KY_Res by Plant Acct-P29 (Reg)'!H431+'IN_Res by Plant Acct-P30 (Reg)'!H30</f>
        <v>0</v>
      </c>
      <c r="I428" s="139"/>
      <c r="J428" s="135">
        <f>+'KY_Res by Plant Acct-P29 (Reg)'!J431+'IN_Res by Plant Acct-P30 (Reg)'!J30</f>
        <v>0</v>
      </c>
      <c r="K428" s="139"/>
      <c r="L428" s="135">
        <f>+'KY_Res by Plant Acct-P29 (Reg)'!L431+'IN_Res by Plant Acct-P30 (Reg)'!L30</f>
        <v>0</v>
      </c>
      <c r="M428" s="139"/>
      <c r="N428" s="135">
        <f>+'KY_Res by Plant Acct-P29 (Reg)'!N431+'IN_Res by Plant Acct-P30 (Reg)'!N30</f>
        <v>0</v>
      </c>
      <c r="O428" s="135"/>
      <c r="P428" s="135">
        <f>+'KY_Res by Plant Acct-P29 (Reg)'!P431+'IN_Res by Plant Acct-P30 (Reg)'!P30</f>
        <v>0</v>
      </c>
      <c r="Q428" s="135"/>
      <c r="R428" s="138">
        <f t="shared" si="20"/>
        <v>-2132368.48</v>
      </c>
    </row>
    <row r="429" spans="1:18" x14ac:dyDescent="0.2">
      <c r="A429" s="3" t="s">
        <v>3438</v>
      </c>
      <c r="B429" s="135">
        <f>+'KY_Res by Plant Acct-P29 (Reg)'!B432+'IN_Res by Plant Acct-P30 (Reg)'!B31</f>
        <v>2.3283064365386963E-10</v>
      </c>
      <c r="C429" s="135"/>
      <c r="D429" s="135">
        <f>+'KY_Res by Plant Acct-P29 (Reg)'!D432+'IN_Res by Plant Acct-P30 (Reg)'!D31</f>
        <v>0</v>
      </c>
      <c r="E429" s="135"/>
      <c r="F429" s="135">
        <f>+'KY_Res by Plant Acct-P29 (Reg)'!F432+'IN_Res by Plant Acct-P30 (Reg)'!F31</f>
        <v>0</v>
      </c>
      <c r="G429" s="139"/>
      <c r="H429" s="135">
        <f>+'KY_Res by Plant Acct-P29 (Reg)'!H432+'IN_Res by Plant Acct-P30 (Reg)'!H31</f>
        <v>0</v>
      </c>
      <c r="I429" s="139"/>
      <c r="J429" s="135">
        <f>+'KY_Res by Plant Acct-P29 (Reg)'!J432+'IN_Res by Plant Acct-P30 (Reg)'!J31</f>
        <v>0</v>
      </c>
      <c r="K429" s="139"/>
      <c r="L429" s="135">
        <f>+'KY_Res by Plant Acct-P29 (Reg)'!L432+'IN_Res by Plant Acct-P30 (Reg)'!L31</f>
        <v>0</v>
      </c>
      <c r="M429" s="139"/>
      <c r="N429" s="135">
        <f>+'KY_Res by Plant Acct-P29 (Reg)'!N432+'IN_Res by Plant Acct-P30 (Reg)'!N31</f>
        <v>0</v>
      </c>
      <c r="O429" s="135"/>
      <c r="P429" s="135">
        <f>+'KY_Res by Plant Acct-P29 (Reg)'!P432+'IN_Res by Plant Acct-P30 (Reg)'!P31</f>
        <v>0</v>
      </c>
      <c r="Q429" s="135"/>
      <c r="R429" s="138">
        <f t="shared" si="20"/>
        <v>2.3283064365386963E-10</v>
      </c>
    </row>
    <row r="430" spans="1:18" x14ac:dyDescent="0.2">
      <c r="A430" s="3" t="s">
        <v>3439</v>
      </c>
      <c r="B430" s="135">
        <f>+'KY_Res by Plant Acct-P29 (Reg)'!B433+'IN_Res by Plant Acct-P30 (Reg)'!B32</f>
        <v>-2258161.9600000004</v>
      </c>
      <c r="C430" s="135"/>
      <c r="D430" s="135">
        <f>+'KY_Res by Plant Acct-P29 (Reg)'!D433+'IN_Res by Plant Acct-P30 (Reg)'!D32</f>
        <v>-360432.24</v>
      </c>
      <c r="E430" s="135"/>
      <c r="F430" s="135">
        <f>+'KY_Res by Plant Acct-P29 (Reg)'!F433+'IN_Res by Plant Acct-P30 (Reg)'!F32</f>
        <v>26431.73</v>
      </c>
      <c r="G430" s="139"/>
      <c r="H430" s="135">
        <f>+'KY_Res by Plant Acct-P29 (Reg)'!H433+'IN_Res by Plant Acct-P30 (Reg)'!H32</f>
        <v>0</v>
      </c>
      <c r="I430" s="139"/>
      <c r="J430" s="135">
        <f>+'KY_Res by Plant Acct-P29 (Reg)'!J433+'IN_Res by Plant Acct-P30 (Reg)'!J32</f>
        <v>0</v>
      </c>
      <c r="K430" s="139"/>
      <c r="L430" s="135">
        <f>+'KY_Res by Plant Acct-P29 (Reg)'!L433+'IN_Res by Plant Acct-P30 (Reg)'!L32</f>
        <v>120267.01</v>
      </c>
      <c r="M430" s="139"/>
      <c r="N430" s="135">
        <f>+'KY_Res by Plant Acct-P29 (Reg)'!N433+'IN_Res by Plant Acct-P30 (Reg)'!N32</f>
        <v>0</v>
      </c>
      <c r="O430" s="135"/>
      <c r="P430" s="135">
        <f>+'KY_Res by Plant Acct-P29 (Reg)'!P433+'IN_Res by Plant Acct-P30 (Reg)'!P32</f>
        <v>0</v>
      </c>
      <c r="Q430" s="135"/>
      <c r="R430" s="138">
        <f t="shared" si="20"/>
        <v>-2471895.4600000004</v>
      </c>
    </row>
    <row r="431" spans="1:18" x14ac:dyDescent="0.2">
      <c r="A431" s="3" t="s">
        <v>3440</v>
      </c>
      <c r="B431" s="135">
        <f>+'KY_Res by Plant Acct-P29 (Reg)'!B434+'IN_Res by Plant Acct-P30 (Reg)'!B33</f>
        <v>-8314811.8699999964</v>
      </c>
      <c r="C431" s="135"/>
      <c r="D431" s="135">
        <f>+'KY_Res by Plant Acct-P29 (Reg)'!D434+'IN_Res by Plant Acct-P30 (Reg)'!D33</f>
        <v>-414128.04000000004</v>
      </c>
      <c r="E431" s="135"/>
      <c r="F431" s="135">
        <f>+'KY_Res by Plant Acct-P29 (Reg)'!F434+'IN_Res by Plant Acct-P30 (Reg)'!F33</f>
        <v>6179.0599999999995</v>
      </c>
      <c r="G431" s="139"/>
      <c r="H431" s="135">
        <f>+'KY_Res by Plant Acct-P29 (Reg)'!H434+'IN_Res by Plant Acct-P30 (Reg)'!H33</f>
        <v>0</v>
      </c>
      <c r="I431" s="139"/>
      <c r="J431" s="135">
        <f>+'KY_Res by Plant Acct-P29 (Reg)'!J434+'IN_Res by Plant Acct-P30 (Reg)'!J33</f>
        <v>0</v>
      </c>
      <c r="K431" s="139"/>
      <c r="L431" s="135">
        <f>+'KY_Res by Plant Acct-P29 (Reg)'!L434+'IN_Res by Plant Acct-P30 (Reg)'!L33</f>
        <v>11389.45</v>
      </c>
      <c r="M431" s="139"/>
      <c r="N431" s="135">
        <f>+'KY_Res by Plant Acct-P29 (Reg)'!N434+'IN_Res by Plant Acct-P30 (Reg)'!N33</f>
        <v>0</v>
      </c>
      <c r="O431" s="135"/>
      <c r="P431" s="135">
        <f>+'KY_Res by Plant Acct-P29 (Reg)'!P434+'IN_Res by Plant Acct-P30 (Reg)'!P33</f>
        <v>0</v>
      </c>
      <c r="Q431" s="135"/>
      <c r="R431" s="138">
        <f t="shared" si="20"/>
        <v>-8711371.3999999966</v>
      </c>
    </row>
    <row r="432" spans="1:18" x14ac:dyDescent="0.2">
      <c r="A432" s="3" t="s">
        <v>3292</v>
      </c>
      <c r="B432" s="135">
        <f>+'KY_Res by Plant Acct-P29 (Reg)'!B435+'IN_Res by Plant Acct-P30 (Reg)'!B34</f>
        <v>-6668456.1400000006</v>
      </c>
      <c r="C432" s="135"/>
      <c r="D432" s="135">
        <f>+'KY_Res by Plant Acct-P29 (Reg)'!D435+'IN_Res by Plant Acct-P30 (Reg)'!D34</f>
        <v>-1168095.6200000001</v>
      </c>
      <c r="E432" s="135"/>
      <c r="F432" s="135">
        <f>+'KY_Res by Plant Acct-P29 (Reg)'!F435+'IN_Res by Plant Acct-P30 (Reg)'!F34</f>
        <v>364291.37</v>
      </c>
      <c r="G432" s="139"/>
      <c r="H432" s="135">
        <f>+'KY_Res by Plant Acct-P29 (Reg)'!H435+'IN_Res by Plant Acct-P30 (Reg)'!H34</f>
        <v>0</v>
      </c>
      <c r="I432" s="139"/>
      <c r="J432" s="135">
        <f>+'KY_Res by Plant Acct-P29 (Reg)'!J435+'IN_Res by Plant Acct-P30 (Reg)'!J34</f>
        <v>0</v>
      </c>
      <c r="K432" s="139"/>
      <c r="L432" s="135">
        <f>+'KY_Res by Plant Acct-P29 (Reg)'!L435+'IN_Res by Plant Acct-P30 (Reg)'!L34</f>
        <v>144422.46</v>
      </c>
      <c r="M432" s="139"/>
      <c r="N432" s="135">
        <f>+'KY_Res by Plant Acct-P29 (Reg)'!N435+'IN_Res by Plant Acct-P30 (Reg)'!N34</f>
        <v>0</v>
      </c>
      <c r="O432" s="135"/>
      <c r="P432" s="135">
        <f>+'KY_Res by Plant Acct-P29 (Reg)'!P435+'IN_Res by Plant Acct-P30 (Reg)'!P34</f>
        <v>0</v>
      </c>
      <c r="Q432" s="135"/>
      <c r="R432" s="138">
        <f t="shared" si="20"/>
        <v>-7327837.9300000006</v>
      </c>
    </row>
    <row r="433" spans="1:18" x14ac:dyDescent="0.2">
      <c r="A433" s="3" t="s">
        <v>3293</v>
      </c>
      <c r="B433" s="135">
        <f>+'KY_Res by Plant Acct-P29 (Reg)'!B436</f>
        <v>-235719.02000000005</v>
      </c>
      <c r="C433" s="135"/>
      <c r="D433" s="135">
        <f>+'KY_Res by Plant Acct-P29 (Reg)'!D436</f>
        <v>-28026.54</v>
      </c>
      <c r="E433" s="135"/>
      <c r="F433" s="135">
        <f>+'KY_Res by Plant Acct-P29 (Reg)'!F436</f>
        <v>2288.25</v>
      </c>
      <c r="G433" s="139"/>
      <c r="H433" s="135">
        <f>+'KY_Res by Plant Acct-P29 (Reg)'!H436</f>
        <v>0</v>
      </c>
      <c r="I433" s="139"/>
      <c r="J433" s="135">
        <f>+'KY_Res by Plant Acct-P29 (Reg)'!J436</f>
        <v>0</v>
      </c>
      <c r="K433" s="139"/>
      <c r="L433" s="135">
        <f>+'KY_Res by Plant Acct-P29 (Reg)'!L436</f>
        <v>0</v>
      </c>
      <c r="M433" s="139"/>
      <c r="N433" s="135">
        <f>+'KY_Res by Plant Acct-P29 (Reg)'!N436</f>
        <v>0</v>
      </c>
      <c r="O433" s="135"/>
      <c r="P433" s="135">
        <f>+'KY_Res by Plant Acct-P29 (Reg)'!P436</f>
        <v>0</v>
      </c>
      <c r="Q433" s="135"/>
      <c r="R433" s="138">
        <f t="shared" si="20"/>
        <v>-261457.31000000006</v>
      </c>
    </row>
    <row r="434" spans="1:18" x14ac:dyDescent="0.2">
      <c r="A434" s="3" t="s">
        <v>3294</v>
      </c>
      <c r="B434" s="135">
        <f>+'KY_Res by Plant Acct-P29 (Reg)'!B437</f>
        <v>-5599086.6700000009</v>
      </c>
      <c r="C434" s="135"/>
      <c r="D434" s="135">
        <f>+'KY_Res by Plant Acct-P29 (Reg)'!D437</f>
        <v>-413976.66</v>
      </c>
      <c r="E434" s="135"/>
      <c r="F434" s="135">
        <f>+'KY_Res by Plant Acct-P29 (Reg)'!F437</f>
        <v>34323.68</v>
      </c>
      <c r="G434" s="139"/>
      <c r="H434" s="135">
        <f>+'KY_Res by Plant Acct-P29 (Reg)'!H437</f>
        <v>0</v>
      </c>
      <c r="I434" s="139"/>
      <c r="J434" s="135">
        <f>+'KY_Res by Plant Acct-P29 (Reg)'!J437</f>
        <v>0</v>
      </c>
      <c r="K434" s="139"/>
      <c r="L434" s="135">
        <f>+'KY_Res by Plant Acct-P29 (Reg)'!L437</f>
        <v>295838.98</v>
      </c>
      <c r="M434" s="139"/>
      <c r="N434" s="135">
        <f>+'KY_Res by Plant Acct-P29 (Reg)'!N437</f>
        <v>0</v>
      </c>
      <c r="O434" s="135"/>
      <c r="P434" s="135">
        <f>+'KY_Res by Plant Acct-P29 (Reg)'!P437</f>
        <v>0</v>
      </c>
      <c r="Q434" s="135"/>
      <c r="R434" s="138">
        <f t="shared" si="20"/>
        <v>-5682900.6700000018</v>
      </c>
    </row>
    <row r="435" spans="1:18" x14ac:dyDescent="0.2">
      <c r="A435" s="3" t="s">
        <v>3441</v>
      </c>
      <c r="B435" s="135">
        <f>+'KY_Res by Plant Acct-P29 (Reg)'!B438+'IN_Res by Plant Acct-P30 (Reg)'!B35</f>
        <v>-430077.76000000007</v>
      </c>
      <c r="C435" s="135"/>
      <c r="D435" s="135">
        <f>+'KY_Res by Plant Acct-P29 (Reg)'!D438+'IN_Res by Plant Acct-P30 (Reg)'!D35</f>
        <v>-77808.179999999993</v>
      </c>
      <c r="E435" s="135"/>
      <c r="F435" s="135">
        <f>+'KY_Res by Plant Acct-P29 (Reg)'!F438+'IN_Res by Plant Acct-P30 (Reg)'!F35</f>
        <v>4875.8100000000004</v>
      </c>
      <c r="G435" s="139"/>
      <c r="H435" s="135">
        <f>+'KY_Res by Plant Acct-P29 (Reg)'!H438+'IN_Res by Plant Acct-P30 (Reg)'!H35</f>
        <v>-381.96</v>
      </c>
      <c r="I435" s="139"/>
      <c r="J435" s="135">
        <f>+'KY_Res by Plant Acct-P29 (Reg)'!J438+'IN_Res by Plant Acct-P30 (Reg)'!J35</f>
        <v>0</v>
      </c>
      <c r="K435" s="139"/>
      <c r="L435" s="135">
        <f>+'KY_Res by Plant Acct-P29 (Reg)'!L438+'IN_Res by Plant Acct-P30 (Reg)'!L35</f>
        <v>-1.89</v>
      </c>
      <c r="M435" s="139"/>
      <c r="N435" s="135">
        <f>+'KY_Res by Plant Acct-P29 (Reg)'!N438+'IN_Res by Plant Acct-P30 (Reg)'!N35</f>
        <v>-351.55</v>
      </c>
      <c r="O435" s="135"/>
      <c r="P435" s="135">
        <f>+'KY_Res by Plant Acct-P29 (Reg)'!P438+'IN_Res by Plant Acct-P30 (Reg)'!P35</f>
        <v>0</v>
      </c>
      <c r="Q435" s="135"/>
      <c r="R435" s="138">
        <f t="shared" si="20"/>
        <v>-503745.53000000009</v>
      </c>
    </row>
    <row r="436" spans="1:18" x14ac:dyDescent="0.2">
      <c r="A436" s="3" t="s">
        <v>3296</v>
      </c>
      <c r="B436" s="135">
        <f>+'KY_Res by Plant Acct-P29 (Reg)'!B439</f>
        <v>-111424.21999999999</v>
      </c>
      <c r="C436" s="135"/>
      <c r="D436" s="135">
        <f>+'KY_Res by Plant Acct-P29 (Reg)'!D439</f>
        <v>-43958.01</v>
      </c>
      <c r="E436" s="135"/>
      <c r="F436" s="135">
        <f>+'KY_Res by Plant Acct-P29 (Reg)'!F439</f>
        <v>4450.28</v>
      </c>
      <c r="G436" s="139"/>
      <c r="H436" s="135">
        <f>+'KY_Res by Plant Acct-P29 (Reg)'!H439</f>
        <v>0</v>
      </c>
      <c r="I436" s="139"/>
      <c r="J436" s="135">
        <f>+'KY_Res by Plant Acct-P29 (Reg)'!J439</f>
        <v>0</v>
      </c>
      <c r="K436" s="139"/>
      <c r="L436" s="135">
        <f>+'KY_Res by Plant Acct-P29 (Reg)'!L439</f>
        <v>0</v>
      </c>
      <c r="M436" s="139"/>
      <c r="N436" s="135">
        <f>+'KY_Res by Plant Acct-P29 (Reg)'!N439</f>
        <v>0</v>
      </c>
      <c r="O436" s="135"/>
      <c r="P436" s="135">
        <f>+'KY_Res by Plant Acct-P29 (Reg)'!P439</f>
        <v>0</v>
      </c>
      <c r="Q436" s="135"/>
      <c r="R436" s="138">
        <f t="shared" si="20"/>
        <v>-150931.94999999998</v>
      </c>
    </row>
    <row r="437" spans="1:18" x14ac:dyDescent="0.2">
      <c r="A437" s="3" t="s">
        <v>3297</v>
      </c>
      <c r="B437" s="147">
        <f>+'KY_Res by Plant Acct-P29 (Reg)'!B440</f>
        <v>-716294.41</v>
      </c>
      <c r="C437" s="86"/>
      <c r="D437" s="147">
        <f>+'KY_Res by Plant Acct-P29 (Reg)'!D440</f>
        <v>-159333.14000000001</v>
      </c>
      <c r="E437" s="135"/>
      <c r="F437" s="147">
        <f>+'KY_Res by Plant Acct-P29 (Reg)'!F440</f>
        <v>52867.67</v>
      </c>
      <c r="G437" s="139"/>
      <c r="H437" s="147">
        <f>+'KY_Res by Plant Acct-P29 (Reg)'!H440</f>
        <v>0</v>
      </c>
      <c r="I437" s="139"/>
      <c r="J437" s="147">
        <f>+'KY_Res by Plant Acct-P29 (Reg)'!J440</f>
        <v>0</v>
      </c>
      <c r="K437" s="139"/>
      <c r="L437" s="147">
        <f>+'KY_Res by Plant Acct-P29 (Reg)'!L440</f>
        <v>0</v>
      </c>
      <c r="M437" s="139"/>
      <c r="N437" s="147">
        <f>+'KY_Res by Plant Acct-P29 (Reg)'!N440</f>
        <v>0</v>
      </c>
      <c r="O437" s="135"/>
      <c r="P437" s="147">
        <f>+'KY_Res by Plant Acct-P29 (Reg)'!P440</f>
        <v>0</v>
      </c>
      <c r="Q437" s="135"/>
      <c r="R437" s="147">
        <f t="shared" si="20"/>
        <v>-822759.88</v>
      </c>
    </row>
    <row r="438" spans="1:18" x14ac:dyDescent="0.2">
      <c r="B438" s="135">
        <f>SUM(B420:B437)</f>
        <v>-37717817.709999993</v>
      </c>
      <c r="C438" s="135"/>
      <c r="D438" s="135">
        <f>SUM(D420:D437)</f>
        <v>-3083266.4200000004</v>
      </c>
      <c r="E438" s="135"/>
      <c r="F438" s="139">
        <f>SUM(F420:F437)</f>
        <v>508478.85</v>
      </c>
      <c r="G438" s="139"/>
      <c r="H438" s="139">
        <f>SUM(H420:H437)</f>
        <v>2614.9499999999998</v>
      </c>
      <c r="I438" s="139"/>
      <c r="J438" s="139">
        <f>SUM(J420:J437)</f>
        <v>0</v>
      </c>
      <c r="K438" s="139"/>
      <c r="L438" s="139">
        <f>SUM(L420:L437)</f>
        <v>593252.31999999995</v>
      </c>
      <c r="M438" s="139"/>
      <c r="N438" s="139">
        <f>SUM(N420:N437)</f>
        <v>-433.45</v>
      </c>
      <c r="O438" s="135"/>
      <c r="P438" s="135">
        <f>SUM(P420:P437)</f>
        <v>0</v>
      </c>
      <c r="Q438" s="135"/>
      <c r="R438" s="135">
        <f>SUM(R420:R437)</f>
        <v>-39697171.460000001</v>
      </c>
    </row>
    <row r="439" spans="1:18" x14ac:dyDescent="0.2">
      <c r="B439" s="135"/>
      <c r="C439" s="135"/>
      <c r="D439" s="135"/>
      <c r="E439" s="135"/>
      <c r="F439" s="139"/>
      <c r="G439" s="139"/>
      <c r="H439" s="139"/>
      <c r="I439" s="139"/>
      <c r="J439" s="139"/>
      <c r="K439" s="139"/>
      <c r="L439" s="139"/>
      <c r="M439" s="139"/>
      <c r="N439" s="139"/>
      <c r="O439" s="135"/>
      <c r="P439" s="135"/>
      <c r="Q439" s="135"/>
      <c r="R439" s="135"/>
    </row>
    <row r="440" spans="1:18" x14ac:dyDescent="0.2">
      <c r="A440" s="10" t="s">
        <v>31</v>
      </c>
      <c r="B440" s="135"/>
      <c r="C440" s="135"/>
      <c r="D440" s="135"/>
      <c r="E440" s="135"/>
      <c r="F440" s="139"/>
      <c r="G440" s="139"/>
      <c r="H440" s="139"/>
      <c r="I440" s="139"/>
      <c r="J440" s="139"/>
      <c r="K440" s="139"/>
      <c r="L440" s="139"/>
      <c r="M440" s="139"/>
      <c r="N440" s="139"/>
      <c r="O440" s="135"/>
      <c r="P440" s="135"/>
      <c r="Q440" s="135"/>
      <c r="R440" s="135"/>
    </row>
    <row r="441" spans="1:18" x14ac:dyDescent="0.2">
      <c r="A441" s="3" t="s">
        <v>3442</v>
      </c>
      <c r="B441" s="135">
        <f>+'KY_Res by Plant Acct-P29 (Reg)'!B444</f>
        <v>-210492.38999999998</v>
      </c>
      <c r="C441" s="135"/>
      <c r="D441" s="135">
        <f>+'KY_Res by Plant Acct-P29 (Reg)'!D444</f>
        <v>-353.04</v>
      </c>
      <c r="E441" s="135"/>
      <c r="F441" s="135">
        <f>+'KY_Res by Plant Acct-P29 (Reg)'!F444</f>
        <v>0</v>
      </c>
      <c r="G441" s="139"/>
      <c r="H441" s="135">
        <f>+'KY_Res by Plant Acct-P29 (Reg)'!H444</f>
        <v>0</v>
      </c>
      <c r="I441" s="139"/>
      <c r="J441" s="135">
        <f>+'KY_Res by Plant Acct-P29 (Reg)'!J444</f>
        <v>0</v>
      </c>
      <c r="K441" s="139"/>
      <c r="L441" s="135">
        <f>+'KY_Res by Plant Acct-P29 (Reg)'!L444</f>
        <v>0</v>
      </c>
      <c r="M441" s="139"/>
      <c r="N441" s="135">
        <f>+'KY_Res by Plant Acct-P29 (Reg)'!N444</f>
        <v>0</v>
      </c>
      <c r="O441" s="135"/>
      <c r="P441" s="135">
        <f>+'KY_Res by Plant Acct-P29 (Reg)'!P444</f>
        <v>0</v>
      </c>
      <c r="Q441" s="135"/>
      <c r="R441" s="138">
        <f>SUM(B441:P441)</f>
        <v>-210845.43</v>
      </c>
    </row>
    <row r="442" spans="1:18" x14ac:dyDescent="0.2">
      <c r="A442" s="3" t="s">
        <v>3299</v>
      </c>
      <c r="B442" s="135">
        <f>+'KY_Res by Plant Acct-P29 (Reg)'!B445</f>
        <v>-11063158.619999999</v>
      </c>
      <c r="C442" s="135"/>
      <c r="D442" s="135">
        <f>+'KY_Res by Plant Acct-P29 (Reg)'!D445</f>
        <v>-407488.52</v>
      </c>
      <c r="E442" s="135"/>
      <c r="F442" s="135">
        <f>+'KY_Res by Plant Acct-P29 (Reg)'!F445</f>
        <v>88991</v>
      </c>
      <c r="G442" s="139"/>
      <c r="H442" s="135">
        <f>+'KY_Res by Plant Acct-P29 (Reg)'!H445</f>
        <v>0</v>
      </c>
      <c r="I442" s="139"/>
      <c r="J442" s="135">
        <f>+'KY_Res by Plant Acct-P29 (Reg)'!J445</f>
        <v>0</v>
      </c>
      <c r="K442" s="139"/>
      <c r="L442" s="135">
        <f>+'KY_Res by Plant Acct-P29 (Reg)'!L445</f>
        <v>61231.55</v>
      </c>
      <c r="M442" s="139"/>
      <c r="N442" s="135">
        <f>+'KY_Res by Plant Acct-P29 (Reg)'!N445</f>
        <v>0</v>
      </c>
      <c r="O442" s="135"/>
      <c r="P442" s="135">
        <f>+'KY_Res by Plant Acct-P29 (Reg)'!P445</f>
        <v>0</v>
      </c>
      <c r="Q442" s="135"/>
      <c r="R442" s="138">
        <f>SUM(B442:P442)</f>
        <v>-11320424.589999998</v>
      </c>
    </row>
    <row r="443" spans="1:18" x14ac:dyDescent="0.2">
      <c r="A443" s="22" t="s">
        <v>3300</v>
      </c>
      <c r="B443" s="147">
        <f>+'KY_Res by Plant Acct-P29 (Reg)'!B446</f>
        <v>-304501.30999999994</v>
      </c>
      <c r="C443" s="86"/>
      <c r="D443" s="147">
        <f>+'KY_Res by Plant Acct-P29 (Reg)'!D446</f>
        <v>-40027.08</v>
      </c>
      <c r="E443" s="86"/>
      <c r="F443" s="147">
        <f>+'KY_Res by Plant Acct-P29 (Reg)'!F446</f>
        <v>2851.93</v>
      </c>
      <c r="G443" s="155"/>
      <c r="H443" s="147">
        <f>+'KY_Res by Plant Acct-P29 (Reg)'!H446</f>
        <v>0</v>
      </c>
      <c r="I443" s="155"/>
      <c r="J443" s="147">
        <f>+'KY_Res by Plant Acct-P29 (Reg)'!J446</f>
        <v>0</v>
      </c>
      <c r="K443" s="155"/>
      <c r="L443" s="147">
        <f>+'KY_Res by Plant Acct-P29 (Reg)'!L446</f>
        <v>0</v>
      </c>
      <c r="M443" s="155"/>
      <c r="N443" s="147">
        <f>+'KY_Res by Plant Acct-P29 (Reg)'!N446</f>
        <v>0</v>
      </c>
      <c r="O443" s="86"/>
      <c r="P443" s="147">
        <f>+'KY_Res by Plant Acct-P29 (Reg)'!P446</f>
        <v>0</v>
      </c>
      <c r="Q443" s="86"/>
      <c r="R443" s="147">
        <f>SUM(B443:P443)</f>
        <v>-341676.45999999996</v>
      </c>
    </row>
    <row r="444" spans="1:18" x14ac:dyDescent="0.2">
      <c r="B444" s="17">
        <f>SUM(B441:B443)</f>
        <v>-11578152.32</v>
      </c>
      <c r="C444" s="17"/>
      <c r="D444" s="17">
        <f>SUM(D441:D443)</f>
        <v>-447868.64</v>
      </c>
      <c r="E444" s="17"/>
      <c r="F444" s="17">
        <f>SUM(F441:F443)</f>
        <v>91842.93</v>
      </c>
      <c r="G444" s="142"/>
      <c r="H444" s="17">
        <f>SUM(H441:H443)</f>
        <v>0</v>
      </c>
      <c r="I444" s="142"/>
      <c r="J444" s="17">
        <f>SUM(J441:J443)</f>
        <v>0</v>
      </c>
      <c r="K444" s="142"/>
      <c r="L444" s="17">
        <f>SUM(L441:L443)</f>
        <v>61231.55</v>
      </c>
      <c r="M444" s="142"/>
      <c r="N444" s="17">
        <f>SUM(N441:N443)</f>
        <v>0</v>
      </c>
      <c r="O444" s="17"/>
      <c r="P444" s="17">
        <f>SUM(P441:P443)</f>
        <v>0</v>
      </c>
      <c r="Q444" s="17"/>
      <c r="R444" s="17">
        <f>SUM(R441:R443)</f>
        <v>-11872946.479999997</v>
      </c>
    </row>
    <row r="445" spans="1:18" x14ac:dyDescent="0.2">
      <c r="B445" s="17"/>
      <c r="C445" s="17"/>
      <c r="D445" s="17"/>
      <c r="E445" s="17"/>
      <c r="F445" s="142"/>
      <c r="G445" s="142"/>
      <c r="H445" s="142"/>
      <c r="I445" s="142"/>
      <c r="J445" s="142"/>
      <c r="K445" s="142"/>
      <c r="L445" s="142"/>
      <c r="M445" s="142"/>
      <c r="N445" s="142"/>
      <c r="O445" s="17"/>
      <c r="P445" s="17"/>
      <c r="Q445" s="17"/>
      <c r="R445" s="17"/>
    </row>
    <row r="446" spans="1:18" x14ac:dyDescent="0.2">
      <c r="B446" s="15"/>
      <c r="C446" s="17"/>
      <c r="D446" s="15"/>
      <c r="E446" s="17"/>
      <c r="F446" s="156"/>
      <c r="G446" s="142"/>
      <c r="H446" s="156"/>
      <c r="I446" s="142"/>
      <c r="J446" s="156"/>
      <c r="K446" s="142"/>
      <c r="L446" s="156"/>
      <c r="M446" s="142"/>
      <c r="N446" s="156"/>
      <c r="O446" s="17"/>
      <c r="P446" s="15"/>
      <c r="Q446" s="17"/>
      <c r="R446" s="15"/>
    </row>
    <row r="447" spans="1:18" ht="13.5" thickBot="1" x14ac:dyDescent="0.25">
      <c r="A447" s="10" t="s">
        <v>3301</v>
      </c>
      <c r="B447" s="41">
        <f>B444+B438+'Res by Plant Acct- Depr Study'!B416+'Res by Plant Acct- Depr Study'!B405</f>
        <v>-292187343.18000001</v>
      </c>
      <c r="C447" s="17"/>
      <c r="D447" s="41">
        <f>D444+D438+'Res by Plant Acct- Depr Study'!D416+'Res by Plant Acct- Depr Study'!D405</f>
        <v>-28976732.379999999</v>
      </c>
      <c r="E447" s="17"/>
      <c r="F447" s="157">
        <f>F444+F438+'Res by Plant Acct- Depr Study'!F416+'Res by Plant Acct- Depr Study'!F405</f>
        <v>10001316.450000001</v>
      </c>
      <c r="G447" s="142"/>
      <c r="H447" s="157">
        <f>H444+H438+'Res by Plant Acct- Depr Study'!H416+'Res by Plant Acct- Depr Study'!H405</f>
        <v>43744.689999999995</v>
      </c>
      <c r="I447" s="142"/>
      <c r="J447" s="157">
        <f>J444+J438+'Res by Plant Acct- Depr Study'!J416+'Res by Plant Acct- Depr Study'!J405</f>
        <v>0</v>
      </c>
      <c r="K447" s="142"/>
      <c r="L447" s="157">
        <f>L444+L438+'Res by Plant Acct- Depr Study'!L416+'Res by Plant Acct- Depr Study'!L405</f>
        <v>2995479.01</v>
      </c>
      <c r="M447" s="142"/>
      <c r="N447" s="157">
        <f>N444+N438+'Res by Plant Acct- Depr Study'!N416+'Res by Plant Acct- Depr Study'!N405</f>
        <v>-47238.92</v>
      </c>
      <c r="O447" s="17"/>
      <c r="P447" s="41">
        <f>P444+P438+'Res by Plant Acct- Depr Study'!P416+'Res by Plant Acct- Depr Study'!P405</f>
        <v>4945.8599999999997</v>
      </c>
      <c r="Q447" s="17"/>
      <c r="R447" s="41">
        <f>R444+R438+'Res by Plant Acct- Depr Study'!R416+'Res by Plant Acct- Depr Study'!R405</f>
        <v>-308165828.46999997</v>
      </c>
    </row>
    <row r="448" spans="1:18" ht="13.5" thickTop="1" x14ac:dyDescent="0.2">
      <c r="B448" s="15"/>
      <c r="C448" s="17"/>
      <c r="D448" s="15"/>
      <c r="E448" s="17"/>
      <c r="F448" s="15"/>
      <c r="G448" s="17"/>
      <c r="H448" s="15"/>
      <c r="I448" s="17"/>
      <c r="J448" s="15"/>
      <c r="K448" s="17"/>
      <c r="L448" s="15"/>
      <c r="M448" s="17"/>
      <c r="N448" s="15"/>
      <c r="O448" s="17"/>
      <c r="P448" s="15"/>
      <c r="Q448" s="17"/>
      <c r="R448" s="15"/>
    </row>
    <row r="449" spans="1:19" x14ac:dyDescent="0.2">
      <c r="B449" s="15"/>
      <c r="C449" s="17"/>
      <c r="D449" s="15"/>
      <c r="E449" s="17"/>
      <c r="F449" s="15"/>
      <c r="G449" s="17"/>
      <c r="H449" s="15"/>
      <c r="I449" s="17"/>
      <c r="J449" s="15"/>
      <c r="K449" s="17"/>
      <c r="L449" s="15"/>
      <c r="M449" s="17"/>
      <c r="N449" s="15"/>
      <c r="O449" s="17"/>
      <c r="P449" s="15"/>
      <c r="Q449" s="17"/>
      <c r="R449" s="15"/>
    </row>
    <row r="450" spans="1:19" x14ac:dyDescent="0.2">
      <c r="A450" s="10" t="s">
        <v>29</v>
      </c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1:19" x14ac:dyDescent="0.2">
      <c r="A451" s="3" t="s">
        <v>3302</v>
      </c>
      <c r="B451" s="147">
        <f>+'KY_Res by Plant Acct-P29 (Reg)'!B454</f>
        <v>-123.12000000000003</v>
      </c>
      <c r="C451" s="86"/>
      <c r="D451" s="147">
        <f>+'KY_Res by Plant Acct-P29 (Reg)'!D454</f>
        <v>-41.04</v>
      </c>
      <c r="E451" s="86"/>
      <c r="F451" s="147">
        <f>+'KY_Res by Plant Acct-P29 (Reg)'!F454</f>
        <v>0</v>
      </c>
      <c r="G451" s="86"/>
      <c r="H451" s="147">
        <f>+'KY_Res by Plant Acct-P29 (Reg)'!H454</f>
        <v>0</v>
      </c>
      <c r="I451" s="86"/>
      <c r="J451" s="147">
        <f>+'KY_Res by Plant Acct-P29 (Reg)'!J454</f>
        <v>0</v>
      </c>
      <c r="K451" s="86"/>
      <c r="L451" s="147">
        <f>+'KY_Res by Plant Acct-P29 (Reg)'!L454</f>
        <v>0</v>
      </c>
      <c r="M451" s="86"/>
      <c r="N451" s="147">
        <f>+'KY_Res by Plant Acct-P29 (Reg)'!N454</f>
        <v>0</v>
      </c>
      <c r="O451" s="86"/>
      <c r="P451" s="147">
        <f>+'KY_Res by Plant Acct-P29 (Reg)'!P454</f>
        <v>0</v>
      </c>
      <c r="Q451" s="86"/>
      <c r="R451" s="149">
        <f>SUM(B451:P451)</f>
        <v>-164.16000000000003</v>
      </c>
    </row>
    <row r="452" spans="1:19" x14ac:dyDescent="0.2">
      <c r="B452" s="135">
        <f>SUM(B451)</f>
        <v>-123.12000000000003</v>
      </c>
      <c r="C452" s="135"/>
      <c r="D452" s="135">
        <f>SUM(D451)</f>
        <v>-41.04</v>
      </c>
      <c r="E452" s="135"/>
      <c r="F452" s="135">
        <f>SUM(F451)</f>
        <v>0</v>
      </c>
      <c r="G452" s="135"/>
      <c r="H452" s="135">
        <f>SUM(H451)</f>
        <v>0</v>
      </c>
      <c r="I452" s="135"/>
      <c r="J452" s="135">
        <f>SUM(J451)</f>
        <v>0</v>
      </c>
      <c r="K452" s="135"/>
      <c r="L452" s="135">
        <f>SUM(L451)</f>
        <v>0</v>
      </c>
      <c r="M452" s="135"/>
      <c r="N452" s="135">
        <f>SUM(N451)</f>
        <v>0</v>
      </c>
      <c r="O452" s="135"/>
      <c r="P452" s="135">
        <f>SUM(P451)</f>
        <v>0</v>
      </c>
      <c r="Q452" s="135"/>
      <c r="R452" s="135">
        <f>SUM(R451)</f>
        <v>-164.16000000000003</v>
      </c>
    </row>
    <row r="453" spans="1:19" x14ac:dyDescent="0.2">
      <c r="B453" s="15"/>
      <c r="C453" s="17"/>
      <c r="D453" s="15"/>
      <c r="E453" s="17"/>
      <c r="F453" s="15"/>
      <c r="G453" s="17"/>
      <c r="H453" s="15"/>
      <c r="I453" s="17"/>
      <c r="J453" s="15"/>
      <c r="K453" s="17"/>
      <c r="L453" s="15"/>
      <c r="M453" s="17"/>
      <c r="N453" s="15"/>
      <c r="O453" s="17"/>
      <c r="P453" s="15"/>
      <c r="Q453" s="17"/>
      <c r="R453" s="15"/>
    </row>
    <row r="454" spans="1:19" x14ac:dyDescent="0.2">
      <c r="B454" s="15"/>
      <c r="C454" s="17"/>
      <c r="D454" s="15"/>
      <c r="E454" s="17"/>
      <c r="F454" s="15"/>
      <c r="G454" s="17"/>
      <c r="H454" s="15"/>
      <c r="I454" s="17"/>
      <c r="J454" s="15"/>
      <c r="K454" s="17"/>
      <c r="L454" s="15"/>
      <c r="M454" s="17"/>
      <c r="N454" s="15"/>
      <c r="O454" s="17"/>
      <c r="P454" s="15"/>
      <c r="Q454" s="17"/>
      <c r="R454" s="15"/>
    </row>
    <row r="455" spans="1:19" ht="13.5" thickBot="1" x14ac:dyDescent="0.25">
      <c r="A455" s="10" t="s">
        <v>3303</v>
      </c>
      <c r="B455" s="41">
        <f>B452</f>
        <v>-123.12000000000003</v>
      </c>
      <c r="C455" s="17"/>
      <c r="D455" s="41">
        <f>D452</f>
        <v>-41.04</v>
      </c>
      <c r="E455" s="17"/>
      <c r="F455" s="41">
        <f>F452</f>
        <v>0</v>
      </c>
      <c r="G455" s="17"/>
      <c r="H455" s="41">
        <f>H452</f>
        <v>0</v>
      </c>
      <c r="I455" s="17"/>
      <c r="J455" s="41">
        <f>J452</f>
        <v>0</v>
      </c>
      <c r="K455" s="17"/>
      <c r="L455" s="41">
        <f>L452</f>
        <v>0</v>
      </c>
      <c r="M455" s="17"/>
      <c r="N455" s="41">
        <f>N452</f>
        <v>0</v>
      </c>
      <c r="O455" s="17"/>
      <c r="P455" s="41">
        <f>P452</f>
        <v>0</v>
      </c>
      <c r="Q455" s="17"/>
      <c r="R455" s="41">
        <f>R452</f>
        <v>-164.16000000000003</v>
      </c>
    </row>
    <row r="456" spans="1:19" ht="13.5" thickTop="1" x14ac:dyDescent="0.2"/>
    <row r="458" spans="1:19" x14ac:dyDescent="0.2">
      <c r="A458" s="10" t="s">
        <v>14</v>
      </c>
    </row>
    <row r="459" spans="1:19" x14ac:dyDescent="0.2">
      <c r="A459" s="3" t="s">
        <v>3304</v>
      </c>
      <c r="B459" s="15">
        <f>+'KY_Res by Plant Acct-P29 (Reg)'!B462</f>
        <v>0</v>
      </c>
      <c r="C459" s="17"/>
      <c r="D459" s="15">
        <f>+'KY_Res by Plant Acct-P29 (Reg)'!D462</f>
        <v>0</v>
      </c>
      <c r="E459" s="17"/>
      <c r="F459" s="15">
        <f>+'KY_Res by Plant Acct-P29 (Reg)'!F462</f>
        <v>0</v>
      </c>
      <c r="G459" s="17"/>
      <c r="H459" s="15">
        <f>+'KY_Res by Plant Acct-P29 (Reg)'!H462</f>
        <v>0</v>
      </c>
      <c r="I459" s="17"/>
      <c r="J459" s="15">
        <f>+'KY_Res by Plant Acct-P29 (Reg)'!J462</f>
        <v>0</v>
      </c>
      <c r="K459" s="17"/>
      <c r="L459" s="15">
        <f>+'KY_Res by Plant Acct-P29 (Reg)'!L462</f>
        <v>0</v>
      </c>
      <c r="M459" s="17"/>
      <c r="N459" s="15">
        <f>+'KY_Res by Plant Acct-P29 (Reg)'!N462</f>
        <v>0</v>
      </c>
      <c r="O459" s="17"/>
      <c r="P459" s="15">
        <f>+'KY_Res by Plant Acct-P29 (Reg)'!P462</f>
        <v>0</v>
      </c>
      <c r="Q459" s="17"/>
      <c r="R459" s="15">
        <f t="shared" ref="R459:R487" si="21">SUM(B459:P459)</f>
        <v>0</v>
      </c>
    </row>
    <row r="460" spans="1:19" x14ac:dyDescent="0.2">
      <c r="A460" s="3" t="s">
        <v>3305</v>
      </c>
      <c r="B460" s="15">
        <f>+'KY_Res by Plant Acct-P29 (Reg)'!B463</f>
        <v>-140828.57999999999</v>
      </c>
      <c r="C460" s="17"/>
      <c r="D460" s="15">
        <f>+'KY_Res by Plant Acct-P29 (Reg)'!D463</f>
        <v>0</v>
      </c>
      <c r="E460" s="17"/>
      <c r="F460" s="15">
        <f>+'KY_Res by Plant Acct-P29 (Reg)'!F463</f>
        <v>0</v>
      </c>
      <c r="G460" s="17"/>
      <c r="H460" s="15">
        <f>+'KY_Res by Plant Acct-P29 (Reg)'!H463</f>
        <v>140828.57999999999</v>
      </c>
      <c r="I460" s="17"/>
      <c r="J460" s="15">
        <f>+'KY_Res by Plant Acct-P29 (Reg)'!J463</f>
        <v>0</v>
      </c>
      <c r="K460" s="17"/>
      <c r="L460" s="15">
        <f>+'KY_Res by Plant Acct-P29 (Reg)'!L463</f>
        <v>0</v>
      </c>
      <c r="M460" s="17"/>
      <c r="N460" s="15">
        <f>+'KY_Res by Plant Acct-P29 (Reg)'!N463</f>
        <v>0</v>
      </c>
      <c r="O460" s="17"/>
      <c r="P460" s="15">
        <f>+'KY_Res by Plant Acct-P29 (Reg)'!P463</f>
        <v>0</v>
      </c>
      <c r="Q460" s="17"/>
      <c r="R460" s="15">
        <f t="shared" si="21"/>
        <v>0</v>
      </c>
    </row>
    <row r="461" spans="1:19" x14ac:dyDescent="0.2">
      <c r="A461" s="3" t="s">
        <v>3306</v>
      </c>
      <c r="B461" s="15">
        <f>+'KY_Res by Plant Acct-P29 (Reg)'!B464</f>
        <v>-10788871.170000002</v>
      </c>
      <c r="C461" s="17"/>
      <c r="D461" s="15">
        <f>+'KY_Res by Plant Acct-P29 (Reg)'!D464</f>
        <v>-1183057.26</v>
      </c>
      <c r="E461" s="17"/>
      <c r="F461" s="15">
        <f>+'KY_Res by Plant Acct-P29 (Reg)'!F464</f>
        <v>97142.87</v>
      </c>
      <c r="G461" s="15">
        <f>+'KY_Res by Plant Acct-P29 (Reg)'!G464</f>
        <v>0</v>
      </c>
      <c r="H461" s="15">
        <f>+'KY_Res by Plant Acct-P29 (Reg)'!H464</f>
        <v>1025.9000000000001</v>
      </c>
      <c r="I461" s="17"/>
      <c r="J461" s="15">
        <f>+'KY_Res by Plant Acct-P29 (Reg)'!J464</f>
        <v>0</v>
      </c>
      <c r="K461" s="17"/>
      <c r="L461" s="15">
        <f>+'KY_Res by Plant Acct-P29 (Reg)'!L464</f>
        <v>6218.69</v>
      </c>
      <c r="M461" s="17"/>
      <c r="N461" s="15">
        <f>+'KY_Res by Plant Acct-P29 (Reg)'!N464</f>
        <v>0</v>
      </c>
      <c r="O461" s="17"/>
      <c r="P461" s="15">
        <f>+'KY_Res by Plant Acct-P29 (Reg)'!P464</f>
        <v>0</v>
      </c>
      <c r="Q461" s="17"/>
      <c r="R461" s="15">
        <f>SUM(B461:P461)</f>
        <v>-11867540.970000003</v>
      </c>
    </row>
    <row r="462" spans="1:19" x14ac:dyDescent="0.2">
      <c r="A462" s="3" t="s">
        <v>3443</v>
      </c>
      <c r="B462" s="15">
        <f>+'KY_Res by Plant Acct-P29 (Reg)'!B465</f>
        <v>68154.909999999974</v>
      </c>
      <c r="C462" s="17"/>
      <c r="D462" s="15">
        <f>+'KY_Res by Plant Acct-P29 (Reg)'!D465</f>
        <v>-22142.62</v>
      </c>
      <c r="E462" s="17"/>
      <c r="F462" s="15">
        <f>+'KY_Res by Plant Acct-P29 (Reg)'!F465</f>
        <v>0</v>
      </c>
      <c r="G462" s="15">
        <f>+'KY_Res by Plant Acct-P29 (Reg)'!G465</f>
        <v>0</v>
      </c>
      <c r="H462" s="15">
        <f>+'KY_Res by Plant Acct-P29 (Reg)'!H465</f>
        <v>0</v>
      </c>
      <c r="I462" s="17"/>
      <c r="J462" s="15">
        <f>+'KY_Res by Plant Acct-P29 (Reg)'!J465</f>
        <v>0</v>
      </c>
      <c r="K462" s="17"/>
      <c r="L462" s="15">
        <f>+'KY_Res by Plant Acct-P29 (Reg)'!L465</f>
        <v>0</v>
      </c>
      <c r="M462" s="17"/>
      <c r="N462" s="15">
        <f>+'KY_Res by Plant Acct-P29 (Reg)'!N465</f>
        <v>0</v>
      </c>
      <c r="O462" s="17"/>
      <c r="P462" s="15">
        <f>+'KY_Res by Plant Acct-P29 (Reg)'!P465</f>
        <v>0</v>
      </c>
      <c r="Q462" s="17"/>
      <c r="R462" s="15">
        <f>SUM(B462:P462)</f>
        <v>46012.289999999979</v>
      </c>
      <c r="S462" s="15"/>
    </row>
    <row r="463" spans="1:19" x14ac:dyDescent="0.2">
      <c r="A463" s="3" t="s">
        <v>3444</v>
      </c>
      <c r="B463" s="15">
        <f>+'KY_Res by Plant Acct-P29 (Reg)'!B466</f>
        <v>-137584.12</v>
      </c>
      <c r="C463" s="17"/>
      <c r="D463" s="15">
        <f>+'KY_Res by Plant Acct-P29 (Reg)'!D466</f>
        <v>-64196.77</v>
      </c>
      <c r="E463" s="17"/>
      <c r="F463" s="15">
        <f>+'KY_Res by Plant Acct-P29 (Reg)'!F466</f>
        <v>0</v>
      </c>
      <c r="G463" s="15">
        <f>+'KY_Res by Plant Acct-P29 (Reg)'!G466</f>
        <v>0</v>
      </c>
      <c r="H463" s="15">
        <f>+'KY_Res by Plant Acct-P29 (Reg)'!H466</f>
        <v>0</v>
      </c>
      <c r="I463" s="17"/>
      <c r="J463" s="15">
        <f>+'KY_Res by Plant Acct-P29 (Reg)'!J466</f>
        <v>0</v>
      </c>
      <c r="K463" s="17"/>
      <c r="L463" s="15">
        <f>+'KY_Res by Plant Acct-P29 (Reg)'!L466</f>
        <v>0</v>
      </c>
      <c r="M463" s="17"/>
      <c r="N463" s="15">
        <f>+'KY_Res by Plant Acct-P29 (Reg)'!N466</f>
        <v>0</v>
      </c>
      <c r="O463" s="17"/>
      <c r="P463" s="15">
        <f>+'KY_Res by Plant Acct-P29 (Reg)'!P466</f>
        <v>0</v>
      </c>
      <c r="Q463" s="17"/>
      <c r="R463" s="15">
        <f>SUM(B463:P463)</f>
        <v>-201780.88999999998</v>
      </c>
      <c r="S463" s="15"/>
    </row>
    <row r="464" spans="1:19" x14ac:dyDescent="0.2">
      <c r="A464" s="3" t="s">
        <v>3309</v>
      </c>
      <c r="B464" s="15">
        <f>+'KY_Res by Plant Acct-P29 (Reg)'!B467</f>
        <v>-13574124.9</v>
      </c>
      <c r="C464" s="17"/>
      <c r="D464" s="15">
        <f>+'KY_Res by Plant Acct-P29 (Reg)'!D467</f>
        <v>-929321.2</v>
      </c>
      <c r="E464" s="17"/>
      <c r="F464" s="15">
        <f>+'KY_Res by Plant Acct-P29 (Reg)'!F467</f>
        <v>30537.16</v>
      </c>
      <c r="G464" s="17"/>
      <c r="H464" s="15">
        <f>+'KY_Res by Plant Acct-P29 (Reg)'!H467</f>
        <v>0</v>
      </c>
      <c r="I464" s="17"/>
      <c r="J464" s="15">
        <f>+'KY_Res by Plant Acct-P29 (Reg)'!J467</f>
        <v>0</v>
      </c>
      <c r="K464" s="17"/>
      <c r="L464" s="15">
        <f>+'KY_Res by Plant Acct-P29 (Reg)'!L467</f>
        <v>7911.76</v>
      </c>
      <c r="M464" s="17"/>
      <c r="N464" s="15">
        <f>+'KY_Res by Plant Acct-P29 (Reg)'!N467</f>
        <v>0</v>
      </c>
      <c r="O464" s="17"/>
      <c r="P464" s="15">
        <f>+'KY_Res by Plant Acct-P29 (Reg)'!P467</f>
        <v>0</v>
      </c>
      <c r="Q464" s="17"/>
      <c r="R464" s="15">
        <f>SUM(B464:P464)</f>
        <v>-14464997.18</v>
      </c>
    </row>
    <row r="465" spans="1:18" x14ac:dyDescent="0.2">
      <c r="A465" s="3" t="s">
        <v>3310</v>
      </c>
      <c r="B465" s="15">
        <f>+'KY_Res by Plant Acct-P29 (Reg)'!B468</f>
        <v>-1261009.0700000003</v>
      </c>
      <c r="C465" s="17"/>
      <c r="D465" s="15">
        <f>+'KY_Res by Plant Acct-P29 (Reg)'!D468</f>
        <v>-55963.839999999997</v>
      </c>
      <c r="E465" s="17"/>
      <c r="F465" s="15">
        <f>+'KY_Res by Plant Acct-P29 (Reg)'!F468</f>
        <v>97260.06</v>
      </c>
      <c r="G465" s="17"/>
      <c r="H465" s="15">
        <f>+'KY_Res by Plant Acct-P29 (Reg)'!H468</f>
        <v>0</v>
      </c>
      <c r="I465" s="17"/>
      <c r="J465" s="15">
        <f>+'KY_Res by Plant Acct-P29 (Reg)'!J468</f>
        <v>0</v>
      </c>
      <c r="K465" s="17"/>
      <c r="L465" s="15">
        <f>+'KY_Res by Plant Acct-P29 (Reg)'!L468</f>
        <v>22926.19</v>
      </c>
      <c r="M465" s="17"/>
      <c r="N465" s="15">
        <f>+'KY_Res by Plant Acct-P29 (Reg)'!N468</f>
        <v>0</v>
      </c>
      <c r="O465" s="17"/>
      <c r="P465" s="15">
        <f>+'KY_Res by Plant Acct-P29 (Reg)'!P468</f>
        <v>0</v>
      </c>
      <c r="Q465" s="17"/>
      <c r="R465" s="15">
        <f t="shared" si="21"/>
        <v>-1196786.6600000004</v>
      </c>
    </row>
    <row r="466" spans="1:18" x14ac:dyDescent="0.2">
      <c r="A466" s="3" t="s">
        <v>3311</v>
      </c>
      <c r="B466" s="15">
        <f>+'KY_Res by Plant Acct-P29 (Reg)'!B469</f>
        <v>268879.48000000027</v>
      </c>
      <c r="C466" s="17"/>
      <c r="D466" s="15">
        <f>+'KY_Res by Plant Acct-P29 (Reg)'!D469</f>
        <v>-24646.68</v>
      </c>
      <c r="E466" s="17"/>
      <c r="F466" s="15">
        <f>+'KY_Res by Plant Acct-P29 (Reg)'!F469</f>
        <v>0</v>
      </c>
      <c r="G466" s="17"/>
      <c r="H466" s="15">
        <f>+'KY_Res by Plant Acct-P29 (Reg)'!H469</f>
        <v>0</v>
      </c>
      <c r="I466" s="17"/>
      <c r="J466" s="15">
        <f>+'KY_Res by Plant Acct-P29 (Reg)'!J469</f>
        <v>0</v>
      </c>
      <c r="K466" s="17"/>
      <c r="L466" s="15">
        <f>+'KY_Res by Plant Acct-P29 (Reg)'!L469</f>
        <v>0</v>
      </c>
      <c r="M466" s="17"/>
      <c r="N466" s="15">
        <f>+'KY_Res by Plant Acct-P29 (Reg)'!N469</f>
        <v>0</v>
      </c>
      <c r="O466" s="17"/>
      <c r="P466" s="15">
        <f>+'KY_Res by Plant Acct-P29 (Reg)'!P469</f>
        <v>0</v>
      </c>
      <c r="Q466" s="17"/>
      <c r="R466" s="15">
        <f t="shared" si="21"/>
        <v>244232.80000000028</v>
      </c>
    </row>
    <row r="467" spans="1:18" x14ac:dyDescent="0.2">
      <c r="A467" s="3" t="s">
        <v>3312</v>
      </c>
      <c r="B467" s="15">
        <f>+'KY_Res by Plant Acct-P29 (Reg)'!B470</f>
        <v>-6530721.6799999997</v>
      </c>
      <c r="C467" s="17"/>
      <c r="D467" s="15">
        <f>+'KY_Res by Plant Acct-P29 (Reg)'!D470</f>
        <v>-192520.3</v>
      </c>
      <c r="E467" s="17"/>
      <c r="F467" s="15">
        <f>+'KY_Res by Plant Acct-P29 (Reg)'!F470</f>
        <v>81110.28</v>
      </c>
      <c r="G467" s="17"/>
      <c r="H467" s="15">
        <f>+'KY_Res by Plant Acct-P29 (Reg)'!H470</f>
        <v>-140828.57999999999</v>
      </c>
      <c r="I467" s="17"/>
      <c r="J467" s="15">
        <f>+'KY_Res by Plant Acct-P29 (Reg)'!J470</f>
        <v>0</v>
      </c>
      <c r="K467" s="17"/>
      <c r="L467" s="15">
        <f>+'KY_Res by Plant Acct-P29 (Reg)'!L470</f>
        <v>0</v>
      </c>
      <c r="M467" s="17"/>
      <c r="N467" s="15">
        <f>+'KY_Res by Plant Acct-P29 (Reg)'!N470</f>
        <v>0</v>
      </c>
      <c r="O467" s="17"/>
      <c r="P467" s="15">
        <f>+'KY_Res by Plant Acct-P29 (Reg)'!P470</f>
        <v>0</v>
      </c>
      <c r="Q467" s="17"/>
      <c r="R467" s="15">
        <f t="shared" si="21"/>
        <v>-6782960.2799999993</v>
      </c>
    </row>
    <row r="468" spans="1:18" x14ac:dyDescent="0.2">
      <c r="A468" s="3" t="s">
        <v>3313</v>
      </c>
      <c r="B468" s="15">
        <f>+'KY_Res by Plant Acct-P29 (Reg)'!B471</f>
        <v>-184340.53000000003</v>
      </c>
      <c r="C468" s="17"/>
      <c r="D468" s="15">
        <f>+'KY_Res by Plant Acct-P29 (Reg)'!D471</f>
        <v>-14503.44</v>
      </c>
      <c r="E468" s="17"/>
      <c r="F468" s="15">
        <f>+'KY_Res by Plant Acct-P29 (Reg)'!F471</f>
        <v>0</v>
      </c>
      <c r="G468" s="17"/>
      <c r="H468" s="15">
        <f>+'KY_Res by Plant Acct-P29 (Reg)'!H471</f>
        <v>0</v>
      </c>
      <c r="I468" s="17"/>
      <c r="J468" s="15">
        <f>+'KY_Res by Plant Acct-P29 (Reg)'!J471</f>
        <v>0</v>
      </c>
      <c r="K468" s="17"/>
      <c r="L468" s="15">
        <f>+'KY_Res by Plant Acct-P29 (Reg)'!L471</f>
        <v>0</v>
      </c>
      <c r="M468" s="17"/>
      <c r="N468" s="15">
        <f>+'KY_Res by Plant Acct-P29 (Reg)'!N471</f>
        <v>0</v>
      </c>
      <c r="O468" s="17"/>
      <c r="P468" s="15">
        <f>+'KY_Res by Plant Acct-P29 (Reg)'!P471</f>
        <v>0</v>
      </c>
      <c r="Q468" s="17"/>
      <c r="R468" s="15">
        <f t="shared" si="21"/>
        <v>-198843.97000000003</v>
      </c>
    </row>
    <row r="469" spans="1:18" x14ac:dyDescent="0.2">
      <c r="A469" s="3" t="s">
        <v>3314</v>
      </c>
      <c r="B469" s="15">
        <f>+'KY_Res by Plant Acct-P29 (Reg)'!B472</f>
        <v>-344924.73000000004</v>
      </c>
      <c r="C469" s="17"/>
      <c r="D469" s="15">
        <f>+'KY_Res by Plant Acct-P29 (Reg)'!D472</f>
        <v>-24834.62</v>
      </c>
      <c r="E469" s="17"/>
      <c r="F469" s="15">
        <f>+'KY_Res by Plant Acct-P29 (Reg)'!F472</f>
        <v>0</v>
      </c>
      <c r="G469" s="17"/>
      <c r="H469" s="15">
        <f>+'KY_Res by Plant Acct-P29 (Reg)'!H472</f>
        <v>0</v>
      </c>
      <c r="I469" s="17"/>
      <c r="J469" s="15">
        <f>+'KY_Res by Plant Acct-P29 (Reg)'!J472</f>
        <v>0</v>
      </c>
      <c r="K469" s="17"/>
      <c r="L469" s="15">
        <f>+'KY_Res by Plant Acct-P29 (Reg)'!L472</f>
        <v>0</v>
      </c>
      <c r="M469" s="17"/>
      <c r="N469" s="15">
        <f>+'KY_Res by Plant Acct-P29 (Reg)'!N472</f>
        <v>0</v>
      </c>
      <c r="O469" s="17"/>
      <c r="P469" s="15">
        <f>+'KY_Res by Plant Acct-P29 (Reg)'!P472</f>
        <v>0</v>
      </c>
      <c r="Q469" s="17"/>
      <c r="R469" s="15">
        <f t="shared" si="21"/>
        <v>-369759.35000000003</v>
      </c>
    </row>
    <row r="470" spans="1:18" x14ac:dyDescent="0.2">
      <c r="A470" s="3" t="s">
        <v>3315</v>
      </c>
      <c r="B470" s="15">
        <f>+'KY_Res by Plant Acct-P29 (Reg)'!B473</f>
        <v>-4953564.7899999991</v>
      </c>
      <c r="C470" s="17"/>
      <c r="D470" s="15">
        <f>+'KY_Res by Plant Acct-P29 (Reg)'!D473</f>
        <v>-1388301.08</v>
      </c>
      <c r="E470" s="17"/>
      <c r="F470" s="15">
        <f>+'KY_Res by Plant Acct-P29 (Reg)'!F473</f>
        <v>149020.1</v>
      </c>
      <c r="G470" s="17"/>
      <c r="H470" s="15">
        <f>+'KY_Res by Plant Acct-P29 (Reg)'!H473</f>
        <v>-973.36</v>
      </c>
      <c r="I470" s="17"/>
      <c r="J470" s="15">
        <f>+'KY_Res by Plant Acct-P29 (Reg)'!J473</f>
        <v>0</v>
      </c>
      <c r="K470" s="17"/>
      <c r="L470" s="15">
        <f>+'KY_Res by Plant Acct-P29 (Reg)'!L473</f>
        <v>973.36</v>
      </c>
      <c r="M470" s="17"/>
      <c r="N470" s="15">
        <f>+'KY_Res by Plant Acct-P29 (Reg)'!N473</f>
        <v>0</v>
      </c>
      <c r="O470" s="17"/>
      <c r="P470" s="15">
        <f>+'KY_Res by Plant Acct-P29 (Reg)'!P473</f>
        <v>0</v>
      </c>
      <c r="Q470" s="17"/>
      <c r="R470" s="15">
        <f t="shared" si="21"/>
        <v>-6192845.7699999996</v>
      </c>
    </row>
    <row r="471" spans="1:18" x14ac:dyDescent="0.2">
      <c r="A471" s="3" t="s">
        <v>3316</v>
      </c>
      <c r="B471" s="15">
        <f>+'KY_Res by Plant Acct-P29 (Reg)'!B474</f>
        <v>-412533.59000000032</v>
      </c>
      <c r="C471" s="17"/>
      <c r="D471" s="15">
        <f>+'KY_Res by Plant Acct-P29 (Reg)'!D474</f>
        <v>-94213.63</v>
      </c>
      <c r="E471" s="17"/>
      <c r="F471" s="15">
        <f>+'KY_Res by Plant Acct-P29 (Reg)'!F474</f>
        <v>177487.45</v>
      </c>
      <c r="G471" s="17"/>
      <c r="H471" s="15">
        <f>+'KY_Res by Plant Acct-P29 (Reg)'!H474</f>
        <v>0</v>
      </c>
      <c r="I471" s="17"/>
      <c r="J471" s="15">
        <f>+'KY_Res by Plant Acct-P29 (Reg)'!J474</f>
        <v>0</v>
      </c>
      <c r="K471" s="17"/>
      <c r="L471" s="15">
        <f>+'KY_Res by Plant Acct-P29 (Reg)'!L474</f>
        <v>33377.589999999997</v>
      </c>
      <c r="M471" s="17"/>
      <c r="N471" s="15">
        <f>+'KY_Res by Plant Acct-P29 (Reg)'!N474</f>
        <v>0</v>
      </c>
      <c r="O471" s="17"/>
      <c r="P471" s="15">
        <f>+'KY_Res by Plant Acct-P29 (Reg)'!P474</f>
        <v>0</v>
      </c>
      <c r="Q471" s="17"/>
      <c r="R471" s="15">
        <f t="shared" si="21"/>
        <v>-295882.18000000028</v>
      </c>
    </row>
    <row r="472" spans="1:18" x14ac:dyDescent="0.2">
      <c r="A472" s="3" t="s">
        <v>3317</v>
      </c>
      <c r="B472" s="15">
        <f>+'KY_Res by Plant Acct-P29 (Reg)'!B475</f>
        <v>-10172497.51</v>
      </c>
      <c r="C472" s="17"/>
      <c r="D472" s="15">
        <f>+'KY_Res by Plant Acct-P29 (Reg)'!D475</f>
        <v>-755918.45</v>
      </c>
      <c r="E472" s="17"/>
      <c r="F472" s="15">
        <f>+'KY_Res by Plant Acct-P29 (Reg)'!F475</f>
        <v>4312339.99</v>
      </c>
      <c r="G472" s="17"/>
      <c r="H472" s="15">
        <f>+'KY_Res by Plant Acct-P29 (Reg)'!H475</f>
        <v>0</v>
      </c>
      <c r="I472" s="17"/>
      <c r="J472" s="15">
        <f>+'KY_Res by Plant Acct-P29 (Reg)'!J475</f>
        <v>0</v>
      </c>
      <c r="K472" s="17"/>
      <c r="L472" s="15">
        <f>+'KY_Res by Plant Acct-P29 (Reg)'!L475</f>
        <v>0</v>
      </c>
      <c r="M472" s="17"/>
      <c r="N472" s="15">
        <f>+'KY_Res by Plant Acct-P29 (Reg)'!N475</f>
        <v>0</v>
      </c>
      <c r="O472" s="17"/>
      <c r="P472" s="15">
        <f>+'KY_Res by Plant Acct-P29 (Reg)'!P475</f>
        <v>0</v>
      </c>
      <c r="Q472" s="17"/>
      <c r="R472" s="15">
        <f t="shared" si="21"/>
        <v>-6616075.9699999988</v>
      </c>
    </row>
    <row r="473" spans="1:18" x14ac:dyDescent="0.2">
      <c r="A473" s="3" t="s">
        <v>3318</v>
      </c>
      <c r="B473" s="15">
        <f>+'KY_Res by Plant Acct-P29 (Reg)'!B476</f>
        <v>-2444311.41</v>
      </c>
      <c r="C473" s="17"/>
      <c r="D473" s="15">
        <f>+'KY_Res by Plant Acct-P29 (Reg)'!D476</f>
        <v>-1172324.75</v>
      </c>
      <c r="E473" s="17"/>
      <c r="F473" s="15">
        <f>+'KY_Res by Plant Acct-P29 (Reg)'!F476</f>
        <v>1228505.58</v>
      </c>
      <c r="G473" s="17"/>
      <c r="H473" s="15">
        <f>+'KY_Res by Plant Acct-P29 (Reg)'!H476</f>
        <v>0</v>
      </c>
      <c r="I473" s="17"/>
      <c r="J473" s="15">
        <f>+'KY_Res by Plant Acct-P29 (Reg)'!J476</f>
        <v>0</v>
      </c>
      <c r="K473" s="17"/>
      <c r="L473" s="15">
        <f>+'KY_Res by Plant Acct-P29 (Reg)'!L476</f>
        <v>0</v>
      </c>
      <c r="M473" s="17"/>
      <c r="N473" s="15">
        <f>+'KY_Res by Plant Acct-P29 (Reg)'!N476</f>
        <v>0</v>
      </c>
      <c r="O473" s="17"/>
      <c r="P473" s="15">
        <f>+'KY_Res by Plant Acct-P29 (Reg)'!P476</f>
        <v>0</v>
      </c>
      <c r="Q473" s="17"/>
      <c r="R473" s="15">
        <f t="shared" si="21"/>
        <v>-2388130.58</v>
      </c>
    </row>
    <row r="474" spans="1:18" x14ac:dyDescent="0.2">
      <c r="A474" s="3" t="s">
        <v>3319</v>
      </c>
      <c r="B474" s="15">
        <f>+'KY_Res by Plant Acct-P29 (Reg)'!B477</f>
        <v>-1.4551915228366852E-11</v>
      </c>
      <c r="C474" s="17"/>
      <c r="D474" s="15">
        <f>+'KY_Res by Plant Acct-P29 (Reg)'!D477</f>
        <v>0</v>
      </c>
      <c r="E474" s="17"/>
      <c r="F474" s="15">
        <f>+'KY_Res by Plant Acct-P29 (Reg)'!F477</f>
        <v>0</v>
      </c>
      <c r="G474" s="17"/>
      <c r="H474" s="15">
        <f>+'KY_Res by Plant Acct-P29 (Reg)'!H477</f>
        <v>0</v>
      </c>
      <c r="I474" s="17"/>
      <c r="J474" s="15">
        <f>+'KY_Res by Plant Acct-P29 (Reg)'!J477</f>
        <v>0</v>
      </c>
      <c r="K474" s="17"/>
      <c r="L474" s="15">
        <f>+'KY_Res by Plant Acct-P29 (Reg)'!L477</f>
        <v>0</v>
      </c>
      <c r="M474" s="17"/>
      <c r="N474" s="15">
        <f>+'KY_Res by Plant Acct-P29 (Reg)'!N477</f>
        <v>0</v>
      </c>
      <c r="O474" s="17"/>
      <c r="P474" s="15">
        <f>+'KY_Res by Plant Acct-P29 (Reg)'!P477</f>
        <v>0</v>
      </c>
      <c r="Q474" s="17"/>
      <c r="R474" s="15">
        <f t="shared" si="21"/>
        <v>-1.4551915228366852E-11</v>
      </c>
    </row>
    <row r="475" spans="1:18" x14ac:dyDescent="0.2">
      <c r="A475" s="3" t="s">
        <v>3320</v>
      </c>
      <c r="B475" s="15">
        <f>+'KY_Res by Plant Acct-P29 (Reg)'!B478</f>
        <v>-464753.74</v>
      </c>
      <c r="C475" s="17"/>
      <c r="D475" s="15">
        <f>+'KY_Res by Plant Acct-P29 (Reg)'!D478</f>
        <v>-185690.23999999999</v>
      </c>
      <c r="E475" s="17"/>
      <c r="F475" s="15">
        <f>+'KY_Res by Plant Acct-P29 (Reg)'!F478</f>
        <v>6516.09</v>
      </c>
      <c r="G475" s="17"/>
      <c r="H475" s="15">
        <f>+'KY_Res by Plant Acct-P29 (Reg)'!H478</f>
        <v>0</v>
      </c>
      <c r="I475" s="17"/>
      <c r="J475" s="15">
        <f>+'KY_Res by Plant Acct-P29 (Reg)'!J478</f>
        <v>0</v>
      </c>
      <c r="K475" s="17"/>
      <c r="L475" s="15">
        <f>+'KY_Res by Plant Acct-P29 (Reg)'!L478</f>
        <v>0</v>
      </c>
      <c r="M475" s="17"/>
      <c r="N475" s="15">
        <f>+'KY_Res by Plant Acct-P29 (Reg)'!N478</f>
        <v>0</v>
      </c>
      <c r="O475" s="17"/>
      <c r="P475" s="15">
        <f>+'KY_Res by Plant Acct-P29 (Reg)'!P478</f>
        <v>0</v>
      </c>
      <c r="Q475" s="17"/>
      <c r="R475" s="15">
        <f t="shared" si="21"/>
        <v>-643927.89</v>
      </c>
    </row>
    <row r="476" spans="1:18" x14ac:dyDescent="0.2">
      <c r="A476" s="3" t="s">
        <v>3321</v>
      </c>
      <c r="B476" s="15">
        <f>+'KY_Res by Plant Acct-P29 (Reg)'!B479</f>
        <v>-19940.05</v>
      </c>
      <c r="C476" s="17"/>
      <c r="D476" s="15">
        <f>+'KY_Res by Plant Acct-P29 (Reg)'!D479</f>
        <v>-817.31</v>
      </c>
      <c r="E476" s="17"/>
      <c r="F476" s="15">
        <f>+'KY_Res by Plant Acct-P29 (Reg)'!F479</f>
        <v>0</v>
      </c>
      <c r="G476" s="17"/>
      <c r="H476" s="15">
        <f>+'KY_Res by Plant Acct-P29 (Reg)'!H479</f>
        <v>0</v>
      </c>
      <c r="I476" s="17"/>
      <c r="J476" s="15">
        <f>+'KY_Res by Plant Acct-P29 (Reg)'!J479</f>
        <v>0</v>
      </c>
      <c r="K476" s="17"/>
      <c r="L476" s="15">
        <f>+'KY_Res by Plant Acct-P29 (Reg)'!L479</f>
        <v>0</v>
      </c>
      <c r="M476" s="17"/>
      <c r="N476" s="15">
        <f>+'KY_Res by Plant Acct-P29 (Reg)'!N479</f>
        <v>0</v>
      </c>
      <c r="O476" s="17"/>
      <c r="P476" s="15">
        <f>+'KY_Res by Plant Acct-P29 (Reg)'!P479</f>
        <v>0</v>
      </c>
      <c r="Q476" s="17"/>
      <c r="R476" s="15">
        <f>SUM(B476:P476)</f>
        <v>-20757.36</v>
      </c>
    </row>
    <row r="477" spans="1:18" x14ac:dyDescent="0.2">
      <c r="A477" s="3" t="s">
        <v>3445</v>
      </c>
      <c r="B477" s="15">
        <f>+'KY_Res by Plant Acct-P29 (Reg)'!B480</f>
        <v>-148411.52000000002</v>
      </c>
      <c r="C477" s="17"/>
      <c r="D477" s="15">
        <f>+'KY_Res by Plant Acct-P29 (Reg)'!D480</f>
        <v>-30311.18</v>
      </c>
      <c r="E477" s="17"/>
      <c r="F477" s="15">
        <f>+'KY_Res by Plant Acct-P29 (Reg)'!F480</f>
        <v>0</v>
      </c>
      <c r="G477" s="17"/>
      <c r="H477" s="15">
        <f>+'KY_Res by Plant Acct-P29 (Reg)'!H480</f>
        <v>0</v>
      </c>
      <c r="I477" s="17"/>
      <c r="J477" s="15">
        <f>+'KY_Res by Plant Acct-P29 (Reg)'!J480</f>
        <v>0</v>
      </c>
      <c r="K477" s="17"/>
      <c r="L477" s="15">
        <f>+'KY_Res by Plant Acct-P29 (Reg)'!L480</f>
        <v>0</v>
      </c>
      <c r="M477" s="17"/>
      <c r="N477" s="15">
        <f>+'KY_Res by Plant Acct-P29 (Reg)'!N480</f>
        <v>0</v>
      </c>
      <c r="O477" s="17"/>
      <c r="P477" s="15">
        <f>+'KY_Res by Plant Acct-P29 (Reg)'!P480</f>
        <v>0</v>
      </c>
      <c r="Q477" s="17"/>
      <c r="R477" s="15">
        <f t="shared" si="21"/>
        <v>-178722.7</v>
      </c>
    </row>
    <row r="478" spans="1:18" x14ac:dyDescent="0.2">
      <c r="A478" s="3" t="s">
        <v>3446</v>
      </c>
      <c r="B478" s="15">
        <f>+'KY_Res by Plant Acct-P29 (Reg)'!B481</f>
        <v>-10761.830000000002</v>
      </c>
      <c r="C478" s="17"/>
      <c r="D478" s="15">
        <f>+'KY_Res by Plant Acct-P29 (Reg)'!D481</f>
        <v>-2876.64</v>
      </c>
      <c r="E478" s="17"/>
      <c r="F478" s="15">
        <f>+'KY_Res by Plant Acct-P29 (Reg)'!F481</f>
        <v>7703.58</v>
      </c>
      <c r="G478" s="17"/>
      <c r="H478" s="15">
        <f>+'KY_Res by Plant Acct-P29 (Reg)'!H481</f>
        <v>0</v>
      </c>
      <c r="I478" s="17"/>
      <c r="J478" s="15">
        <f>+'KY_Res by Plant Acct-P29 (Reg)'!J481</f>
        <v>0</v>
      </c>
      <c r="K478" s="17"/>
      <c r="L478" s="15">
        <f>+'KY_Res by Plant Acct-P29 (Reg)'!L481</f>
        <v>0</v>
      </c>
      <c r="M478" s="17"/>
      <c r="N478" s="15">
        <f>+'KY_Res by Plant Acct-P29 (Reg)'!N481</f>
        <v>0</v>
      </c>
      <c r="O478" s="17"/>
      <c r="P478" s="15">
        <f>+'KY_Res by Plant Acct-P29 (Reg)'!P481</f>
        <v>0</v>
      </c>
      <c r="Q478" s="17"/>
      <c r="R478" s="15">
        <f t="shared" si="21"/>
        <v>-5934.8900000000012</v>
      </c>
    </row>
    <row r="479" spans="1:18" x14ac:dyDescent="0.2">
      <c r="A479" s="3" t="s">
        <v>3324</v>
      </c>
      <c r="B479" s="15">
        <f>+'KY_Res by Plant Acct-P29 (Reg)'!B482</f>
        <v>-827698.47</v>
      </c>
      <c r="C479" s="17"/>
      <c r="D479" s="15">
        <f>+'KY_Res by Plant Acct-P29 (Reg)'!D482</f>
        <v>-86437.52</v>
      </c>
      <c r="E479" s="17"/>
      <c r="F479" s="15">
        <f>+'KY_Res by Plant Acct-P29 (Reg)'!F482</f>
        <v>0</v>
      </c>
      <c r="G479" s="17"/>
      <c r="H479" s="15">
        <f>+'KY_Res by Plant Acct-P29 (Reg)'!H482</f>
        <v>0</v>
      </c>
      <c r="I479" s="17"/>
      <c r="J479" s="15">
        <f>+'KY_Res by Plant Acct-P29 (Reg)'!J482</f>
        <v>0</v>
      </c>
      <c r="K479" s="17"/>
      <c r="L479" s="15">
        <f>+'KY_Res by Plant Acct-P29 (Reg)'!L482</f>
        <v>0</v>
      </c>
      <c r="M479" s="17"/>
      <c r="N479" s="15">
        <f>+'KY_Res by Plant Acct-P29 (Reg)'!N482</f>
        <v>0</v>
      </c>
      <c r="O479" s="17"/>
      <c r="P479" s="15">
        <f>+'KY_Res by Plant Acct-P29 (Reg)'!P482</f>
        <v>0</v>
      </c>
      <c r="Q479" s="17"/>
      <c r="R479" s="15">
        <f t="shared" si="21"/>
        <v>-914135.99</v>
      </c>
    </row>
    <row r="480" spans="1:18" x14ac:dyDescent="0.2">
      <c r="A480" s="3" t="s">
        <v>3325</v>
      </c>
      <c r="B480" s="15">
        <f>+'KY_Res by Plant Acct-P29 (Reg)'!B483</f>
        <v>-2005862.6499999994</v>
      </c>
      <c r="C480" s="17"/>
      <c r="D480" s="15">
        <f>+'KY_Res by Plant Acct-P29 (Reg)'!D483</f>
        <v>-202550.19</v>
      </c>
      <c r="E480" s="17"/>
      <c r="F480" s="15">
        <f>+'KY_Res by Plant Acct-P29 (Reg)'!F483</f>
        <v>0</v>
      </c>
      <c r="G480" s="17"/>
      <c r="H480" s="15">
        <f>+'KY_Res by Plant Acct-P29 (Reg)'!H483</f>
        <v>381.96</v>
      </c>
      <c r="I480" s="17"/>
      <c r="J480" s="15">
        <f>+'KY_Res by Plant Acct-P29 (Reg)'!J483</f>
        <v>0</v>
      </c>
      <c r="K480" s="17"/>
      <c r="L480" s="15">
        <f>+'KY_Res by Plant Acct-P29 (Reg)'!L483</f>
        <v>0</v>
      </c>
      <c r="M480" s="17"/>
      <c r="N480" s="15">
        <f>+'KY_Res by Plant Acct-P29 (Reg)'!N483</f>
        <v>0</v>
      </c>
      <c r="O480" s="17"/>
      <c r="P480" s="15">
        <f>+'KY_Res by Plant Acct-P29 (Reg)'!P483</f>
        <v>0</v>
      </c>
      <c r="Q480" s="17"/>
      <c r="R480" s="15">
        <f t="shared" si="21"/>
        <v>-2208030.8799999994</v>
      </c>
    </row>
    <row r="481" spans="1:18" x14ac:dyDescent="0.2">
      <c r="A481" s="3" t="s">
        <v>3326</v>
      </c>
      <c r="B481" s="15">
        <f>+'KY_Res by Plant Acct-P29 (Reg)'!B484</f>
        <v>1.8189894035458565E-12</v>
      </c>
      <c r="C481" s="17"/>
      <c r="D481" s="15">
        <f>+'KY_Res by Plant Acct-P29 (Reg)'!D484</f>
        <v>0</v>
      </c>
      <c r="E481" s="17"/>
      <c r="F481" s="15">
        <f>+'KY_Res by Plant Acct-P29 (Reg)'!F484</f>
        <v>0</v>
      </c>
      <c r="G481" s="17"/>
      <c r="H481" s="15">
        <f>+'KY_Res by Plant Acct-P29 (Reg)'!H484</f>
        <v>0</v>
      </c>
      <c r="I481" s="17"/>
      <c r="J481" s="15">
        <f>+'KY_Res by Plant Acct-P29 (Reg)'!J484</f>
        <v>0</v>
      </c>
      <c r="K481" s="17"/>
      <c r="L481" s="15">
        <f>+'KY_Res by Plant Acct-P29 (Reg)'!L484</f>
        <v>0</v>
      </c>
      <c r="M481" s="17"/>
      <c r="N481" s="15">
        <f>+'KY_Res by Plant Acct-P29 (Reg)'!N484</f>
        <v>0</v>
      </c>
      <c r="O481" s="17"/>
      <c r="P481" s="15">
        <f>+'KY_Res by Plant Acct-P29 (Reg)'!P484</f>
        <v>0</v>
      </c>
      <c r="Q481" s="17"/>
      <c r="R481" s="15">
        <f t="shared" si="21"/>
        <v>1.8189894035458565E-12</v>
      </c>
    </row>
    <row r="482" spans="1:18" x14ac:dyDescent="0.2">
      <c r="A482" s="3" t="s">
        <v>3327</v>
      </c>
      <c r="B482" s="15">
        <f>+'KY_Res by Plant Acct-P29 (Reg)'!B485</f>
        <v>-285438.08000000002</v>
      </c>
      <c r="C482" s="17"/>
      <c r="D482" s="15">
        <f>+'KY_Res by Plant Acct-P29 (Reg)'!D485</f>
        <v>-5009.7299999999996</v>
      </c>
      <c r="E482" s="17"/>
      <c r="F482" s="15">
        <f>+'KY_Res by Plant Acct-P29 (Reg)'!F485</f>
        <v>0</v>
      </c>
      <c r="G482" s="17"/>
      <c r="H482" s="15">
        <f>+'KY_Res by Plant Acct-P29 (Reg)'!H485</f>
        <v>0</v>
      </c>
      <c r="I482" s="17"/>
      <c r="J482" s="15">
        <f>+'KY_Res by Plant Acct-P29 (Reg)'!J485</f>
        <v>0</v>
      </c>
      <c r="K482" s="17"/>
      <c r="L482" s="15">
        <f>+'KY_Res by Plant Acct-P29 (Reg)'!L485</f>
        <v>0</v>
      </c>
      <c r="M482" s="17"/>
      <c r="N482" s="15">
        <f>+'KY_Res by Plant Acct-P29 (Reg)'!N485</f>
        <v>0</v>
      </c>
      <c r="O482" s="17"/>
      <c r="P482" s="15">
        <f>+'KY_Res by Plant Acct-P29 (Reg)'!P485</f>
        <v>0</v>
      </c>
      <c r="Q482" s="17"/>
      <c r="R482" s="15">
        <f t="shared" si="21"/>
        <v>-290447.81</v>
      </c>
    </row>
    <row r="483" spans="1:18" x14ac:dyDescent="0.2">
      <c r="A483" s="3" t="s">
        <v>3328</v>
      </c>
      <c r="B483" s="15">
        <f>+'KY_Res by Plant Acct-P29 (Reg)'!B486</f>
        <v>-12642.29</v>
      </c>
      <c r="C483" s="17"/>
      <c r="D483" s="15">
        <f>+'KY_Res by Plant Acct-P29 (Reg)'!D486</f>
        <v>-929.4</v>
      </c>
      <c r="E483" s="17"/>
      <c r="F483" s="15">
        <f>+'KY_Res by Plant Acct-P29 (Reg)'!F486</f>
        <v>0</v>
      </c>
      <c r="G483" s="17"/>
      <c r="H483" s="15">
        <f>+'KY_Res by Plant Acct-P29 (Reg)'!H486</f>
        <v>-0.01</v>
      </c>
      <c r="I483" s="17"/>
      <c r="J483" s="15">
        <f>+'KY_Res by Plant Acct-P29 (Reg)'!J486</f>
        <v>0</v>
      </c>
      <c r="K483" s="17"/>
      <c r="L483" s="15">
        <f>+'KY_Res by Plant Acct-P29 (Reg)'!L486</f>
        <v>0</v>
      </c>
      <c r="M483" s="17"/>
      <c r="N483" s="15">
        <f>+'KY_Res by Plant Acct-P29 (Reg)'!N486</f>
        <v>0</v>
      </c>
      <c r="O483" s="17"/>
      <c r="P483" s="15">
        <f>+'KY_Res by Plant Acct-P29 (Reg)'!P486</f>
        <v>0</v>
      </c>
      <c r="Q483" s="17"/>
      <c r="R483" s="15">
        <f t="shared" si="21"/>
        <v>-13571.7</v>
      </c>
    </row>
    <row r="484" spans="1:18" x14ac:dyDescent="0.2">
      <c r="A484" s="22" t="s">
        <v>3447</v>
      </c>
      <c r="B484" s="15">
        <f>+'KY_Res by Plant Acct-P29 (Reg)'!B487+'IN_Res by Plant Acct-P30 (Reg)'!B43</f>
        <v>-23756392.310000002</v>
      </c>
      <c r="C484" s="17"/>
      <c r="D484" s="15">
        <f>+'KY_Res by Plant Acct-P29 (Reg)'!D487+'IN_Res by Plant Acct-P30 (Reg)'!D43</f>
        <v>-3042912.87</v>
      </c>
      <c r="E484" s="17"/>
      <c r="F484" s="15">
        <f>+'KY_Res by Plant Acct-P29 (Reg)'!F487+'IN_Res by Plant Acct-P30 (Reg)'!F43</f>
        <v>10069894.310000001</v>
      </c>
      <c r="G484" s="17"/>
      <c r="H484" s="15">
        <f>+'KY_Res by Plant Acct-P29 (Reg)'!H487+'IN_Res by Plant Acct-P30 (Reg)'!H43</f>
        <v>0</v>
      </c>
      <c r="I484" s="17"/>
      <c r="J484" s="15">
        <f>+'KY_Res by Plant Acct-P29 (Reg)'!J487+'IN_Res by Plant Acct-P30 (Reg)'!J43</f>
        <v>0</v>
      </c>
      <c r="K484" s="17"/>
      <c r="L484" s="15">
        <f>+'KY_Res by Plant Acct-P29 (Reg)'!L487+'IN_Res by Plant Acct-P30 (Reg)'!L43</f>
        <v>79484.710000000006</v>
      </c>
      <c r="M484" s="17"/>
      <c r="N484" s="15">
        <f>+'KY_Res by Plant Acct-P29 (Reg)'!N487+'IN_Res by Plant Acct-P30 (Reg)'!N43</f>
        <v>-1397.96</v>
      </c>
      <c r="O484" s="17"/>
      <c r="P484" s="15">
        <f>+'KY_Res by Plant Acct-P29 (Reg)'!P487+'IN_Res by Plant Acct-P30 (Reg)'!P43</f>
        <v>0</v>
      </c>
      <c r="Q484" s="17"/>
      <c r="R484" s="15">
        <f t="shared" si="21"/>
        <v>-16651324.120000003</v>
      </c>
    </row>
    <row r="485" spans="1:18" x14ac:dyDescent="0.2">
      <c r="A485" s="3" t="s">
        <v>3330</v>
      </c>
      <c r="B485" s="15">
        <f>+'KY_Res by Plant Acct-P29 (Reg)'!B488</f>
        <v>-13191738.379999999</v>
      </c>
      <c r="C485" s="17"/>
      <c r="D485" s="15">
        <f>+'KY_Res by Plant Acct-P29 (Reg)'!D488</f>
        <v>-807364.77</v>
      </c>
      <c r="E485" s="17"/>
      <c r="F485" s="15">
        <f>+'KY_Res by Plant Acct-P29 (Reg)'!F488</f>
        <v>4105438.96</v>
      </c>
      <c r="G485" s="17"/>
      <c r="H485" s="15">
        <f>+'KY_Res by Plant Acct-P29 (Reg)'!H488</f>
        <v>0</v>
      </c>
      <c r="I485" s="17"/>
      <c r="J485" s="15">
        <f>+'KY_Res by Plant Acct-P29 (Reg)'!J488</f>
        <v>0</v>
      </c>
      <c r="K485" s="17"/>
      <c r="L485" s="15">
        <f>+'KY_Res by Plant Acct-P29 (Reg)'!L488</f>
        <v>0</v>
      </c>
      <c r="M485" s="17"/>
      <c r="N485" s="15">
        <f>+'KY_Res by Plant Acct-P29 (Reg)'!N488</f>
        <v>0</v>
      </c>
      <c r="O485" s="17"/>
      <c r="P485" s="15">
        <f>+'KY_Res by Plant Acct-P29 (Reg)'!P488</f>
        <v>0</v>
      </c>
      <c r="Q485" s="17"/>
      <c r="R485" s="15">
        <f t="shared" si="21"/>
        <v>-9893664.1899999976</v>
      </c>
    </row>
    <row r="486" spans="1:18" x14ac:dyDescent="0.2">
      <c r="A486" s="3" t="s">
        <v>3331</v>
      </c>
      <c r="B486" s="15">
        <f>+'KY_Res by Plant Acct-P29 (Reg)'!B489</f>
        <v>-9.9999999365536496E-3</v>
      </c>
      <c r="C486" s="17"/>
      <c r="D486" s="15">
        <f>+'KY_Res by Plant Acct-P29 (Reg)'!D489</f>
        <v>0</v>
      </c>
      <c r="E486" s="17"/>
      <c r="F486" s="15">
        <f>+'KY_Res by Plant Acct-P29 (Reg)'!F489</f>
        <v>0</v>
      </c>
      <c r="G486" s="17"/>
      <c r="H486" s="15">
        <f>+'KY_Res by Plant Acct-P29 (Reg)'!H489</f>
        <v>0.01</v>
      </c>
      <c r="I486" s="17"/>
      <c r="J486" s="15">
        <f>+'KY_Res by Plant Acct-P29 (Reg)'!J489</f>
        <v>0</v>
      </c>
      <c r="K486" s="17"/>
      <c r="L486" s="15">
        <f>+'KY_Res by Plant Acct-P29 (Reg)'!L489</f>
        <v>0</v>
      </c>
      <c r="M486" s="17"/>
      <c r="N486" s="15">
        <f>+'KY_Res by Plant Acct-P29 (Reg)'!N489</f>
        <v>0</v>
      </c>
      <c r="O486" s="17"/>
      <c r="P486" s="15">
        <f>+'KY_Res by Plant Acct-P29 (Reg)'!P489</f>
        <v>0</v>
      </c>
      <c r="Q486" s="17"/>
      <c r="R486" s="15">
        <f t="shared" si="21"/>
        <v>6.3446350603846291E-11</v>
      </c>
    </row>
    <row r="487" spans="1:18" x14ac:dyDescent="0.2">
      <c r="A487" s="3" t="s">
        <v>3332</v>
      </c>
      <c r="B487" s="16">
        <f>+'KY_Res by Plant Acct-P29 (Reg)'!B490</f>
        <v>0</v>
      </c>
      <c r="C487" s="17"/>
      <c r="D487" s="16">
        <f>+'KY_Res by Plant Acct-P29 (Reg)'!D490</f>
        <v>0</v>
      </c>
      <c r="E487" s="17"/>
      <c r="F487" s="16">
        <f>+'KY_Res by Plant Acct-P29 (Reg)'!F490</f>
        <v>0</v>
      </c>
      <c r="G487" s="17"/>
      <c r="H487" s="16">
        <f>+'KY_Res by Plant Acct-P29 (Reg)'!H490</f>
        <v>0</v>
      </c>
      <c r="I487" s="17"/>
      <c r="J487" s="16">
        <f>+'KY_Res by Plant Acct-P29 (Reg)'!J490</f>
        <v>0</v>
      </c>
      <c r="K487" s="17"/>
      <c r="L487" s="16">
        <f>+'KY_Res by Plant Acct-P29 (Reg)'!L490</f>
        <v>0</v>
      </c>
      <c r="M487" s="17"/>
      <c r="N487" s="16">
        <f>+'KY_Res by Plant Acct-P29 (Reg)'!N490</f>
        <v>0</v>
      </c>
      <c r="O487" s="17"/>
      <c r="P487" s="16">
        <f>+'KY_Res by Plant Acct-P29 (Reg)'!P490</f>
        <v>0</v>
      </c>
      <c r="Q487" s="17"/>
      <c r="R487" s="16">
        <f t="shared" si="21"/>
        <v>0</v>
      </c>
    </row>
    <row r="488" spans="1:18" x14ac:dyDescent="0.2">
      <c r="B488" s="17">
        <f>SUM(B459:B471)+SUM(B472:B487)</f>
        <v>-91331917.019999996</v>
      </c>
      <c r="C488" s="17"/>
      <c r="D488" s="17">
        <f>SUM(D459:D471)+SUM(D472:D487)</f>
        <v>-10286844.49</v>
      </c>
      <c r="E488" s="17"/>
      <c r="F488" s="17">
        <f>SUM(F459:F471)+SUM(F472:F487)</f>
        <v>20362956.43</v>
      </c>
      <c r="G488" s="142"/>
      <c r="H488" s="17">
        <f>SUM(H459:H471)+SUM(H472:H487)</f>
        <v>434.49999999999415</v>
      </c>
      <c r="I488" s="142"/>
      <c r="J488" s="17">
        <f>SUM(J459:J471)+SUM(J472:J487)</f>
        <v>0</v>
      </c>
      <c r="K488" s="142"/>
      <c r="L488" s="17">
        <f>SUM(L459:L471)+SUM(L472:L487)</f>
        <v>150892.29999999999</v>
      </c>
      <c r="M488" s="17"/>
      <c r="N488" s="17">
        <f>SUM(N459:N471)+SUM(N472:N487)</f>
        <v>-1397.96</v>
      </c>
      <c r="O488" s="17"/>
      <c r="P488" s="17">
        <f>SUM(P459:P471)+SUM(P472:P487)</f>
        <v>0</v>
      </c>
      <c r="Q488" s="17"/>
      <c r="R488" s="17">
        <f>SUM(R459:R471)+SUM(R472:R487)</f>
        <v>-81105876.24000001</v>
      </c>
    </row>
    <row r="489" spans="1:18" x14ac:dyDescent="0.2">
      <c r="B489" s="17"/>
      <c r="C489" s="17"/>
      <c r="D489" s="17"/>
      <c r="E489" s="17"/>
      <c r="F489" s="17"/>
      <c r="G489" s="142"/>
      <c r="H489" s="17"/>
      <c r="I489" s="142"/>
      <c r="J489" s="17"/>
      <c r="K489" s="142"/>
      <c r="L489" s="17"/>
      <c r="M489" s="17"/>
      <c r="N489" s="17"/>
      <c r="O489" s="17"/>
      <c r="P489" s="17"/>
      <c r="Q489" s="17"/>
      <c r="R489" s="17"/>
    </row>
    <row r="490" spans="1:18" x14ac:dyDescent="0.2">
      <c r="A490" s="10" t="s">
        <v>3333</v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x14ac:dyDescent="0.2">
      <c r="A491" s="3" t="s">
        <v>3334</v>
      </c>
      <c r="B491" s="17">
        <f>+'KY_Res by Plant Acct-P29 (Reg)'!B494</f>
        <v>0</v>
      </c>
      <c r="C491" s="17"/>
      <c r="D491" s="17">
        <f>+'KY_Res by Plant Acct-P29 (Reg)'!D494</f>
        <v>0</v>
      </c>
      <c r="E491" s="17"/>
      <c r="F491" s="17">
        <f>+'KY_Res by Plant Acct-P29 (Reg)'!F494</f>
        <v>0</v>
      </c>
      <c r="G491" s="17"/>
      <c r="H491" s="17">
        <f>+'KY_Res by Plant Acct-P29 (Reg)'!H494</f>
        <v>0</v>
      </c>
      <c r="I491" s="17"/>
      <c r="J491" s="17">
        <f>+'KY_Res by Plant Acct-P29 (Reg)'!J494</f>
        <v>0</v>
      </c>
      <c r="K491" s="17"/>
      <c r="L491" s="17">
        <f>+'KY_Res by Plant Acct-P29 (Reg)'!L494</f>
        <v>0</v>
      </c>
      <c r="M491" s="17"/>
      <c r="N491" s="17">
        <f>+'KY_Res by Plant Acct-P29 (Reg)'!N494</f>
        <v>0</v>
      </c>
      <c r="O491" s="17"/>
      <c r="P491" s="17">
        <f>+'KY_Res by Plant Acct-P29 (Reg)'!P494</f>
        <v>0</v>
      </c>
      <c r="Q491" s="17"/>
      <c r="R491" s="15">
        <f>SUM(B491:P491)</f>
        <v>0</v>
      </c>
    </row>
    <row r="492" spans="1:18" x14ac:dyDescent="0.2">
      <c r="A492" s="3" t="s">
        <v>3335</v>
      </c>
      <c r="B492" s="17">
        <f>+'KY_Res by Plant Acct-P29 (Reg)'!B495</f>
        <v>-249.93</v>
      </c>
      <c r="C492" s="17"/>
      <c r="D492" s="17">
        <f>+'KY_Res by Plant Acct-P29 (Reg)'!D495</f>
        <v>0</v>
      </c>
      <c r="E492" s="17"/>
      <c r="F492" s="17">
        <f>+'KY_Res by Plant Acct-P29 (Reg)'!F495</f>
        <v>0</v>
      </c>
      <c r="G492" s="17"/>
      <c r="H492" s="17">
        <f>+'KY_Res by Plant Acct-P29 (Reg)'!H495</f>
        <v>0</v>
      </c>
      <c r="I492" s="17"/>
      <c r="J492" s="17">
        <f>+'KY_Res by Plant Acct-P29 (Reg)'!J495</f>
        <v>0</v>
      </c>
      <c r="K492" s="17"/>
      <c r="L492" s="17">
        <f>+'KY_Res by Plant Acct-P29 (Reg)'!L495</f>
        <v>0</v>
      </c>
      <c r="M492" s="17"/>
      <c r="N492" s="17">
        <f>+'KY_Res by Plant Acct-P29 (Reg)'!N495</f>
        <v>0</v>
      </c>
      <c r="O492" s="17"/>
      <c r="P492" s="17">
        <f>+'KY_Res by Plant Acct-P29 (Reg)'!P495</f>
        <v>0</v>
      </c>
      <c r="Q492" s="17"/>
      <c r="R492" s="15">
        <f>SUM(B492:P492)</f>
        <v>-249.93</v>
      </c>
    </row>
    <row r="493" spans="1:18" x14ac:dyDescent="0.2">
      <c r="A493" s="3" t="s">
        <v>3336</v>
      </c>
      <c r="B493" s="17">
        <f>+'KY_Res by Plant Acct-P29 (Reg)'!B496</f>
        <v>-1.490000000001146</v>
      </c>
      <c r="C493" s="17"/>
      <c r="D493" s="17">
        <f>+'KY_Res by Plant Acct-P29 (Reg)'!D496</f>
        <v>0</v>
      </c>
      <c r="E493" s="17"/>
      <c r="F493" s="17">
        <f>+'KY_Res by Plant Acct-P29 (Reg)'!F496</f>
        <v>0</v>
      </c>
      <c r="G493" s="17"/>
      <c r="H493" s="17">
        <f>+'KY_Res by Plant Acct-P29 (Reg)'!H496</f>
        <v>1.49</v>
      </c>
      <c r="I493" s="17"/>
      <c r="J493" s="17">
        <f>+'KY_Res by Plant Acct-P29 (Reg)'!J496</f>
        <v>0</v>
      </c>
      <c r="K493" s="17"/>
      <c r="L493" s="17">
        <f>+'KY_Res by Plant Acct-P29 (Reg)'!L496</f>
        <v>0</v>
      </c>
      <c r="M493" s="17"/>
      <c r="N493" s="17">
        <f>+'KY_Res by Plant Acct-P29 (Reg)'!N496</f>
        <v>0</v>
      </c>
      <c r="O493" s="17"/>
      <c r="P493" s="17">
        <f>+'KY_Res by Plant Acct-P29 (Reg)'!P496</f>
        <v>0</v>
      </c>
      <c r="Q493" s="17"/>
      <c r="R493" s="15">
        <f>SUM(B493:P493)</f>
        <v>-1.1459722060180866E-12</v>
      </c>
    </row>
    <row r="494" spans="1:18" x14ac:dyDescent="0.2">
      <c r="A494" s="3" t="s">
        <v>3448</v>
      </c>
      <c r="B494" s="17">
        <f>+'KY_Res by Plant Acct-P29 (Reg)'!B497</f>
        <v>-63110.43</v>
      </c>
      <c r="C494" s="17"/>
      <c r="D494" s="17">
        <f>+'KY_Res by Plant Acct-P29 (Reg)'!D497</f>
        <v>0</v>
      </c>
      <c r="E494" s="17"/>
      <c r="F494" s="17">
        <f>+'KY_Res by Plant Acct-P29 (Reg)'!F497</f>
        <v>0</v>
      </c>
      <c r="G494" s="17"/>
      <c r="H494" s="17">
        <f>+'KY_Res by Plant Acct-P29 (Reg)'!H497</f>
        <v>0</v>
      </c>
      <c r="I494" s="17"/>
      <c r="J494" s="17">
        <f>+'KY_Res by Plant Acct-P29 (Reg)'!J497</f>
        <v>0</v>
      </c>
      <c r="K494" s="17"/>
      <c r="L494" s="17">
        <f>+'KY_Res by Plant Acct-P29 (Reg)'!L497</f>
        <v>0</v>
      </c>
      <c r="M494" s="17"/>
      <c r="N494" s="17">
        <f>+'KY_Res by Plant Acct-P29 (Reg)'!N497</f>
        <v>0</v>
      </c>
      <c r="O494" s="17"/>
      <c r="P494" s="17">
        <f>+'KY_Res by Plant Acct-P29 (Reg)'!P497</f>
        <v>0</v>
      </c>
      <c r="Q494" s="17"/>
      <c r="R494" s="17">
        <f>SUM(B494:P494)</f>
        <v>-63110.43</v>
      </c>
    </row>
    <row r="495" spans="1:18" x14ac:dyDescent="0.2">
      <c r="A495" s="111" t="s">
        <v>3338</v>
      </c>
      <c r="B495" s="17">
        <f>+'KY_Res by Plant Acct-P29 (Reg)'!B498</f>
        <v>0</v>
      </c>
      <c r="C495" s="17"/>
      <c r="D495" s="17">
        <f>+'KY_Res by Plant Acct-P29 (Reg)'!D498</f>
        <v>0</v>
      </c>
      <c r="E495" s="17"/>
      <c r="F495" s="17">
        <f>+'KY_Res by Plant Acct-P29 (Reg)'!F498</f>
        <v>0</v>
      </c>
      <c r="G495" s="17"/>
      <c r="H495" s="17">
        <f>+'KY_Res by Plant Acct-P29 (Reg)'!H498</f>
        <v>0</v>
      </c>
      <c r="I495" s="17"/>
      <c r="J495" s="17">
        <f>+'KY_Res by Plant Acct-P29 (Reg)'!J498</f>
        <v>0</v>
      </c>
      <c r="K495" s="17"/>
      <c r="L495" s="17">
        <f>+'KY_Res by Plant Acct-P29 (Reg)'!L498</f>
        <v>0</v>
      </c>
      <c r="M495" s="17"/>
      <c r="N495" s="17">
        <f>+'KY_Res by Plant Acct-P29 (Reg)'!N498</f>
        <v>0</v>
      </c>
      <c r="O495" s="17"/>
      <c r="P495" s="17">
        <f>+'KY_Res by Plant Acct-P29 (Reg)'!P498</f>
        <v>0</v>
      </c>
      <c r="Q495" s="17"/>
      <c r="R495" s="17">
        <f>SUM(B495:P495)</f>
        <v>0</v>
      </c>
    </row>
    <row r="496" spans="1:18" x14ac:dyDescent="0.2">
      <c r="B496" s="20">
        <f>SUM(B491:B495)</f>
        <v>-63361.85</v>
      </c>
      <c r="C496" s="17"/>
      <c r="D496" s="20">
        <f>SUM(D491:D495)</f>
        <v>0</v>
      </c>
      <c r="E496" s="17"/>
      <c r="F496" s="20">
        <f>SUM(F491:F495)</f>
        <v>0</v>
      </c>
      <c r="G496" s="17"/>
      <c r="H496" s="20">
        <f>SUM(H491:H495)</f>
        <v>1.49</v>
      </c>
      <c r="I496" s="17"/>
      <c r="J496" s="20">
        <f>SUM(J491:J495)</f>
        <v>0</v>
      </c>
      <c r="K496" s="17"/>
      <c r="L496" s="20">
        <f>SUM(L491:L495)</f>
        <v>0</v>
      </c>
      <c r="M496" s="17"/>
      <c r="N496" s="20">
        <f>SUM(N491:N495)</f>
        <v>0</v>
      </c>
      <c r="O496" s="17"/>
      <c r="P496" s="20">
        <f>SUM(P491:P495)</f>
        <v>0</v>
      </c>
      <c r="Q496" s="17"/>
      <c r="R496" s="20">
        <f>SUM(R491:R495)</f>
        <v>-63360.36</v>
      </c>
    </row>
    <row r="497" spans="1:18" x14ac:dyDescent="0.2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x14ac:dyDescent="0.2">
      <c r="B498" s="15"/>
      <c r="C498" s="17"/>
      <c r="D498" s="15"/>
      <c r="E498" s="17"/>
      <c r="F498" s="15"/>
      <c r="G498" s="17"/>
      <c r="H498" s="15"/>
      <c r="I498" s="17"/>
      <c r="J498" s="15"/>
      <c r="K498" s="17"/>
      <c r="L498" s="15"/>
      <c r="M498" s="17"/>
      <c r="N498" s="15"/>
      <c r="O498" s="17"/>
      <c r="P498" s="15"/>
      <c r="Q498" s="17"/>
      <c r="R498" s="15"/>
    </row>
    <row r="499" spans="1:18" ht="13.5" thickBot="1" x14ac:dyDescent="0.25">
      <c r="A499" s="10" t="s">
        <v>3339</v>
      </c>
      <c r="B499" s="41">
        <f>B496+B488</f>
        <v>-91395278.86999999</v>
      </c>
      <c r="C499" s="17"/>
      <c r="D499" s="41">
        <f>D496+D488</f>
        <v>-10286844.49</v>
      </c>
      <c r="E499" s="17"/>
      <c r="F499" s="41">
        <f>F496+F488</f>
        <v>20362956.43</v>
      </c>
      <c r="G499" s="17"/>
      <c r="H499" s="41">
        <f>H496+H488</f>
        <v>435.98999999999415</v>
      </c>
      <c r="I499" s="17"/>
      <c r="J499" s="41">
        <f>J496+J488</f>
        <v>0</v>
      </c>
      <c r="K499" s="17"/>
      <c r="L499" s="41">
        <f>L496+L488</f>
        <v>150892.29999999999</v>
      </c>
      <c r="M499" s="17"/>
      <c r="N499" s="41">
        <f>N496+N488</f>
        <v>-1397.96</v>
      </c>
      <c r="O499" s="17"/>
      <c r="P499" s="41">
        <f>P496+P488</f>
        <v>0</v>
      </c>
      <c r="Q499" s="17"/>
      <c r="R499" s="41">
        <f>R496+R488</f>
        <v>-81169236.600000009</v>
      </c>
    </row>
    <row r="500" spans="1:18" ht="13.5" thickTop="1" x14ac:dyDescent="0.2"/>
    <row r="502" spans="1:18" x14ac:dyDescent="0.2">
      <c r="A502" s="10" t="s">
        <v>15</v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x14ac:dyDescent="0.2">
      <c r="A503" s="3" t="s">
        <v>3449</v>
      </c>
      <c r="B503" s="17">
        <f>+'KY_Res by Plant Acct-P29 (Reg)'!B506</f>
        <v>0</v>
      </c>
      <c r="C503" s="17"/>
      <c r="D503" s="17">
        <f>+'KY_Res by Plant Acct-P29 (Reg)'!D506</f>
        <v>0</v>
      </c>
      <c r="E503" s="17"/>
      <c r="F503" s="17">
        <f>+'KY_Res by Plant Acct-P29 (Reg)'!F506</f>
        <v>0</v>
      </c>
      <c r="G503" s="17"/>
      <c r="H503" s="17">
        <f>+'KY_Res by Plant Acct-P29 (Reg)'!H506</f>
        <v>0</v>
      </c>
      <c r="I503" s="17"/>
      <c r="J503" s="17">
        <f>+'KY_Res by Plant Acct-P29 (Reg)'!J506</f>
        <v>0</v>
      </c>
      <c r="K503" s="17"/>
      <c r="L503" s="17">
        <f>+'KY_Res by Plant Acct-P29 (Reg)'!L506</f>
        <v>0</v>
      </c>
      <c r="M503" s="17"/>
      <c r="N503" s="17">
        <f>+'KY_Res by Plant Acct-P29 (Reg)'!N506</f>
        <v>0</v>
      </c>
      <c r="O503" s="17"/>
      <c r="P503" s="17">
        <f>+'KY_Res by Plant Acct-P29 (Reg)'!P506</f>
        <v>0</v>
      </c>
      <c r="Q503" s="17"/>
      <c r="R503" s="15">
        <f>SUM(B503:P503)</f>
        <v>0</v>
      </c>
    </row>
    <row r="504" spans="1:18" x14ac:dyDescent="0.2">
      <c r="A504" s="3" t="s">
        <v>3341</v>
      </c>
      <c r="B504" s="17">
        <f>+'KY_Res by Plant Acct-P29 (Reg)'!B507</f>
        <v>0</v>
      </c>
      <c r="C504" s="17"/>
      <c r="D504" s="17">
        <f>+'KY_Res by Plant Acct-P29 (Reg)'!D507</f>
        <v>0</v>
      </c>
      <c r="E504" s="17"/>
      <c r="F504" s="17">
        <f>+'KY_Res by Plant Acct-P29 (Reg)'!F507</f>
        <v>0</v>
      </c>
      <c r="G504" s="17"/>
      <c r="H504" s="17">
        <f>+'KY_Res by Plant Acct-P29 (Reg)'!H507</f>
        <v>0</v>
      </c>
      <c r="I504" s="17"/>
      <c r="J504" s="17">
        <f>+'KY_Res by Plant Acct-P29 (Reg)'!J507</f>
        <v>0</v>
      </c>
      <c r="K504" s="17"/>
      <c r="L504" s="17">
        <f>+'KY_Res by Plant Acct-P29 (Reg)'!L507</f>
        <v>0</v>
      </c>
      <c r="M504" s="17"/>
      <c r="N504" s="17">
        <f>+'KY_Res by Plant Acct-P29 (Reg)'!N507</f>
        <v>0</v>
      </c>
      <c r="O504" s="17"/>
      <c r="P504" s="17">
        <f>+'KY_Res by Plant Acct-P29 (Reg)'!P507</f>
        <v>0</v>
      </c>
      <c r="Q504" s="17"/>
      <c r="R504" s="15">
        <f>SUM(B504:P504)</f>
        <v>0</v>
      </c>
    </row>
    <row r="505" spans="1:18" x14ac:dyDescent="0.2">
      <c r="A505" s="3" t="s">
        <v>3342</v>
      </c>
      <c r="B505" s="17">
        <f>+'KY_Res by Plant Acct-P29 (Reg)'!B508</f>
        <v>-17797800.870000005</v>
      </c>
      <c r="C505" s="17"/>
      <c r="D505" s="17">
        <f>+'KY_Res by Plant Acct-P29 (Reg)'!D508</f>
        <v>-6894149.04</v>
      </c>
      <c r="E505" s="17"/>
      <c r="F505" s="17">
        <f>+'KY_Res by Plant Acct-P29 (Reg)'!F508</f>
        <v>7105652.6600000001</v>
      </c>
      <c r="G505" s="17"/>
      <c r="H505" s="17">
        <f>+'KY_Res by Plant Acct-P29 (Reg)'!H508</f>
        <v>0</v>
      </c>
      <c r="I505" s="17"/>
      <c r="J505" s="17">
        <f>+'KY_Res by Plant Acct-P29 (Reg)'!J508</f>
        <v>0</v>
      </c>
      <c r="K505" s="17"/>
      <c r="L505" s="17">
        <f>+'KY_Res by Plant Acct-P29 (Reg)'!L508</f>
        <v>0</v>
      </c>
      <c r="M505" s="17"/>
      <c r="N505" s="17">
        <f>+'KY_Res by Plant Acct-P29 (Reg)'!N508</f>
        <v>0</v>
      </c>
      <c r="O505" s="17"/>
      <c r="P505" s="17">
        <f>+'KY_Res by Plant Acct-P29 (Reg)'!P508</f>
        <v>0</v>
      </c>
      <c r="Q505" s="17"/>
      <c r="R505" s="17">
        <f>SUM(B505:P505)</f>
        <v>-17586297.250000004</v>
      </c>
    </row>
    <row r="506" spans="1:18" x14ac:dyDescent="0.2">
      <c r="A506" s="3" t="s">
        <v>3343</v>
      </c>
      <c r="B506" s="17">
        <f>+'KY_Res by Plant Acct-P29 (Reg)'!B509</f>
        <v>-29415698.370000001</v>
      </c>
      <c r="C506" s="17"/>
      <c r="D506" s="17">
        <f>+'KY_Res by Plant Acct-P29 (Reg)'!D509</f>
        <v>-4498723.4400000004</v>
      </c>
      <c r="E506" s="17"/>
      <c r="F506" s="17">
        <f>+'KY_Res by Plant Acct-P29 (Reg)'!F509</f>
        <v>0</v>
      </c>
      <c r="G506" s="17"/>
      <c r="H506" s="17">
        <f>+'KY_Res by Plant Acct-P29 (Reg)'!H509</f>
        <v>0</v>
      </c>
      <c r="I506" s="17"/>
      <c r="J506" s="17">
        <f>+'KY_Res by Plant Acct-P29 (Reg)'!J509</f>
        <v>0</v>
      </c>
      <c r="K506" s="17"/>
      <c r="L506" s="17">
        <f>+'KY_Res by Plant Acct-P29 (Reg)'!L509</f>
        <v>0</v>
      </c>
      <c r="M506" s="17"/>
      <c r="N506" s="17">
        <f>+'KY_Res by Plant Acct-P29 (Reg)'!N509</f>
        <v>0</v>
      </c>
      <c r="O506" s="17"/>
      <c r="P506" s="17">
        <f>+'KY_Res by Plant Acct-P29 (Reg)'!P509</f>
        <v>0</v>
      </c>
      <c r="Q506" s="17"/>
      <c r="R506" s="15">
        <f>SUM(B506:P506)</f>
        <v>-33914421.810000002</v>
      </c>
    </row>
    <row r="507" spans="1:18" x14ac:dyDescent="0.2">
      <c r="A507" s="3" t="s">
        <v>3344</v>
      </c>
      <c r="B507" s="16">
        <f>+'KY_Res by Plant Acct-P29 (Reg)'!B510</f>
        <v>0</v>
      </c>
      <c r="C507" s="17"/>
      <c r="D507" s="16">
        <f>+'KY_Res by Plant Acct-P29 (Reg)'!D510</f>
        <v>0</v>
      </c>
      <c r="E507" s="17"/>
      <c r="F507" s="16">
        <f>+'KY_Res by Plant Acct-P29 (Reg)'!F510</f>
        <v>0</v>
      </c>
      <c r="G507" s="17"/>
      <c r="H507" s="16">
        <f>+'KY_Res by Plant Acct-P29 (Reg)'!H510</f>
        <v>0</v>
      </c>
      <c r="I507" s="17"/>
      <c r="J507" s="16">
        <f>+'KY_Res by Plant Acct-P29 (Reg)'!J510</f>
        <v>0</v>
      </c>
      <c r="K507" s="17"/>
      <c r="L507" s="16">
        <f>+'KY_Res by Plant Acct-P29 (Reg)'!L510</f>
        <v>0</v>
      </c>
      <c r="M507" s="17"/>
      <c r="N507" s="16">
        <f>+'KY_Res by Plant Acct-P29 (Reg)'!N510</f>
        <v>0</v>
      </c>
      <c r="O507" s="17"/>
      <c r="P507" s="16">
        <f>+'KY_Res by Plant Acct-P29 (Reg)'!P510</f>
        <v>0</v>
      </c>
      <c r="Q507" s="17"/>
      <c r="R507" s="16">
        <f>SUM(B507:P507)</f>
        <v>0</v>
      </c>
    </row>
    <row r="508" spans="1:18" x14ac:dyDescent="0.2">
      <c r="B508" s="17">
        <f>SUM(B503:B507)</f>
        <v>-47213499.24000001</v>
      </c>
      <c r="C508" s="17"/>
      <c r="D508" s="17">
        <f>SUM(D503:D507)</f>
        <v>-11392872.48</v>
      </c>
      <c r="E508" s="17"/>
      <c r="F508" s="17">
        <f>SUM(F503:F507)</f>
        <v>7105652.6600000001</v>
      </c>
      <c r="G508" s="17"/>
      <c r="H508" s="17">
        <f>SUM(H503:H507)</f>
        <v>0</v>
      </c>
      <c r="I508" s="17"/>
      <c r="J508" s="17">
        <f>SUM(J503:J507)</f>
        <v>0</v>
      </c>
      <c r="K508" s="17"/>
      <c r="L508" s="17">
        <f>SUM(L503:L507)</f>
        <v>0</v>
      </c>
      <c r="M508" s="17"/>
      <c r="N508" s="17">
        <f>SUM(N503:N507)</f>
        <v>0</v>
      </c>
      <c r="O508" s="17"/>
      <c r="P508" s="17">
        <f>SUM(P503:P507)</f>
        <v>0</v>
      </c>
      <c r="Q508" s="17"/>
      <c r="R508" s="17">
        <f>SUM(R503:R507)</f>
        <v>-51500719.060000002</v>
      </c>
    </row>
    <row r="509" spans="1:18" x14ac:dyDescent="0.2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1" spans="1:18" ht="13.5" thickBot="1" x14ac:dyDescent="0.25">
      <c r="A511" s="10" t="s">
        <v>3345</v>
      </c>
      <c r="B511" s="41">
        <f>B508</f>
        <v>-47213499.24000001</v>
      </c>
      <c r="C511" s="17"/>
      <c r="D511" s="41">
        <f>D508</f>
        <v>-11392872.48</v>
      </c>
      <c r="E511" s="17"/>
      <c r="F511" s="41">
        <f>F508</f>
        <v>7105652.6600000001</v>
      </c>
      <c r="G511" s="17"/>
      <c r="H511" s="41">
        <f>H508</f>
        <v>0</v>
      </c>
      <c r="I511" s="17"/>
      <c r="J511" s="41">
        <f>J508</f>
        <v>0</v>
      </c>
      <c r="K511" s="17"/>
      <c r="L511" s="41">
        <f>L508</f>
        <v>0</v>
      </c>
      <c r="M511" s="17"/>
      <c r="N511" s="41">
        <f>N508</f>
        <v>0</v>
      </c>
      <c r="O511" s="17"/>
      <c r="P511" s="41">
        <f>P508</f>
        <v>0</v>
      </c>
      <c r="Q511" s="17"/>
      <c r="R511" s="41">
        <f>R508</f>
        <v>-51500719.060000002</v>
      </c>
    </row>
    <row r="512" spans="1:18" ht="13.5" thickTop="1" x14ac:dyDescent="0.2"/>
    <row r="514" spans="1:18" ht="13.5" thickBot="1" x14ac:dyDescent="0.25">
      <c r="A514" s="158" t="s">
        <v>91</v>
      </c>
      <c r="B514" s="97">
        <f>B455+B447+B383+B375+B511+B499</f>
        <v>-2059747279.7899997</v>
      </c>
      <c r="D514" s="97">
        <f>D455+D447+D383+D375+D511+D499</f>
        <v>-190856967.22000003</v>
      </c>
      <c r="F514" s="97">
        <f>F455+F447+F383+F375+F511+F499</f>
        <v>125378164.88999999</v>
      </c>
      <c r="H514" s="97">
        <f>H455+H447+H383+H375+H511+H499</f>
        <v>-222665.79000000033</v>
      </c>
      <c r="J514" s="97">
        <f>J455+J447+J383+J375+J511+J499</f>
        <v>0</v>
      </c>
      <c r="L514" s="97">
        <f>L455+L447+L383+L375+L511+L499</f>
        <v>16154676.76</v>
      </c>
      <c r="N514" s="97">
        <f>N455+N447+N383+N375+N511+N499</f>
        <v>-867223.16</v>
      </c>
      <c r="P514" s="97">
        <f>P455+P447+P383+P375+P511+P499</f>
        <v>-976008.00999999989</v>
      </c>
      <c r="R514" s="97">
        <f>R455+R447+R383+R375+R511+R499</f>
        <v>-2111137302.3200002</v>
      </c>
    </row>
    <row r="515" spans="1:18" ht="13.5" thickTop="1" x14ac:dyDescent="0.2"/>
  </sheetData>
  <mergeCells count="3">
    <mergeCell ref="A1:R1"/>
    <mergeCell ref="A2:R2"/>
    <mergeCell ref="A3:R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4" manualBreakCount="4">
    <brk id="164" max="17" man="1"/>
    <brk id="387" max="16383" man="1"/>
    <brk id="439" max="16383" man="1"/>
    <brk id="5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AZ333"/>
  <sheetViews>
    <sheetView zoomScale="80" zoomScaleNormal="80" workbookViewId="0">
      <pane xSplit="3" ySplit="8" topLeftCell="D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3" outlineLevelCol="1" x14ac:dyDescent="0.2"/>
  <cols>
    <col min="1" max="1" width="5" style="93" customWidth="1"/>
    <col min="2" max="2" width="8.140625" style="10" customWidth="1"/>
    <col min="3" max="3" width="29" style="22" customWidth="1"/>
    <col min="4" max="4" width="19.7109375" style="22" bestFit="1" customWidth="1"/>
    <col min="5" max="5" width="1.7109375" style="22" customWidth="1"/>
    <col min="6" max="6" width="17.7109375" style="22" customWidth="1" outlineLevel="1"/>
    <col min="7" max="7" width="1.7109375" style="22" customWidth="1" outlineLevel="1"/>
    <col min="8" max="8" width="17.7109375" style="22" customWidth="1" outlineLevel="1"/>
    <col min="9" max="9" width="1.7109375" style="22" customWidth="1" outlineLevel="1"/>
    <col min="10" max="10" width="18.85546875" style="22" customWidth="1" outlineLevel="1"/>
    <col min="11" max="11" width="1.7109375" style="22" customWidth="1" outlineLevel="1"/>
    <col min="12" max="12" width="18.85546875" style="22" customWidth="1" outlineLevel="1"/>
    <col min="13" max="13" width="1.7109375" style="22" customWidth="1" outlineLevel="1"/>
    <col min="14" max="14" width="18.42578125" style="22" customWidth="1" outlineLevel="1"/>
    <col min="15" max="15" width="1.7109375" style="22" customWidth="1" outlineLevel="1"/>
    <col min="16" max="16" width="17.7109375" style="22" customWidth="1" outlineLevel="1"/>
    <col min="17" max="17" width="1.7109375" style="22" customWidth="1" outlineLevel="1"/>
    <col min="18" max="18" width="17.7109375" style="22" customWidth="1" outlineLevel="1"/>
    <col min="19" max="19" width="1.7109375" style="22" customWidth="1" outlineLevel="1"/>
    <col min="20" max="20" width="17.7109375" style="22" customWidth="1" outlineLevel="1"/>
    <col min="21" max="21" width="1.7109375" style="22" customWidth="1" outlineLevel="1"/>
    <col min="22" max="22" width="19.28515625" style="22" customWidth="1"/>
    <col min="23" max="23" width="1.7109375" style="22" customWidth="1"/>
    <col min="24" max="24" width="18" style="77" bestFit="1" customWidth="1"/>
    <col min="25" max="25" width="16.42578125" style="77" customWidth="1"/>
    <col min="26" max="26" width="17" style="77" bestFit="1" customWidth="1"/>
    <col min="27" max="27" width="16" style="77" customWidth="1"/>
    <col min="28" max="28" width="14.5703125" style="77" bestFit="1" customWidth="1"/>
    <col min="29" max="29" width="17" style="22" bestFit="1" customWidth="1"/>
    <col min="30" max="30" width="12.85546875" style="22" customWidth="1"/>
    <col min="31" max="31" width="17.28515625" style="22" bestFit="1" customWidth="1"/>
    <col min="32" max="32" width="18" style="22" bestFit="1" customWidth="1"/>
    <col min="33" max="33" width="14.85546875" style="22" bestFit="1" customWidth="1"/>
    <col min="34" max="35" width="16.140625" style="22" customWidth="1"/>
    <col min="36" max="36" width="17.140625" style="22" bestFit="1" customWidth="1"/>
    <col min="37" max="37" width="16.140625" style="22" customWidth="1"/>
    <col min="38" max="38" width="14.42578125" style="22" customWidth="1"/>
    <col min="39" max="39" width="19" style="22" customWidth="1"/>
    <col min="40" max="40" width="18.85546875" style="22" customWidth="1"/>
    <col min="41" max="41" width="16" style="22" bestFit="1" customWidth="1"/>
    <col min="42" max="42" width="15" style="22" bestFit="1" customWidth="1"/>
    <col min="43" max="43" width="15" style="22" customWidth="1"/>
    <col min="44" max="44" width="16.140625" style="22" bestFit="1" customWidth="1"/>
    <col min="45" max="45" width="1.7109375" style="22" customWidth="1"/>
    <col min="46" max="46" width="18.42578125" style="22" bestFit="1" customWidth="1"/>
    <col min="47" max="47" width="18.7109375" style="22" bestFit="1" customWidth="1"/>
    <col min="48" max="16384" width="9.140625" style="22"/>
  </cols>
  <sheetData>
    <row r="1" spans="1:52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</row>
    <row r="2" spans="1:52" x14ac:dyDescent="0.2">
      <c r="A2" s="199" t="s">
        <v>134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</row>
    <row r="3" spans="1:52" x14ac:dyDescent="0.2">
      <c r="A3" s="201" t="s">
        <v>3450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</row>
    <row r="4" spans="1:52" x14ac:dyDescent="0.2">
      <c r="A4" s="74"/>
      <c r="B4" s="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52" x14ac:dyDescent="0.2">
      <c r="A5" s="74"/>
      <c r="B5" s="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52" x14ac:dyDescent="0.2">
      <c r="A6" s="74"/>
      <c r="B6" s="5"/>
      <c r="C6" s="75"/>
      <c r="D6" s="8"/>
      <c r="E6" s="76"/>
      <c r="F6" s="76"/>
      <c r="G6" s="76"/>
      <c r="H6" s="76"/>
      <c r="I6" s="76"/>
      <c r="J6" s="8"/>
      <c r="K6" s="8"/>
      <c r="L6" s="8"/>
      <c r="M6" s="76"/>
      <c r="N6" s="76"/>
      <c r="O6" s="76"/>
      <c r="P6" s="76"/>
      <c r="Q6" s="76"/>
      <c r="R6" s="76"/>
      <c r="S6" s="76"/>
      <c r="T6" s="76"/>
      <c r="U6" s="76"/>
      <c r="V6" s="8"/>
      <c r="W6" s="8"/>
      <c r="X6" s="203" t="s">
        <v>135</v>
      </c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4" t="s">
        <v>136</v>
      </c>
      <c r="AQ6" s="205"/>
      <c r="AR6" s="205"/>
    </row>
    <row r="7" spans="1:52" s="10" customFormat="1" ht="51" x14ac:dyDescent="0.2">
      <c r="A7" s="9"/>
      <c r="D7" s="12" t="s">
        <v>137</v>
      </c>
      <c r="E7" s="11"/>
      <c r="F7" s="12"/>
      <c r="G7" s="11"/>
      <c r="H7" s="12"/>
      <c r="I7" s="11"/>
      <c r="J7" s="12"/>
      <c r="K7" s="18"/>
      <c r="L7" s="18"/>
      <c r="M7" s="11"/>
      <c r="N7" s="12"/>
      <c r="O7" s="18"/>
      <c r="P7" s="18"/>
      <c r="Q7" s="18"/>
      <c r="R7" s="18"/>
      <c r="S7" s="18"/>
      <c r="T7" s="18"/>
      <c r="U7" s="11"/>
      <c r="V7" s="12" t="s">
        <v>138</v>
      </c>
      <c r="W7" s="18"/>
      <c r="X7" s="78" t="s">
        <v>139</v>
      </c>
      <c r="Y7" s="78" t="s">
        <v>140</v>
      </c>
      <c r="Z7" s="78" t="s">
        <v>141</v>
      </c>
      <c r="AA7" s="78" t="s">
        <v>142</v>
      </c>
      <c r="AB7" s="78" t="s">
        <v>143</v>
      </c>
      <c r="AC7" s="79" t="s">
        <v>144</v>
      </c>
      <c r="AD7" s="78" t="s">
        <v>145</v>
      </c>
      <c r="AE7" s="78" t="s">
        <v>146</v>
      </c>
      <c r="AF7" s="78" t="s">
        <v>147</v>
      </c>
      <c r="AG7" s="78" t="s">
        <v>148</v>
      </c>
      <c r="AH7" s="78" t="s">
        <v>3451</v>
      </c>
      <c r="AI7" s="78" t="s">
        <v>3452</v>
      </c>
      <c r="AJ7" s="78" t="s">
        <v>149</v>
      </c>
      <c r="AK7" s="78" t="s">
        <v>3453</v>
      </c>
      <c r="AL7" s="78" t="s">
        <v>150</v>
      </c>
      <c r="AM7" s="78" t="s">
        <v>151</v>
      </c>
      <c r="AN7" s="78" t="s">
        <v>152</v>
      </c>
      <c r="AO7" s="78" t="s">
        <v>153</v>
      </c>
      <c r="AP7" s="80" t="s">
        <v>67</v>
      </c>
      <c r="AQ7" s="81" t="s">
        <v>154</v>
      </c>
      <c r="AR7" s="81" t="s">
        <v>155</v>
      </c>
      <c r="AS7" s="78"/>
      <c r="AT7" s="78" t="s">
        <v>156</v>
      </c>
      <c r="AU7" s="78" t="s">
        <v>157</v>
      </c>
      <c r="AV7" s="22"/>
      <c r="AW7" s="22"/>
      <c r="AX7" s="22"/>
      <c r="AY7" s="22"/>
      <c r="AZ7" s="22"/>
    </row>
    <row r="8" spans="1:52" s="10" customFormat="1" x14ac:dyDescent="0.2">
      <c r="A8" s="9"/>
      <c r="D8" s="18"/>
      <c r="E8" s="11"/>
      <c r="F8" s="18"/>
      <c r="G8" s="11"/>
      <c r="H8" s="18"/>
      <c r="I8" s="11"/>
      <c r="J8" s="18"/>
      <c r="K8" s="18"/>
      <c r="L8" s="18"/>
      <c r="M8" s="11"/>
      <c r="N8" s="18"/>
      <c r="O8" s="18"/>
      <c r="P8" s="18"/>
      <c r="Q8" s="18"/>
      <c r="R8" s="18"/>
      <c r="S8" s="18"/>
      <c r="T8" s="18"/>
      <c r="U8" s="11"/>
      <c r="V8" s="18"/>
      <c r="W8" s="18"/>
      <c r="X8" s="77"/>
      <c r="Y8" s="77"/>
      <c r="Z8" s="77"/>
      <c r="AA8" s="77"/>
      <c r="AB8" s="77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82"/>
      <c r="AQ8" s="83"/>
      <c r="AR8" s="83"/>
      <c r="AS8" s="22"/>
      <c r="AT8" s="22"/>
      <c r="AU8" s="22"/>
      <c r="AV8" s="22"/>
      <c r="AW8" s="22"/>
      <c r="AX8" s="22"/>
      <c r="AY8" s="22"/>
      <c r="AZ8" s="22"/>
    </row>
    <row r="9" spans="1:52" s="10" customFormat="1" x14ac:dyDescent="0.2">
      <c r="A9" s="84" t="s">
        <v>158</v>
      </c>
      <c r="D9" s="18" t="s">
        <v>159</v>
      </c>
      <c r="E9" s="11"/>
      <c r="F9" s="18"/>
      <c r="G9" s="11"/>
      <c r="H9" s="18"/>
      <c r="I9" s="11"/>
      <c r="J9" s="18"/>
      <c r="K9" s="18"/>
      <c r="L9" s="18"/>
      <c r="M9" s="11"/>
      <c r="N9" s="18"/>
      <c r="O9" s="18"/>
      <c r="P9" s="18"/>
      <c r="Q9" s="18"/>
      <c r="R9" s="18"/>
      <c r="S9" s="18"/>
      <c r="T9" s="18"/>
      <c r="U9" s="11"/>
      <c r="V9" s="18"/>
      <c r="W9" s="18"/>
      <c r="X9" s="22"/>
      <c r="Y9" s="22"/>
      <c r="Z9" s="22"/>
      <c r="AA9" s="22"/>
      <c r="AB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82"/>
      <c r="AQ9" s="83"/>
      <c r="AR9" s="83"/>
      <c r="AS9" s="22"/>
      <c r="AT9" s="22"/>
      <c r="AU9" s="22"/>
      <c r="AV9" s="22"/>
      <c r="AW9" s="22"/>
      <c r="AX9" s="22"/>
      <c r="AY9" s="22"/>
      <c r="AZ9" s="22"/>
    </row>
    <row r="10" spans="1:52" s="10" customFormat="1" x14ac:dyDescent="0.2">
      <c r="A10" s="9"/>
      <c r="B10" s="85" t="s">
        <v>160</v>
      </c>
      <c r="D10" s="86">
        <v>6123323008.25</v>
      </c>
      <c r="E10" s="11"/>
      <c r="F10" s="18"/>
      <c r="G10" s="11"/>
      <c r="H10" s="18"/>
      <c r="I10" s="11"/>
      <c r="J10" s="18"/>
      <c r="K10" s="18"/>
      <c r="L10" s="18"/>
      <c r="M10" s="11"/>
      <c r="N10" s="18"/>
      <c r="O10" s="18"/>
      <c r="P10" s="18"/>
      <c r="Q10" s="18"/>
      <c r="R10" s="18"/>
      <c r="S10" s="18"/>
      <c r="T10" s="18"/>
      <c r="U10" s="11"/>
      <c r="V10" s="86">
        <v>6625317937.5699997</v>
      </c>
      <c r="W10" s="86"/>
      <c r="X10" s="87">
        <f>+X146</f>
        <v>0</v>
      </c>
      <c r="Y10" s="87">
        <f>+Y146</f>
        <v>0</v>
      </c>
      <c r="Z10" s="87">
        <f>+Z146</f>
        <v>0</v>
      </c>
      <c r="AA10" s="87"/>
      <c r="AB10" s="87">
        <f>+AB146</f>
        <v>0</v>
      </c>
      <c r="AC10" s="87">
        <f>+AC146</f>
        <v>634863796.8499999</v>
      </c>
      <c r="AD10" s="87">
        <f>+AD146</f>
        <v>0</v>
      </c>
      <c r="AE10" s="87">
        <f>+AE146-AH10-AG10</f>
        <v>-124047951.41999999</v>
      </c>
      <c r="AF10" s="87">
        <f>AF146</f>
        <v>0</v>
      </c>
      <c r="AG10" s="87">
        <v>-16682.18</v>
      </c>
      <c r="AH10" s="87">
        <v>-1313531.2899999998</v>
      </c>
      <c r="AI10" s="87">
        <f>+AI146</f>
        <v>0</v>
      </c>
      <c r="AJ10" s="87">
        <v>-7616334.459999999</v>
      </c>
      <c r="AK10" s="87">
        <f>-AK17</f>
        <v>0</v>
      </c>
      <c r="AL10" s="87">
        <f>+AL146</f>
        <v>0</v>
      </c>
      <c r="AM10" s="87">
        <f>+AM146</f>
        <v>0</v>
      </c>
      <c r="AN10" s="87">
        <f>+AN146-AJ10-AK10</f>
        <v>125631.82000000216</v>
      </c>
      <c r="AO10" s="87">
        <f>+AO146</f>
        <v>0</v>
      </c>
      <c r="AP10" s="88">
        <f>+AP146</f>
        <v>0</v>
      </c>
      <c r="AQ10" s="89"/>
      <c r="AR10" s="89">
        <f>+AR146</f>
        <v>0</v>
      </c>
      <c r="AS10" s="87"/>
      <c r="AT10" s="87">
        <f t="shared" ref="AT10:AT18" si="0">SUM(X10:AR10)</f>
        <v>501994929.31999993</v>
      </c>
      <c r="AU10" s="87">
        <f t="shared" ref="AU10:AU15" si="1">+V10-D10-AT10</f>
        <v>0</v>
      </c>
      <c r="AV10" s="22"/>
      <c r="AW10" s="22"/>
      <c r="AX10" s="22"/>
      <c r="AY10" s="22"/>
      <c r="AZ10" s="22"/>
    </row>
    <row r="11" spans="1:52" s="10" customFormat="1" x14ac:dyDescent="0.2">
      <c r="A11" s="9"/>
      <c r="B11" s="85" t="s">
        <v>161</v>
      </c>
      <c r="D11" s="86">
        <v>630896.98</v>
      </c>
      <c r="E11" s="11"/>
      <c r="F11" s="18"/>
      <c r="G11" s="11"/>
      <c r="H11" s="18"/>
      <c r="I11" s="11"/>
      <c r="J11" s="18"/>
      <c r="K11" s="18"/>
      <c r="L11" s="18"/>
      <c r="M11" s="11"/>
      <c r="N11" s="18"/>
      <c r="O11" s="18"/>
      <c r="P11" s="18"/>
      <c r="Q11" s="18"/>
      <c r="R11" s="18"/>
      <c r="S11" s="18"/>
      <c r="T11" s="18"/>
      <c r="U11" s="11"/>
      <c r="V11" s="86">
        <v>630896.98</v>
      </c>
      <c r="W11" s="86"/>
      <c r="X11" s="87">
        <f>+X156</f>
        <v>0</v>
      </c>
      <c r="Y11" s="87">
        <f>+Y156</f>
        <v>0</v>
      </c>
      <c r="Z11" s="87">
        <f>+Z156</f>
        <v>0</v>
      </c>
      <c r="AA11" s="87"/>
      <c r="AB11" s="87">
        <f t="shared" ref="AB11:AO11" si="2">+AB156</f>
        <v>0</v>
      </c>
      <c r="AC11" s="87">
        <f t="shared" si="2"/>
        <v>0</v>
      </c>
      <c r="AD11" s="87">
        <f t="shared" si="2"/>
        <v>0</v>
      </c>
      <c r="AE11" s="87">
        <f t="shared" si="2"/>
        <v>0</v>
      </c>
      <c r="AF11" s="87">
        <f t="shared" si="2"/>
        <v>0</v>
      </c>
      <c r="AG11" s="87">
        <f>0</f>
        <v>0</v>
      </c>
      <c r="AH11" s="87">
        <f t="shared" si="2"/>
        <v>0</v>
      </c>
      <c r="AI11" s="87">
        <f t="shared" si="2"/>
        <v>0</v>
      </c>
      <c r="AJ11" s="87">
        <f t="shared" si="2"/>
        <v>0</v>
      </c>
      <c r="AK11" s="87">
        <f t="shared" si="2"/>
        <v>0</v>
      </c>
      <c r="AL11" s="87">
        <f t="shared" si="2"/>
        <v>0</v>
      </c>
      <c r="AM11" s="87">
        <f t="shared" si="2"/>
        <v>0</v>
      </c>
      <c r="AN11" s="87">
        <f>+AN156-AG11</f>
        <v>0</v>
      </c>
      <c r="AO11" s="87">
        <f t="shared" si="2"/>
        <v>0</v>
      </c>
      <c r="AP11" s="88">
        <f>+AP156</f>
        <v>0</v>
      </c>
      <c r="AQ11" s="89"/>
      <c r="AR11" s="89">
        <f>+AR156</f>
        <v>0</v>
      </c>
      <c r="AS11" s="87"/>
      <c r="AT11" s="87">
        <f t="shared" si="0"/>
        <v>0</v>
      </c>
      <c r="AU11" s="87">
        <f t="shared" si="1"/>
        <v>0</v>
      </c>
      <c r="AV11" s="22"/>
      <c r="AW11" s="22"/>
      <c r="AX11" s="22"/>
      <c r="AY11" s="22"/>
      <c r="AZ11" s="22"/>
    </row>
    <row r="12" spans="1:52" s="10" customFormat="1" x14ac:dyDescent="0.2">
      <c r="A12" s="9"/>
      <c r="B12" s="85" t="s">
        <v>162</v>
      </c>
      <c r="D12" s="86">
        <v>-1724610378.24</v>
      </c>
      <c r="E12" s="11"/>
      <c r="F12" s="18"/>
      <c r="G12" s="11"/>
      <c r="H12" s="18"/>
      <c r="I12" s="11"/>
      <c r="J12" s="18"/>
      <c r="K12" s="18"/>
      <c r="L12" s="18"/>
      <c r="M12" s="11"/>
      <c r="N12" s="18"/>
      <c r="O12" s="18"/>
      <c r="P12" s="18"/>
      <c r="Q12" s="18"/>
      <c r="R12" s="18"/>
      <c r="S12" s="18"/>
      <c r="T12" s="18"/>
      <c r="U12" s="11"/>
      <c r="V12" s="86">
        <v>-1766734943.1099999</v>
      </c>
      <c r="W12" s="86"/>
      <c r="X12" s="87">
        <f>+X260</f>
        <v>-145982642.12000006</v>
      </c>
      <c r="Y12" s="87">
        <f>+Y260</f>
        <v>0</v>
      </c>
      <c r="Z12" s="87">
        <f>+Z260</f>
        <v>-19910544.219999999</v>
      </c>
      <c r="AA12" s="87">
        <f>-AA16</f>
        <v>0</v>
      </c>
      <c r="AB12" s="87">
        <f>+AB260</f>
        <v>0</v>
      </c>
      <c r="AC12" s="87">
        <f>+AC260</f>
        <v>0</v>
      </c>
      <c r="AD12" s="87">
        <f>+AD260</f>
        <v>0</v>
      </c>
      <c r="AE12" s="87">
        <f>+AE260-AH12-16682.18</f>
        <v>124047951.41999999</v>
      </c>
      <c r="AF12" s="87">
        <f>+AF260</f>
        <v>0</v>
      </c>
      <c r="AG12" s="87">
        <v>-3671.69</v>
      </c>
      <c r="AH12" s="87">
        <f>-AH10</f>
        <v>1313531.2899999998</v>
      </c>
      <c r="AI12" s="87">
        <f>+AI260</f>
        <v>0</v>
      </c>
      <c r="AJ12" s="87">
        <v>0</v>
      </c>
      <c r="AK12" s="87">
        <f>+AK260</f>
        <v>0</v>
      </c>
      <c r="AL12" s="87">
        <f>+AL260</f>
        <v>0</v>
      </c>
      <c r="AM12" s="87">
        <f>+AM260</f>
        <v>0</v>
      </c>
      <c r="AN12" s="87">
        <f>+AN260-AG12-3671.69</f>
        <v>-438186.29000000015</v>
      </c>
      <c r="AO12" s="87">
        <f>+AO260-AA12</f>
        <v>-1151003.26</v>
      </c>
      <c r="AP12" s="88">
        <f>+AP260</f>
        <v>0</v>
      </c>
      <c r="AQ12" s="89"/>
      <c r="AR12" s="89">
        <f>+AR260</f>
        <v>0</v>
      </c>
      <c r="AS12" s="87"/>
      <c r="AT12" s="87">
        <f>SUM(X12:AR12)</f>
        <v>-42124564.870000072</v>
      </c>
      <c r="AU12" s="87">
        <f t="shared" si="1"/>
        <v>1.862645149230957E-7</v>
      </c>
      <c r="AV12" s="22"/>
      <c r="AW12" s="22"/>
      <c r="AX12" s="22"/>
      <c r="AY12" s="22"/>
      <c r="AZ12" s="22"/>
    </row>
    <row r="13" spans="1:52" s="10" customFormat="1" x14ac:dyDescent="0.2">
      <c r="A13" s="9"/>
      <c r="B13" s="85" t="s">
        <v>163</v>
      </c>
      <c r="D13" s="86">
        <v>-63361.85</v>
      </c>
      <c r="E13" s="11"/>
      <c r="F13" s="18"/>
      <c r="G13" s="11"/>
      <c r="H13" s="18"/>
      <c r="I13" s="11"/>
      <c r="J13" s="18"/>
      <c r="K13" s="18"/>
      <c r="L13" s="18"/>
      <c r="M13" s="11"/>
      <c r="N13" s="18"/>
      <c r="O13" s="18"/>
      <c r="P13" s="18"/>
      <c r="Q13" s="18"/>
      <c r="R13" s="18"/>
      <c r="S13" s="18"/>
      <c r="T13" s="18"/>
      <c r="U13" s="11"/>
      <c r="V13" s="86">
        <v>-63360.36</v>
      </c>
      <c r="W13" s="86"/>
      <c r="X13" s="87">
        <v>0</v>
      </c>
      <c r="Y13" s="87"/>
      <c r="Z13" s="87"/>
      <c r="AA13" s="87"/>
      <c r="AB13" s="87"/>
      <c r="AC13" s="87"/>
      <c r="AD13" s="87"/>
      <c r="AE13" s="87"/>
      <c r="AF13" s="87"/>
      <c r="AG13" s="87">
        <v>0</v>
      </c>
      <c r="AH13" s="87"/>
      <c r="AI13" s="87"/>
      <c r="AJ13" s="87"/>
      <c r="AK13" s="87"/>
      <c r="AL13" s="87"/>
      <c r="AM13" s="87"/>
      <c r="AN13" s="87">
        <v>1.49</v>
      </c>
      <c r="AO13" s="87"/>
      <c r="AP13" s="88"/>
      <c r="AQ13" s="89"/>
      <c r="AR13" s="89"/>
      <c r="AS13" s="87"/>
      <c r="AT13" s="87">
        <f t="shared" si="0"/>
        <v>1.49</v>
      </c>
      <c r="AU13" s="87">
        <f t="shared" si="1"/>
        <v>-2.0372592501871623E-12</v>
      </c>
      <c r="AV13" s="22"/>
      <c r="AW13" s="22"/>
      <c r="AX13" s="22"/>
      <c r="AY13" s="22"/>
      <c r="AZ13" s="22"/>
    </row>
    <row r="14" spans="1:52" s="10" customFormat="1" x14ac:dyDescent="0.2">
      <c r="A14" s="9"/>
      <c r="B14" s="85" t="s">
        <v>164</v>
      </c>
      <c r="D14" s="86">
        <v>389846496.26999998</v>
      </c>
      <c r="E14" s="11"/>
      <c r="F14" s="18"/>
      <c r="G14" s="11"/>
      <c r="H14" s="18"/>
      <c r="I14" s="11"/>
      <c r="J14" s="18"/>
      <c r="K14" s="18"/>
      <c r="L14" s="18"/>
      <c r="M14" s="11"/>
      <c r="N14" s="18"/>
      <c r="O14" s="18"/>
      <c r="P14" s="18"/>
      <c r="Q14" s="18"/>
      <c r="R14" s="18"/>
      <c r="S14" s="18"/>
      <c r="T14" s="18"/>
      <c r="U14" s="11"/>
      <c r="V14" s="86">
        <v>133728165.62</v>
      </c>
      <c r="W14" s="86"/>
      <c r="X14" s="87">
        <f>+X167</f>
        <v>0</v>
      </c>
      <c r="Y14" s="87">
        <f>+Y167</f>
        <v>0</v>
      </c>
      <c r="Z14" s="87">
        <f>+Z167</f>
        <v>0</v>
      </c>
      <c r="AA14" s="87"/>
      <c r="AB14" s="87">
        <f>+AB167</f>
        <v>0</v>
      </c>
      <c r="AC14" s="87">
        <f>+AC167-AC11</f>
        <v>-634863796.8499999</v>
      </c>
      <c r="AD14" s="87">
        <f t="shared" ref="AD14:AM15" si="3">+AD167</f>
        <v>0</v>
      </c>
      <c r="AE14" s="87">
        <f t="shared" si="3"/>
        <v>0</v>
      </c>
      <c r="AF14" s="87">
        <f t="shared" si="3"/>
        <v>0</v>
      </c>
      <c r="AG14" s="87">
        <f t="shared" si="3"/>
        <v>0</v>
      </c>
      <c r="AH14" s="87">
        <f t="shared" si="3"/>
        <v>0</v>
      </c>
      <c r="AI14" s="87">
        <f t="shared" si="3"/>
        <v>0</v>
      </c>
      <c r="AJ14" s="87">
        <f t="shared" si="3"/>
        <v>0</v>
      </c>
      <c r="AK14" s="87">
        <f t="shared" si="3"/>
        <v>0</v>
      </c>
      <c r="AL14" s="87">
        <f t="shared" si="3"/>
        <v>0</v>
      </c>
      <c r="AM14" s="87">
        <f t="shared" si="3"/>
        <v>0</v>
      </c>
      <c r="AN14" s="87">
        <f>+AN167</f>
        <v>0</v>
      </c>
      <c r="AO14" s="87">
        <v>0</v>
      </c>
      <c r="AP14" s="88">
        <f>+AP167</f>
        <v>0</v>
      </c>
      <c r="AQ14" s="89"/>
      <c r="AR14" s="89">
        <f>+AR167-AO14</f>
        <v>378745466.19999993</v>
      </c>
      <c r="AS14" s="87"/>
      <c r="AT14" s="87">
        <f t="shared" si="0"/>
        <v>-256118330.64999998</v>
      </c>
      <c r="AU14" s="87">
        <f t="shared" si="1"/>
        <v>0</v>
      </c>
      <c r="AV14" s="22"/>
      <c r="AW14" s="22"/>
      <c r="AX14" s="22"/>
      <c r="AY14" s="22"/>
      <c r="AZ14" s="22"/>
    </row>
    <row r="15" spans="1:52" s="10" customFormat="1" x14ac:dyDescent="0.2">
      <c r="A15" s="9"/>
      <c r="B15" s="90" t="s">
        <v>165</v>
      </c>
      <c r="D15" s="86">
        <v>6221264.0300000003</v>
      </c>
      <c r="E15" s="11"/>
      <c r="F15" s="18"/>
      <c r="G15" s="11"/>
      <c r="H15" s="18"/>
      <c r="I15" s="11"/>
      <c r="J15" s="18"/>
      <c r="K15" s="18"/>
      <c r="L15" s="18"/>
      <c r="M15" s="11"/>
      <c r="N15" s="18"/>
      <c r="O15" s="18"/>
      <c r="P15" s="18"/>
      <c r="Q15" s="18"/>
      <c r="R15" s="18"/>
      <c r="S15" s="18"/>
      <c r="T15" s="18"/>
      <c r="U15" s="11"/>
      <c r="V15" s="86">
        <v>6029549.1900000004</v>
      </c>
      <c r="W15" s="86"/>
      <c r="X15" s="87">
        <f>+X199</f>
        <v>-129788.38999999998</v>
      </c>
      <c r="Y15" s="87">
        <f>+Y199</f>
        <v>0</v>
      </c>
      <c r="Z15" s="87">
        <f>+Z199</f>
        <v>0</v>
      </c>
      <c r="AA15" s="87"/>
      <c r="AB15" s="87">
        <f t="shared" ref="AB15:AO15" si="4">+AB199</f>
        <v>0</v>
      </c>
      <c r="AC15" s="87">
        <f t="shared" si="4"/>
        <v>0</v>
      </c>
      <c r="AD15" s="87">
        <f t="shared" si="4"/>
        <v>0</v>
      </c>
      <c r="AE15" s="87">
        <f t="shared" si="4"/>
        <v>0</v>
      </c>
      <c r="AF15" s="87">
        <f t="shared" si="4"/>
        <v>0</v>
      </c>
      <c r="AG15" s="87">
        <f t="shared" si="4"/>
        <v>0</v>
      </c>
      <c r="AH15" s="87">
        <f t="shared" si="4"/>
        <v>0</v>
      </c>
      <c r="AI15" s="87">
        <f t="shared" si="4"/>
        <v>0</v>
      </c>
      <c r="AJ15" s="87">
        <f t="shared" si="4"/>
        <v>0</v>
      </c>
      <c r="AK15" s="87">
        <f t="shared" si="4"/>
        <v>0</v>
      </c>
      <c r="AL15" s="87">
        <f t="shared" si="4"/>
        <v>0</v>
      </c>
      <c r="AM15" s="87">
        <f t="shared" si="3"/>
        <v>0</v>
      </c>
      <c r="AN15" s="87">
        <f>+AN199</f>
        <v>-61926.450000000012</v>
      </c>
      <c r="AO15" s="87">
        <f t="shared" si="4"/>
        <v>0</v>
      </c>
      <c r="AP15" s="88">
        <f>+AP199</f>
        <v>0</v>
      </c>
      <c r="AQ15" s="89"/>
      <c r="AR15" s="89">
        <f>+AR199</f>
        <v>0</v>
      </c>
      <c r="AS15" s="87"/>
      <c r="AT15" s="87">
        <f t="shared" si="0"/>
        <v>-191714.84</v>
      </c>
      <c r="AU15" s="87">
        <f t="shared" si="1"/>
        <v>0</v>
      </c>
      <c r="AV15" s="22"/>
      <c r="AW15" s="22"/>
      <c r="AX15" s="22"/>
      <c r="AY15" s="22"/>
      <c r="AZ15" s="22"/>
    </row>
    <row r="16" spans="1:52" s="10" customFormat="1" x14ac:dyDescent="0.2">
      <c r="A16" s="9"/>
      <c r="B16" s="85" t="s">
        <v>166</v>
      </c>
      <c r="D16" s="86">
        <v>-301559455.31</v>
      </c>
      <c r="E16" s="11"/>
      <c r="F16" s="18"/>
      <c r="G16" s="11"/>
      <c r="H16" s="18"/>
      <c r="I16" s="11"/>
      <c r="J16" s="18"/>
      <c r="K16" s="18"/>
      <c r="L16" s="18"/>
      <c r="M16" s="11"/>
      <c r="N16" s="18"/>
      <c r="O16" s="18"/>
      <c r="P16" s="18"/>
      <c r="Q16" s="18"/>
      <c r="R16" s="18"/>
      <c r="S16" s="18"/>
      <c r="T16" s="18"/>
      <c r="U16" s="11"/>
      <c r="V16" s="86">
        <v>-304963304.07999998</v>
      </c>
      <c r="W16" s="86"/>
      <c r="X16" s="87">
        <f>+X325</f>
        <v>-23662021.030000005</v>
      </c>
      <c r="Y16" s="87">
        <f t="shared" ref="Y16:AE16" si="5">+Y325</f>
        <v>0</v>
      </c>
      <c r="Z16" s="87">
        <f t="shared" si="5"/>
        <v>0</v>
      </c>
      <c r="AA16" s="87">
        <f t="shared" si="5"/>
        <v>0</v>
      </c>
      <c r="AB16" s="87">
        <f t="shared" si="5"/>
        <v>0</v>
      </c>
      <c r="AC16" s="87">
        <f t="shared" si="5"/>
        <v>0</v>
      </c>
      <c r="AD16" s="87">
        <f t="shared" si="5"/>
        <v>0</v>
      </c>
      <c r="AE16" s="87">
        <f t="shared" si="5"/>
        <v>0</v>
      </c>
      <c r="AF16" s="87">
        <f>+AF325</f>
        <v>0</v>
      </c>
      <c r="AG16" s="87">
        <f>+AG325</f>
        <v>81213.36</v>
      </c>
      <c r="AH16" s="87">
        <v>2917477.54</v>
      </c>
      <c r="AI16" s="87">
        <f>+AI325</f>
        <v>0</v>
      </c>
      <c r="AJ16" s="87">
        <v>0</v>
      </c>
      <c r="AK16" s="87">
        <f>+AK325</f>
        <v>0</v>
      </c>
      <c r="AL16" s="87">
        <f>+AL325</f>
        <v>0</v>
      </c>
      <c r="AM16" s="87">
        <f>+AM325</f>
        <v>0</v>
      </c>
      <c r="AN16" s="87">
        <f>+AN325-AO16</f>
        <v>-973.36000000000058</v>
      </c>
      <c r="AO16" s="87">
        <v>0</v>
      </c>
      <c r="AP16" s="88">
        <f>+AP325</f>
        <v>17260454.719999999</v>
      </c>
      <c r="AQ16" s="89"/>
      <c r="AR16" s="89">
        <f>+AR325</f>
        <v>0</v>
      </c>
      <c r="AS16" s="87"/>
      <c r="AT16" s="87">
        <f t="shared" si="0"/>
        <v>-3403848.770000007</v>
      </c>
      <c r="AU16" s="87">
        <f>+V16-D16-AT16</f>
        <v>2.6077032089233398E-8</v>
      </c>
      <c r="AV16" s="22"/>
      <c r="AW16" s="22"/>
      <c r="AX16" s="22"/>
      <c r="AY16" s="22"/>
      <c r="AZ16" s="22"/>
    </row>
    <row r="17" spans="1:52" s="10" customFormat="1" x14ac:dyDescent="0.2">
      <c r="A17" s="9"/>
      <c r="B17" s="87" t="s">
        <v>167</v>
      </c>
      <c r="D17" s="87">
        <v>56994127.350000001</v>
      </c>
      <c r="E17" s="11"/>
      <c r="F17" s="18"/>
      <c r="G17" s="11"/>
      <c r="H17" s="18"/>
      <c r="I17" s="11"/>
      <c r="J17" s="18"/>
      <c r="K17" s="18"/>
      <c r="L17" s="18"/>
      <c r="M17" s="11"/>
      <c r="N17" s="18"/>
      <c r="O17" s="18"/>
      <c r="P17" s="18"/>
      <c r="Q17" s="18"/>
      <c r="R17" s="18"/>
      <c r="S17" s="18"/>
      <c r="T17" s="18"/>
      <c r="U17" s="11"/>
      <c r="V17" s="95">
        <v>70306410.849999994</v>
      </c>
      <c r="W17" s="86"/>
      <c r="X17" s="87"/>
      <c r="Y17" s="87"/>
      <c r="Z17" s="87">
        <f>-Z12</f>
        <v>19910544.219999999</v>
      </c>
      <c r="AA17" s="87"/>
      <c r="AB17" s="95">
        <v>7561445.9799999995</v>
      </c>
      <c r="AC17" s="87"/>
      <c r="AD17" s="87"/>
      <c r="AE17" s="87"/>
      <c r="AF17" s="87"/>
      <c r="AG17" s="87"/>
      <c r="AH17" s="87">
        <v>-3047715.42</v>
      </c>
      <c r="AI17" s="87"/>
      <c r="AJ17" s="87">
        <v>-11111991.279999999</v>
      </c>
      <c r="AK17" s="87">
        <f>0</f>
        <v>0</v>
      </c>
      <c r="AL17" s="87"/>
      <c r="AM17" s="87"/>
      <c r="AN17" s="87"/>
      <c r="AO17" s="87">
        <v>0</v>
      </c>
      <c r="AP17" s="88">
        <v>0</v>
      </c>
      <c r="AQ17" s="89"/>
      <c r="AR17" s="89"/>
      <c r="AS17" s="87"/>
      <c r="AT17" s="87">
        <f>SUM(X17:AR17)</f>
        <v>13312283.500000002</v>
      </c>
      <c r="AU17" s="87">
        <f>+V17-D17-AT17</f>
        <v>0</v>
      </c>
      <c r="AV17" s="22"/>
      <c r="AW17" s="22"/>
      <c r="AX17" s="22"/>
      <c r="AY17" s="22"/>
      <c r="AZ17" s="22"/>
    </row>
    <row r="18" spans="1:52" s="10" customFormat="1" x14ac:dyDescent="0.2">
      <c r="A18" s="9"/>
      <c r="B18" s="87" t="s">
        <v>168</v>
      </c>
      <c r="D18" s="87">
        <v>-25522629.77</v>
      </c>
      <c r="E18" s="11"/>
      <c r="F18" s="18"/>
      <c r="G18" s="11"/>
      <c r="H18" s="18"/>
      <c r="I18" s="11"/>
      <c r="J18" s="18"/>
      <c r="K18" s="18"/>
      <c r="L18" s="18"/>
      <c r="M18" s="11"/>
      <c r="N18" s="18"/>
      <c r="O18" s="18"/>
      <c r="P18" s="18"/>
      <c r="Q18" s="18"/>
      <c r="R18" s="18"/>
      <c r="S18" s="18"/>
      <c r="T18" s="18"/>
      <c r="U18" s="11"/>
      <c r="V18" s="95">
        <v>-41436984.090000004</v>
      </c>
      <c r="W18" s="86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197">
        <v>-15914354.320000002</v>
      </c>
      <c r="AO18" s="87">
        <v>0</v>
      </c>
      <c r="AP18" s="88"/>
      <c r="AQ18" s="89"/>
      <c r="AR18" s="89"/>
      <c r="AS18" s="87"/>
      <c r="AT18" s="87">
        <f t="shared" si="0"/>
        <v>-15914354.320000002</v>
      </c>
      <c r="AU18" s="87">
        <f>+V18-D18-AT18</f>
        <v>0</v>
      </c>
      <c r="AV18" s="22"/>
      <c r="AW18" s="22"/>
      <c r="AX18" s="22"/>
      <c r="AY18" s="22"/>
      <c r="AZ18" s="22"/>
    </row>
    <row r="19" spans="1:52" s="10" customFormat="1" x14ac:dyDescent="0.2">
      <c r="A19" s="9"/>
      <c r="B19" s="87" t="s">
        <v>169</v>
      </c>
      <c r="D19" s="87">
        <v>-149309143.63</v>
      </c>
      <c r="E19" s="11"/>
      <c r="F19" s="18"/>
      <c r="G19" s="11"/>
      <c r="H19" s="18"/>
      <c r="I19" s="11"/>
      <c r="J19" s="18"/>
      <c r="K19" s="18"/>
      <c r="L19" s="18"/>
      <c r="M19" s="11"/>
      <c r="N19" s="18"/>
      <c r="O19" s="18"/>
      <c r="P19" s="18"/>
      <c r="Q19" s="18"/>
      <c r="R19" s="18"/>
      <c r="S19" s="18"/>
      <c r="T19" s="18"/>
      <c r="U19" s="11"/>
      <c r="V19" s="86">
        <v>-104279365.47</v>
      </c>
      <c r="W19" s="86"/>
      <c r="X19" s="87"/>
      <c r="Y19" s="87"/>
      <c r="Z19" s="87"/>
      <c r="AA19" s="87"/>
      <c r="AB19" s="87">
        <f>-AB17</f>
        <v>-7561445.9799999995</v>
      </c>
      <c r="AC19" s="87"/>
      <c r="AD19" s="87"/>
      <c r="AE19" s="87"/>
      <c r="AF19" s="87"/>
      <c r="AG19" s="87"/>
      <c r="AH19" s="87">
        <v>130237.88</v>
      </c>
      <c r="AI19" s="87"/>
      <c r="AJ19" s="87">
        <f>-AJ10-AJ17</f>
        <v>18728325.739999998</v>
      </c>
      <c r="AK19" s="87"/>
      <c r="AL19" s="87"/>
      <c r="AM19" s="87"/>
      <c r="AN19" s="87">
        <f>-AN18</f>
        <v>15914354.320000002</v>
      </c>
      <c r="AO19" s="87">
        <f>-AO18-AO14</f>
        <v>0</v>
      </c>
      <c r="AP19" s="88">
        <f>+P310+R310+T310</f>
        <v>11340917.840000002</v>
      </c>
      <c r="AQ19" s="89">
        <v>6477388.3599999994</v>
      </c>
      <c r="AR19" s="89"/>
      <c r="AS19" s="87"/>
      <c r="AT19" s="87">
        <f>SUM(X19:AR19)</f>
        <v>45029778.160000004</v>
      </c>
      <c r="AU19" s="87">
        <f>+V19-D19-AT19</f>
        <v>0</v>
      </c>
      <c r="AV19" s="22"/>
      <c r="AW19" s="22"/>
      <c r="AX19" s="22"/>
      <c r="AY19" s="22"/>
      <c r="AZ19" s="22"/>
    </row>
    <row r="20" spans="1:52" s="10" customFormat="1" x14ac:dyDescent="0.2">
      <c r="A20" s="9"/>
      <c r="B20" s="85"/>
      <c r="D20" s="86"/>
      <c r="E20" s="11"/>
      <c r="F20" s="18"/>
      <c r="G20" s="11"/>
      <c r="H20" s="18"/>
      <c r="I20" s="11"/>
      <c r="J20" s="18"/>
      <c r="K20" s="18"/>
      <c r="L20" s="18"/>
      <c r="M20" s="11"/>
      <c r="N20" s="18"/>
      <c r="O20" s="18"/>
      <c r="P20" s="18"/>
      <c r="Q20" s="18"/>
      <c r="R20" s="18"/>
      <c r="S20" s="18"/>
      <c r="T20" s="18"/>
      <c r="U20" s="11"/>
      <c r="V20" s="86"/>
      <c r="W20" s="86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8"/>
      <c r="AQ20" s="89"/>
      <c r="AR20" s="89"/>
      <c r="AS20" s="87"/>
      <c r="AT20" s="87"/>
      <c r="AU20" s="87"/>
      <c r="AV20" s="22"/>
      <c r="AW20" s="22"/>
      <c r="AX20" s="22"/>
      <c r="AY20" s="22"/>
      <c r="AZ20" s="22"/>
    </row>
    <row r="21" spans="1:52" s="10" customFormat="1" x14ac:dyDescent="0.2">
      <c r="A21" s="9"/>
      <c r="D21" s="18">
        <v>-161169938.72999996</v>
      </c>
      <c r="E21" s="11"/>
      <c r="F21" s="18"/>
      <c r="G21" s="11"/>
      <c r="H21" s="18"/>
      <c r="I21" s="11"/>
      <c r="J21" s="18"/>
      <c r="K21" s="18"/>
      <c r="L21" s="18"/>
      <c r="M21" s="11"/>
      <c r="N21" s="18"/>
      <c r="O21" s="18"/>
      <c r="P21" s="18"/>
      <c r="Q21" s="18"/>
      <c r="R21" s="18"/>
      <c r="S21" s="18"/>
      <c r="T21" s="18"/>
      <c r="U21" s="11"/>
      <c r="V21" s="18"/>
      <c r="W21" s="18"/>
      <c r="X21" s="91">
        <f>SUM(X10:X20)</f>
        <v>-169774451.54000005</v>
      </c>
      <c r="Y21" s="91">
        <f t="shared" ref="Y21:AO21" si="6">SUM(Y10:Y20)</f>
        <v>0</v>
      </c>
      <c r="Z21" s="91">
        <f t="shared" si="6"/>
        <v>0</v>
      </c>
      <c r="AA21" s="91">
        <f t="shared" si="6"/>
        <v>0</v>
      </c>
      <c r="AB21" s="91">
        <f t="shared" si="6"/>
        <v>0</v>
      </c>
      <c r="AC21" s="91">
        <f>SUM(AC10:AC20)</f>
        <v>0</v>
      </c>
      <c r="AD21" s="91">
        <f t="shared" si="6"/>
        <v>0</v>
      </c>
      <c r="AE21" s="91">
        <f t="shared" si="6"/>
        <v>0</v>
      </c>
      <c r="AF21" s="91">
        <f t="shared" si="6"/>
        <v>0</v>
      </c>
      <c r="AG21" s="91">
        <f>SUM(AG10:AG20)</f>
        <v>60859.490000000005</v>
      </c>
      <c r="AH21" s="91">
        <f>SUM(AH10:AH20)</f>
        <v>1.1641532182693481E-10</v>
      </c>
      <c r="AI21" s="91">
        <f t="shared" si="6"/>
        <v>0</v>
      </c>
      <c r="AJ21" s="91">
        <f t="shared" si="6"/>
        <v>0</v>
      </c>
      <c r="AK21" s="91">
        <f t="shared" si="6"/>
        <v>0</v>
      </c>
      <c r="AL21" s="91">
        <f t="shared" si="6"/>
        <v>0</v>
      </c>
      <c r="AM21" s="91">
        <f t="shared" si="6"/>
        <v>0</v>
      </c>
      <c r="AN21" s="91">
        <f>SUM(AN10:AN20)</f>
        <v>-375452.78999999724</v>
      </c>
      <c r="AO21" s="91">
        <f t="shared" si="6"/>
        <v>-1151003.26</v>
      </c>
      <c r="AP21" s="92">
        <f>SUM(AP10:AP19)</f>
        <v>28601372.560000002</v>
      </c>
      <c r="AQ21" s="91"/>
      <c r="AR21" s="91">
        <f>SUM(AR10:AR19)</f>
        <v>378745466.19999993</v>
      </c>
      <c r="AS21" s="86"/>
      <c r="AT21" s="87"/>
      <c r="AU21" s="22"/>
      <c r="AV21" s="22"/>
      <c r="AW21" s="22"/>
      <c r="AX21" s="22"/>
      <c r="AY21" s="22"/>
      <c r="AZ21" s="22"/>
    </row>
    <row r="22" spans="1:52" s="10" customFormat="1" x14ac:dyDescent="0.2">
      <c r="A22" s="9"/>
      <c r="D22" s="18"/>
      <c r="E22" s="11"/>
      <c r="F22" s="18"/>
      <c r="G22" s="11"/>
      <c r="H22" s="18"/>
      <c r="I22" s="11"/>
      <c r="J22" s="18"/>
      <c r="K22" s="18"/>
      <c r="L22" s="18"/>
      <c r="M22" s="11"/>
      <c r="N22" s="18"/>
      <c r="O22" s="18"/>
      <c r="P22" s="18"/>
      <c r="Q22" s="18"/>
      <c r="R22" s="18"/>
      <c r="S22" s="18"/>
      <c r="T22" s="18"/>
      <c r="U22" s="11"/>
      <c r="V22" s="18"/>
      <c r="W22" s="18"/>
      <c r="X22" s="86"/>
      <c r="Y22" s="86"/>
      <c r="Z22" s="86"/>
      <c r="AA22" s="86"/>
      <c r="AB22" s="86"/>
      <c r="AC22" s="86"/>
      <c r="AD22" s="86"/>
      <c r="AE22" s="22"/>
      <c r="AF22" s="22"/>
      <c r="AG22" s="22"/>
      <c r="AH22" s="22"/>
      <c r="AI22" s="22"/>
      <c r="AJ22" s="22"/>
      <c r="AK22" s="22"/>
      <c r="AL22" s="87"/>
      <c r="AM22" s="22"/>
      <c r="AN22" s="87"/>
      <c r="AO22" s="22"/>
      <c r="AP22" s="82"/>
      <c r="AQ22" s="83"/>
      <c r="AR22" s="83"/>
      <c r="AS22" s="22"/>
      <c r="AT22" s="22"/>
      <c r="AU22" s="22"/>
      <c r="AV22" s="22"/>
      <c r="AW22" s="22"/>
      <c r="AX22" s="22"/>
      <c r="AY22" s="22"/>
      <c r="AZ22" s="22"/>
    </row>
    <row r="23" spans="1:52" s="10" customFormat="1" x14ac:dyDescent="0.2">
      <c r="A23" s="9"/>
      <c r="D23" s="18"/>
      <c r="E23" s="11"/>
      <c r="F23" s="18"/>
      <c r="G23" s="11"/>
      <c r="H23" s="18"/>
      <c r="I23" s="11"/>
      <c r="J23" s="18"/>
      <c r="K23" s="18"/>
      <c r="L23" s="18"/>
      <c r="M23" s="11"/>
      <c r="N23" s="18"/>
      <c r="O23" s="18"/>
      <c r="P23" s="18"/>
      <c r="Q23" s="18"/>
      <c r="R23" s="18"/>
      <c r="S23" s="18"/>
      <c r="T23" s="18"/>
      <c r="U23" s="11"/>
      <c r="V23" s="18" t="s">
        <v>170</v>
      </c>
      <c r="W23" s="18"/>
      <c r="X23" s="86">
        <v>169774451.61000001</v>
      </c>
      <c r="Y23" s="86"/>
      <c r="Z23" s="86"/>
      <c r="AA23" s="86"/>
      <c r="AB23" s="86"/>
      <c r="AC23" s="86">
        <v>0</v>
      </c>
      <c r="AD23" s="86"/>
      <c r="AE23" s="86">
        <v>0</v>
      </c>
      <c r="AF23" s="86"/>
      <c r="AG23" s="86"/>
      <c r="AH23" s="86"/>
      <c r="AI23" s="86"/>
      <c r="AJ23" s="86"/>
      <c r="AK23" s="86"/>
      <c r="AL23" s="86"/>
      <c r="AM23" s="86"/>
      <c r="AN23" s="86">
        <v>-354484.58999999723</v>
      </c>
      <c r="AO23" s="87">
        <v>1151003.26</v>
      </c>
      <c r="AP23" s="88">
        <v>28601372.559999999</v>
      </c>
      <c r="AQ23" s="89"/>
      <c r="AR23" s="89">
        <v>378745466.19999993</v>
      </c>
      <c r="AS23" s="22"/>
      <c r="AT23" s="22"/>
      <c r="AU23" s="22"/>
      <c r="AV23" s="22"/>
      <c r="AW23" s="22"/>
      <c r="AX23" s="22"/>
      <c r="AY23" s="22"/>
      <c r="AZ23" s="22"/>
    </row>
    <row r="24" spans="1:52" x14ac:dyDescent="0.2">
      <c r="B24" s="22"/>
      <c r="D24" s="32"/>
      <c r="E24" s="11"/>
      <c r="F24" s="32"/>
      <c r="G24" s="11"/>
      <c r="H24" s="32"/>
      <c r="I24" s="11"/>
      <c r="J24" s="32"/>
      <c r="K24" s="32"/>
      <c r="L24" s="32"/>
      <c r="M24" s="11"/>
      <c r="N24" s="32"/>
      <c r="O24" s="32"/>
      <c r="P24" s="32"/>
      <c r="Q24" s="32"/>
      <c r="R24" s="32"/>
      <c r="S24" s="32"/>
      <c r="T24" s="32"/>
      <c r="U24" s="11"/>
      <c r="V24" s="32"/>
      <c r="W24" s="32"/>
      <c r="X24" s="86">
        <f>+X21+X23+Y21</f>
        <v>6.9999963045120239E-2</v>
      </c>
      <c r="Y24" s="86"/>
      <c r="Z24" s="86"/>
      <c r="AA24" s="86"/>
      <c r="AB24" s="86"/>
      <c r="AC24" s="86">
        <f>+AC21-AC23</f>
        <v>0</v>
      </c>
      <c r="AD24" s="86"/>
      <c r="AE24" s="86">
        <f>+AE21-AE23</f>
        <v>0</v>
      </c>
      <c r="AF24" s="86"/>
      <c r="AG24" s="86"/>
      <c r="AH24" s="86"/>
      <c r="AI24" s="86"/>
      <c r="AJ24" s="86"/>
      <c r="AK24" s="86"/>
      <c r="AL24" s="86"/>
      <c r="AM24" s="86"/>
      <c r="AN24" s="86"/>
      <c r="AO24" s="87"/>
      <c r="AP24" s="87">
        <f>+AP21-AP23</f>
        <v>0</v>
      </c>
      <c r="AQ24" s="87"/>
      <c r="AR24" s="87">
        <f>+AR21-AR23</f>
        <v>0</v>
      </c>
    </row>
    <row r="25" spans="1:52" x14ac:dyDescent="0.2">
      <c r="B25" s="22" t="s">
        <v>171</v>
      </c>
      <c r="C25" s="22" t="s">
        <v>172</v>
      </c>
      <c r="D25" s="32"/>
      <c r="E25" s="11"/>
      <c r="F25" s="32"/>
      <c r="G25" s="11"/>
      <c r="H25" s="32"/>
      <c r="I25" s="11"/>
      <c r="J25" s="32"/>
      <c r="K25" s="32"/>
      <c r="L25" s="32"/>
      <c r="M25" s="11"/>
      <c r="N25" s="32"/>
      <c r="O25" s="32"/>
      <c r="P25" s="32"/>
      <c r="Q25" s="32"/>
      <c r="R25" s="32"/>
      <c r="S25" s="32"/>
      <c r="T25" s="32"/>
      <c r="U25" s="11"/>
      <c r="V25" s="32"/>
      <c r="W25" s="32"/>
      <c r="X25" s="86"/>
      <c r="Y25" s="86"/>
      <c r="Z25" s="86"/>
      <c r="AA25" s="86"/>
      <c r="AB25" s="86"/>
      <c r="AC25" s="86"/>
      <c r="AD25" s="86"/>
      <c r="AR25" s="94">
        <f>'CWIP Spend by Project P3B (Reg)'!C1019</f>
        <v>378745466.19999987</v>
      </c>
    </row>
    <row r="26" spans="1:52" x14ac:dyDescent="0.2">
      <c r="B26" s="22"/>
      <c r="C26" s="22" t="s">
        <v>173</v>
      </c>
      <c r="D26" s="32"/>
      <c r="E26" s="11"/>
      <c r="F26" s="32"/>
      <c r="G26" s="11"/>
      <c r="H26" s="32"/>
      <c r="I26" s="11"/>
      <c r="J26" s="32"/>
      <c r="K26" s="32"/>
      <c r="L26" s="32"/>
      <c r="M26" s="11"/>
      <c r="N26" s="32"/>
      <c r="O26" s="32"/>
      <c r="P26" s="32"/>
      <c r="Q26" s="32"/>
      <c r="R26" s="32"/>
      <c r="S26" s="32"/>
      <c r="T26" s="32"/>
      <c r="U26" s="11"/>
      <c r="V26" s="32"/>
      <c r="W26" s="32"/>
      <c r="X26" s="86"/>
      <c r="Y26" s="86"/>
      <c r="Z26" s="86"/>
      <c r="AA26" s="86"/>
      <c r="AB26" s="86"/>
      <c r="AC26" s="86"/>
      <c r="AD26" s="86"/>
      <c r="AR26" s="87">
        <f>AR21-AR25</f>
        <v>0</v>
      </c>
    </row>
    <row r="27" spans="1:52" x14ac:dyDescent="0.2">
      <c r="B27" s="22"/>
      <c r="D27" s="32"/>
      <c r="E27" s="11"/>
      <c r="F27" s="32"/>
      <c r="G27" s="11"/>
      <c r="H27" s="32"/>
      <c r="I27" s="11"/>
      <c r="J27" s="32"/>
      <c r="K27" s="32"/>
      <c r="L27" s="32"/>
      <c r="M27" s="11"/>
      <c r="N27" s="32"/>
      <c r="O27" s="32"/>
      <c r="P27" s="32"/>
      <c r="Q27" s="32"/>
      <c r="R27" s="32"/>
      <c r="S27" s="32"/>
      <c r="T27" s="32"/>
      <c r="U27" s="11"/>
      <c r="V27" s="32"/>
      <c r="W27" s="32"/>
      <c r="X27" s="86"/>
      <c r="Y27" s="86"/>
      <c r="Z27" s="86"/>
      <c r="AA27" s="86"/>
      <c r="AB27" s="86"/>
      <c r="AC27" s="86"/>
      <c r="AD27" s="86"/>
    </row>
    <row r="28" spans="1:52" x14ac:dyDescent="0.2">
      <c r="B28" s="22"/>
      <c r="D28" s="32"/>
      <c r="E28" s="11"/>
      <c r="F28" s="32"/>
      <c r="G28" s="11"/>
      <c r="H28" s="32"/>
      <c r="I28" s="11"/>
      <c r="J28" s="32"/>
      <c r="K28" s="32"/>
      <c r="L28" s="32"/>
      <c r="M28" s="11"/>
      <c r="N28" s="32"/>
      <c r="O28" s="32"/>
      <c r="P28" s="32"/>
      <c r="Q28" s="32"/>
      <c r="R28" s="32"/>
      <c r="S28" s="32"/>
      <c r="T28" s="32"/>
      <c r="U28" s="11"/>
      <c r="V28" s="32"/>
      <c r="W28" s="32"/>
      <c r="X28" s="86"/>
      <c r="Y28" s="86"/>
      <c r="Z28" s="86"/>
      <c r="AA28" s="86"/>
      <c r="AB28" s="86"/>
      <c r="AC28" s="86"/>
      <c r="AD28" s="86"/>
    </row>
    <row r="29" spans="1:52" x14ac:dyDescent="0.2">
      <c r="B29" s="22"/>
      <c r="D29" s="32"/>
      <c r="E29" s="11"/>
      <c r="F29" s="32"/>
      <c r="G29" s="11"/>
      <c r="H29" s="32"/>
      <c r="I29" s="11"/>
      <c r="J29" s="32"/>
      <c r="K29" s="32"/>
      <c r="L29" s="32"/>
      <c r="M29" s="11"/>
      <c r="N29" s="32"/>
      <c r="O29" s="32"/>
      <c r="P29" s="32"/>
      <c r="Q29" s="32"/>
      <c r="R29" s="32"/>
      <c r="S29" s="32"/>
      <c r="T29" s="32"/>
      <c r="U29" s="11"/>
      <c r="V29" s="32"/>
      <c r="W29" s="32"/>
      <c r="X29" s="86"/>
      <c r="Y29" s="86"/>
      <c r="Z29" s="86"/>
      <c r="AA29" s="86"/>
      <c r="AB29" s="86"/>
      <c r="AC29" s="86"/>
      <c r="AD29" s="86"/>
      <c r="AP29" s="96"/>
      <c r="AQ29" s="96"/>
    </row>
    <row r="30" spans="1:52" x14ac:dyDescent="0.2">
      <c r="A30" s="14" t="s">
        <v>174</v>
      </c>
      <c r="B30" s="3"/>
      <c r="C30" s="3"/>
      <c r="D30" s="18"/>
      <c r="E30" s="11"/>
      <c r="F30" s="18"/>
      <c r="G30" s="11"/>
      <c r="H30" s="18"/>
      <c r="I30" s="1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1"/>
      <c r="V30" s="18"/>
      <c r="W30" s="3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M30" s="3"/>
      <c r="AN30" s="3"/>
      <c r="AO30" s="3"/>
      <c r="AP30" s="39"/>
      <c r="AQ30" s="39"/>
      <c r="AR30" s="39"/>
      <c r="AS30" s="3"/>
      <c r="AT30" s="3"/>
      <c r="AU30" s="3"/>
      <c r="AV30" s="3"/>
      <c r="AW30" s="3"/>
      <c r="AX30" s="3"/>
      <c r="AY30" s="3"/>
      <c r="AZ30" s="3"/>
    </row>
    <row r="31" spans="1:52" s="3" customFormat="1" x14ac:dyDescent="0.2">
      <c r="A31" s="14"/>
      <c r="B31" s="3" t="s">
        <v>175</v>
      </c>
      <c r="D31" s="18"/>
      <c r="E31" s="11"/>
      <c r="F31" s="18"/>
      <c r="G31" s="11"/>
      <c r="H31" s="18"/>
      <c r="I31" s="1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1"/>
      <c r="V31" s="1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22"/>
      <c r="AO31" s="39">
        <v>184795.05999999997</v>
      </c>
      <c r="AP31" s="39"/>
      <c r="AQ31" s="39"/>
      <c r="AR31" s="39"/>
    </row>
    <row r="32" spans="1:52" s="3" customFormat="1" x14ac:dyDescent="0.2">
      <c r="A32" s="14"/>
      <c r="B32" s="3" t="s">
        <v>176</v>
      </c>
      <c r="D32" s="18"/>
      <c r="E32" s="11"/>
      <c r="F32" s="18"/>
      <c r="G32" s="11"/>
      <c r="H32" s="18"/>
      <c r="I32" s="1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1"/>
      <c r="V32" s="18"/>
      <c r="X32" s="39"/>
      <c r="Y32" s="39"/>
      <c r="AM32" s="39"/>
      <c r="AO32" s="39">
        <v>966208.2</v>
      </c>
    </row>
    <row r="33" spans="1:52" s="3" customFormat="1" x14ac:dyDescent="0.2">
      <c r="A33" s="14"/>
      <c r="B33" s="22" t="s">
        <v>177</v>
      </c>
      <c r="D33" s="18"/>
      <c r="E33" s="11"/>
      <c r="F33" s="18"/>
      <c r="G33" s="11"/>
      <c r="H33" s="18"/>
      <c r="I33" s="1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1"/>
      <c r="V33" s="18"/>
      <c r="X33" s="39"/>
      <c r="Y33" s="39"/>
      <c r="AM33" s="39"/>
      <c r="AO33" s="39">
        <f>AO16</f>
        <v>0</v>
      </c>
    </row>
    <row r="34" spans="1:52" s="3" customFormat="1" ht="13.5" thickBot="1" x14ac:dyDescent="0.25">
      <c r="A34" s="14"/>
      <c r="D34" s="18"/>
      <c r="E34" s="11"/>
      <c r="F34" s="18"/>
      <c r="G34" s="11"/>
      <c r="H34" s="18"/>
      <c r="I34" s="11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1"/>
      <c r="V34" s="18"/>
      <c r="X34" s="39"/>
      <c r="Y34" s="39"/>
      <c r="AM34" s="39"/>
      <c r="AO34" s="97">
        <f>AO12+AO31+AO32+AO33</f>
        <v>-1.1641532182693481E-10</v>
      </c>
      <c r="AP34" s="3" t="s">
        <v>178</v>
      </c>
    </row>
    <row r="35" spans="1:52" s="3" customFormat="1" ht="13.5" thickTop="1" x14ac:dyDescent="0.2">
      <c r="A35" s="93"/>
      <c r="B35" s="22"/>
      <c r="C35" s="22"/>
      <c r="D35" s="32"/>
      <c r="E35" s="11"/>
      <c r="F35" s="32"/>
      <c r="G35" s="11"/>
      <c r="H35" s="32"/>
      <c r="I35" s="11"/>
      <c r="J35" s="32"/>
      <c r="K35" s="32"/>
      <c r="L35" s="32"/>
      <c r="M35" s="11"/>
      <c r="N35" s="32"/>
      <c r="O35" s="32"/>
      <c r="P35" s="32"/>
      <c r="Q35" s="32"/>
      <c r="R35" s="32"/>
      <c r="S35" s="32"/>
      <c r="T35" s="32"/>
      <c r="U35" s="11"/>
      <c r="V35" s="32"/>
      <c r="W35" s="32"/>
      <c r="X35" s="86"/>
      <c r="Y35" s="86"/>
      <c r="Z35" s="86"/>
      <c r="AA35" s="86"/>
      <c r="AB35" s="86"/>
      <c r="AC35" s="86"/>
      <c r="AD35" s="86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T35" s="22"/>
      <c r="AU35" s="22"/>
      <c r="AV35" s="22"/>
      <c r="AW35" s="22"/>
      <c r="AX35" s="22"/>
      <c r="AY35" s="22"/>
      <c r="AZ35" s="22"/>
    </row>
    <row r="36" spans="1:52" x14ac:dyDescent="0.2">
      <c r="B36" s="22"/>
      <c r="D36" s="32"/>
      <c r="E36" s="11"/>
      <c r="F36" s="32"/>
      <c r="G36" s="11"/>
      <c r="H36" s="32"/>
      <c r="I36" s="11"/>
      <c r="J36" s="32"/>
      <c r="K36" s="32"/>
      <c r="L36" s="32"/>
      <c r="M36" s="11"/>
      <c r="N36" s="32"/>
      <c r="O36" s="32"/>
      <c r="P36" s="32"/>
      <c r="Q36" s="32"/>
      <c r="R36" s="32"/>
      <c r="S36" s="32"/>
      <c r="T36" s="32"/>
      <c r="U36" s="11"/>
      <c r="V36" s="32"/>
      <c r="W36" s="32"/>
      <c r="X36" s="86"/>
      <c r="Y36" s="86"/>
      <c r="Z36" s="86"/>
      <c r="AA36" s="86"/>
      <c r="AB36" s="86"/>
      <c r="AC36" s="86"/>
      <c r="AD36" s="86"/>
      <c r="AN36" s="22" t="s">
        <v>179</v>
      </c>
    </row>
    <row r="37" spans="1:52" x14ac:dyDescent="0.2">
      <c r="A37" s="9"/>
      <c r="C37" s="10"/>
      <c r="D37" s="8" t="s">
        <v>3</v>
      </c>
      <c r="E37" s="76"/>
      <c r="F37" s="76"/>
      <c r="G37" s="76"/>
      <c r="H37" s="76"/>
      <c r="I37" s="76"/>
      <c r="J37" s="8" t="s">
        <v>4</v>
      </c>
      <c r="K37" s="8"/>
      <c r="L37" s="8"/>
      <c r="M37" s="76"/>
      <c r="N37" s="76"/>
      <c r="O37" s="76"/>
      <c r="P37" s="76"/>
      <c r="Q37" s="76"/>
      <c r="R37" s="76"/>
      <c r="S37" s="76"/>
      <c r="T37" s="76"/>
      <c r="U37" s="76"/>
      <c r="V37" s="8" t="s">
        <v>5</v>
      </c>
      <c r="W37" s="18"/>
      <c r="X37" s="86"/>
      <c r="Y37" s="86"/>
      <c r="Z37" s="86"/>
      <c r="AA37" s="86"/>
      <c r="AB37" s="86"/>
      <c r="AC37" s="86"/>
      <c r="AD37" s="86"/>
      <c r="AP37" s="10"/>
      <c r="AQ37" s="10"/>
      <c r="AR37" s="10"/>
    </row>
    <row r="38" spans="1:52" s="10" customFormat="1" x14ac:dyDescent="0.2">
      <c r="A38" s="9"/>
      <c r="D38" s="12" t="s">
        <v>7</v>
      </c>
      <c r="E38" s="11"/>
      <c r="F38" s="12" t="s">
        <v>8</v>
      </c>
      <c r="G38" s="11"/>
      <c r="H38" s="12" t="s">
        <v>9</v>
      </c>
      <c r="I38" s="11"/>
      <c r="J38" s="12" t="s">
        <v>10</v>
      </c>
      <c r="K38" s="18"/>
      <c r="L38" s="18"/>
      <c r="M38" s="11"/>
      <c r="N38" s="12" t="s">
        <v>11</v>
      </c>
      <c r="O38" s="18"/>
      <c r="P38" s="18"/>
      <c r="Q38" s="18"/>
      <c r="R38" s="18"/>
      <c r="S38" s="18"/>
      <c r="T38" s="18"/>
      <c r="U38" s="11"/>
      <c r="V38" s="12" t="s">
        <v>7</v>
      </c>
      <c r="W38" s="18"/>
      <c r="X38" s="86"/>
      <c r="Y38" s="86"/>
      <c r="Z38" s="86"/>
      <c r="AA38" s="86"/>
      <c r="AB38" s="86"/>
      <c r="AC38" s="86"/>
      <c r="AD38" s="86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S38" s="22"/>
      <c r="AT38" s="22"/>
      <c r="AU38" s="22"/>
      <c r="AV38" s="22"/>
      <c r="AW38" s="22"/>
      <c r="AX38" s="22"/>
      <c r="AY38" s="22"/>
      <c r="AZ38" s="22"/>
    </row>
    <row r="39" spans="1:52" s="10" customFormat="1" outlineLevel="1" x14ac:dyDescent="0.2">
      <c r="A39" s="93">
        <v>101</v>
      </c>
      <c r="B39" s="10" t="s">
        <v>12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77"/>
      <c r="Y39" s="77"/>
      <c r="Z39" s="77"/>
      <c r="AA39" s="77"/>
      <c r="AB39" s="77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outlineLevel="3" x14ac:dyDescent="0.2">
      <c r="B40" s="10" t="s">
        <v>13</v>
      </c>
    </row>
    <row r="41" spans="1:52" outlineLevel="3" x14ac:dyDescent="0.2">
      <c r="C41" s="22" t="s">
        <v>14</v>
      </c>
      <c r="D41" s="86">
        <f>+'Summary - Cost - PG 1 (Reg)'!D10</f>
        <v>157630576.83000001</v>
      </c>
      <c r="E41" s="37"/>
      <c r="F41" s="86">
        <f>+'Summary - Cost - PG 1 (Reg)'!F10</f>
        <v>13049726.039999999</v>
      </c>
      <c r="G41" s="37"/>
      <c r="H41" s="86">
        <f>+'Summary - Cost - PG 1 (Reg)'!H10</f>
        <v>-20362956.43</v>
      </c>
      <c r="I41" s="37"/>
      <c r="J41" s="86">
        <f>+'Summary - Cost - PG 1 (Reg)'!J10</f>
        <v>-14891.76</v>
      </c>
      <c r="K41" s="86"/>
      <c r="L41" s="86"/>
      <c r="M41" s="37"/>
      <c r="N41" s="37">
        <f>F41+H41+J41</f>
        <v>-7328122.1500000004</v>
      </c>
      <c r="O41" s="37"/>
      <c r="P41" s="37"/>
      <c r="Q41" s="37"/>
      <c r="R41" s="37"/>
      <c r="S41" s="37"/>
      <c r="T41" s="37"/>
      <c r="U41" s="37"/>
      <c r="V41" s="37">
        <f>D41+N41</f>
        <v>150302454.68000001</v>
      </c>
      <c r="W41" s="37"/>
      <c r="X41" s="76"/>
      <c r="Y41" s="76"/>
      <c r="Z41" s="76"/>
      <c r="AA41" s="76"/>
      <c r="AB41" s="76"/>
    </row>
    <row r="42" spans="1:52" outlineLevel="3" x14ac:dyDescent="0.2">
      <c r="C42" s="22" t="s">
        <v>15</v>
      </c>
      <c r="D42" s="147">
        <f>+'Summary - Cost - PG 1 (Reg)'!D11</f>
        <v>86132168.879999995</v>
      </c>
      <c r="E42" s="86"/>
      <c r="F42" s="147">
        <f>+'Summary - Cost - PG 1 (Reg)'!F11</f>
        <v>12729029.289999999</v>
      </c>
      <c r="G42" s="86"/>
      <c r="H42" s="147">
        <f>+'Summary - Cost - PG 1 (Reg)'!H11</f>
        <v>-7105652.6600000001</v>
      </c>
      <c r="I42" s="86"/>
      <c r="J42" s="147">
        <f>+'Summary - Cost - PG 1 (Reg)'!J11</f>
        <v>0</v>
      </c>
      <c r="K42" s="86"/>
      <c r="L42" s="86"/>
      <c r="M42" s="86"/>
      <c r="N42" s="147">
        <f>F42+H42+J42</f>
        <v>5623376.629999999</v>
      </c>
      <c r="O42" s="86"/>
      <c r="P42" s="86"/>
      <c r="Q42" s="86"/>
      <c r="R42" s="86"/>
      <c r="S42" s="86"/>
      <c r="T42" s="86"/>
      <c r="U42" s="86"/>
      <c r="V42" s="147">
        <f>D42+N42</f>
        <v>91755545.50999999</v>
      </c>
      <c r="W42" s="86"/>
      <c r="X42" s="32"/>
      <c r="Y42" s="32"/>
      <c r="Z42" s="32"/>
      <c r="AA42" s="32"/>
      <c r="AB42" s="32"/>
    </row>
    <row r="43" spans="1:52" outlineLevel="3" x14ac:dyDescent="0.2">
      <c r="C43" s="19"/>
      <c r="D43" s="86">
        <f>D41+D42</f>
        <v>243762745.71000001</v>
      </c>
      <c r="E43" s="86"/>
      <c r="F43" s="86">
        <f>F41+F42</f>
        <v>25778755.329999998</v>
      </c>
      <c r="G43" s="86"/>
      <c r="H43" s="86">
        <f>H41+H42</f>
        <v>-27468609.09</v>
      </c>
      <c r="I43" s="86"/>
      <c r="J43" s="86">
        <f>J41+J42</f>
        <v>-14891.76</v>
      </c>
      <c r="K43" s="86"/>
      <c r="L43" s="86"/>
      <c r="M43" s="86"/>
      <c r="N43" s="86">
        <f>N41+N42</f>
        <v>-1704745.5200000014</v>
      </c>
      <c r="O43" s="86"/>
      <c r="P43" s="86"/>
      <c r="Q43" s="86"/>
      <c r="R43" s="86"/>
      <c r="S43" s="86"/>
      <c r="T43" s="86"/>
      <c r="U43" s="86"/>
      <c r="V43" s="86">
        <f>V41+V42</f>
        <v>242058000.19</v>
      </c>
      <c r="W43" s="86"/>
      <c r="X43" s="32"/>
      <c r="Y43" s="32"/>
      <c r="Z43" s="32"/>
      <c r="AA43" s="32"/>
      <c r="AB43" s="32"/>
    </row>
    <row r="44" spans="1:52" outlineLevel="3" x14ac:dyDescent="0.2"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32"/>
      <c r="Y44" s="32"/>
      <c r="Z44" s="32"/>
      <c r="AA44" s="32"/>
      <c r="AB44" s="32"/>
    </row>
    <row r="45" spans="1:52" outlineLevel="3" x14ac:dyDescent="0.2">
      <c r="B45" s="10" t="s">
        <v>17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32"/>
      <c r="Y45" s="32"/>
      <c r="Z45" s="32"/>
      <c r="AA45" s="32"/>
      <c r="AB45" s="32"/>
    </row>
    <row r="46" spans="1:52" outlineLevel="3" x14ac:dyDescent="0.2">
      <c r="C46" s="22" t="s">
        <v>18</v>
      </c>
      <c r="D46" s="86">
        <f>+'Summary - Cost - PG 1 (Reg)'!D15</f>
        <v>1184615987.7299998</v>
      </c>
      <c r="E46" s="37"/>
      <c r="F46" s="86">
        <f>+'Summary - Cost - PG 1 (Reg)'!F15</f>
        <v>63545117.799999997</v>
      </c>
      <c r="G46" s="37"/>
      <c r="H46" s="86">
        <f>+'Summary - Cost - PG 1 (Reg)'!H15</f>
        <v>-10202649.220000001</v>
      </c>
      <c r="I46" s="37"/>
      <c r="J46" s="86">
        <f>+'Summary - Cost - PG 1 (Reg)'!J15</f>
        <v>-711002.92999999993</v>
      </c>
      <c r="K46" s="86"/>
      <c r="L46" s="86"/>
      <c r="M46" s="86"/>
      <c r="N46" s="86">
        <f t="shared" ref="N46:N52" si="7">F46+H46+J46</f>
        <v>52631465.649999999</v>
      </c>
      <c r="O46" s="86"/>
      <c r="P46" s="86"/>
      <c r="Q46" s="86"/>
      <c r="R46" s="86"/>
      <c r="S46" s="86"/>
      <c r="T46" s="86"/>
      <c r="U46" s="86"/>
      <c r="V46" s="86">
        <f t="shared" ref="V46:V52" si="8">D46+N46</f>
        <v>1237247453.3799999</v>
      </c>
      <c r="W46" s="86"/>
      <c r="X46" s="32"/>
      <c r="Y46" s="32"/>
      <c r="Z46" s="32"/>
      <c r="AA46" s="32"/>
      <c r="AB46" s="32"/>
    </row>
    <row r="47" spans="1:52" outlineLevel="3" x14ac:dyDescent="0.2">
      <c r="C47" s="22" t="s">
        <v>19</v>
      </c>
      <c r="D47" s="86">
        <f>+'Summary - Cost - PG 1 (Reg)'!D16</f>
        <v>16594726.139999999</v>
      </c>
      <c r="E47" s="37"/>
      <c r="F47" s="86">
        <f>+'Summary - Cost - PG 1 (Reg)'!F16</f>
        <v>4012906.89</v>
      </c>
      <c r="G47" s="37"/>
      <c r="H47" s="86">
        <f>+'Summary - Cost - PG 1 (Reg)'!H16</f>
        <v>-575538.23</v>
      </c>
      <c r="I47" s="37"/>
      <c r="J47" s="86">
        <f>+'Summary - Cost - PG 1 (Reg)'!J16</f>
        <v>0</v>
      </c>
      <c r="K47" s="86"/>
      <c r="L47" s="86"/>
      <c r="M47" s="86"/>
      <c r="N47" s="86">
        <f t="shared" si="7"/>
        <v>3437368.66</v>
      </c>
      <c r="O47" s="86"/>
      <c r="P47" s="86"/>
      <c r="Q47" s="86"/>
      <c r="R47" s="86"/>
      <c r="S47" s="86"/>
      <c r="T47" s="86"/>
      <c r="U47" s="86"/>
      <c r="V47" s="86">
        <f t="shared" si="8"/>
        <v>20032094.799999997</v>
      </c>
      <c r="W47" s="86"/>
      <c r="X47" s="32"/>
      <c r="Y47" s="32"/>
      <c r="Z47" s="32"/>
      <c r="AA47" s="32"/>
      <c r="AB47" s="32"/>
    </row>
    <row r="48" spans="1:52" outlineLevel="3" x14ac:dyDescent="0.2">
      <c r="C48" s="22" t="s">
        <v>20</v>
      </c>
      <c r="D48" s="86">
        <f>+'Summary - Cost - PG 1 (Reg)'!D17</f>
        <v>61999974.369999997</v>
      </c>
      <c r="E48" s="37"/>
      <c r="F48" s="86">
        <f>+'Summary - Cost - PG 1 (Reg)'!F17</f>
        <v>520582.75000000006</v>
      </c>
      <c r="G48" s="37"/>
      <c r="H48" s="86">
        <f>+'Summary - Cost - PG 1 (Reg)'!H17</f>
        <v>-135429.89000000001</v>
      </c>
      <c r="I48" s="37"/>
      <c r="J48" s="86">
        <f>+'Summary - Cost - PG 1 (Reg)'!J17</f>
        <v>208841.18</v>
      </c>
      <c r="K48" s="86"/>
      <c r="L48" s="86"/>
      <c r="M48" s="86"/>
      <c r="N48" s="86">
        <f t="shared" si="7"/>
        <v>593994.04</v>
      </c>
      <c r="O48" s="86"/>
      <c r="P48" s="86"/>
      <c r="Q48" s="86"/>
      <c r="R48" s="86"/>
      <c r="S48" s="86"/>
      <c r="T48" s="86"/>
      <c r="U48" s="86"/>
      <c r="V48" s="86">
        <f t="shared" si="8"/>
        <v>62593968.409999996</v>
      </c>
      <c r="W48" s="86"/>
      <c r="X48" s="32"/>
      <c r="Y48" s="32"/>
      <c r="Z48" s="32"/>
      <c r="AA48" s="32"/>
      <c r="AB48" s="32"/>
    </row>
    <row r="49" spans="2:28" outlineLevel="3" x14ac:dyDescent="0.2">
      <c r="C49" s="22" t="s">
        <v>21</v>
      </c>
      <c r="D49" s="86">
        <f>+'Summary - Cost - PG 1 (Reg)'!D18</f>
        <v>2240.29</v>
      </c>
      <c r="E49" s="37"/>
      <c r="F49" s="86">
        <f>+'Summary - Cost - PG 1 (Reg)'!F18</f>
        <v>0</v>
      </c>
      <c r="G49" s="37"/>
      <c r="H49" s="86">
        <f>+'Summary - Cost - PG 1 (Reg)'!H18</f>
        <v>0</v>
      </c>
      <c r="I49" s="37"/>
      <c r="J49" s="86">
        <f>+'Summary - Cost - PG 1 (Reg)'!J18</f>
        <v>0</v>
      </c>
      <c r="K49" s="86"/>
      <c r="L49" s="86"/>
      <c r="M49" s="86"/>
      <c r="N49" s="86">
        <f t="shared" si="7"/>
        <v>0</v>
      </c>
      <c r="O49" s="86"/>
      <c r="P49" s="86"/>
      <c r="Q49" s="86"/>
      <c r="R49" s="86"/>
      <c r="S49" s="86"/>
      <c r="T49" s="86"/>
      <c r="U49" s="86"/>
      <c r="V49" s="86">
        <f t="shared" si="8"/>
        <v>2240.29</v>
      </c>
      <c r="W49" s="86"/>
      <c r="X49" s="32"/>
      <c r="Y49" s="32"/>
      <c r="Z49" s="32"/>
      <c r="AA49" s="32"/>
      <c r="AB49" s="32"/>
    </row>
    <row r="50" spans="2:28" outlineLevel="3" x14ac:dyDescent="0.2">
      <c r="C50" s="22" t="s">
        <v>22</v>
      </c>
      <c r="D50" s="86">
        <f>+'Summary - Cost - PG 1 (Reg)'!D19</f>
        <v>249304349.25</v>
      </c>
      <c r="E50" s="37"/>
      <c r="F50" s="86">
        <f>+'Summary - Cost - PG 1 (Reg)'!F19</f>
        <v>116222353.88</v>
      </c>
      <c r="G50" s="37"/>
      <c r="H50" s="86">
        <f>+'Summary - Cost - PG 1 (Reg)'!H19</f>
        <v>-290230.69</v>
      </c>
      <c r="I50" s="37"/>
      <c r="J50" s="86">
        <f>+'Summary - Cost - PG 1 (Reg)'!J19</f>
        <v>-6164.22</v>
      </c>
      <c r="K50" s="86"/>
      <c r="L50" s="86"/>
      <c r="M50" s="86"/>
      <c r="N50" s="86">
        <f t="shared" si="7"/>
        <v>115925958.97</v>
      </c>
      <c r="O50" s="86"/>
      <c r="P50" s="86"/>
      <c r="Q50" s="86"/>
      <c r="R50" s="86"/>
      <c r="S50" s="86"/>
      <c r="T50" s="86"/>
      <c r="U50" s="86"/>
      <c r="V50" s="86">
        <f t="shared" si="8"/>
        <v>365230308.22000003</v>
      </c>
      <c r="W50" s="86"/>
      <c r="X50" s="32"/>
      <c r="Y50" s="32"/>
      <c r="Z50" s="32"/>
      <c r="AA50" s="32"/>
      <c r="AB50" s="32"/>
    </row>
    <row r="51" spans="2:28" outlineLevel="3" x14ac:dyDescent="0.2">
      <c r="C51" s="22" t="s">
        <v>23</v>
      </c>
      <c r="D51" s="86">
        <f>+'Summary - Cost - PG 1 (Reg)'!D20</f>
        <v>1891259177.9799995</v>
      </c>
      <c r="E51" s="37"/>
      <c r="F51" s="86">
        <f>+'Summary - Cost - PG 1 (Reg)'!F20</f>
        <v>52347195.409999996</v>
      </c>
      <c r="G51" s="37"/>
      <c r="H51" s="86">
        <f>+'Summary - Cost - PG 1 (Reg)'!H20</f>
        <v>-74287530.469999999</v>
      </c>
      <c r="I51" s="37"/>
      <c r="J51" s="86">
        <f>+'Summary - Cost - PG 1 (Reg)'!J20</f>
        <v>-6429498.5099999979</v>
      </c>
      <c r="K51" s="86"/>
      <c r="L51" s="86"/>
      <c r="M51" s="86"/>
      <c r="N51" s="86">
        <f t="shared" si="7"/>
        <v>-28369833.57</v>
      </c>
      <c r="O51" s="86"/>
      <c r="P51" s="86"/>
      <c r="Q51" s="86"/>
      <c r="R51" s="86"/>
      <c r="S51" s="86"/>
      <c r="T51" s="86"/>
      <c r="U51" s="86"/>
      <c r="V51" s="86">
        <f t="shared" si="8"/>
        <v>1862889344.4099996</v>
      </c>
      <c r="W51" s="86"/>
      <c r="X51" s="32"/>
      <c r="Y51" s="32"/>
      <c r="Z51" s="32"/>
      <c r="AA51" s="32"/>
      <c r="AB51" s="32"/>
    </row>
    <row r="52" spans="2:28" outlineLevel="3" x14ac:dyDescent="0.2">
      <c r="C52" s="22" t="s">
        <v>24</v>
      </c>
      <c r="D52" s="86">
        <f>+'Summary - Cost - PG 1 (Reg)'!D21</f>
        <v>344901134.29999995</v>
      </c>
      <c r="E52" s="37"/>
      <c r="F52" s="86">
        <f>+'Summary - Cost - PG 1 (Reg)'!F21</f>
        <v>67247167.210000008</v>
      </c>
      <c r="G52" s="37"/>
      <c r="H52" s="86">
        <f>+'Summary - Cost - PG 1 (Reg)'!H21</f>
        <v>-2416860.85</v>
      </c>
      <c r="I52" s="37"/>
      <c r="J52" s="86">
        <f>+'Summary - Cost - PG 1 (Reg)'!J21</f>
        <v>-255096.25</v>
      </c>
      <c r="K52" s="86"/>
      <c r="L52" s="86"/>
      <c r="M52" s="86"/>
      <c r="N52" s="147">
        <f t="shared" si="7"/>
        <v>64575210.110000007</v>
      </c>
      <c r="O52" s="86"/>
      <c r="P52" s="86"/>
      <c r="Q52" s="86"/>
      <c r="R52" s="86"/>
      <c r="S52" s="86"/>
      <c r="T52" s="86"/>
      <c r="U52" s="86"/>
      <c r="V52" s="147">
        <f t="shared" si="8"/>
        <v>409476344.40999997</v>
      </c>
      <c r="W52" s="86"/>
      <c r="X52" s="32"/>
      <c r="Y52" s="32"/>
      <c r="Z52" s="32"/>
      <c r="AA52" s="32"/>
      <c r="AB52" s="32"/>
    </row>
    <row r="53" spans="2:28" outlineLevel="3" x14ac:dyDescent="0.2">
      <c r="C53" s="19"/>
      <c r="D53" s="114">
        <f>SUM(D46:D52)</f>
        <v>3748677590.0599995</v>
      </c>
      <c r="E53" s="86"/>
      <c r="F53" s="114">
        <f>SUM(F46:F52)</f>
        <v>303895323.94</v>
      </c>
      <c r="G53" s="86"/>
      <c r="H53" s="114">
        <f>SUM(H46:H52)</f>
        <v>-87908239.349999994</v>
      </c>
      <c r="I53" s="86"/>
      <c r="J53" s="114">
        <f>SUM(J46:J52)</f>
        <v>-7192920.7299999977</v>
      </c>
      <c r="K53" s="86"/>
      <c r="L53" s="86"/>
      <c r="M53" s="86"/>
      <c r="N53" s="86">
        <f>SUM(N46:N52)</f>
        <v>208794163.86000001</v>
      </c>
      <c r="O53" s="86"/>
      <c r="P53" s="86"/>
      <c r="Q53" s="86"/>
      <c r="R53" s="86"/>
      <c r="S53" s="86"/>
      <c r="T53" s="86"/>
      <c r="U53" s="86"/>
      <c r="V53" s="86">
        <f>SUM(V46:V52)</f>
        <v>3957471753.9199991</v>
      </c>
      <c r="W53" s="86"/>
      <c r="X53" s="32"/>
      <c r="Y53" s="32"/>
      <c r="Z53" s="32"/>
      <c r="AA53" s="32"/>
      <c r="AB53" s="32"/>
    </row>
    <row r="54" spans="2:28" outlineLevel="3" x14ac:dyDescent="0.2"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32"/>
      <c r="Y54" s="32"/>
      <c r="Z54" s="32"/>
      <c r="AA54" s="32"/>
      <c r="AB54" s="32"/>
    </row>
    <row r="55" spans="2:28" outlineLevel="3" x14ac:dyDescent="0.2">
      <c r="B55" s="10" t="s">
        <v>26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76"/>
      <c r="Y55" s="76"/>
      <c r="Z55" s="76"/>
      <c r="AA55" s="76"/>
      <c r="AB55" s="76"/>
    </row>
    <row r="56" spans="2:28" outlineLevel="3" x14ac:dyDescent="0.2">
      <c r="C56" s="22" t="s">
        <v>27</v>
      </c>
      <c r="D56" s="86">
        <f>+'Summary - Cost - PG 1 (Reg)'!D25</f>
        <v>772884014.25000012</v>
      </c>
      <c r="E56" s="37"/>
      <c r="F56" s="86">
        <f>+'Summary - Cost - PG 1 (Reg)'!F25</f>
        <v>68624398.479999989</v>
      </c>
      <c r="G56" s="37"/>
      <c r="H56" s="86">
        <f>+'Summary - Cost - PG 1 (Reg)'!H25</f>
        <v>-8979143.2100000009</v>
      </c>
      <c r="I56" s="37"/>
      <c r="J56" s="86">
        <f>+'Summary - Cost - PG 1 (Reg)'!J25</f>
        <v>1579200.38</v>
      </c>
      <c r="K56" s="86"/>
      <c r="L56" s="86"/>
      <c r="M56" s="37"/>
      <c r="N56" s="37">
        <f>F56+H56+J56</f>
        <v>61224455.649999991</v>
      </c>
      <c r="O56" s="37"/>
      <c r="P56" s="37"/>
      <c r="Q56" s="37"/>
      <c r="R56" s="37"/>
      <c r="S56" s="37"/>
      <c r="T56" s="37"/>
      <c r="U56" s="37"/>
      <c r="V56" s="37">
        <f>D56+N56</f>
        <v>834108469.9000001</v>
      </c>
      <c r="W56" s="37"/>
      <c r="X56" s="76"/>
      <c r="Y56" s="76"/>
      <c r="Z56" s="76"/>
      <c r="AA56" s="76"/>
      <c r="AB56" s="76"/>
    </row>
    <row r="57" spans="2:28" outlineLevel="3" x14ac:dyDescent="0.2">
      <c r="C57" s="22" t="s">
        <v>28</v>
      </c>
      <c r="D57" s="86">
        <f>+'Summary - Cost - PG 1 (Reg)'!D26</f>
        <v>10897454.559999999</v>
      </c>
      <c r="E57" s="37"/>
      <c r="F57" s="86">
        <f>+'Summary - Cost - PG 1 (Reg)'!F26</f>
        <v>1120262.17</v>
      </c>
      <c r="G57" s="37"/>
      <c r="H57" s="86">
        <f>+'Summary - Cost - PG 1 (Reg)'!H26</f>
        <v>-421851.46</v>
      </c>
      <c r="I57" s="37"/>
      <c r="J57" s="86">
        <f>+'Summary - Cost - PG 1 (Reg)'!J26</f>
        <v>3657</v>
      </c>
      <c r="K57" s="86"/>
      <c r="L57" s="86"/>
      <c r="M57" s="37"/>
      <c r="N57" s="37">
        <f>F57+H57+J57</f>
        <v>702067.71</v>
      </c>
      <c r="O57" s="37"/>
      <c r="P57" s="37"/>
      <c r="Q57" s="37"/>
      <c r="R57" s="37"/>
      <c r="S57" s="37"/>
      <c r="T57" s="37"/>
      <c r="U57" s="37"/>
      <c r="V57" s="37">
        <f>D57+N57</f>
        <v>11599522.27</v>
      </c>
      <c r="W57" s="37"/>
      <c r="X57" s="76"/>
      <c r="Y57" s="76"/>
      <c r="Z57" s="76"/>
      <c r="AA57" s="76"/>
      <c r="AB57" s="76"/>
    </row>
    <row r="58" spans="2:28" outlineLevel="3" x14ac:dyDescent="0.2">
      <c r="C58" s="22" t="s">
        <v>29</v>
      </c>
      <c r="D58" s="86">
        <f>+'Summary - Cost - PG 1 (Reg)'!D27</f>
        <v>387.49</v>
      </c>
      <c r="E58" s="37"/>
      <c r="F58" s="86">
        <f>+'Summary - Cost - PG 1 (Reg)'!F27</f>
        <v>0</v>
      </c>
      <c r="G58" s="37"/>
      <c r="H58" s="86">
        <f>+'Summary - Cost - PG 1 (Reg)'!H27</f>
        <v>0</v>
      </c>
      <c r="I58" s="37"/>
      <c r="J58" s="86">
        <f>+'Summary - Cost - PG 1 (Reg)'!J27</f>
        <v>0</v>
      </c>
      <c r="K58" s="86"/>
      <c r="L58" s="86"/>
      <c r="M58" s="37"/>
      <c r="N58" s="37">
        <f>F58+H58+J58</f>
        <v>0</v>
      </c>
      <c r="O58" s="37"/>
      <c r="P58" s="37"/>
      <c r="Q58" s="37"/>
      <c r="R58" s="37"/>
      <c r="S58" s="37"/>
      <c r="T58" s="37"/>
      <c r="U58" s="37"/>
      <c r="V58" s="37">
        <f>D58+N58</f>
        <v>387.49</v>
      </c>
      <c r="W58" s="37"/>
      <c r="X58" s="76"/>
      <c r="Y58" s="76"/>
      <c r="Z58" s="76"/>
      <c r="AA58" s="76"/>
      <c r="AB58" s="76"/>
    </row>
    <row r="59" spans="2:28" outlineLevel="3" x14ac:dyDescent="0.2">
      <c r="C59" s="22" t="s">
        <v>30</v>
      </c>
      <c r="D59" s="86">
        <f>+'Summary - Cost - PG 1 (Reg)'!D28</f>
        <v>134080726.66999999</v>
      </c>
      <c r="E59" s="37"/>
      <c r="F59" s="86">
        <f>+'Summary - Cost - PG 1 (Reg)'!F28</f>
        <v>10195810.92</v>
      </c>
      <c r="G59" s="37"/>
      <c r="H59" s="86">
        <f>+'Summary - Cost - PG 1 (Reg)'!H28</f>
        <v>-508478.85</v>
      </c>
      <c r="I59" s="37"/>
      <c r="J59" s="86">
        <f>+'Summary - Cost - PG 1 (Reg)'!J28</f>
        <v>746762.26</v>
      </c>
      <c r="K59" s="86"/>
      <c r="L59" s="86"/>
      <c r="M59" s="37"/>
      <c r="N59" s="37">
        <f>F59+H59+J59</f>
        <v>10434094.33</v>
      </c>
      <c r="O59" s="37"/>
      <c r="P59" s="37"/>
      <c r="Q59" s="37"/>
      <c r="R59" s="37"/>
      <c r="S59" s="37"/>
      <c r="T59" s="37"/>
      <c r="U59" s="37"/>
      <c r="V59" s="37">
        <f>D59+N59</f>
        <v>144514821</v>
      </c>
      <c r="W59" s="37"/>
      <c r="X59" s="76"/>
      <c r="Y59" s="76"/>
      <c r="Z59" s="76"/>
      <c r="AA59" s="76"/>
      <c r="AB59" s="76"/>
    </row>
    <row r="60" spans="2:28" outlineLevel="3" x14ac:dyDescent="0.2">
      <c r="C60" s="22" t="s">
        <v>31</v>
      </c>
      <c r="D60" s="86">
        <f>+'Summary - Cost - PG 1 (Reg)'!D29</f>
        <v>48756971.340000004</v>
      </c>
      <c r="E60" s="37"/>
      <c r="F60" s="86">
        <f>+'Summary - Cost - PG 1 (Reg)'!F29</f>
        <v>695631.62</v>
      </c>
      <c r="G60" s="37"/>
      <c r="H60" s="86">
        <f>+'Summary - Cost - PG 1 (Reg)'!H29</f>
        <v>-91842.93</v>
      </c>
      <c r="I60" s="37"/>
      <c r="J60" s="86">
        <f>+'Summary - Cost - PG 1 (Reg)'!J29</f>
        <v>-1269</v>
      </c>
      <c r="K60" s="86"/>
      <c r="L60" s="86"/>
      <c r="M60" s="37"/>
      <c r="N60" s="147">
        <f>F60+H60+J60</f>
        <v>602519.68999999994</v>
      </c>
      <c r="O60" s="86"/>
      <c r="P60" s="86"/>
      <c r="Q60" s="86"/>
      <c r="R60" s="86"/>
      <c r="S60" s="86"/>
      <c r="T60" s="86"/>
      <c r="U60" s="37"/>
      <c r="V60" s="147">
        <f>D60+N60</f>
        <v>49359491.030000001</v>
      </c>
      <c r="W60" s="86"/>
      <c r="X60" s="76"/>
      <c r="Y60" s="76"/>
      <c r="Z60" s="76"/>
      <c r="AA60" s="76"/>
      <c r="AB60" s="76"/>
    </row>
    <row r="61" spans="2:28" outlineLevel="3" x14ac:dyDescent="0.2">
      <c r="C61" s="19"/>
      <c r="D61" s="114">
        <f>SUM(D56:D60)</f>
        <v>966619554.31000006</v>
      </c>
      <c r="E61" s="86"/>
      <c r="F61" s="114">
        <f>SUM(F56:F60)</f>
        <v>80636103.189999998</v>
      </c>
      <c r="G61" s="86"/>
      <c r="H61" s="114">
        <f>SUM(H56:H60)</f>
        <v>-10001316.450000001</v>
      </c>
      <c r="I61" s="86"/>
      <c r="J61" s="114">
        <f>SUM(J56:J60)</f>
        <v>2328350.6399999997</v>
      </c>
      <c r="K61" s="86"/>
      <c r="L61" s="86"/>
      <c r="M61" s="86"/>
      <c r="N61" s="86">
        <f>SUM(N56:N60)</f>
        <v>72963137.379999995</v>
      </c>
      <c r="O61" s="86"/>
      <c r="P61" s="86"/>
      <c r="Q61" s="86"/>
      <c r="R61" s="86"/>
      <c r="S61" s="86"/>
      <c r="T61" s="86"/>
      <c r="U61" s="86"/>
      <c r="V61" s="86">
        <f>SUM(V56:V60)</f>
        <v>1039582691.6900001</v>
      </c>
      <c r="W61" s="86"/>
      <c r="X61" s="76"/>
      <c r="Y61" s="76"/>
      <c r="Z61" s="76"/>
      <c r="AA61" s="76"/>
      <c r="AB61" s="76"/>
    </row>
    <row r="62" spans="2:28" outlineLevel="3" x14ac:dyDescent="0.2"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76"/>
      <c r="Y62" s="76"/>
      <c r="Z62" s="76"/>
      <c r="AA62" s="76"/>
      <c r="AB62" s="76"/>
    </row>
    <row r="63" spans="2:28" outlineLevel="3" x14ac:dyDescent="0.2">
      <c r="C63" s="10" t="s">
        <v>33</v>
      </c>
      <c r="D63" s="91">
        <f>D43+D53+D61</f>
        <v>4959059890.0799999</v>
      </c>
      <c r="E63" s="37"/>
      <c r="F63" s="91">
        <f>F43+F53+F61</f>
        <v>410310182.45999998</v>
      </c>
      <c r="G63" s="37"/>
      <c r="H63" s="91">
        <f>H43+H53+H61</f>
        <v>-125378164.89</v>
      </c>
      <c r="I63" s="37"/>
      <c r="J63" s="91">
        <f>J43+J53+J61</f>
        <v>-4879461.8499999978</v>
      </c>
      <c r="K63" s="86"/>
      <c r="L63" s="86"/>
      <c r="M63" s="37"/>
      <c r="N63" s="91">
        <f>N43+N53+N61</f>
        <v>280052555.72000003</v>
      </c>
      <c r="O63" s="86"/>
      <c r="P63" s="86"/>
      <c r="Q63" s="86"/>
      <c r="R63" s="86"/>
      <c r="S63" s="86"/>
      <c r="T63" s="86"/>
      <c r="U63" s="37"/>
      <c r="V63" s="91">
        <f>V43+V53+V61</f>
        <v>5239112445.7999992</v>
      </c>
      <c r="W63" s="86"/>
      <c r="X63" s="76"/>
      <c r="Y63" s="76"/>
      <c r="Z63" s="76"/>
      <c r="AA63" s="76"/>
      <c r="AB63" s="76"/>
    </row>
    <row r="64" spans="2:28" outlineLevel="3" x14ac:dyDescent="0.2">
      <c r="C64" s="10"/>
      <c r="D64" s="86"/>
      <c r="E64" s="37"/>
      <c r="F64" s="86"/>
      <c r="G64" s="37"/>
      <c r="H64" s="86"/>
      <c r="I64" s="37"/>
      <c r="J64" s="86"/>
      <c r="K64" s="86"/>
      <c r="L64" s="86"/>
      <c r="M64" s="37"/>
      <c r="N64" s="86"/>
      <c r="O64" s="86"/>
      <c r="P64" s="86"/>
      <c r="Q64" s="86"/>
      <c r="R64" s="86"/>
      <c r="S64" s="86"/>
      <c r="T64" s="86"/>
      <c r="U64" s="37"/>
      <c r="V64" s="86"/>
      <c r="W64" s="86"/>
      <c r="X64" s="76"/>
      <c r="Y64" s="76"/>
      <c r="Z64" s="76"/>
      <c r="AA64" s="76"/>
      <c r="AB64" s="76"/>
    </row>
    <row r="65" spans="1:28" outlineLevel="3" x14ac:dyDescent="0.2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76"/>
      <c r="Y65" s="76"/>
      <c r="Z65" s="76"/>
      <c r="AA65" s="76"/>
      <c r="AB65" s="76"/>
    </row>
    <row r="66" spans="1:28" outlineLevel="3" x14ac:dyDescent="0.2">
      <c r="A66" s="93">
        <v>101.1</v>
      </c>
      <c r="B66" s="10" t="s">
        <v>34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76"/>
      <c r="Y66" s="76"/>
      <c r="Z66" s="76"/>
      <c r="AA66" s="76"/>
      <c r="AB66" s="76"/>
    </row>
    <row r="67" spans="1:28" outlineLevel="3" x14ac:dyDescent="0.2">
      <c r="B67" s="10" t="s">
        <v>17</v>
      </c>
      <c r="C67" s="22" t="s">
        <v>35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76"/>
      <c r="Y67" s="76"/>
      <c r="Z67" s="76"/>
      <c r="AA67" s="76"/>
      <c r="AB67" s="76"/>
    </row>
    <row r="68" spans="1:28" outlineLevel="3" x14ac:dyDescent="0.2">
      <c r="C68" s="22" t="s">
        <v>23</v>
      </c>
      <c r="D68" s="147">
        <f>+'Summary - Cost - PG 1 (Reg)'!D37</f>
        <v>0</v>
      </c>
      <c r="E68" s="37"/>
      <c r="F68" s="147">
        <f>+'Summary - Cost - PG 1 (Reg)'!F37</f>
        <v>0</v>
      </c>
      <c r="G68" s="37"/>
      <c r="H68" s="147">
        <f>+'Summary - Cost - PG 1 (Reg)'!H37</f>
        <v>0</v>
      </c>
      <c r="I68" s="37"/>
      <c r="J68" s="147">
        <f>+'Summary - Cost - PG 1 (Reg)'!J37</f>
        <v>0</v>
      </c>
      <c r="K68" s="86"/>
      <c r="L68" s="86"/>
      <c r="M68" s="37"/>
      <c r="N68" s="147">
        <f>F68+H68+J68</f>
        <v>0</v>
      </c>
      <c r="O68" s="86"/>
      <c r="P68" s="86"/>
      <c r="Q68" s="86"/>
      <c r="R68" s="86"/>
      <c r="S68" s="86"/>
      <c r="T68" s="86"/>
      <c r="U68" s="37"/>
      <c r="V68" s="147">
        <f>D68+N68</f>
        <v>0</v>
      </c>
      <c r="W68" s="86"/>
      <c r="X68" s="76"/>
      <c r="Y68" s="76"/>
      <c r="Z68" s="76"/>
      <c r="AA68" s="76"/>
      <c r="AB68" s="76"/>
    </row>
    <row r="69" spans="1:28" outlineLevel="3" x14ac:dyDescent="0.2">
      <c r="C69" s="19"/>
      <c r="D69" s="86">
        <f>SUM(D68)</f>
        <v>0</v>
      </c>
      <c r="E69" s="86"/>
      <c r="F69" s="86">
        <f>SUM(F68)</f>
        <v>0</v>
      </c>
      <c r="G69" s="86"/>
      <c r="H69" s="86">
        <f>SUM(H68)</f>
        <v>0</v>
      </c>
      <c r="I69" s="86"/>
      <c r="J69" s="86">
        <f>SUM(J68)</f>
        <v>0</v>
      </c>
      <c r="K69" s="86"/>
      <c r="L69" s="86"/>
      <c r="M69" s="86"/>
      <c r="N69" s="86">
        <f>SUM(N68)</f>
        <v>0</v>
      </c>
      <c r="O69" s="86"/>
      <c r="P69" s="86"/>
      <c r="Q69" s="86"/>
      <c r="R69" s="86"/>
      <c r="S69" s="86"/>
      <c r="T69" s="86"/>
      <c r="U69" s="86"/>
      <c r="V69" s="86">
        <f>SUM(V68)</f>
        <v>0</v>
      </c>
      <c r="W69" s="86"/>
      <c r="X69" s="76"/>
      <c r="Y69" s="76"/>
      <c r="Z69" s="76"/>
      <c r="AA69" s="76"/>
      <c r="AB69" s="76"/>
    </row>
    <row r="70" spans="1:28" outlineLevel="3" x14ac:dyDescent="0.2"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76"/>
      <c r="Y70" s="76"/>
      <c r="Z70" s="76"/>
      <c r="AA70" s="76"/>
      <c r="AB70" s="76"/>
    </row>
    <row r="71" spans="1:28" outlineLevel="3" x14ac:dyDescent="0.2">
      <c r="C71" s="10" t="s">
        <v>36</v>
      </c>
      <c r="D71" s="91">
        <f>D69</f>
        <v>0</v>
      </c>
      <c r="E71" s="37"/>
      <c r="F71" s="91">
        <f>F69</f>
        <v>0</v>
      </c>
      <c r="G71" s="37"/>
      <c r="H71" s="91">
        <f>H69</f>
        <v>0</v>
      </c>
      <c r="I71" s="37"/>
      <c r="J71" s="91">
        <f>J69</f>
        <v>0</v>
      </c>
      <c r="K71" s="86"/>
      <c r="L71" s="86"/>
      <c r="M71" s="37"/>
      <c r="N71" s="91">
        <f>N69</f>
        <v>0</v>
      </c>
      <c r="O71" s="86"/>
      <c r="P71" s="86"/>
      <c r="Q71" s="86"/>
      <c r="R71" s="86"/>
      <c r="S71" s="86"/>
      <c r="T71" s="86"/>
      <c r="U71" s="37"/>
      <c r="V71" s="91">
        <f>V69</f>
        <v>0</v>
      </c>
      <c r="W71" s="86"/>
      <c r="X71" s="76"/>
      <c r="Y71" s="76"/>
      <c r="Z71" s="76"/>
      <c r="AA71" s="76"/>
      <c r="AB71" s="76"/>
    </row>
    <row r="72" spans="1:28" outlineLevel="3" x14ac:dyDescent="0.2"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76"/>
      <c r="Y72" s="76"/>
      <c r="Z72" s="76"/>
      <c r="AA72" s="76"/>
      <c r="AB72" s="76"/>
    </row>
    <row r="73" spans="1:28" outlineLevel="3" x14ac:dyDescent="0.2"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76"/>
      <c r="Y73" s="76"/>
      <c r="Z73" s="76"/>
      <c r="AA73" s="76"/>
      <c r="AB73" s="76"/>
    </row>
    <row r="74" spans="1:28" outlineLevel="3" x14ac:dyDescent="0.2">
      <c r="A74" s="93">
        <v>102</v>
      </c>
      <c r="B74" s="10" t="s">
        <v>37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76"/>
      <c r="Y74" s="76"/>
      <c r="Z74" s="76"/>
      <c r="AA74" s="76"/>
      <c r="AB74" s="76"/>
    </row>
    <row r="75" spans="1:28" outlineLevel="3" x14ac:dyDescent="0.2">
      <c r="B75" s="10" t="s">
        <v>17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76"/>
      <c r="Y75" s="76"/>
      <c r="Z75" s="76"/>
      <c r="AA75" s="76"/>
      <c r="AB75" s="76"/>
    </row>
    <row r="76" spans="1:28" outlineLevel="3" x14ac:dyDescent="0.2">
      <c r="C76" s="22" t="s">
        <v>23</v>
      </c>
      <c r="D76" s="147">
        <f>+'Summary - Cost - PG 1 (Reg)'!D45</f>
        <v>0</v>
      </c>
      <c r="E76" s="37"/>
      <c r="F76" s="147">
        <f>+'Summary - Cost - PG 1 (Reg)'!F45</f>
        <v>0</v>
      </c>
      <c r="G76" s="37"/>
      <c r="H76" s="147">
        <f>+'Summary - Cost - PG 1 (Reg)'!H45</f>
        <v>0</v>
      </c>
      <c r="I76" s="37"/>
      <c r="J76" s="147">
        <f>+'Summary - Cost - PG 1 (Reg)'!J45</f>
        <v>-76448.429999999993</v>
      </c>
      <c r="K76" s="86"/>
      <c r="L76" s="86"/>
      <c r="M76" s="86"/>
      <c r="N76" s="147">
        <f>F76+H76+J76</f>
        <v>-76448.429999999993</v>
      </c>
      <c r="O76" s="86"/>
      <c r="P76" s="86"/>
      <c r="Q76" s="86"/>
      <c r="R76" s="86"/>
      <c r="S76" s="86"/>
      <c r="T76" s="86"/>
      <c r="U76" s="86"/>
      <c r="V76" s="147">
        <f>D76+N76</f>
        <v>-76448.429999999993</v>
      </c>
      <c r="W76" s="86"/>
      <c r="X76" s="76"/>
      <c r="Y76" s="76"/>
      <c r="Z76" s="76"/>
      <c r="AA76" s="76"/>
      <c r="AB76" s="76"/>
    </row>
    <row r="77" spans="1:28" outlineLevel="3" x14ac:dyDescent="0.2">
      <c r="C77" s="19"/>
      <c r="D77" s="86">
        <f>SUM(D76:D76)</f>
        <v>0</v>
      </c>
      <c r="E77" s="86"/>
      <c r="F77" s="86">
        <f>SUM(F76)</f>
        <v>0</v>
      </c>
      <c r="G77" s="86"/>
      <c r="H77" s="86">
        <f>SUM(H76)</f>
        <v>0</v>
      </c>
      <c r="I77" s="86"/>
      <c r="J77" s="86">
        <f>SUM(J76)</f>
        <v>-76448.429999999993</v>
      </c>
      <c r="K77" s="86"/>
      <c r="L77" s="86"/>
      <c r="M77" s="86"/>
      <c r="N77" s="86">
        <f>SUM(N76)</f>
        <v>-76448.429999999993</v>
      </c>
      <c r="O77" s="86"/>
      <c r="P77" s="86"/>
      <c r="Q77" s="86"/>
      <c r="R77" s="86"/>
      <c r="S77" s="86"/>
      <c r="T77" s="86"/>
      <c r="U77" s="86"/>
      <c r="V77" s="86">
        <f>SUM(V76:V76)</f>
        <v>-76448.429999999993</v>
      </c>
      <c r="W77" s="86"/>
      <c r="X77" s="76"/>
      <c r="Y77" s="76"/>
      <c r="Z77" s="76"/>
      <c r="AA77" s="76"/>
      <c r="AB77" s="76"/>
    </row>
    <row r="78" spans="1:28" outlineLevel="3" x14ac:dyDescent="0.2">
      <c r="B78" s="10" t="s">
        <v>13</v>
      </c>
      <c r="C78" s="3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76"/>
      <c r="Y78" s="76"/>
      <c r="Z78" s="76"/>
      <c r="AA78" s="76"/>
      <c r="AB78" s="76"/>
    </row>
    <row r="79" spans="1:28" outlineLevel="3" x14ac:dyDescent="0.2">
      <c r="C79" s="22" t="s">
        <v>14</v>
      </c>
      <c r="D79" s="147">
        <f>+'Summary - Cost - PG 1 (Reg)'!D48</f>
        <v>0</v>
      </c>
      <c r="E79" s="37"/>
      <c r="F79" s="147">
        <f>+'Summary - Cost - PG 1 (Reg)'!F48</f>
        <v>0</v>
      </c>
      <c r="G79" s="37"/>
      <c r="H79" s="147">
        <f>+'Summary - Cost - PG 1 (Reg)'!H48</f>
        <v>0</v>
      </c>
      <c r="I79" s="37"/>
      <c r="J79" s="147">
        <f>+'Summary - Cost - PG 1 (Reg)'!J48</f>
        <v>0</v>
      </c>
      <c r="K79" s="37"/>
      <c r="L79" s="37"/>
      <c r="M79" s="37"/>
      <c r="N79" s="147">
        <f>F79+H79+J79</f>
        <v>0</v>
      </c>
      <c r="O79" s="37"/>
      <c r="P79" s="37"/>
      <c r="Q79" s="37"/>
      <c r="R79" s="37"/>
      <c r="S79" s="37"/>
      <c r="T79" s="37"/>
      <c r="U79" s="37"/>
      <c r="V79" s="147">
        <f>D79+N79</f>
        <v>0</v>
      </c>
      <c r="W79" s="37"/>
      <c r="X79" s="76"/>
      <c r="Y79" s="76"/>
      <c r="Z79" s="76"/>
      <c r="AA79" s="76"/>
      <c r="AB79" s="76"/>
    </row>
    <row r="80" spans="1:28" outlineLevel="3" x14ac:dyDescent="0.2">
      <c r="D80" s="86">
        <f>SUM(D79:D79)</f>
        <v>0</v>
      </c>
      <c r="E80" s="86"/>
      <c r="F80" s="86">
        <f>SUM(F79)</f>
        <v>0</v>
      </c>
      <c r="G80" s="86"/>
      <c r="H80" s="86">
        <f>SUM(H79)</f>
        <v>0</v>
      </c>
      <c r="I80" s="86"/>
      <c r="J80" s="86">
        <f>SUM(J79)</f>
        <v>0</v>
      </c>
      <c r="K80" s="37"/>
      <c r="L80" s="37"/>
      <c r="M80" s="37"/>
      <c r="N80" s="86">
        <f>SUM(N79)</f>
        <v>0</v>
      </c>
      <c r="O80" s="37"/>
      <c r="P80" s="37"/>
      <c r="Q80" s="37"/>
      <c r="R80" s="37"/>
      <c r="S80" s="37"/>
      <c r="T80" s="37"/>
      <c r="U80" s="37"/>
      <c r="V80" s="86">
        <f>SUM(V79:V79)</f>
        <v>0</v>
      </c>
      <c r="W80" s="37"/>
      <c r="X80" s="76"/>
      <c r="Y80" s="76"/>
      <c r="Z80" s="76"/>
      <c r="AA80" s="76"/>
      <c r="AB80" s="76"/>
    </row>
    <row r="81" spans="1:28" outlineLevel="3" x14ac:dyDescent="0.2"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76"/>
      <c r="Y81" s="76"/>
      <c r="Z81" s="76"/>
      <c r="AA81" s="76"/>
      <c r="AB81" s="76"/>
    </row>
    <row r="82" spans="1:28" outlineLevel="3" x14ac:dyDescent="0.2">
      <c r="C82" s="10" t="s">
        <v>180</v>
      </c>
      <c r="D82" s="91">
        <f>D77+D80</f>
        <v>0</v>
      </c>
      <c r="E82" s="37"/>
      <c r="F82" s="91">
        <f>F77+F80</f>
        <v>0</v>
      </c>
      <c r="G82" s="37"/>
      <c r="H82" s="91">
        <f>H77+H80</f>
        <v>0</v>
      </c>
      <c r="I82" s="37"/>
      <c r="J82" s="91">
        <f>J77+J80</f>
        <v>-76448.429999999993</v>
      </c>
      <c r="K82" s="86"/>
      <c r="L82" s="86"/>
      <c r="M82" s="37"/>
      <c r="N82" s="91">
        <f>N77+N80</f>
        <v>-76448.429999999993</v>
      </c>
      <c r="O82" s="86"/>
      <c r="P82" s="86"/>
      <c r="Q82" s="86"/>
      <c r="R82" s="86"/>
      <c r="S82" s="86"/>
      <c r="T82" s="86"/>
      <c r="U82" s="37"/>
      <c r="V82" s="91">
        <f>V77+V80</f>
        <v>-76448.429999999993</v>
      </c>
      <c r="W82" s="86"/>
      <c r="X82" s="76"/>
      <c r="Y82" s="76"/>
      <c r="Z82" s="76"/>
      <c r="AA82" s="76"/>
      <c r="AB82" s="76"/>
    </row>
    <row r="83" spans="1:28" outlineLevel="3" x14ac:dyDescent="0.2">
      <c r="C83" s="10"/>
      <c r="D83" s="86"/>
      <c r="E83" s="37"/>
      <c r="F83" s="86"/>
      <c r="G83" s="37"/>
      <c r="H83" s="86"/>
      <c r="I83" s="37"/>
      <c r="J83" s="86"/>
      <c r="K83" s="86"/>
      <c r="L83" s="86"/>
      <c r="M83" s="37"/>
      <c r="N83" s="86"/>
      <c r="O83" s="86"/>
      <c r="P83" s="86"/>
      <c r="Q83" s="86"/>
      <c r="R83" s="86"/>
      <c r="S83" s="86"/>
      <c r="T83" s="86"/>
      <c r="U83" s="37"/>
      <c r="V83" s="86"/>
      <c r="W83" s="86"/>
      <c r="X83" s="76"/>
      <c r="Y83" s="76"/>
      <c r="Z83" s="76"/>
      <c r="AA83" s="76"/>
      <c r="AB83" s="76"/>
    </row>
    <row r="84" spans="1:28" outlineLevel="3" x14ac:dyDescent="0.2">
      <c r="C84" s="10"/>
      <c r="D84" s="86"/>
      <c r="E84" s="37"/>
      <c r="F84" s="86"/>
      <c r="G84" s="37"/>
      <c r="H84" s="86"/>
      <c r="I84" s="37"/>
      <c r="J84" s="86"/>
      <c r="K84" s="86"/>
      <c r="L84" s="86"/>
      <c r="M84" s="37"/>
      <c r="N84" s="86"/>
      <c r="O84" s="86"/>
      <c r="P84" s="86"/>
      <c r="Q84" s="86"/>
      <c r="R84" s="86"/>
      <c r="S84" s="86"/>
      <c r="T84" s="86"/>
      <c r="U84" s="37"/>
      <c r="V84" s="86"/>
      <c r="W84" s="86"/>
      <c r="X84" s="76"/>
      <c r="Y84" s="76"/>
      <c r="Z84" s="76"/>
      <c r="AA84" s="76"/>
      <c r="AB84" s="76"/>
    </row>
    <row r="85" spans="1:28" outlineLevel="3" x14ac:dyDescent="0.2">
      <c r="A85" s="93">
        <v>105</v>
      </c>
      <c r="B85" s="10" t="s">
        <v>40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76"/>
      <c r="Y85" s="76"/>
      <c r="Z85" s="76"/>
      <c r="AA85" s="76"/>
      <c r="AB85" s="76"/>
    </row>
    <row r="86" spans="1:28" outlineLevel="3" x14ac:dyDescent="0.2">
      <c r="B86" s="10" t="s">
        <v>17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76"/>
      <c r="Y86" s="76"/>
      <c r="Z86" s="76"/>
      <c r="AA86" s="76"/>
      <c r="AB86" s="76"/>
    </row>
    <row r="87" spans="1:28" outlineLevel="3" x14ac:dyDescent="0.2">
      <c r="C87" s="22" t="s">
        <v>18</v>
      </c>
      <c r="D87" s="86">
        <f>'Summary - Cost - PG 1 (Reg)'!D56</f>
        <v>1524686.9199999997</v>
      </c>
      <c r="E87" s="37"/>
      <c r="F87" s="86">
        <f>'Summary - Cost - PG 1 (Reg)'!F56</f>
        <v>0</v>
      </c>
      <c r="G87" s="37"/>
      <c r="H87" s="86">
        <f>'Summary - Cost - PG 1 (Reg)'!H56</f>
        <v>0</v>
      </c>
      <c r="I87" s="37"/>
      <c r="J87" s="86">
        <f>'Summary - Cost - PG 1 (Reg)'!J56</f>
        <v>871644.37</v>
      </c>
      <c r="K87" s="86"/>
      <c r="L87" s="86"/>
      <c r="M87" s="37"/>
      <c r="N87" s="86">
        <f>F87+H87+J87</f>
        <v>871644.37</v>
      </c>
      <c r="O87" s="86"/>
      <c r="P87" s="86"/>
      <c r="Q87" s="86"/>
      <c r="R87" s="86"/>
      <c r="S87" s="86"/>
      <c r="T87" s="86"/>
      <c r="U87" s="37"/>
      <c r="V87" s="86">
        <f>D87+N87</f>
        <v>2396331.2899999996</v>
      </c>
      <c r="W87" s="86"/>
      <c r="X87" s="76"/>
      <c r="Y87" s="76"/>
      <c r="Z87" s="76"/>
      <c r="AA87" s="76"/>
      <c r="AB87" s="76"/>
    </row>
    <row r="88" spans="1:28" outlineLevel="3" x14ac:dyDescent="0.2">
      <c r="C88" s="22" t="s">
        <v>22</v>
      </c>
      <c r="D88" s="86">
        <f>'Summary - Cost - PG 1 (Reg)'!D57</f>
        <v>211409.5</v>
      </c>
      <c r="E88" s="37"/>
      <c r="F88" s="86">
        <f>'Summary - Cost - PG 1 (Reg)'!F57</f>
        <v>0</v>
      </c>
      <c r="G88" s="37"/>
      <c r="H88" s="86">
        <f>'Summary - Cost - PG 1 (Reg)'!H57</f>
        <v>0</v>
      </c>
      <c r="I88" s="37"/>
      <c r="J88" s="86">
        <f>'Summary - Cost - PG 1 (Reg)'!J57</f>
        <v>0</v>
      </c>
      <c r="K88" s="86"/>
      <c r="L88" s="86"/>
      <c r="M88" s="37"/>
      <c r="N88" s="86"/>
      <c r="O88" s="86"/>
      <c r="P88" s="86"/>
      <c r="Q88" s="86"/>
      <c r="R88" s="86"/>
      <c r="S88" s="86"/>
      <c r="T88" s="86"/>
      <c r="U88" s="37"/>
      <c r="V88" s="86">
        <f>D88+N88</f>
        <v>211409.5</v>
      </c>
      <c r="W88" s="86"/>
      <c r="X88" s="76"/>
      <c r="Y88" s="76"/>
      <c r="Z88" s="76"/>
      <c r="AA88" s="76"/>
      <c r="AB88" s="76"/>
    </row>
    <row r="89" spans="1:28" outlineLevel="3" x14ac:dyDescent="0.2">
      <c r="C89" s="22" t="s">
        <v>23</v>
      </c>
      <c r="D89" s="86">
        <f>'Summary - Cost - PG 1 (Reg)'!D58</f>
        <v>3612188.67</v>
      </c>
      <c r="E89" s="37"/>
      <c r="F89" s="86">
        <f>'Summary - Cost - PG 1 (Reg)'!F58</f>
        <v>0</v>
      </c>
      <c r="G89" s="37"/>
      <c r="H89" s="86">
        <f>'Summary - Cost - PG 1 (Reg)'!H58</f>
        <v>0</v>
      </c>
      <c r="I89" s="37"/>
      <c r="J89" s="86">
        <f>'Summary - Cost - PG 1 (Reg)'!J58</f>
        <v>-3612188.67</v>
      </c>
      <c r="K89" s="86"/>
      <c r="L89" s="86"/>
      <c r="M89" s="86"/>
      <c r="N89" s="147">
        <f>F89+H89+J89</f>
        <v>-3612188.67</v>
      </c>
      <c r="O89" s="86"/>
      <c r="P89" s="86"/>
      <c r="Q89" s="86"/>
      <c r="R89" s="86"/>
      <c r="S89" s="86"/>
      <c r="T89" s="86"/>
      <c r="U89" s="86"/>
      <c r="V89" s="147">
        <f>D89+N89</f>
        <v>0</v>
      </c>
      <c r="W89" s="86"/>
      <c r="X89" s="76"/>
      <c r="Y89" s="76"/>
      <c r="Z89" s="76"/>
      <c r="AA89" s="76"/>
      <c r="AB89" s="76"/>
    </row>
    <row r="90" spans="1:28" outlineLevel="3" x14ac:dyDescent="0.2">
      <c r="C90" s="19"/>
      <c r="D90" s="114">
        <f>SUM(D87:D89)</f>
        <v>5348285.09</v>
      </c>
      <c r="E90" s="86"/>
      <c r="F90" s="114">
        <f>SUM(F87:F89)</f>
        <v>0</v>
      </c>
      <c r="G90" s="86"/>
      <c r="H90" s="114">
        <f>SUM(H87:H89)</f>
        <v>0</v>
      </c>
      <c r="I90" s="86"/>
      <c r="J90" s="114">
        <f>SUM(J87:J89)</f>
        <v>-2740544.3</v>
      </c>
      <c r="K90" s="86"/>
      <c r="L90" s="86"/>
      <c r="M90" s="86"/>
      <c r="N90" s="86">
        <f>SUM(N87:N89)</f>
        <v>-2740544.3</v>
      </c>
      <c r="O90" s="86"/>
      <c r="P90" s="86"/>
      <c r="Q90" s="86"/>
      <c r="R90" s="86"/>
      <c r="S90" s="86"/>
      <c r="T90" s="86"/>
      <c r="U90" s="86"/>
      <c r="V90" s="86">
        <f>SUM(V87:V89)</f>
        <v>2607740.7899999996</v>
      </c>
      <c r="W90" s="86"/>
      <c r="X90" s="76"/>
      <c r="Y90" s="76"/>
      <c r="Z90" s="76"/>
      <c r="AA90" s="76"/>
      <c r="AB90" s="76"/>
    </row>
    <row r="91" spans="1:28" outlineLevel="3" x14ac:dyDescent="0.2"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76"/>
      <c r="Y91" s="76"/>
      <c r="Z91" s="76"/>
      <c r="AA91" s="76"/>
      <c r="AB91" s="76"/>
    </row>
    <row r="92" spans="1:28" outlineLevel="3" x14ac:dyDescent="0.2">
      <c r="C92" s="10" t="s">
        <v>180</v>
      </c>
      <c r="D92" s="91">
        <f>D90</f>
        <v>5348285.09</v>
      </c>
      <c r="E92" s="37"/>
      <c r="F92" s="91">
        <f>F90</f>
        <v>0</v>
      </c>
      <c r="G92" s="37"/>
      <c r="H92" s="91">
        <f>H90</f>
        <v>0</v>
      </c>
      <c r="I92" s="37"/>
      <c r="J92" s="91">
        <f>J90</f>
        <v>-2740544.3</v>
      </c>
      <c r="K92" s="86"/>
      <c r="L92" s="86"/>
      <c r="M92" s="37"/>
      <c r="N92" s="91">
        <f>N90</f>
        <v>-2740544.3</v>
      </c>
      <c r="O92" s="86"/>
      <c r="P92" s="86"/>
      <c r="Q92" s="86"/>
      <c r="R92" s="86"/>
      <c r="S92" s="86"/>
      <c r="T92" s="86"/>
      <c r="U92" s="37"/>
      <c r="V92" s="91">
        <f>V90</f>
        <v>2607740.7899999996</v>
      </c>
      <c r="W92" s="86"/>
      <c r="X92" s="76"/>
      <c r="Y92" s="76"/>
      <c r="Z92" s="76"/>
      <c r="AA92" s="76"/>
      <c r="AB92" s="76"/>
    </row>
    <row r="93" spans="1:28" outlineLevel="3" x14ac:dyDescent="0.2"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76"/>
      <c r="Y93" s="76"/>
      <c r="Z93" s="76"/>
      <c r="AA93" s="76"/>
      <c r="AB93" s="76"/>
    </row>
    <row r="94" spans="1:28" outlineLevel="3" x14ac:dyDescent="0.2"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76"/>
      <c r="Y94" s="76"/>
      <c r="Z94" s="76"/>
      <c r="AA94" s="76"/>
      <c r="AB94" s="76"/>
    </row>
    <row r="95" spans="1:28" outlineLevel="3" x14ac:dyDescent="0.2">
      <c r="A95" s="93">
        <v>106</v>
      </c>
      <c r="B95" s="10" t="s">
        <v>45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76"/>
      <c r="Y95" s="76"/>
      <c r="Z95" s="76"/>
      <c r="AA95" s="76"/>
      <c r="AB95" s="76"/>
    </row>
    <row r="96" spans="1:28" outlineLevel="3" x14ac:dyDescent="0.2">
      <c r="B96" s="10" t="s">
        <v>13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76"/>
      <c r="Y96" s="76"/>
      <c r="Z96" s="76"/>
      <c r="AA96" s="76"/>
      <c r="AB96" s="76"/>
    </row>
    <row r="97" spans="2:28" outlineLevel="3" x14ac:dyDescent="0.2">
      <c r="C97" s="22" t="s">
        <v>14</v>
      </c>
      <c r="D97" s="86">
        <f>'Summary - Cost - PG 1 (Reg)'!D77</f>
        <v>12650670.82</v>
      </c>
      <c r="E97" s="37"/>
      <c r="F97" s="86">
        <f>'Summary - Cost - PG 1 (Reg)'!F77</f>
        <v>-2835991.88</v>
      </c>
      <c r="G97" s="37"/>
      <c r="H97" s="86">
        <f>'Summary - Cost - PG 1 (Reg)'!H77</f>
        <v>0</v>
      </c>
      <c r="I97" s="37"/>
      <c r="J97" s="86">
        <f>'Summary - Cost - PG 1 (Reg)'!J77</f>
        <v>0</v>
      </c>
      <c r="K97" s="86"/>
      <c r="L97" s="86"/>
      <c r="M97" s="37"/>
      <c r="N97" s="37">
        <f>F97+H97+J97</f>
        <v>-2835991.88</v>
      </c>
      <c r="O97" s="37"/>
      <c r="P97" s="37"/>
      <c r="Q97" s="37"/>
      <c r="R97" s="37"/>
      <c r="S97" s="37"/>
      <c r="T97" s="37"/>
      <c r="U97" s="37"/>
      <c r="V97" s="37">
        <f>D97+N97</f>
        <v>9814678.9400000013</v>
      </c>
      <c r="W97" s="37"/>
      <c r="X97" s="76"/>
      <c r="Y97" s="76"/>
      <c r="Z97" s="76"/>
      <c r="AA97" s="76"/>
      <c r="AB97" s="76"/>
    </row>
    <row r="98" spans="2:28" outlineLevel="3" x14ac:dyDescent="0.2">
      <c r="C98" s="22" t="s">
        <v>15</v>
      </c>
      <c r="D98" s="86">
        <f>'Summary - Cost - PG 1 (Reg)'!D78</f>
        <v>9530107.7699999958</v>
      </c>
      <c r="E98" s="37"/>
      <c r="F98" s="86">
        <f>'Summary - Cost - PG 1 (Reg)'!F78</f>
        <v>-1798505.14</v>
      </c>
      <c r="G98" s="37"/>
      <c r="H98" s="86">
        <f>'Summary - Cost - PG 1 (Reg)'!H78</f>
        <v>0</v>
      </c>
      <c r="I98" s="37"/>
      <c r="J98" s="86">
        <f>'Summary - Cost - PG 1 (Reg)'!J78</f>
        <v>0</v>
      </c>
      <c r="K98" s="86"/>
      <c r="L98" s="86"/>
      <c r="M98" s="86"/>
      <c r="N98" s="147">
        <f>F98+H98+J98</f>
        <v>-1798505.14</v>
      </c>
      <c r="O98" s="86"/>
      <c r="P98" s="86"/>
      <c r="Q98" s="86"/>
      <c r="R98" s="86"/>
      <c r="S98" s="86"/>
      <c r="T98" s="86"/>
      <c r="U98" s="86"/>
      <c r="V98" s="147">
        <f>D98+N98</f>
        <v>7731602.6299999962</v>
      </c>
      <c r="W98" s="86"/>
      <c r="X98" s="32"/>
      <c r="Y98" s="32"/>
      <c r="Z98" s="32"/>
      <c r="AA98" s="32"/>
      <c r="AB98" s="32"/>
    </row>
    <row r="99" spans="2:28" outlineLevel="3" x14ac:dyDescent="0.2">
      <c r="C99" s="19"/>
      <c r="D99" s="114">
        <f>D97+D98</f>
        <v>22180778.589999996</v>
      </c>
      <c r="E99" s="86"/>
      <c r="F99" s="114">
        <f>F97+F98</f>
        <v>-4634497.0199999996</v>
      </c>
      <c r="G99" s="86"/>
      <c r="H99" s="114">
        <f>H97+H98</f>
        <v>0</v>
      </c>
      <c r="I99" s="86"/>
      <c r="J99" s="114">
        <f>J97+J98</f>
        <v>0</v>
      </c>
      <c r="K99" s="86"/>
      <c r="L99" s="86"/>
      <c r="M99" s="86"/>
      <c r="N99" s="86">
        <f>N97+N98</f>
        <v>-4634497.0199999996</v>
      </c>
      <c r="O99" s="86"/>
      <c r="P99" s="86"/>
      <c r="Q99" s="86"/>
      <c r="R99" s="86"/>
      <c r="S99" s="86"/>
      <c r="T99" s="86"/>
      <c r="U99" s="86"/>
      <c r="V99" s="86">
        <f>V97+V98</f>
        <v>17546281.569999997</v>
      </c>
      <c r="W99" s="86"/>
      <c r="X99" s="32"/>
      <c r="Y99" s="32"/>
      <c r="Z99" s="32"/>
      <c r="AA99" s="32"/>
      <c r="AB99" s="32"/>
    </row>
    <row r="100" spans="2:28" outlineLevel="3" x14ac:dyDescent="0.2"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32"/>
      <c r="Y100" s="32"/>
      <c r="Z100" s="32"/>
      <c r="AA100" s="32"/>
      <c r="AB100" s="32"/>
    </row>
    <row r="101" spans="2:28" outlineLevel="3" x14ac:dyDescent="0.2">
      <c r="B101" s="10" t="s">
        <v>17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32"/>
      <c r="Y101" s="32"/>
      <c r="Z101" s="32"/>
      <c r="AA101" s="32"/>
      <c r="AB101" s="32"/>
    </row>
    <row r="102" spans="2:28" outlineLevel="3" x14ac:dyDescent="0.2">
      <c r="C102" s="22" t="s">
        <v>18</v>
      </c>
      <c r="D102" s="86">
        <f>'Summary - Cost - PG 1 (Reg)'!D82</f>
        <v>48240023.089999996</v>
      </c>
      <c r="E102" s="37"/>
      <c r="F102" s="86">
        <f>'Summary - Cost - PG 1 (Reg)'!F82</f>
        <v>15044340.34</v>
      </c>
      <c r="G102" s="37"/>
      <c r="H102" s="86">
        <f>'Summary - Cost - PG 1 (Reg)'!H82</f>
        <v>0</v>
      </c>
      <c r="I102" s="37"/>
      <c r="J102" s="86">
        <f>'Summary - Cost - PG 1 (Reg)'!J82</f>
        <v>0</v>
      </c>
      <c r="K102" s="86"/>
      <c r="L102" s="86"/>
      <c r="M102" s="86"/>
      <c r="N102" s="86">
        <f t="shared" ref="N102:N108" si="9">F102+H102+J102</f>
        <v>15044340.34</v>
      </c>
      <c r="O102" s="86"/>
      <c r="P102" s="86"/>
      <c r="Q102" s="86"/>
      <c r="R102" s="86"/>
      <c r="S102" s="86"/>
      <c r="T102" s="86"/>
      <c r="U102" s="86"/>
      <c r="V102" s="86">
        <f t="shared" ref="V102:V108" si="10">D102+N102</f>
        <v>63284363.429999992</v>
      </c>
      <c r="W102" s="86"/>
      <c r="X102" s="32"/>
      <c r="Y102" s="32"/>
      <c r="Z102" s="32"/>
      <c r="AA102" s="32"/>
      <c r="AB102" s="32"/>
    </row>
    <row r="103" spans="2:28" outlineLevel="3" x14ac:dyDescent="0.2">
      <c r="C103" s="22" t="s">
        <v>19</v>
      </c>
      <c r="D103" s="86">
        <f>'Summary - Cost - PG 1 (Reg)'!D83</f>
        <v>1057029.6100000001</v>
      </c>
      <c r="E103" s="37"/>
      <c r="F103" s="86">
        <f>'Summary - Cost - PG 1 (Reg)'!F83</f>
        <v>-381797.44</v>
      </c>
      <c r="G103" s="37"/>
      <c r="H103" s="86">
        <f>'Summary - Cost - PG 1 (Reg)'!H83</f>
        <v>0</v>
      </c>
      <c r="I103" s="37"/>
      <c r="J103" s="86">
        <f>'Summary - Cost - PG 1 (Reg)'!J83</f>
        <v>0</v>
      </c>
      <c r="K103" s="86"/>
      <c r="L103" s="86"/>
      <c r="M103" s="86"/>
      <c r="N103" s="86">
        <f t="shared" si="9"/>
        <v>-381797.44</v>
      </c>
      <c r="O103" s="86"/>
      <c r="P103" s="86"/>
      <c r="Q103" s="86"/>
      <c r="R103" s="86"/>
      <c r="S103" s="86"/>
      <c r="T103" s="86"/>
      <c r="U103" s="86"/>
      <c r="V103" s="86">
        <f t="shared" si="10"/>
        <v>675232.17000000016</v>
      </c>
      <c r="W103" s="86"/>
      <c r="X103" s="32"/>
      <c r="Y103" s="32"/>
      <c r="Z103" s="32"/>
      <c r="AA103" s="32"/>
      <c r="AB103" s="32"/>
    </row>
    <row r="104" spans="2:28" outlineLevel="3" x14ac:dyDescent="0.2">
      <c r="C104" s="22" t="s">
        <v>20</v>
      </c>
      <c r="D104" s="86">
        <f>'Summary - Cost - PG 1 (Reg)'!D84</f>
        <v>34725650.390000015</v>
      </c>
      <c r="E104" s="37"/>
      <c r="F104" s="86">
        <f>'Summary - Cost - PG 1 (Reg)'!F84</f>
        <v>30173295.620000001</v>
      </c>
      <c r="G104" s="37"/>
      <c r="H104" s="86">
        <f>'Summary - Cost - PG 1 (Reg)'!H84</f>
        <v>0</v>
      </c>
      <c r="I104" s="37"/>
      <c r="J104" s="86">
        <f>'Summary - Cost - PG 1 (Reg)'!J84</f>
        <v>0</v>
      </c>
      <c r="K104" s="86"/>
      <c r="L104" s="86"/>
      <c r="M104" s="86"/>
      <c r="N104" s="86">
        <f t="shared" si="9"/>
        <v>30173295.620000001</v>
      </c>
      <c r="O104" s="86"/>
      <c r="P104" s="86"/>
      <c r="Q104" s="86"/>
      <c r="R104" s="86"/>
      <c r="S104" s="86"/>
      <c r="T104" s="86"/>
      <c r="U104" s="86"/>
      <c r="V104" s="86">
        <f t="shared" si="10"/>
        <v>64898946.01000002</v>
      </c>
      <c r="W104" s="86"/>
      <c r="X104" s="32"/>
      <c r="Y104" s="32"/>
      <c r="Z104" s="32"/>
      <c r="AA104" s="32"/>
      <c r="AB104" s="32"/>
    </row>
    <row r="105" spans="2:28" outlineLevel="3" x14ac:dyDescent="0.2">
      <c r="C105" s="22" t="s">
        <v>21</v>
      </c>
      <c r="D105" s="86">
        <f>'Summary - Cost - PG 1 (Reg)'!D85</f>
        <v>0</v>
      </c>
      <c r="E105" s="37"/>
      <c r="F105" s="86">
        <f>'Summary - Cost - PG 1 (Reg)'!F85</f>
        <v>0</v>
      </c>
      <c r="G105" s="37"/>
      <c r="H105" s="86">
        <f>'Summary - Cost - PG 1 (Reg)'!H85</f>
        <v>0</v>
      </c>
      <c r="I105" s="37"/>
      <c r="J105" s="86">
        <f>'Summary - Cost - PG 1 (Reg)'!J85</f>
        <v>0</v>
      </c>
      <c r="K105" s="86"/>
      <c r="L105" s="86"/>
      <c r="M105" s="86"/>
      <c r="N105" s="86">
        <f t="shared" si="9"/>
        <v>0</v>
      </c>
      <c r="O105" s="86"/>
      <c r="P105" s="86"/>
      <c r="Q105" s="86"/>
      <c r="R105" s="86"/>
      <c r="S105" s="86"/>
      <c r="T105" s="86"/>
      <c r="U105" s="86"/>
      <c r="V105" s="86">
        <f t="shared" si="10"/>
        <v>0</v>
      </c>
      <c r="W105" s="86"/>
      <c r="X105" s="32"/>
      <c r="Y105" s="32"/>
      <c r="Z105" s="32"/>
      <c r="AA105" s="32"/>
      <c r="AB105" s="32"/>
    </row>
    <row r="106" spans="2:28" outlineLevel="3" x14ac:dyDescent="0.2">
      <c r="C106" s="22" t="s">
        <v>22</v>
      </c>
      <c r="D106" s="86">
        <f>'Summary - Cost - PG 1 (Reg)'!D86</f>
        <v>115979505.59</v>
      </c>
      <c r="E106" s="37"/>
      <c r="F106" s="86">
        <f>'Summary - Cost - PG 1 (Reg)'!F86</f>
        <v>-96289973.980000004</v>
      </c>
      <c r="G106" s="37"/>
      <c r="H106" s="86">
        <f>'Summary - Cost - PG 1 (Reg)'!H86</f>
        <v>0</v>
      </c>
      <c r="I106" s="37"/>
      <c r="J106" s="86">
        <f>'Summary - Cost - PG 1 (Reg)'!J86</f>
        <v>0</v>
      </c>
      <c r="K106" s="86"/>
      <c r="L106" s="86"/>
      <c r="M106" s="86"/>
      <c r="N106" s="86">
        <f t="shared" si="9"/>
        <v>-96289973.980000004</v>
      </c>
      <c r="O106" s="86"/>
      <c r="P106" s="86"/>
      <c r="Q106" s="86"/>
      <c r="R106" s="86"/>
      <c r="S106" s="86"/>
      <c r="T106" s="86"/>
      <c r="U106" s="86"/>
      <c r="V106" s="86">
        <f t="shared" si="10"/>
        <v>19689531.609999999</v>
      </c>
      <c r="W106" s="86"/>
      <c r="X106" s="32"/>
      <c r="Y106" s="32"/>
      <c r="Z106" s="32"/>
      <c r="AA106" s="32"/>
      <c r="AB106" s="32"/>
    </row>
    <row r="107" spans="2:28" outlineLevel="3" x14ac:dyDescent="0.2">
      <c r="C107" s="22" t="s">
        <v>23</v>
      </c>
      <c r="D107" s="86">
        <f>'Summary - Cost - PG 1 (Reg)'!D87</f>
        <v>852418070.6400001</v>
      </c>
      <c r="E107" s="37"/>
      <c r="F107" s="86">
        <f>'Summary - Cost - PG 1 (Reg)'!F87</f>
        <v>286545364.64999998</v>
      </c>
      <c r="G107" s="37"/>
      <c r="H107" s="86">
        <f>'Summary - Cost - PG 1 (Reg)'!H87</f>
        <v>0</v>
      </c>
      <c r="I107" s="37"/>
      <c r="J107" s="86">
        <f>'Summary - Cost - PG 1 (Reg)'!J87</f>
        <v>0</v>
      </c>
      <c r="K107" s="86"/>
      <c r="L107" s="86"/>
      <c r="M107" s="86"/>
      <c r="N107" s="86">
        <f t="shared" si="9"/>
        <v>286545364.64999998</v>
      </c>
      <c r="O107" s="86"/>
      <c r="P107" s="86"/>
      <c r="Q107" s="86"/>
      <c r="R107" s="86"/>
      <c r="S107" s="86"/>
      <c r="T107" s="86"/>
      <c r="U107" s="86"/>
      <c r="V107" s="86">
        <f t="shared" si="10"/>
        <v>1138963435.29</v>
      </c>
      <c r="W107" s="86"/>
      <c r="X107" s="32"/>
      <c r="Y107" s="32"/>
      <c r="Z107" s="32"/>
      <c r="AA107" s="32"/>
      <c r="AB107" s="32"/>
    </row>
    <row r="108" spans="2:28" outlineLevel="3" x14ac:dyDescent="0.2">
      <c r="C108" s="22" t="s">
        <v>24</v>
      </c>
      <c r="D108" s="86">
        <f>'Summary - Cost - PG 1 (Reg)'!D88</f>
        <v>37368184.730000004</v>
      </c>
      <c r="E108" s="37"/>
      <c r="F108" s="86">
        <f>'Summary - Cost - PG 1 (Reg)'!F88</f>
        <v>-21888665.84</v>
      </c>
      <c r="G108" s="37"/>
      <c r="H108" s="86">
        <f>'Summary - Cost - PG 1 (Reg)'!H88</f>
        <v>0</v>
      </c>
      <c r="I108" s="37"/>
      <c r="J108" s="86">
        <f>'Summary - Cost - PG 1 (Reg)'!J88</f>
        <v>0</v>
      </c>
      <c r="K108" s="86"/>
      <c r="L108" s="86"/>
      <c r="M108" s="86"/>
      <c r="N108" s="147">
        <f t="shared" si="9"/>
        <v>-21888665.84</v>
      </c>
      <c r="O108" s="86"/>
      <c r="P108" s="86"/>
      <c r="Q108" s="86"/>
      <c r="R108" s="86"/>
      <c r="S108" s="86"/>
      <c r="T108" s="86"/>
      <c r="U108" s="86"/>
      <c r="V108" s="147">
        <f t="shared" si="10"/>
        <v>15479518.890000004</v>
      </c>
      <c r="W108" s="86"/>
      <c r="X108" s="32"/>
      <c r="Y108" s="32"/>
      <c r="Z108" s="32"/>
      <c r="AA108" s="32"/>
      <c r="AB108" s="32"/>
    </row>
    <row r="109" spans="2:28" outlineLevel="3" x14ac:dyDescent="0.2">
      <c r="C109" s="19"/>
      <c r="D109" s="114">
        <f>SUM(D102:D108)</f>
        <v>1089788464.0500002</v>
      </c>
      <c r="E109" s="86"/>
      <c r="F109" s="114">
        <f>SUM(F102:F108)</f>
        <v>213202563.34999996</v>
      </c>
      <c r="G109" s="86"/>
      <c r="H109" s="114">
        <f>SUM(H102:H108)</f>
        <v>0</v>
      </c>
      <c r="I109" s="86"/>
      <c r="J109" s="114">
        <f>SUM(J102:J108)</f>
        <v>0</v>
      </c>
      <c r="K109" s="86"/>
      <c r="L109" s="86"/>
      <c r="M109" s="86"/>
      <c r="N109" s="86">
        <f>SUM(N102:N108)</f>
        <v>213202563.34999996</v>
      </c>
      <c r="O109" s="86"/>
      <c r="P109" s="86"/>
      <c r="Q109" s="86"/>
      <c r="R109" s="86"/>
      <c r="S109" s="86"/>
      <c r="T109" s="86"/>
      <c r="U109" s="86"/>
      <c r="V109" s="86">
        <f>SUM(V102:V108)</f>
        <v>1302991027.4000001</v>
      </c>
      <c r="W109" s="86"/>
      <c r="X109" s="32"/>
      <c r="Y109" s="32"/>
      <c r="Z109" s="32"/>
      <c r="AA109" s="32"/>
      <c r="AB109" s="32"/>
    </row>
    <row r="110" spans="2:28" outlineLevel="3" x14ac:dyDescent="0.2"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32"/>
      <c r="Y110" s="32"/>
      <c r="Z110" s="32"/>
      <c r="AA110" s="32"/>
      <c r="AB110" s="32"/>
    </row>
    <row r="111" spans="2:28" outlineLevel="3" x14ac:dyDescent="0.2">
      <c r="B111" s="10" t="s">
        <v>26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32"/>
      <c r="Y111" s="32"/>
      <c r="Z111" s="32"/>
      <c r="AA111" s="32"/>
      <c r="AB111" s="32"/>
    </row>
    <row r="112" spans="2:28" outlineLevel="3" x14ac:dyDescent="0.2">
      <c r="C112" s="22" t="s">
        <v>27</v>
      </c>
      <c r="D112" s="86">
        <f>'Summary - Cost - PG 1 (Reg)'!D92</f>
        <v>45485425.609999999</v>
      </c>
      <c r="E112" s="37"/>
      <c r="F112" s="86">
        <f>'Summary - Cost - PG 1 (Reg)'!F92</f>
        <v>3881257.66</v>
      </c>
      <c r="G112" s="37"/>
      <c r="H112" s="86">
        <f>'Summary - Cost - PG 1 (Reg)'!H92</f>
        <v>0</v>
      </c>
      <c r="I112" s="37"/>
      <c r="J112" s="86">
        <f>'Summary - Cost - PG 1 (Reg)'!J92</f>
        <v>0</v>
      </c>
      <c r="K112" s="86"/>
      <c r="L112" s="86"/>
      <c r="M112" s="37"/>
      <c r="N112" s="37">
        <f>F112+H112+J112</f>
        <v>3881257.66</v>
      </c>
      <c r="O112" s="37"/>
      <c r="P112" s="37"/>
      <c r="Q112" s="37"/>
      <c r="R112" s="37"/>
      <c r="S112" s="37"/>
      <c r="T112" s="37"/>
      <c r="U112" s="37"/>
      <c r="V112" s="37">
        <f>D112+N112</f>
        <v>49366683.269999996</v>
      </c>
      <c r="W112" s="37"/>
      <c r="X112" s="76"/>
      <c r="Y112" s="76"/>
      <c r="Z112" s="76"/>
      <c r="AA112" s="76"/>
      <c r="AB112" s="76"/>
    </row>
    <row r="113" spans="1:28" outlineLevel="3" x14ac:dyDescent="0.2">
      <c r="C113" s="22" t="s">
        <v>28</v>
      </c>
      <c r="D113" s="86">
        <f>'Summary - Cost - PG 1 (Reg)'!D93</f>
        <v>167095.97000000003</v>
      </c>
      <c r="E113" s="37"/>
      <c r="F113" s="86">
        <f>'Summary - Cost - PG 1 (Reg)'!F93</f>
        <v>334600.12</v>
      </c>
      <c r="G113" s="37"/>
      <c r="H113" s="86">
        <f>'Summary - Cost - PG 1 (Reg)'!H93</f>
        <v>0</v>
      </c>
      <c r="I113" s="37"/>
      <c r="J113" s="86">
        <f>'Summary - Cost - PG 1 (Reg)'!J93</f>
        <v>0</v>
      </c>
      <c r="K113" s="86"/>
      <c r="L113" s="86"/>
      <c r="M113" s="37"/>
      <c r="N113" s="37">
        <f>F113+H113+J113</f>
        <v>334600.12</v>
      </c>
      <c r="O113" s="37"/>
      <c r="P113" s="37"/>
      <c r="Q113" s="37"/>
      <c r="R113" s="37"/>
      <c r="S113" s="37"/>
      <c r="T113" s="37"/>
      <c r="U113" s="37"/>
      <c r="V113" s="37">
        <f>D113+N113</f>
        <v>501696.09</v>
      </c>
      <c r="W113" s="37"/>
      <c r="X113" s="76"/>
      <c r="Y113" s="76"/>
      <c r="Z113" s="76"/>
      <c r="AA113" s="76"/>
      <c r="AB113" s="76"/>
    </row>
    <row r="114" spans="1:28" outlineLevel="3" x14ac:dyDescent="0.2">
      <c r="C114" s="22" t="s">
        <v>29</v>
      </c>
      <c r="D114" s="86">
        <f>'Summary - Cost - PG 1 (Reg)'!D94</f>
        <v>0</v>
      </c>
      <c r="E114" s="37"/>
      <c r="F114" s="86">
        <f>'Summary - Cost - PG 1 (Reg)'!F94</f>
        <v>0</v>
      </c>
      <c r="G114" s="37"/>
      <c r="H114" s="86">
        <f>'Summary - Cost - PG 1 (Reg)'!H94</f>
        <v>0</v>
      </c>
      <c r="I114" s="37"/>
      <c r="J114" s="86">
        <f>'Summary - Cost - PG 1 (Reg)'!J94</f>
        <v>0</v>
      </c>
      <c r="K114" s="86"/>
      <c r="L114" s="86"/>
      <c r="M114" s="37"/>
      <c r="N114" s="37">
        <f>F114+H114+J114</f>
        <v>0</v>
      </c>
      <c r="O114" s="37"/>
      <c r="P114" s="37"/>
      <c r="Q114" s="37"/>
      <c r="R114" s="37"/>
      <c r="S114" s="37"/>
      <c r="T114" s="37"/>
      <c r="U114" s="37"/>
      <c r="V114" s="37">
        <f>D114+N114</f>
        <v>0</v>
      </c>
      <c r="W114" s="37"/>
      <c r="X114" s="76"/>
      <c r="Y114" s="76"/>
      <c r="Z114" s="76"/>
      <c r="AA114" s="76"/>
      <c r="AB114" s="76"/>
    </row>
    <row r="115" spans="1:28" outlineLevel="3" x14ac:dyDescent="0.2">
      <c r="C115" s="22" t="s">
        <v>30</v>
      </c>
      <c r="D115" s="86">
        <f>'Summary - Cost - PG 1 (Reg)'!D95</f>
        <v>4875142.5600000024</v>
      </c>
      <c r="E115" s="37"/>
      <c r="F115" s="86">
        <f>'Summary - Cost - PG 1 (Reg)'!F95</f>
        <v>10089948.83</v>
      </c>
      <c r="G115" s="37"/>
      <c r="H115" s="86">
        <f>'Summary - Cost - PG 1 (Reg)'!H95</f>
        <v>0</v>
      </c>
      <c r="I115" s="37"/>
      <c r="J115" s="86">
        <f>'Summary - Cost - PG 1 (Reg)'!J95</f>
        <v>0</v>
      </c>
      <c r="K115" s="86"/>
      <c r="L115" s="86"/>
      <c r="M115" s="37"/>
      <c r="N115" s="37">
        <f>F115+H115+J115</f>
        <v>10089948.83</v>
      </c>
      <c r="O115" s="37"/>
      <c r="P115" s="37"/>
      <c r="Q115" s="37"/>
      <c r="R115" s="37"/>
      <c r="S115" s="37"/>
      <c r="T115" s="37"/>
      <c r="U115" s="37"/>
      <c r="V115" s="37">
        <f>D115+N115</f>
        <v>14965091.390000002</v>
      </c>
      <c r="W115" s="37"/>
      <c r="X115" s="76"/>
      <c r="Y115" s="76"/>
      <c r="Z115" s="76"/>
      <c r="AA115" s="76"/>
      <c r="AB115" s="76"/>
    </row>
    <row r="116" spans="1:28" outlineLevel="3" x14ac:dyDescent="0.2">
      <c r="C116" s="22" t="s">
        <v>31</v>
      </c>
      <c r="D116" s="86">
        <f>'Summary - Cost - PG 1 (Reg)'!D96</f>
        <v>4015859.2299999995</v>
      </c>
      <c r="E116" s="37"/>
      <c r="F116" s="86">
        <f>'Summary - Cost - PG 1 (Reg)'!F96</f>
        <v>1679741.45</v>
      </c>
      <c r="G116" s="37"/>
      <c r="H116" s="86">
        <f>'Summary - Cost - PG 1 (Reg)'!H96</f>
        <v>0</v>
      </c>
      <c r="I116" s="37"/>
      <c r="J116" s="86">
        <f>'Summary - Cost - PG 1 (Reg)'!J96</f>
        <v>0</v>
      </c>
      <c r="K116" s="86"/>
      <c r="L116" s="86"/>
      <c r="M116" s="37"/>
      <c r="N116" s="147">
        <f>F116+H116+J116</f>
        <v>1679741.45</v>
      </c>
      <c r="O116" s="86"/>
      <c r="P116" s="86"/>
      <c r="Q116" s="86"/>
      <c r="R116" s="86"/>
      <c r="S116" s="86"/>
      <c r="T116" s="86"/>
      <c r="U116" s="37"/>
      <c r="V116" s="147">
        <f>D116+N116</f>
        <v>5695600.6799999997</v>
      </c>
      <c r="W116" s="86"/>
      <c r="X116" s="76"/>
      <c r="Y116" s="76"/>
      <c r="Z116" s="76"/>
      <c r="AA116" s="76"/>
      <c r="AB116" s="76"/>
    </row>
    <row r="117" spans="1:28" outlineLevel="3" x14ac:dyDescent="0.2">
      <c r="C117" s="19"/>
      <c r="D117" s="114">
        <f>SUM(D112:D116)</f>
        <v>54543523.369999997</v>
      </c>
      <c r="E117" s="86"/>
      <c r="F117" s="114">
        <f>SUM(F112:F116)</f>
        <v>15985548.059999999</v>
      </c>
      <c r="G117" s="86"/>
      <c r="H117" s="114">
        <f>SUM(H112:H116)</f>
        <v>0</v>
      </c>
      <c r="I117" s="86"/>
      <c r="J117" s="114">
        <f>SUM(J112:J116)</f>
        <v>0</v>
      </c>
      <c r="K117" s="86"/>
      <c r="L117" s="86"/>
      <c r="M117" s="86"/>
      <c r="N117" s="86">
        <f>SUM(N112:N116)</f>
        <v>15985548.059999999</v>
      </c>
      <c r="O117" s="86"/>
      <c r="P117" s="86"/>
      <c r="Q117" s="86"/>
      <c r="R117" s="86"/>
      <c r="S117" s="86"/>
      <c r="T117" s="86"/>
      <c r="U117" s="86"/>
      <c r="V117" s="86">
        <f>SUM(V112:V116)</f>
        <v>70529071.430000007</v>
      </c>
      <c r="W117" s="86"/>
      <c r="X117" s="76"/>
      <c r="Y117" s="76"/>
      <c r="Z117" s="76"/>
      <c r="AA117" s="76"/>
      <c r="AB117" s="76"/>
    </row>
    <row r="118" spans="1:28" outlineLevel="3" x14ac:dyDescent="0.2"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76"/>
      <c r="Y118" s="76"/>
      <c r="Z118" s="76"/>
      <c r="AA118" s="76"/>
      <c r="AB118" s="76"/>
    </row>
    <row r="119" spans="1:28" outlineLevel="3" x14ac:dyDescent="0.2">
      <c r="C119" s="10" t="s">
        <v>49</v>
      </c>
      <c r="D119" s="91">
        <f>D99+D109+D117</f>
        <v>1166512766.01</v>
      </c>
      <c r="E119" s="37"/>
      <c r="F119" s="91">
        <f>F99+F109+F117</f>
        <v>224553614.38999996</v>
      </c>
      <c r="G119" s="37"/>
      <c r="H119" s="91">
        <f>H99+H109+H117</f>
        <v>0</v>
      </c>
      <c r="I119" s="37"/>
      <c r="J119" s="91">
        <f>J99+J109+J117</f>
        <v>0</v>
      </c>
      <c r="K119" s="86"/>
      <c r="L119" s="86"/>
      <c r="M119" s="37"/>
      <c r="N119" s="91">
        <f>N99+N109+N117</f>
        <v>224553614.38999996</v>
      </c>
      <c r="O119" s="86"/>
      <c r="P119" s="86"/>
      <c r="Q119" s="86"/>
      <c r="R119" s="86"/>
      <c r="S119" s="86"/>
      <c r="T119" s="86"/>
      <c r="U119" s="37"/>
      <c r="V119" s="91">
        <f>V99+V109+V117</f>
        <v>1391066380.4000001</v>
      </c>
      <c r="W119" s="86"/>
      <c r="X119" s="76"/>
      <c r="Y119" s="76"/>
      <c r="Z119" s="76"/>
      <c r="AA119" s="76"/>
      <c r="AB119" s="76"/>
    </row>
    <row r="120" spans="1:28" outlineLevel="3" x14ac:dyDescent="0.2"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76"/>
      <c r="Y120" s="76"/>
      <c r="Z120" s="76"/>
      <c r="AA120" s="76"/>
      <c r="AB120" s="76"/>
    </row>
    <row r="121" spans="1:28" outlineLevel="3" x14ac:dyDescent="0.2"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>
        <f>+V63+V119</f>
        <v>6630178826.1999989</v>
      </c>
      <c r="W121" s="37"/>
      <c r="X121" s="76"/>
      <c r="Y121" s="76"/>
      <c r="Z121" s="76"/>
      <c r="AA121" s="76"/>
      <c r="AB121" s="76"/>
    </row>
    <row r="122" spans="1:28" outlineLevel="3" x14ac:dyDescent="0.2">
      <c r="A122" s="93">
        <v>117</v>
      </c>
      <c r="B122" s="10" t="s">
        <v>50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76"/>
      <c r="Y122" s="76"/>
      <c r="Z122" s="76"/>
      <c r="AA122" s="76"/>
      <c r="AB122" s="76"/>
    </row>
    <row r="123" spans="1:28" outlineLevel="3" x14ac:dyDescent="0.2">
      <c r="B123" s="10" t="s">
        <v>26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76"/>
      <c r="Y123" s="76"/>
      <c r="Z123" s="76"/>
      <c r="AA123" s="76"/>
      <c r="AB123" s="76"/>
    </row>
    <row r="124" spans="1:28" outlineLevel="3" x14ac:dyDescent="0.2">
      <c r="C124" s="22" t="s">
        <v>51</v>
      </c>
      <c r="D124" s="147">
        <f>'Summary - Cost - PG 1 (Reg)'!D103</f>
        <v>2139990</v>
      </c>
      <c r="E124" s="37"/>
      <c r="F124" s="147">
        <f>'Summary - Cost - PG 1 (Reg)'!F103</f>
        <v>0</v>
      </c>
      <c r="G124" s="37"/>
      <c r="H124" s="147">
        <f>'Summary - Cost - PG 1 (Reg)'!H103</f>
        <v>0</v>
      </c>
      <c r="I124" s="37"/>
      <c r="J124" s="147">
        <f>'Summary - Cost - PG 1 (Reg)'!J103</f>
        <v>0</v>
      </c>
      <c r="K124" s="86"/>
      <c r="L124" s="86"/>
      <c r="M124" s="86"/>
      <c r="N124" s="147">
        <f>F124+H124+J124</f>
        <v>0</v>
      </c>
      <c r="O124" s="86"/>
      <c r="P124" s="86"/>
      <c r="Q124" s="86"/>
      <c r="R124" s="86"/>
      <c r="S124" s="86"/>
      <c r="T124" s="86"/>
      <c r="U124" s="86"/>
      <c r="V124" s="147">
        <f>D124+N124</f>
        <v>2139990</v>
      </c>
      <c r="W124" s="86"/>
      <c r="X124" s="76"/>
      <c r="Y124" s="76"/>
      <c r="Z124" s="76"/>
      <c r="AA124" s="76"/>
      <c r="AB124" s="76"/>
    </row>
    <row r="125" spans="1:28" outlineLevel="3" x14ac:dyDescent="0.2">
      <c r="C125" s="19"/>
      <c r="D125" s="86">
        <f>SUM(D124)</f>
        <v>2139990</v>
      </c>
      <c r="E125" s="86"/>
      <c r="F125" s="86">
        <f>SUM(F124)</f>
        <v>0</v>
      </c>
      <c r="G125" s="86"/>
      <c r="H125" s="86">
        <f>SUM(H124)</f>
        <v>0</v>
      </c>
      <c r="I125" s="86"/>
      <c r="J125" s="86">
        <f>SUM(J124)</f>
        <v>0</v>
      </c>
      <c r="K125" s="86"/>
      <c r="L125" s="86"/>
      <c r="M125" s="86"/>
      <c r="N125" s="86">
        <f>SUM(N124)</f>
        <v>0</v>
      </c>
      <c r="O125" s="86"/>
      <c r="P125" s="86"/>
      <c r="Q125" s="86"/>
      <c r="R125" s="86"/>
      <c r="S125" s="86"/>
      <c r="T125" s="86"/>
      <c r="U125" s="86"/>
      <c r="V125" s="86">
        <f>SUM(V124)</f>
        <v>2139990</v>
      </c>
      <c r="W125" s="86"/>
      <c r="X125" s="76"/>
      <c r="Y125" s="76"/>
      <c r="Z125" s="76"/>
      <c r="AA125" s="76"/>
      <c r="AB125" s="76"/>
    </row>
    <row r="126" spans="1:28" outlineLevel="3" x14ac:dyDescent="0.2"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76"/>
      <c r="Y126" s="76"/>
      <c r="Z126" s="76"/>
      <c r="AA126" s="76"/>
      <c r="AB126" s="76"/>
    </row>
    <row r="127" spans="1:28" outlineLevel="3" x14ac:dyDescent="0.2">
      <c r="C127" s="10" t="s">
        <v>52</v>
      </c>
      <c r="D127" s="91">
        <f>D125</f>
        <v>2139990</v>
      </c>
      <c r="E127" s="37"/>
      <c r="F127" s="91">
        <f>F125</f>
        <v>0</v>
      </c>
      <c r="G127" s="37"/>
      <c r="H127" s="91">
        <f>H125</f>
        <v>0</v>
      </c>
      <c r="I127" s="37"/>
      <c r="J127" s="91">
        <f>J125</f>
        <v>0</v>
      </c>
      <c r="K127" s="86"/>
      <c r="L127" s="86"/>
      <c r="M127" s="37"/>
      <c r="N127" s="91">
        <f>N125</f>
        <v>0</v>
      </c>
      <c r="O127" s="86"/>
      <c r="P127" s="86"/>
      <c r="Q127" s="86"/>
      <c r="R127" s="86"/>
      <c r="S127" s="86"/>
      <c r="T127" s="86"/>
      <c r="U127" s="37"/>
      <c r="V127" s="91">
        <f>V125</f>
        <v>2139990</v>
      </c>
      <c r="W127" s="86"/>
      <c r="X127" s="76"/>
      <c r="Y127" s="76"/>
      <c r="Z127" s="76"/>
      <c r="AA127" s="76"/>
      <c r="AB127" s="76"/>
    </row>
    <row r="128" spans="1:28" outlineLevel="3" x14ac:dyDescent="0.2">
      <c r="C128" s="10"/>
      <c r="D128" s="86"/>
      <c r="E128" s="37"/>
      <c r="F128" s="86"/>
      <c r="G128" s="37"/>
      <c r="H128" s="86"/>
      <c r="I128" s="37"/>
      <c r="J128" s="86"/>
      <c r="K128" s="86"/>
      <c r="L128" s="86"/>
      <c r="M128" s="37"/>
      <c r="N128" s="86"/>
      <c r="O128" s="86"/>
      <c r="P128" s="86"/>
      <c r="Q128" s="86"/>
      <c r="R128" s="86"/>
      <c r="S128" s="86"/>
      <c r="T128" s="86"/>
      <c r="U128" s="37"/>
      <c r="V128" s="86"/>
      <c r="W128" s="86"/>
      <c r="X128" s="76"/>
      <c r="Y128" s="76"/>
      <c r="Z128" s="76"/>
      <c r="AA128" s="76"/>
      <c r="AB128" s="76"/>
    </row>
    <row r="129" spans="1:28" outlineLevel="3" x14ac:dyDescent="0.2">
      <c r="C129" s="10"/>
      <c r="D129" s="86"/>
      <c r="E129" s="37"/>
      <c r="F129" s="86"/>
      <c r="G129" s="37"/>
      <c r="H129" s="86"/>
      <c r="I129" s="37"/>
      <c r="J129" s="86"/>
      <c r="K129" s="86"/>
      <c r="L129" s="86"/>
      <c r="M129" s="37"/>
      <c r="N129" s="86"/>
      <c r="O129" s="86"/>
      <c r="P129" s="86"/>
      <c r="Q129" s="86"/>
      <c r="R129" s="86"/>
      <c r="S129" s="86"/>
      <c r="T129" s="86"/>
      <c r="U129" s="37"/>
      <c r="V129" s="86"/>
      <c r="W129" s="86"/>
      <c r="X129" s="76"/>
      <c r="Y129" s="76"/>
      <c r="Z129" s="76"/>
      <c r="AA129" s="76"/>
      <c r="AB129" s="76"/>
    </row>
    <row r="130" spans="1:28" outlineLevel="3" x14ac:dyDescent="0.2">
      <c r="B130" s="10" t="s">
        <v>181</v>
      </c>
      <c r="C130" s="10"/>
      <c r="D130" s="86"/>
      <c r="E130" s="37"/>
      <c r="F130" s="86"/>
      <c r="G130" s="37"/>
      <c r="H130" s="86"/>
      <c r="I130" s="37"/>
      <c r="J130" s="86"/>
      <c r="K130" s="86"/>
      <c r="L130" s="86"/>
      <c r="M130" s="37"/>
      <c r="N130" s="86"/>
      <c r="O130" s="86"/>
      <c r="P130" s="86"/>
      <c r="Q130" s="86"/>
      <c r="R130" s="86"/>
      <c r="S130" s="86"/>
      <c r="T130" s="86"/>
      <c r="U130" s="37"/>
      <c r="V130" s="86"/>
      <c r="W130" s="86"/>
      <c r="X130" s="76"/>
      <c r="Y130" s="76"/>
      <c r="Z130" s="76"/>
      <c r="AA130" s="76"/>
      <c r="AB130" s="76"/>
    </row>
    <row r="131" spans="1:28" outlineLevel="3" x14ac:dyDescent="0.2">
      <c r="C131" s="10"/>
      <c r="D131" s="86"/>
      <c r="E131" s="37"/>
      <c r="F131" s="86"/>
      <c r="G131" s="37"/>
      <c r="H131" s="86"/>
      <c r="I131" s="37"/>
      <c r="J131" s="86"/>
      <c r="K131" s="86"/>
      <c r="L131" s="86"/>
      <c r="M131" s="37"/>
      <c r="N131" s="86"/>
      <c r="O131" s="86"/>
      <c r="P131" s="86"/>
      <c r="Q131" s="86"/>
      <c r="R131" s="86"/>
      <c r="S131" s="86"/>
      <c r="T131" s="86"/>
      <c r="U131" s="37"/>
      <c r="V131" s="86"/>
      <c r="W131" s="86"/>
      <c r="X131" s="76"/>
      <c r="Y131" s="76"/>
      <c r="Z131" s="76"/>
      <c r="AA131" s="76"/>
      <c r="AB131" s="76"/>
    </row>
    <row r="132" spans="1:28" outlineLevel="3" x14ac:dyDescent="0.2">
      <c r="A132" s="124" t="s">
        <v>182</v>
      </c>
      <c r="C132" s="10" t="s">
        <v>183</v>
      </c>
      <c r="D132" s="86">
        <f>+'Total Comm PIS_NBV-P5 (Reg)'!B12</f>
        <v>202094.94</v>
      </c>
      <c r="E132" s="37"/>
      <c r="F132" s="86">
        <f>+'Total Comm PIS_NBV-P5 (Reg)'!D12</f>
        <v>0</v>
      </c>
      <c r="G132" s="37"/>
      <c r="H132" s="86">
        <f>+'Total Comm PIS_NBV-P5 (Reg)'!F12</f>
        <v>0</v>
      </c>
      <c r="I132" s="37"/>
      <c r="J132" s="86">
        <f>+'Total Comm PIS_NBV-P5 (Reg)'!H12</f>
        <v>-202094.94</v>
      </c>
      <c r="K132" s="86"/>
      <c r="L132" s="86"/>
      <c r="M132" s="37"/>
      <c r="N132" s="86">
        <f>+'Total Comm PIS_NBV-P5 (Reg)'!J12</f>
        <v>-202094.94</v>
      </c>
      <c r="O132" s="86"/>
      <c r="P132" s="86"/>
      <c r="Q132" s="86"/>
      <c r="R132" s="86"/>
      <c r="S132" s="86"/>
      <c r="T132" s="86"/>
      <c r="U132" s="37"/>
      <c r="V132" s="86">
        <f>+'Total Comm PIS_NBV-P5 (Reg)'!L12</f>
        <v>0</v>
      </c>
      <c r="W132" s="86"/>
      <c r="X132" s="76"/>
      <c r="Y132" s="76"/>
      <c r="Z132" s="76"/>
      <c r="AA132" s="76"/>
      <c r="AB132" s="76"/>
    </row>
    <row r="133" spans="1:28" outlineLevel="3" x14ac:dyDescent="0.2">
      <c r="A133" s="124" t="s">
        <v>184</v>
      </c>
      <c r="C133" s="10" t="s">
        <v>185</v>
      </c>
      <c r="D133" s="86">
        <f>+'Total Gas PIS_NBV-P17 (Reg)'!B46</f>
        <v>104869.48999999999</v>
      </c>
      <c r="E133" s="37"/>
      <c r="F133" s="86">
        <f>+'Total Gas PIS_NBV-P17 (Reg)'!D46</f>
        <v>0</v>
      </c>
      <c r="G133" s="37"/>
      <c r="H133" s="86">
        <f>+'Total Gas PIS_NBV-P17 (Reg)'!F46</f>
        <v>0</v>
      </c>
      <c r="I133" s="37"/>
      <c r="J133" s="86">
        <f>+'Total Gas PIS_NBV-P17 (Reg)'!H46</f>
        <v>-3657</v>
      </c>
      <c r="K133" s="86"/>
      <c r="L133" s="86"/>
      <c r="M133" s="37"/>
      <c r="N133" s="86">
        <f>+'Total Gas PIS_NBV-P17 (Reg)'!J46</f>
        <v>-3657</v>
      </c>
      <c r="O133" s="86"/>
      <c r="P133" s="86"/>
      <c r="Q133" s="86"/>
      <c r="R133" s="86"/>
      <c r="S133" s="86"/>
      <c r="T133" s="86"/>
      <c r="U133" s="37"/>
      <c r="V133" s="86">
        <f>+'Total Gas PIS_NBV-P17 (Reg)'!L46</f>
        <v>101212.48999999999</v>
      </c>
      <c r="W133" s="86"/>
      <c r="X133" s="76"/>
      <c r="Y133" s="76"/>
      <c r="Z133" s="76"/>
      <c r="AA133" s="76"/>
      <c r="AB133" s="76"/>
    </row>
    <row r="134" spans="1:28" outlineLevel="3" x14ac:dyDescent="0.2">
      <c r="A134" s="124" t="s">
        <v>186</v>
      </c>
      <c r="C134" s="10" t="s">
        <v>185</v>
      </c>
      <c r="D134" s="86">
        <f>+'Total Gas PIS_NBV-P17 (Reg)'!B12</f>
        <v>74018.23</v>
      </c>
      <c r="E134" s="37"/>
      <c r="F134" s="86">
        <f>+'Total Gas PIS_NBV-P17 (Reg)'!D12</f>
        <v>0</v>
      </c>
      <c r="G134" s="37"/>
      <c r="H134" s="86">
        <f>+'Total Gas PIS_NBV-P17 (Reg)'!F12</f>
        <v>0</v>
      </c>
      <c r="I134" s="37"/>
      <c r="J134" s="86">
        <f>+'Total Gas PIS_NBV-P17 (Reg)'!H12</f>
        <v>0</v>
      </c>
      <c r="K134" s="86"/>
      <c r="L134" s="86"/>
      <c r="M134" s="37"/>
      <c r="N134" s="86">
        <f>+'Total Gas PIS_NBV-P17 (Reg)'!J12</f>
        <v>0</v>
      </c>
      <c r="O134" s="86"/>
      <c r="P134" s="86"/>
      <c r="Q134" s="86"/>
      <c r="R134" s="86"/>
      <c r="S134" s="86"/>
      <c r="T134" s="86"/>
      <c r="U134" s="37"/>
      <c r="V134" s="86">
        <f>+'Total Gas PIS_NBV-P17 (Reg)'!L12</f>
        <v>74018.23</v>
      </c>
      <c r="W134" s="86"/>
      <c r="X134" s="76"/>
      <c r="Y134" s="76"/>
      <c r="Z134" s="76"/>
      <c r="AA134" s="76"/>
      <c r="AB134" s="76"/>
    </row>
    <row r="135" spans="1:28" outlineLevel="3" x14ac:dyDescent="0.2">
      <c r="A135" s="124" t="s">
        <v>187</v>
      </c>
      <c r="C135" s="10" t="s">
        <v>185</v>
      </c>
      <c r="D135" s="86">
        <f>+'Total Gas PIS_NBV-P17 (Reg)'!B50</f>
        <v>548241.14</v>
      </c>
      <c r="E135" s="37"/>
      <c r="F135" s="86">
        <f>+'Total Gas PIS_NBV-P17 (Reg)'!D50</f>
        <v>0</v>
      </c>
      <c r="G135" s="37"/>
      <c r="H135" s="86">
        <f>+'Total Gas PIS_NBV-P17 (Reg)'!F50</f>
        <v>0</v>
      </c>
      <c r="I135" s="37"/>
      <c r="J135" s="86">
        <f>+'Total Gas PIS_NBV-P17 (Reg)'!H50</f>
        <v>0</v>
      </c>
      <c r="K135" s="86"/>
      <c r="L135" s="86"/>
      <c r="M135" s="37"/>
      <c r="N135" s="86">
        <f>+'Total Gas PIS_NBV-P17 (Reg)'!J50</f>
        <v>0</v>
      </c>
      <c r="O135" s="86"/>
      <c r="P135" s="86"/>
      <c r="Q135" s="86"/>
      <c r="R135" s="86"/>
      <c r="S135" s="86"/>
      <c r="T135" s="86"/>
      <c r="U135" s="37"/>
      <c r="V135" s="86">
        <f>+'Total Gas PIS_NBV-P17 (Reg)'!L50</f>
        <v>548241.14</v>
      </c>
      <c r="W135" s="86"/>
      <c r="X135" s="76"/>
      <c r="Y135" s="76"/>
      <c r="Z135" s="76"/>
      <c r="AA135" s="76"/>
      <c r="AB135" s="76"/>
    </row>
    <row r="136" spans="1:28" outlineLevel="3" x14ac:dyDescent="0.2">
      <c r="A136" s="124" t="s">
        <v>188</v>
      </c>
      <c r="C136" s="10" t="s">
        <v>189</v>
      </c>
      <c r="D136" s="86">
        <f>+'Total Elec PIS_NBV-P11 (Reg)'!B11</f>
        <v>0</v>
      </c>
      <c r="E136" s="37"/>
      <c r="F136" s="86">
        <f>+'Total Elec PIS_NBV-P11 (Reg)'!D11</f>
        <v>0</v>
      </c>
      <c r="G136" s="37"/>
      <c r="H136" s="86">
        <f>+'Total Elec PIS_NBV-P11 (Reg)'!F11</f>
        <v>0</v>
      </c>
      <c r="I136" s="37"/>
      <c r="J136" s="86">
        <f>+'Total Elec PIS_NBV-P11 (Reg)'!H11</f>
        <v>0</v>
      </c>
      <c r="K136" s="86"/>
      <c r="L136" s="86"/>
      <c r="M136" s="37"/>
      <c r="N136" s="86">
        <f>+'Total Elec PIS_NBV-P11 (Reg)'!J11</f>
        <v>0</v>
      </c>
      <c r="O136" s="86"/>
      <c r="P136" s="86"/>
      <c r="Q136" s="86"/>
      <c r="R136" s="86"/>
      <c r="S136" s="86"/>
      <c r="T136" s="86"/>
      <c r="U136" s="37"/>
      <c r="V136" s="86">
        <f>+'Total Elec PIS_NBV-P11 (Reg)'!L11</f>
        <v>0</v>
      </c>
      <c r="W136" s="86"/>
      <c r="X136" s="76"/>
      <c r="Y136" s="76"/>
      <c r="Z136" s="76"/>
      <c r="AA136" s="76"/>
      <c r="AB136" s="76"/>
    </row>
    <row r="137" spans="1:28" outlineLevel="3" x14ac:dyDescent="0.2">
      <c r="A137" s="124" t="s">
        <v>188</v>
      </c>
      <c r="C137" s="10" t="s">
        <v>190</v>
      </c>
      <c r="D137" s="86">
        <f>'Summary - Cost - PG 1 (Reg)'!N64</f>
        <v>519009.11</v>
      </c>
      <c r="E137" s="37"/>
      <c r="F137" s="86">
        <f>+'Summary - Cost - PG 1 (Reg)'!F64</f>
        <v>0</v>
      </c>
      <c r="G137" s="37"/>
      <c r="H137" s="86">
        <f>+'Summary - Cost - PG 1 (Reg)'!H64</f>
        <v>0</v>
      </c>
      <c r="I137" s="37"/>
      <c r="J137" s="86">
        <f>+'Summary - Cost - PG 1 (Reg)'!J64</f>
        <v>0</v>
      </c>
      <c r="K137" s="86"/>
      <c r="L137" s="86"/>
      <c r="M137" s="37"/>
      <c r="N137" s="86">
        <f>+'Summary - Cost - PG 1 (Reg)'!N64</f>
        <v>519009.11</v>
      </c>
      <c r="O137" s="86"/>
      <c r="P137" s="86"/>
      <c r="Q137" s="86"/>
      <c r="R137" s="86"/>
      <c r="S137" s="86"/>
      <c r="T137" s="86"/>
      <c r="U137" s="37"/>
      <c r="V137" s="86">
        <f>+'Summary - Cost - PG 1 (Reg)'!N64</f>
        <v>519009.11</v>
      </c>
      <c r="W137" s="86"/>
      <c r="X137" s="76"/>
      <c r="Y137" s="76"/>
      <c r="Z137" s="76"/>
      <c r="AA137" s="76"/>
      <c r="AB137" s="76"/>
    </row>
    <row r="138" spans="1:28" outlineLevel="3" x14ac:dyDescent="0.2">
      <c r="A138" s="124" t="s">
        <v>191</v>
      </c>
      <c r="C138" s="10" t="s">
        <v>185</v>
      </c>
      <c r="D138" s="86">
        <f>'Total Gas PIS_NBV-P17 (Reg)'!B65</f>
        <v>220659.05</v>
      </c>
      <c r="E138" s="37"/>
      <c r="F138" s="86">
        <f>'Total Gas PIS_NBV-P17 (Reg)'!D65</f>
        <v>0</v>
      </c>
      <c r="G138" s="37"/>
      <c r="H138" s="86">
        <f>'Total Gas PIS_NBV-P17 (Reg)'!F65</f>
        <v>0</v>
      </c>
      <c r="I138" s="37"/>
      <c r="J138" s="86">
        <f>'Total Gas PIS_NBV-P17 (Reg)'!H65</f>
        <v>0</v>
      </c>
      <c r="K138" s="86"/>
      <c r="L138" s="86"/>
      <c r="M138" s="37"/>
      <c r="N138" s="86">
        <f>'Total Gas PIS_NBV-P17 (Reg)'!J65</f>
        <v>0</v>
      </c>
      <c r="O138" s="86"/>
      <c r="P138" s="86"/>
      <c r="Q138" s="86"/>
      <c r="R138" s="86"/>
      <c r="S138" s="86"/>
      <c r="T138" s="86"/>
      <c r="U138" s="37"/>
      <c r="V138" s="86">
        <f>'Total Gas PIS_NBV-P17 (Reg)'!L65</f>
        <v>220659.05</v>
      </c>
      <c r="W138" s="86"/>
      <c r="X138" s="76"/>
      <c r="Y138" s="76"/>
      <c r="Z138" s="76"/>
      <c r="AA138" s="76"/>
      <c r="AB138" s="76"/>
    </row>
    <row r="139" spans="1:28" outlineLevel="3" x14ac:dyDescent="0.2">
      <c r="A139" s="124" t="s">
        <v>192</v>
      </c>
      <c r="C139" s="10" t="s">
        <v>193</v>
      </c>
      <c r="D139" s="86">
        <f>'Total Elec PIS_NBV-P11 (Reg)'!B87</f>
        <v>8587652.5899999999</v>
      </c>
      <c r="E139" s="86">
        <v>0</v>
      </c>
      <c r="F139" s="86">
        <f>'Total Elec PIS_NBV-P11 (Reg)'!D87</f>
        <v>0</v>
      </c>
      <c r="G139" s="37"/>
      <c r="H139" s="86">
        <f>'Total Elec PIS_NBV-P11 (Reg)'!F87</f>
        <v>0</v>
      </c>
      <c r="I139" s="37"/>
      <c r="J139" s="86">
        <f>'Total Elec PIS_NBV-P11 (Reg)'!H87</f>
        <v>0</v>
      </c>
      <c r="K139" s="86"/>
      <c r="L139" s="86"/>
      <c r="M139" s="37"/>
      <c r="N139" s="86">
        <f>'Total Elec PIS_NBV-P11 (Reg)'!J87</f>
        <v>0</v>
      </c>
      <c r="O139" s="86"/>
      <c r="P139" s="86"/>
      <c r="Q139" s="86"/>
      <c r="R139" s="86"/>
      <c r="S139" s="86"/>
      <c r="T139" s="86"/>
      <c r="U139" s="37"/>
      <c r="V139" s="86">
        <f>'Total Elec PIS_NBV-P11 (Reg)'!L87</f>
        <v>8587652.5899999999</v>
      </c>
      <c r="W139" s="86"/>
      <c r="X139" s="76"/>
      <c r="Y139" s="76"/>
      <c r="Z139" s="76"/>
      <c r="AA139" s="76"/>
      <c r="AB139" s="76"/>
    </row>
    <row r="140" spans="1:28" outlineLevel="3" x14ac:dyDescent="0.2">
      <c r="A140" s="124" t="s">
        <v>194</v>
      </c>
      <c r="C140" s="10" t="s">
        <v>195</v>
      </c>
      <c r="D140" s="86">
        <f>+'Total Comm PIS_NBV-P5 (Reg)'!B37</f>
        <v>0</v>
      </c>
      <c r="E140" s="37"/>
      <c r="F140" s="86">
        <f>+'Total Comm PIS_NBV-P5 (Reg)'!D37</f>
        <v>0</v>
      </c>
      <c r="G140" s="37"/>
      <c r="H140" s="86">
        <f>+'Total Comm PIS_NBV-P5 (Reg)'!F37</f>
        <v>0</v>
      </c>
      <c r="I140" s="37"/>
      <c r="J140" s="86">
        <f>+'Total Comm PIS_NBV-P5 (Reg)'!H37</f>
        <v>0</v>
      </c>
      <c r="K140" s="86"/>
      <c r="L140" s="86"/>
      <c r="M140" s="37"/>
      <c r="N140" s="86">
        <f>+'Total Comm PIS_NBV-P5 (Reg)'!J37</f>
        <v>0</v>
      </c>
      <c r="O140" s="86"/>
      <c r="P140" s="86"/>
      <c r="Q140" s="86"/>
      <c r="R140" s="86"/>
      <c r="S140" s="86"/>
      <c r="T140" s="86"/>
      <c r="U140" s="37"/>
      <c r="V140" s="86">
        <f>+'Total Comm PIS_NBV-P5 (Reg)'!L37</f>
        <v>0</v>
      </c>
      <c r="W140" s="86"/>
      <c r="X140" s="76"/>
      <c r="Y140" s="76"/>
      <c r="Z140" s="76"/>
      <c r="AA140" s="76"/>
      <c r="AB140" s="76"/>
    </row>
    <row r="141" spans="1:28" outlineLevel="3" x14ac:dyDescent="0.2">
      <c r="A141" s="124" t="s">
        <v>194</v>
      </c>
      <c r="C141" s="10" t="s">
        <v>196</v>
      </c>
      <c r="D141" s="86">
        <f>+'Total Elec PIS_NBV-P11 (Reg)'!B55</f>
        <v>0</v>
      </c>
      <c r="E141" s="37"/>
      <c r="F141" s="86">
        <f>+'Total Elec PIS_NBV-P11 (Reg)'!D55</f>
        <v>0</v>
      </c>
      <c r="G141" s="37"/>
      <c r="H141" s="86">
        <f>+'Total Elec PIS_NBV-P11 (Reg)'!F55</f>
        <v>0</v>
      </c>
      <c r="I141" s="37"/>
      <c r="J141" s="86">
        <f>+'Total Elec PIS_NBV-P11 (Reg)'!H55</f>
        <v>0</v>
      </c>
      <c r="K141" s="86"/>
      <c r="L141" s="86"/>
      <c r="M141" s="37"/>
      <c r="N141" s="86">
        <f>+'Total Elec PIS_NBV-P11 (Reg)'!J55</f>
        <v>0</v>
      </c>
      <c r="O141" s="86"/>
      <c r="P141" s="86"/>
      <c r="Q141" s="86"/>
      <c r="R141" s="86"/>
      <c r="S141" s="86"/>
      <c r="T141" s="86"/>
      <c r="U141" s="37"/>
      <c r="V141" s="86">
        <f>+'Total Elec PIS_NBV-P11 (Reg)'!L55</f>
        <v>0</v>
      </c>
      <c r="W141" s="86"/>
      <c r="X141" s="76"/>
      <c r="Y141" s="76"/>
      <c r="Z141" s="76"/>
      <c r="AA141" s="76"/>
      <c r="AB141" s="76"/>
    </row>
    <row r="142" spans="1:28" outlineLevel="3" x14ac:dyDescent="0.2">
      <c r="A142" s="124" t="s">
        <v>194</v>
      </c>
      <c r="C142" s="10" t="s">
        <v>197</v>
      </c>
      <c r="D142" s="86">
        <f>+'Total Gas PIS_NBV-P17 (Reg)'!B41</f>
        <v>387.49</v>
      </c>
      <c r="E142" s="37"/>
      <c r="F142" s="86">
        <f>+'Total Gas PIS_NBV-P17 (Reg)'!D41</f>
        <v>0</v>
      </c>
      <c r="G142" s="37"/>
      <c r="H142" s="86">
        <f>+'Total Gas PIS_NBV-P17 (Reg)'!F41</f>
        <v>0</v>
      </c>
      <c r="I142" s="37"/>
      <c r="J142" s="86">
        <f>+'Total Gas PIS_NBV-P17 (Reg)'!H41</f>
        <v>0</v>
      </c>
      <c r="K142" s="86"/>
      <c r="L142" s="86"/>
      <c r="M142" s="37"/>
      <c r="N142" s="86">
        <f>+'Total Gas PIS_NBV-P17 (Reg)'!J41</f>
        <v>0</v>
      </c>
      <c r="O142" s="86"/>
      <c r="P142" s="86"/>
      <c r="Q142" s="86"/>
      <c r="R142" s="86"/>
      <c r="S142" s="86"/>
      <c r="T142" s="86"/>
      <c r="U142" s="37"/>
      <c r="V142" s="86">
        <f>'Total Gas PIS_NBV-P17 (Reg)'!L41</f>
        <v>387.49</v>
      </c>
      <c r="W142" s="86"/>
      <c r="X142" s="76"/>
      <c r="Y142" s="76"/>
      <c r="Z142" s="76"/>
      <c r="AA142" s="76"/>
      <c r="AB142" s="76"/>
    </row>
    <row r="143" spans="1:28" outlineLevel="3" x14ac:dyDescent="0.2">
      <c r="A143" s="124"/>
      <c r="C143" s="10"/>
      <c r="D143" s="91">
        <f>SUM(D132:D142)</f>
        <v>10256932.040000001</v>
      </c>
      <c r="E143" s="37"/>
      <c r="F143" s="91">
        <f>SUM(F132:F142)</f>
        <v>0</v>
      </c>
      <c r="G143" s="37"/>
      <c r="H143" s="91">
        <f>SUM(H132:H142)</f>
        <v>0</v>
      </c>
      <c r="I143" s="37"/>
      <c r="J143" s="91">
        <f>SUM(J132:J142)</f>
        <v>-205751.94</v>
      </c>
      <c r="K143" s="86"/>
      <c r="L143" s="86"/>
      <c r="M143" s="37"/>
      <c r="N143" s="91">
        <f>SUM(N132:N142)</f>
        <v>313257.17</v>
      </c>
      <c r="O143" s="86"/>
      <c r="P143" s="86"/>
      <c r="Q143" s="86"/>
      <c r="R143" s="86"/>
      <c r="S143" s="86"/>
      <c r="T143" s="86"/>
      <c r="U143" s="37"/>
      <c r="V143" s="91">
        <f>SUM(V132:V142)</f>
        <v>10051180.1</v>
      </c>
      <c r="W143" s="86"/>
      <c r="X143" s="76"/>
      <c r="Y143" s="76"/>
      <c r="Z143" s="76"/>
      <c r="AA143" s="76"/>
      <c r="AB143" s="76"/>
    </row>
    <row r="144" spans="1:28" outlineLevel="3" x14ac:dyDescent="0.2"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76"/>
      <c r="Y144" s="76"/>
      <c r="Z144" s="76"/>
      <c r="AA144" s="76"/>
      <c r="AB144" s="76"/>
    </row>
    <row r="145" spans="1:47" outlineLevel="3" x14ac:dyDescent="0.2"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76"/>
      <c r="Y145" s="76"/>
      <c r="Z145" s="76"/>
      <c r="AA145" s="76"/>
      <c r="AB145" s="76"/>
      <c r="AE145" s="87"/>
    </row>
    <row r="146" spans="1:47" outlineLevel="3" x14ac:dyDescent="0.2">
      <c r="B146" s="98" t="s">
        <v>160</v>
      </c>
      <c r="D146" s="37">
        <f>+D63+D71+D82+D92+D119+D127-D143+D137</f>
        <v>6123323008.25</v>
      </c>
      <c r="E146" s="37"/>
      <c r="F146" s="37">
        <f>+F63+F71+F82+F92+F119+F127-F143</f>
        <v>634863796.8499999</v>
      </c>
      <c r="G146" s="37"/>
      <c r="H146" s="37">
        <f>+H63+H71+H82+H92+H119+H127-H143</f>
        <v>-125378164.89</v>
      </c>
      <c r="I146" s="37"/>
      <c r="J146" s="37">
        <f>+J63+J71+J82+J92+J119+J127-J143</f>
        <v>-7490702.6399999969</v>
      </c>
      <c r="K146" s="37"/>
      <c r="L146" s="37"/>
      <c r="M146" s="37"/>
      <c r="N146" s="37">
        <f>+N63+N71+N82+N92+N119+N127-N143</f>
        <v>501475920.20999998</v>
      </c>
      <c r="O146" s="37"/>
      <c r="P146" s="37">
        <f>+P63+P71+P82+P92+P119+P127-P143</f>
        <v>0</v>
      </c>
      <c r="Q146" s="37"/>
      <c r="R146" s="37">
        <f>+R63+R71+R82+R92+R119+R127-R143</f>
        <v>0</v>
      </c>
      <c r="S146" s="37"/>
      <c r="T146" s="37">
        <f>+T63+T71+T82+T92+T119+T127-T143</f>
        <v>0</v>
      </c>
      <c r="U146" s="37"/>
      <c r="V146" s="37">
        <f>+V63+V71+V82+V92+V119+V127-V143+V137</f>
        <v>6625317937.5699987</v>
      </c>
      <c r="W146" s="37"/>
      <c r="X146" s="76"/>
      <c r="Y146" s="76"/>
      <c r="Z146" s="76"/>
      <c r="AA146" s="76"/>
      <c r="AB146" s="76"/>
      <c r="AC146" s="87">
        <f>+F146-AD146</f>
        <v>634863796.8499999</v>
      </c>
      <c r="AD146" s="87">
        <v>0</v>
      </c>
      <c r="AE146" s="87">
        <f>+H146</f>
        <v>-125378164.89</v>
      </c>
      <c r="AF146" s="87">
        <v>0</v>
      </c>
      <c r="AG146" s="87"/>
      <c r="AH146" s="87"/>
      <c r="AI146" s="87"/>
      <c r="AJ146" s="87"/>
      <c r="AK146" s="87"/>
      <c r="AL146" s="87"/>
      <c r="AM146" s="87"/>
      <c r="AN146" s="87">
        <f>+J146-AG146-AL146-AM146</f>
        <v>-7490702.6399999969</v>
      </c>
      <c r="AO146" s="87"/>
      <c r="AP146" s="87"/>
      <c r="AQ146" s="87"/>
      <c r="AT146" s="87">
        <f>SUM(X146:AR146)</f>
        <v>501994929.31999993</v>
      </c>
      <c r="AU146" s="87">
        <f>+N146-AT146+D137</f>
        <v>4.5285560190677643E-8</v>
      </c>
    </row>
    <row r="147" spans="1:47" outlineLevel="1" x14ac:dyDescent="0.2">
      <c r="C147" s="22" t="s">
        <v>157</v>
      </c>
      <c r="D147" s="37">
        <f>+D146-D10</f>
        <v>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>
        <f>+V146-V10</f>
        <v>0</v>
      </c>
      <c r="W147" s="37"/>
      <c r="X147" s="76"/>
      <c r="Y147" s="76"/>
      <c r="Z147" s="76"/>
      <c r="AA147" s="76"/>
      <c r="AB147" s="76"/>
    </row>
    <row r="148" spans="1:47" outlineLevel="1" x14ac:dyDescent="0.2"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76"/>
      <c r="Y148" s="76"/>
      <c r="Z148" s="76"/>
      <c r="AA148" s="76"/>
      <c r="AB148" s="76"/>
      <c r="AN148" s="87"/>
    </row>
    <row r="149" spans="1:47" outlineLevel="1" x14ac:dyDescent="0.2">
      <c r="A149" s="93">
        <v>121</v>
      </c>
      <c r="B149" s="10" t="s">
        <v>53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76"/>
      <c r="Y149" s="76"/>
      <c r="Z149" s="76"/>
      <c r="AA149" s="76"/>
      <c r="AB149" s="76"/>
    </row>
    <row r="150" spans="1:47" outlineLevel="3" x14ac:dyDescent="0.2">
      <c r="B150" s="10" t="s">
        <v>13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76"/>
      <c r="Y150" s="76"/>
      <c r="Z150" s="76"/>
      <c r="AA150" s="76"/>
      <c r="AB150" s="76"/>
    </row>
    <row r="151" spans="1:47" outlineLevel="3" x14ac:dyDescent="0.2">
      <c r="C151" s="22" t="s">
        <v>54</v>
      </c>
      <c r="D151" s="147">
        <f>+'Summary - Cost - PG 1 (Reg)'!D114</f>
        <v>630896.97999999986</v>
      </c>
      <c r="E151" s="37"/>
      <c r="F151" s="147">
        <f>+'Summary - Cost - PG 1 (Reg)'!F114</f>
        <v>0</v>
      </c>
      <c r="G151" s="37"/>
      <c r="H151" s="147">
        <f>+'Summary - Cost - PG 1 (Reg)'!H114</f>
        <v>0</v>
      </c>
      <c r="I151" s="37"/>
      <c r="J151" s="147">
        <f>+'Summary - Cost - PG 1 (Reg)'!J114</f>
        <v>0</v>
      </c>
      <c r="K151" s="86"/>
      <c r="L151" s="86"/>
      <c r="M151" s="37"/>
      <c r="N151" s="147">
        <f>F151+H151+J151</f>
        <v>0</v>
      </c>
      <c r="O151" s="86"/>
      <c r="P151" s="86"/>
      <c r="Q151" s="86"/>
      <c r="R151" s="86"/>
      <c r="S151" s="86"/>
      <c r="T151" s="86"/>
      <c r="U151" s="37"/>
      <c r="V151" s="147">
        <f>D151+N151</f>
        <v>630896.97999999986</v>
      </c>
      <c r="W151" s="86"/>
      <c r="X151" s="76"/>
      <c r="Y151" s="76"/>
      <c r="Z151" s="76"/>
      <c r="AA151" s="76"/>
      <c r="AB151" s="76"/>
    </row>
    <row r="152" spans="1:47" outlineLevel="3" x14ac:dyDescent="0.2">
      <c r="C152" s="19"/>
      <c r="D152" s="86">
        <f>SUM(D151)</f>
        <v>630896.97999999986</v>
      </c>
      <c r="E152" s="86"/>
      <c r="F152" s="86">
        <f>SUM(F151)</f>
        <v>0</v>
      </c>
      <c r="G152" s="86"/>
      <c r="H152" s="86">
        <f>SUM(H151)</f>
        <v>0</v>
      </c>
      <c r="I152" s="86"/>
      <c r="J152" s="86">
        <f>SUM(J151)</f>
        <v>0</v>
      </c>
      <c r="K152" s="86"/>
      <c r="L152" s="86"/>
      <c r="M152" s="86"/>
      <c r="N152" s="86">
        <f>SUM(N151)</f>
        <v>0</v>
      </c>
      <c r="O152" s="86"/>
      <c r="P152" s="86"/>
      <c r="Q152" s="86"/>
      <c r="R152" s="86"/>
      <c r="S152" s="86"/>
      <c r="T152" s="86"/>
      <c r="U152" s="86"/>
      <c r="V152" s="86">
        <f>SUM(V151)</f>
        <v>630896.97999999986</v>
      </c>
      <c r="W152" s="86"/>
      <c r="X152" s="76"/>
      <c r="Y152" s="76"/>
      <c r="Z152" s="76"/>
      <c r="AA152" s="76"/>
      <c r="AB152" s="76"/>
    </row>
    <row r="153" spans="1:47" outlineLevel="3" x14ac:dyDescent="0.2"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76"/>
      <c r="Y153" s="76"/>
      <c r="Z153" s="76"/>
      <c r="AA153" s="76"/>
      <c r="AB153" s="76"/>
    </row>
    <row r="154" spans="1:47" outlineLevel="3" x14ac:dyDescent="0.2">
      <c r="C154" s="10" t="s">
        <v>55</v>
      </c>
      <c r="D154" s="91">
        <f>D152</f>
        <v>630896.97999999986</v>
      </c>
      <c r="E154" s="37"/>
      <c r="F154" s="91">
        <f>F152</f>
        <v>0</v>
      </c>
      <c r="G154" s="37"/>
      <c r="H154" s="91">
        <f>H152</f>
        <v>0</v>
      </c>
      <c r="I154" s="37"/>
      <c r="J154" s="91">
        <f>J152</f>
        <v>0</v>
      </c>
      <c r="K154" s="86"/>
      <c r="L154" s="86"/>
      <c r="M154" s="37"/>
      <c r="N154" s="91">
        <f>N152</f>
        <v>0</v>
      </c>
      <c r="O154" s="86"/>
      <c r="P154" s="86"/>
      <c r="Q154" s="86"/>
      <c r="R154" s="86"/>
      <c r="S154" s="86"/>
      <c r="T154" s="86"/>
      <c r="U154" s="37"/>
      <c r="V154" s="91">
        <f>V152</f>
        <v>630896.97999999986</v>
      </c>
      <c r="W154" s="86"/>
      <c r="X154" s="76"/>
      <c r="Y154" s="76"/>
      <c r="Z154" s="76"/>
      <c r="AA154" s="76"/>
      <c r="AB154" s="76"/>
    </row>
    <row r="155" spans="1:47" outlineLevel="3" x14ac:dyDescent="0.2"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76"/>
      <c r="Y155" s="76"/>
      <c r="Z155" s="76"/>
      <c r="AA155" s="76"/>
      <c r="AB155" s="76"/>
    </row>
    <row r="156" spans="1:47" outlineLevel="3" x14ac:dyDescent="0.2">
      <c r="B156" s="98" t="s">
        <v>161</v>
      </c>
      <c r="D156" s="37">
        <f>+D154</f>
        <v>630896.97999999986</v>
      </c>
      <c r="E156" s="37"/>
      <c r="F156" s="37">
        <f>+F154</f>
        <v>0</v>
      </c>
      <c r="G156" s="37"/>
      <c r="H156" s="37">
        <f>+H154</f>
        <v>0</v>
      </c>
      <c r="I156" s="37"/>
      <c r="J156" s="37">
        <f>+J154</f>
        <v>0</v>
      </c>
      <c r="K156" s="37"/>
      <c r="L156" s="37"/>
      <c r="M156" s="37"/>
      <c r="N156" s="37">
        <f>+N154</f>
        <v>0</v>
      </c>
      <c r="O156" s="37"/>
      <c r="P156" s="37"/>
      <c r="Q156" s="37"/>
      <c r="R156" s="37"/>
      <c r="S156" s="37"/>
      <c r="T156" s="37"/>
      <c r="U156" s="37"/>
      <c r="V156" s="37">
        <f>+V154</f>
        <v>630896.97999999986</v>
      </c>
      <c r="W156" s="37"/>
      <c r="X156" s="76"/>
      <c r="Y156" s="76"/>
      <c r="Z156" s="76"/>
      <c r="AA156" s="76"/>
      <c r="AB156" s="76"/>
      <c r="AC156" s="87">
        <f>+F156</f>
        <v>0</v>
      </c>
      <c r="AM156" s="87">
        <v>0</v>
      </c>
      <c r="AN156" s="87">
        <f>+N156-AC156</f>
        <v>0</v>
      </c>
      <c r="AT156" s="87">
        <f>SUM(X156:AR156)</f>
        <v>0</v>
      </c>
      <c r="AU156" s="87">
        <f>+N156-AT156</f>
        <v>0</v>
      </c>
    </row>
    <row r="157" spans="1:47" outlineLevel="1" x14ac:dyDescent="0.2"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76"/>
      <c r="Y157" s="76"/>
      <c r="Z157" s="76"/>
      <c r="AA157" s="76"/>
      <c r="AB157" s="76"/>
    </row>
    <row r="158" spans="1:47" outlineLevel="1" x14ac:dyDescent="0.2">
      <c r="A158" s="93">
        <v>107</v>
      </c>
      <c r="B158" s="10" t="s">
        <v>56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76"/>
      <c r="Y158" s="76"/>
      <c r="Z158" s="76"/>
      <c r="AA158" s="76"/>
      <c r="AB158" s="76"/>
    </row>
    <row r="159" spans="1:47" outlineLevel="2" x14ac:dyDescent="0.2">
      <c r="B159" s="10" t="s">
        <v>57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76"/>
      <c r="Y159" s="76"/>
      <c r="Z159" s="76"/>
      <c r="AA159" s="76"/>
      <c r="AB159" s="76"/>
    </row>
    <row r="160" spans="1:47" outlineLevel="2" x14ac:dyDescent="0.2"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76"/>
      <c r="Y160" s="76"/>
      <c r="Z160" s="76"/>
      <c r="AA160" s="76"/>
      <c r="AB160" s="76"/>
    </row>
    <row r="161" spans="1:47" outlineLevel="2" x14ac:dyDescent="0.2">
      <c r="C161" s="22" t="s">
        <v>13</v>
      </c>
      <c r="D161" s="37">
        <f>'Summary - Cost - PG 1 (Reg)'!D120</f>
        <v>10298144.289999999</v>
      </c>
      <c r="E161" s="37"/>
      <c r="F161" s="37">
        <f>'Summary - Cost - PG 1 (Reg)'!F120</f>
        <v>7350364.4800000004</v>
      </c>
      <c r="G161" s="37"/>
      <c r="H161" s="37">
        <f>'Summary - Cost - PG 1 (Reg)'!H120</f>
        <v>0</v>
      </c>
      <c r="I161" s="37"/>
      <c r="J161" s="37">
        <f>+'Summary - Cost - PG 1 (Reg)'!J122</f>
        <v>0</v>
      </c>
      <c r="K161" s="37"/>
      <c r="L161" s="37"/>
      <c r="M161" s="37"/>
      <c r="N161" s="37">
        <f>F161+H161+J161</f>
        <v>7350364.4800000004</v>
      </c>
      <c r="O161" s="37"/>
      <c r="P161" s="37"/>
      <c r="Q161" s="37"/>
      <c r="R161" s="37"/>
      <c r="S161" s="37"/>
      <c r="T161" s="37"/>
      <c r="U161" s="37"/>
      <c r="V161" s="37">
        <f>D161+N161</f>
        <v>17648508.77</v>
      </c>
      <c r="W161" s="37"/>
      <c r="X161" s="76"/>
      <c r="Y161" s="76"/>
      <c r="Z161" s="76"/>
      <c r="AA161" s="76"/>
      <c r="AB161" s="76"/>
      <c r="AC161" s="102"/>
      <c r="AD161" s="102"/>
    </row>
    <row r="162" spans="1:47" outlineLevel="2" x14ac:dyDescent="0.2">
      <c r="C162" s="22" t="s">
        <v>17</v>
      </c>
      <c r="D162" s="37">
        <f>'Summary - Cost - PG 1 (Reg)'!D121</f>
        <v>357132813.63</v>
      </c>
      <c r="E162" s="37"/>
      <c r="F162" s="37">
        <f>'Summary - Cost - PG 1 (Reg)'!F121</f>
        <v>-253596392.56</v>
      </c>
      <c r="G162" s="37"/>
      <c r="H162" s="37">
        <f>'Summary - Cost - PG 1 (Reg)'!H121</f>
        <v>0</v>
      </c>
      <c r="I162" s="37"/>
      <c r="J162" s="37">
        <f>+'Summary - Cost - PG 1 (Reg)'!J123</f>
        <v>0</v>
      </c>
      <c r="K162" s="37"/>
      <c r="L162" s="37"/>
      <c r="M162" s="37"/>
      <c r="N162" s="37">
        <f>F162+H162+J162</f>
        <v>-253596392.56</v>
      </c>
      <c r="O162" s="37"/>
      <c r="P162" s="37"/>
      <c r="Q162" s="37"/>
      <c r="R162" s="37"/>
      <c r="S162" s="37"/>
      <c r="T162" s="37"/>
      <c r="U162" s="37"/>
      <c r="V162" s="37">
        <f>D162+N162</f>
        <v>103536421.06999999</v>
      </c>
      <c r="W162" s="37"/>
      <c r="X162" s="76"/>
      <c r="Y162" s="76"/>
      <c r="Z162" s="76"/>
      <c r="AA162" s="76"/>
      <c r="AB162" s="76"/>
      <c r="AC162" s="102"/>
      <c r="AD162" s="102"/>
    </row>
    <row r="163" spans="1:47" outlineLevel="2" x14ac:dyDescent="0.2">
      <c r="C163" s="22" t="s">
        <v>26</v>
      </c>
      <c r="D163" s="147">
        <f>'Summary - Cost - PG 1 (Reg)'!D122</f>
        <v>22415538.350000001</v>
      </c>
      <c r="E163" s="37"/>
      <c r="F163" s="147">
        <f>'Summary - Cost - PG 1 (Reg)'!F122</f>
        <v>-9872302.5700000022</v>
      </c>
      <c r="G163" s="37"/>
      <c r="H163" s="147">
        <f>'Summary - Cost - PG 1 (Reg)'!H122</f>
        <v>0</v>
      </c>
      <c r="I163" s="37"/>
      <c r="J163" s="147">
        <f>+'Summary - Cost - PG 1 (Reg)'!J124</f>
        <v>0</v>
      </c>
      <c r="K163" s="86"/>
      <c r="L163" s="86"/>
      <c r="M163" s="37"/>
      <c r="N163" s="147">
        <f>F163+H163+J163</f>
        <v>-9872302.5700000022</v>
      </c>
      <c r="O163" s="86"/>
      <c r="P163" s="86"/>
      <c r="Q163" s="86"/>
      <c r="R163" s="86"/>
      <c r="S163" s="86"/>
      <c r="T163" s="86"/>
      <c r="U163" s="37"/>
      <c r="V163" s="147">
        <f>D163+N163</f>
        <v>12543235.779999999</v>
      </c>
      <c r="W163" s="86"/>
      <c r="X163" s="76"/>
      <c r="Y163" s="76"/>
      <c r="Z163" s="76"/>
      <c r="AA163" s="76"/>
      <c r="AB163" s="76"/>
      <c r="AC163" s="102"/>
      <c r="AD163" s="102"/>
    </row>
    <row r="164" spans="1:47" outlineLevel="2" x14ac:dyDescent="0.2">
      <c r="C164" s="19"/>
      <c r="D164" s="86">
        <f>SUM(D161:D163)</f>
        <v>389846496.27000004</v>
      </c>
      <c r="E164" s="86"/>
      <c r="F164" s="86">
        <f>SUM(F161:F163)</f>
        <v>-256118330.65000001</v>
      </c>
      <c r="G164" s="86"/>
      <c r="H164" s="86">
        <f>SUM(H161:H163)</f>
        <v>0</v>
      </c>
      <c r="I164" s="86"/>
      <c r="J164" s="86">
        <f>SUM(J161:J163)</f>
        <v>0</v>
      </c>
      <c r="K164" s="86"/>
      <c r="L164" s="86"/>
      <c r="M164" s="86"/>
      <c r="N164" s="86">
        <f>SUM(N161:N163)</f>
        <v>-256118330.65000001</v>
      </c>
      <c r="O164" s="86"/>
      <c r="P164" s="86"/>
      <c r="Q164" s="86"/>
      <c r="R164" s="86"/>
      <c r="S164" s="86"/>
      <c r="T164" s="86"/>
      <c r="U164" s="86"/>
      <c r="V164" s="86">
        <f>SUM(V161:V163)</f>
        <v>133728165.61999999</v>
      </c>
      <c r="W164" s="86"/>
      <c r="X164" s="76"/>
      <c r="Y164" s="76"/>
      <c r="Z164" s="76"/>
      <c r="AA164" s="76"/>
      <c r="AB164" s="76"/>
    </row>
    <row r="165" spans="1:47" outlineLevel="2" x14ac:dyDescent="0.2">
      <c r="C165" s="19"/>
      <c r="D165" s="86"/>
      <c r="E165" s="37"/>
      <c r="F165" s="86"/>
      <c r="G165" s="37"/>
      <c r="H165" s="86"/>
      <c r="I165" s="37"/>
      <c r="J165" s="86"/>
      <c r="K165" s="86"/>
      <c r="L165" s="86"/>
      <c r="M165" s="37"/>
      <c r="N165" s="86"/>
      <c r="O165" s="86"/>
      <c r="P165" s="86"/>
      <c r="Q165" s="86"/>
      <c r="R165" s="86"/>
      <c r="S165" s="86"/>
      <c r="T165" s="86"/>
      <c r="U165" s="37"/>
      <c r="V165" s="86"/>
      <c r="W165" s="86"/>
      <c r="X165" s="76"/>
      <c r="Y165" s="76"/>
      <c r="Z165" s="76"/>
      <c r="AA165" s="76"/>
      <c r="AB165" s="76"/>
    </row>
    <row r="166" spans="1:47" outlineLevel="2" x14ac:dyDescent="0.2">
      <c r="B166" s="22"/>
      <c r="C166" s="19"/>
      <c r="D166" s="86"/>
      <c r="E166" s="37"/>
      <c r="F166" s="86"/>
      <c r="G166" s="37"/>
      <c r="H166" s="86"/>
      <c r="I166" s="37"/>
      <c r="J166" s="86"/>
      <c r="K166" s="86"/>
      <c r="L166" s="86"/>
      <c r="M166" s="37"/>
      <c r="N166" s="86"/>
      <c r="O166" s="86"/>
      <c r="P166" s="86"/>
      <c r="Q166" s="86"/>
      <c r="R166" s="86"/>
      <c r="S166" s="86"/>
      <c r="T166" s="86"/>
      <c r="U166" s="37"/>
      <c r="V166" s="86"/>
      <c r="W166" s="86"/>
      <c r="X166" s="76"/>
      <c r="Y166" s="76"/>
      <c r="Z166" s="76"/>
      <c r="AA166" s="76"/>
      <c r="AB166" s="76"/>
    </row>
    <row r="167" spans="1:47" outlineLevel="2" x14ac:dyDescent="0.2">
      <c r="B167" s="98" t="s">
        <v>164</v>
      </c>
      <c r="D167" s="37"/>
      <c r="E167" s="37"/>
      <c r="F167" s="37">
        <f>+F164</f>
        <v>-256118330.65000001</v>
      </c>
      <c r="G167" s="37"/>
      <c r="H167" s="37">
        <f>+H164</f>
        <v>0</v>
      </c>
      <c r="I167" s="37"/>
      <c r="J167" s="37">
        <f>+J164</f>
        <v>0</v>
      </c>
      <c r="K167" s="37"/>
      <c r="L167" s="37"/>
      <c r="M167" s="37"/>
      <c r="N167" s="37">
        <f>+N164</f>
        <v>-256118330.65000001</v>
      </c>
      <c r="O167" s="37"/>
      <c r="P167" s="37"/>
      <c r="Q167" s="37"/>
      <c r="R167" s="37"/>
      <c r="S167" s="37"/>
      <c r="T167" s="37"/>
      <c r="U167" s="37"/>
      <c r="V167" s="37">
        <f>+V164</f>
        <v>133728165.61999999</v>
      </c>
      <c r="W167" s="37"/>
      <c r="X167" s="76"/>
      <c r="Y167" s="76"/>
      <c r="Z167" s="76"/>
      <c r="AA167" s="76"/>
      <c r="AB167" s="76"/>
      <c r="AC167" s="87">
        <f>-AC146-AC199</f>
        <v>-634863796.8499999</v>
      </c>
      <c r="AD167" s="87">
        <v>0</v>
      </c>
      <c r="AN167" s="87">
        <f>J167</f>
        <v>0</v>
      </c>
      <c r="AR167" s="87">
        <f>+'Summary - Cost - PG 1 (Reg)'!F130</f>
        <v>378745466.19999993</v>
      </c>
      <c r="AS167" s="87"/>
      <c r="AT167" s="87">
        <f>SUM(X167:AR167)</f>
        <v>-256118330.64999998</v>
      </c>
      <c r="AU167" s="87">
        <f>+N167-AT167</f>
        <v>0</v>
      </c>
    </row>
    <row r="168" spans="1:47" outlineLevel="1" x14ac:dyDescent="0.2"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1:47" outlineLevel="1" x14ac:dyDescent="0.2">
      <c r="B169" s="10" t="s">
        <v>181</v>
      </c>
      <c r="C169" s="10"/>
      <c r="D169" s="86"/>
      <c r="E169" s="37"/>
      <c r="F169" s="86"/>
      <c r="G169" s="37"/>
      <c r="H169" s="86"/>
      <c r="I169" s="37"/>
      <c r="J169" s="86"/>
      <c r="K169" s="86"/>
      <c r="L169" s="86"/>
      <c r="M169" s="37"/>
      <c r="N169" s="86"/>
      <c r="O169" s="86"/>
      <c r="P169" s="86"/>
      <c r="Q169" s="86"/>
      <c r="R169" s="86"/>
      <c r="S169" s="86"/>
      <c r="T169" s="86"/>
      <c r="U169" s="37"/>
      <c r="V169" s="86"/>
      <c r="W169" s="86"/>
      <c r="X169" s="76"/>
      <c r="Y169" s="76"/>
      <c r="Z169" s="76"/>
      <c r="AA169" s="76"/>
      <c r="AB169" s="76"/>
    </row>
    <row r="170" spans="1:47" outlineLevel="2" x14ac:dyDescent="0.2">
      <c r="C170" s="10"/>
      <c r="D170" s="86"/>
      <c r="E170" s="37"/>
      <c r="F170" s="86"/>
      <c r="G170" s="37"/>
      <c r="H170" s="86"/>
      <c r="I170" s="37"/>
      <c r="J170" s="86"/>
      <c r="K170" s="86"/>
      <c r="L170" s="86"/>
      <c r="M170" s="37"/>
      <c r="N170" s="86"/>
      <c r="O170" s="86"/>
      <c r="P170" s="86"/>
      <c r="Q170" s="86"/>
      <c r="R170" s="86"/>
      <c r="S170" s="86"/>
      <c r="T170" s="86"/>
      <c r="U170" s="37"/>
      <c r="V170" s="86"/>
      <c r="W170" s="86"/>
      <c r="X170" s="76"/>
      <c r="Y170" s="76"/>
      <c r="Z170" s="76"/>
      <c r="AA170" s="76"/>
      <c r="AB170" s="76"/>
    </row>
    <row r="171" spans="1:47" outlineLevel="2" x14ac:dyDescent="0.2">
      <c r="A171" s="124" t="s">
        <v>182</v>
      </c>
      <c r="C171" s="10" t="s">
        <v>183</v>
      </c>
      <c r="D171" s="86">
        <f t="shared" ref="D171:D181" si="11">+D132</f>
        <v>202094.94</v>
      </c>
      <c r="E171" s="37"/>
      <c r="F171" s="86">
        <f t="shared" ref="F171:F181" si="12">+F132</f>
        <v>0</v>
      </c>
      <c r="G171" s="37"/>
      <c r="H171" s="86">
        <f t="shared" ref="H171:H181" si="13">+H132</f>
        <v>0</v>
      </c>
      <c r="I171" s="37"/>
      <c r="J171" s="86">
        <f t="shared" ref="J171:J181" si="14">+J132</f>
        <v>-202094.94</v>
      </c>
      <c r="K171" s="86"/>
      <c r="L171" s="86"/>
      <c r="M171" s="37"/>
      <c r="N171" s="86">
        <f t="shared" ref="N171:N181" si="15">+N132</f>
        <v>-202094.94</v>
      </c>
      <c r="O171" s="86"/>
      <c r="P171" s="86">
        <f>+P132</f>
        <v>0</v>
      </c>
      <c r="Q171" s="86"/>
      <c r="R171" s="86">
        <f>+R132</f>
        <v>0</v>
      </c>
      <c r="S171" s="86"/>
      <c r="T171" s="86">
        <f>+T132</f>
        <v>0</v>
      </c>
      <c r="U171" s="37"/>
      <c r="V171" s="86">
        <f t="shared" ref="V171:V181" si="16">+V132</f>
        <v>0</v>
      </c>
      <c r="W171" s="86"/>
      <c r="X171" s="76"/>
      <c r="Y171" s="76"/>
      <c r="Z171" s="76"/>
      <c r="AA171" s="76"/>
      <c r="AB171" s="76"/>
    </row>
    <row r="172" spans="1:47" outlineLevel="2" x14ac:dyDescent="0.2">
      <c r="A172" s="124" t="s">
        <v>184</v>
      </c>
      <c r="C172" s="10" t="s">
        <v>185</v>
      </c>
      <c r="D172" s="86">
        <f t="shared" si="11"/>
        <v>104869.48999999999</v>
      </c>
      <c r="E172" s="37"/>
      <c r="F172" s="86">
        <f t="shared" si="12"/>
        <v>0</v>
      </c>
      <c r="G172" s="37"/>
      <c r="H172" s="86">
        <f t="shared" si="13"/>
        <v>0</v>
      </c>
      <c r="I172" s="37"/>
      <c r="J172" s="86">
        <f>+J133</f>
        <v>-3657</v>
      </c>
      <c r="K172" s="86"/>
      <c r="L172" s="86"/>
      <c r="M172" s="37"/>
      <c r="N172" s="86">
        <f>+N133</f>
        <v>-3657</v>
      </c>
      <c r="O172" s="86"/>
      <c r="P172" s="86">
        <f>+P133</f>
        <v>0</v>
      </c>
      <c r="Q172" s="86"/>
      <c r="R172" s="86">
        <f>+R133</f>
        <v>0</v>
      </c>
      <c r="S172" s="86"/>
      <c r="T172" s="86">
        <f>+T133</f>
        <v>0</v>
      </c>
      <c r="U172" s="37"/>
      <c r="V172" s="86">
        <f>+V133</f>
        <v>101212.48999999999</v>
      </c>
      <c r="W172" s="86"/>
      <c r="X172" s="76"/>
      <c r="Y172" s="76"/>
      <c r="Z172" s="76"/>
      <c r="AA172" s="76"/>
      <c r="AB172" s="76"/>
    </row>
    <row r="173" spans="1:47" outlineLevel="2" x14ac:dyDescent="0.2">
      <c r="A173" s="124" t="s">
        <v>186</v>
      </c>
      <c r="C173" s="10" t="s">
        <v>185</v>
      </c>
      <c r="D173" s="86">
        <f t="shared" si="11"/>
        <v>74018.23</v>
      </c>
      <c r="E173" s="37"/>
      <c r="F173" s="86">
        <f t="shared" si="12"/>
        <v>0</v>
      </c>
      <c r="G173" s="37"/>
      <c r="H173" s="86">
        <f t="shared" si="13"/>
        <v>0</v>
      </c>
      <c r="I173" s="37"/>
      <c r="J173" s="86">
        <f t="shared" si="14"/>
        <v>0</v>
      </c>
      <c r="K173" s="86"/>
      <c r="L173" s="86"/>
      <c r="M173" s="37"/>
      <c r="N173" s="86">
        <f t="shared" si="15"/>
        <v>0</v>
      </c>
      <c r="O173" s="86"/>
      <c r="P173" s="86">
        <f>+P134</f>
        <v>0</v>
      </c>
      <c r="Q173" s="86"/>
      <c r="R173" s="86">
        <f>+R134</f>
        <v>0</v>
      </c>
      <c r="S173" s="86"/>
      <c r="T173" s="86">
        <f>+T134</f>
        <v>0</v>
      </c>
      <c r="U173" s="37"/>
      <c r="V173" s="86">
        <f t="shared" si="16"/>
        <v>74018.23</v>
      </c>
      <c r="W173" s="86"/>
      <c r="X173" s="76"/>
      <c r="Y173" s="76"/>
      <c r="Z173" s="76"/>
      <c r="AA173" s="76"/>
      <c r="AB173" s="76"/>
    </row>
    <row r="174" spans="1:47" outlineLevel="2" x14ac:dyDescent="0.2">
      <c r="A174" s="124" t="s">
        <v>187</v>
      </c>
      <c r="C174" s="10" t="s">
        <v>185</v>
      </c>
      <c r="D174" s="86">
        <f t="shared" si="11"/>
        <v>548241.14</v>
      </c>
      <c r="E174" s="37"/>
      <c r="F174" s="86">
        <f t="shared" si="12"/>
        <v>0</v>
      </c>
      <c r="G174" s="37"/>
      <c r="H174" s="86">
        <f t="shared" si="13"/>
        <v>0</v>
      </c>
      <c r="I174" s="37"/>
      <c r="J174" s="86">
        <f t="shared" si="14"/>
        <v>0</v>
      </c>
      <c r="K174" s="86"/>
      <c r="L174" s="86"/>
      <c r="M174" s="37"/>
      <c r="N174" s="86">
        <f t="shared" si="15"/>
        <v>0</v>
      </c>
      <c r="O174" s="86"/>
      <c r="P174" s="86">
        <f>+P135</f>
        <v>0</v>
      </c>
      <c r="Q174" s="86"/>
      <c r="R174" s="86">
        <f>+R135</f>
        <v>0</v>
      </c>
      <c r="S174" s="86"/>
      <c r="T174" s="86">
        <f>+T135</f>
        <v>0</v>
      </c>
      <c r="U174" s="37"/>
      <c r="V174" s="86">
        <f t="shared" si="16"/>
        <v>548241.14</v>
      </c>
      <c r="W174" s="86"/>
      <c r="X174" s="76"/>
      <c r="Y174" s="76"/>
      <c r="Z174" s="76"/>
      <c r="AA174" s="76"/>
      <c r="AB174" s="76"/>
    </row>
    <row r="175" spans="1:47" outlineLevel="2" x14ac:dyDescent="0.2">
      <c r="A175" s="124" t="s">
        <v>188</v>
      </c>
      <c r="C175" s="10" t="s">
        <v>189</v>
      </c>
      <c r="D175" s="86">
        <f t="shared" si="11"/>
        <v>0</v>
      </c>
      <c r="E175" s="37"/>
      <c r="F175" s="86">
        <f t="shared" si="12"/>
        <v>0</v>
      </c>
      <c r="G175" s="37"/>
      <c r="H175" s="86">
        <f t="shared" si="13"/>
        <v>0</v>
      </c>
      <c r="I175" s="37"/>
      <c r="J175" s="86">
        <f t="shared" si="14"/>
        <v>0</v>
      </c>
      <c r="K175" s="86"/>
      <c r="L175" s="86"/>
      <c r="M175" s="37"/>
      <c r="N175" s="86">
        <f t="shared" si="15"/>
        <v>0</v>
      </c>
      <c r="O175" s="86"/>
      <c r="P175" s="86">
        <f>+P136</f>
        <v>0</v>
      </c>
      <c r="Q175" s="86"/>
      <c r="R175" s="86">
        <f>+R136</f>
        <v>0</v>
      </c>
      <c r="S175" s="86"/>
      <c r="T175" s="86">
        <f>+T136</f>
        <v>0</v>
      </c>
      <c r="U175" s="37"/>
      <c r="V175" s="86">
        <f t="shared" si="16"/>
        <v>0</v>
      </c>
      <c r="W175" s="86"/>
      <c r="X175" s="76"/>
      <c r="Y175" s="76"/>
      <c r="Z175" s="76"/>
      <c r="AA175" s="76"/>
      <c r="AB175" s="76"/>
    </row>
    <row r="176" spans="1:47" outlineLevel="2" x14ac:dyDescent="0.2">
      <c r="A176" s="124" t="s">
        <v>188</v>
      </c>
      <c r="C176" s="10" t="s">
        <v>190</v>
      </c>
      <c r="D176" s="86">
        <f t="shared" si="11"/>
        <v>519009.11</v>
      </c>
      <c r="E176" s="37"/>
      <c r="F176" s="86">
        <f t="shared" si="12"/>
        <v>0</v>
      </c>
      <c r="G176" s="37"/>
      <c r="H176" s="86">
        <f t="shared" si="13"/>
        <v>0</v>
      </c>
      <c r="I176" s="37"/>
      <c r="J176" s="86">
        <f t="shared" si="14"/>
        <v>0</v>
      </c>
      <c r="K176" s="86"/>
      <c r="L176" s="86"/>
      <c r="M176" s="37"/>
      <c r="N176" s="86">
        <f t="shared" si="15"/>
        <v>519009.11</v>
      </c>
      <c r="O176" s="86"/>
      <c r="P176" s="86"/>
      <c r="Q176" s="86"/>
      <c r="R176" s="86"/>
      <c r="S176" s="86"/>
      <c r="T176" s="86"/>
      <c r="U176" s="37"/>
      <c r="V176" s="86">
        <f t="shared" si="16"/>
        <v>519009.11</v>
      </c>
      <c r="W176" s="86"/>
      <c r="X176" s="76"/>
      <c r="Y176" s="76"/>
      <c r="Z176" s="76"/>
      <c r="AA176" s="76"/>
      <c r="AB176" s="76"/>
    </row>
    <row r="177" spans="1:28" outlineLevel="3" x14ac:dyDescent="0.2">
      <c r="A177" s="124" t="s">
        <v>191</v>
      </c>
      <c r="C177" s="10" t="s">
        <v>185</v>
      </c>
      <c r="D177" s="86">
        <f t="shared" si="11"/>
        <v>220659.05</v>
      </c>
      <c r="E177" s="37"/>
      <c r="F177" s="86">
        <f t="shared" si="12"/>
        <v>0</v>
      </c>
      <c r="G177" s="37"/>
      <c r="H177" s="86">
        <f t="shared" si="13"/>
        <v>0</v>
      </c>
      <c r="I177" s="37"/>
      <c r="J177" s="86">
        <f t="shared" si="14"/>
        <v>0</v>
      </c>
      <c r="K177" s="86"/>
      <c r="L177" s="86"/>
      <c r="M177" s="37"/>
      <c r="N177" s="86">
        <f t="shared" si="15"/>
        <v>0</v>
      </c>
      <c r="O177" s="86"/>
      <c r="P177" s="86">
        <f>+P138</f>
        <v>0</v>
      </c>
      <c r="Q177" s="86"/>
      <c r="R177" s="86">
        <f>+R138</f>
        <v>0</v>
      </c>
      <c r="S177" s="86"/>
      <c r="T177" s="86">
        <f>+T138</f>
        <v>0</v>
      </c>
      <c r="U177" s="37"/>
      <c r="V177" s="86">
        <f t="shared" si="16"/>
        <v>220659.05</v>
      </c>
      <c r="W177" s="86"/>
      <c r="X177" s="76"/>
      <c r="Y177" s="76"/>
      <c r="Z177" s="76"/>
      <c r="AA177" s="76"/>
      <c r="AB177" s="76"/>
    </row>
    <row r="178" spans="1:28" outlineLevel="2" x14ac:dyDescent="0.2">
      <c r="A178" s="124" t="s">
        <v>192</v>
      </c>
      <c r="C178" s="10" t="s">
        <v>193</v>
      </c>
      <c r="D178" s="86">
        <f t="shared" si="11"/>
        <v>8587652.5899999999</v>
      </c>
      <c r="E178" s="37"/>
      <c r="F178" s="86">
        <f t="shared" si="12"/>
        <v>0</v>
      </c>
      <c r="G178" s="37"/>
      <c r="H178" s="86">
        <f t="shared" si="13"/>
        <v>0</v>
      </c>
      <c r="I178" s="37"/>
      <c r="J178" s="86">
        <f t="shared" si="14"/>
        <v>0</v>
      </c>
      <c r="K178" s="86"/>
      <c r="L178" s="86"/>
      <c r="M178" s="37"/>
      <c r="N178" s="86">
        <f t="shared" si="15"/>
        <v>0</v>
      </c>
      <c r="O178" s="86"/>
      <c r="P178" s="86">
        <f>+P139</f>
        <v>0</v>
      </c>
      <c r="Q178" s="86"/>
      <c r="R178" s="86">
        <f>+R139</f>
        <v>0</v>
      </c>
      <c r="S178" s="86"/>
      <c r="T178" s="86">
        <f>+T139</f>
        <v>0</v>
      </c>
      <c r="U178" s="37"/>
      <c r="V178" s="86">
        <f t="shared" si="16"/>
        <v>8587652.5899999999</v>
      </c>
      <c r="W178" s="86"/>
      <c r="X178" s="76"/>
      <c r="Y178" s="76"/>
      <c r="Z178" s="76"/>
      <c r="AA178" s="76"/>
      <c r="AB178" s="76"/>
    </row>
    <row r="179" spans="1:28" outlineLevel="2" x14ac:dyDescent="0.2">
      <c r="A179" s="124" t="s">
        <v>194</v>
      </c>
      <c r="C179" s="10" t="s">
        <v>195</v>
      </c>
      <c r="D179" s="86">
        <f t="shared" si="11"/>
        <v>0</v>
      </c>
      <c r="E179" s="37"/>
      <c r="F179" s="86">
        <f t="shared" si="12"/>
        <v>0</v>
      </c>
      <c r="G179" s="37"/>
      <c r="H179" s="86">
        <f t="shared" si="13"/>
        <v>0</v>
      </c>
      <c r="I179" s="37"/>
      <c r="J179" s="86">
        <f t="shared" si="14"/>
        <v>0</v>
      </c>
      <c r="K179" s="86"/>
      <c r="L179" s="86"/>
      <c r="M179" s="37"/>
      <c r="N179" s="86">
        <f t="shared" si="15"/>
        <v>0</v>
      </c>
      <c r="O179" s="86"/>
      <c r="P179" s="86">
        <f>+P140</f>
        <v>0</v>
      </c>
      <c r="Q179" s="86"/>
      <c r="R179" s="86">
        <f>+R140</f>
        <v>0</v>
      </c>
      <c r="S179" s="86"/>
      <c r="T179" s="86">
        <f>+T140</f>
        <v>0</v>
      </c>
      <c r="U179" s="37"/>
      <c r="V179" s="86">
        <f t="shared" si="16"/>
        <v>0</v>
      </c>
      <c r="W179" s="86"/>
      <c r="X179" s="76"/>
      <c r="Y179" s="76"/>
      <c r="Z179" s="76"/>
      <c r="AA179" s="76"/>
      <c r="AB179" s="76"/>
    </row>
    <row r="180" spans="1:28" outlineLevel="2" x14ac:dyDescent="0.2">
      <c r="A180" s="124" t="s">
        <v>194</v>
      </c>
      <c r="C180" s="10" t="s">
        <v>196</v>
      </c>
      <c r="D180" s="86">
        <f t="shared" si="11"/>
        <v>0</v>
      </c>
      <c r="E180" s="37"/>
      <c r="F180" s="86">
        <f t="shared" si="12"/>
        <v>0</v>
      </c>
      <c r="G180" s="37"/>
      <c r="H180" s="86">
        <f t="shared" si="13"/>
        <v>0</v>
      </c>
      <c r="I180" s="37"/>
      <c r="J180" s="86">
        <f t="shared" si="14"/>
        <v>0</v>
      </c>
      <c r="K180" s="86"/>
      <c r="L180" s="86"/>
      <c r="M180" s="37"/>
      <c r="N180" s="86">
        <f t="shared" si="15"/>
        <v>0</v>
      </c>
      <c r="O180" s="86"/>
      <c r="P180" s="86">
        <f>+P141</f>
        <v>0</v>
      </c>
      <c r="Q180" s="86"/>
      <c r="R180" s="86">
        <f>+R141</f>
        <v>0</v>
      </c>
      <c r="S180" s="86"/>
      <c r="T180" s="86">
        <f>+T141</f>
        <v>0</v>
      </c>
      <c r="U180" s="37"/>
      <c r="V180" s="86">
        <f t="shared" si="16"/>
        <v>0</v>
      </c>
      <c r="W180" s="86"/>
      <c r="X180" s="76"/>
      <c r="Y180" s="76"/>
      <c r="Z180" s="76"/>
      <c r="AA180" s="76"/>
      <c r="AB180" s="76"/>
    </row>
    <row r="181" spans="1:28" outlineLevel="2" x14ac:dyDescent="0.2">
      <c r="A181" s="124" t="s">
        <v>194</v>
      </c>
      <c r="C181" s="10" t="s">
        <v>197</v>
      </c>
      <c r="D181" s="86">
        <f t="shared" si="11"/>
        <v>387.49</v>
      </c>
      <c r="E181" s="37"/>
      <c r="F181" s="86">
        <f t="shared" si="12"/>
        <v>0</v>
      </c>
      <c r="G181" s="37"/>
      <c r="H181" s="86">
        <f t="shared" si="13"/>
        <v>0</v>
      </c>
      <c r="I181" s="37"/>
      <c r="J181" s="86">
        <f t="shared" si="14"/>
        <v>0</v>
      </c>
      <c r="K181" s="86"/>
      <c r="L181" s="86"/>
      <c r="M181" s="37"/>
      <c r="N181" s="86">
        <f t="shared" si="15"/>
        <v>0</v>
      </c>
      <c r="O181" s="86"/>
      <c r="P181" s="86">
        <f>+P142</f>
        <v>0</v>
      </c>
      <c r="Q181" s="86"/>
      <c r="R181" s="86">
        <f>+R142</f>
        <v>0</v>
      </c>
      <c r="S181" s="86"/>
      <c r="T181" s="86">
        <f>+T142</f>
        <v>0</v>
      </c>
      <c r="U181" s="37"/>
      <c r="V181" s="86">
        <f t="shared" si="16"/>
        <v>387.49</v>
      </c>
      <c r="W181" s="86"/>
      <c r="X181" s="76"/>
      <c r="Y181" s="76"/>
      <c r="Z181" s="76"/>
      <c r="AA181" s="76"/>
      <c r="AB181" s="76"/>
    </row>
    <row r="182" spans="1:28" outlineLevel="2" x14ac:dyDescent="0.2">
      <c r="A182" s="124"/>
      <c r="C182" s="10" t="s">
        <v>198</v>
      </c>
      <c r="D182" s="91">
        <f>SUM(D171:D181)</f>
        <v>10256932.040000001</v>
      </c>
      <c r="E182" s="37"/>
      <c r="F182" s="91">
        <f>SUM(F171:F181)</f>
        <v>0</v>
      </c>
      <c r="G182" s="37"/>
      <c r="H182" s="91">
        <f>SUM(H171:H181)</f>
        <v>0</v>
      </c>
      <c r="I182" s="37"/>
      <c r="J182" s="91">
        <f>SUM(J171:J181)</f>
        <v>-205751.94</v>
      </c>
      <c r="K182" s="86"/>
      <c r="L182" s="86"/>
      <c r="M182" s="37"/>
      <c r="N182" s="91">
        <f>SUM(N171:N181)</f>
        <v>313257.17</v>
      </c>
      <c r="O182" s="86"/>
      <c r="P182" s="91">
        <f>SUM(P171:P181)</f>
        <v>0</v>
      </c>
      <c r="Q182" s="86"/>
      <c r="R182" s="91">
        <f>SUM(R171:R181)</f>
        <v>0</v>
      </c>
      <c r="S182" s="86"/>
      <c r="T182" s="91">
        <f>SUM(T171:T181)</f>
        <v>0</v>
      </c>
      <c r="U182" s="37"/>
      <c r="V182" s="91">
        <f>SUM(V171:V181)</f>
        <v>10051180.1</v>
      </c>
      <c r="W182" s="86"/>
      <c r="X182" s="76"/>
      <c r="Y182" s="76"/>
      <c r="Z182" s="76"/>
      <c r="AA182" s="76"/>
      <c r="AB182" s="76"/>
    </row>
    <row r="183" spans="1:28" ht="12" customHeight="1" outlineLevel="2" x14ac:dyDescent="0.2"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1:28" outlineLevel="2" x14ac:dyDescent="0.2"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1:28" outlineLevel="2" x14ac:dyDescent="0.2">
      <c r="B185" s="22"/>
      <c r="D185" s="8" t="s">
        <v>3</v>
      </c>
      <c r="F185" s="37"/>
      <c r="H185" s="37"/>
      <c r="J185" s="8" t="s">
        <v>4</v>
      </c>
      <c r="K185" s="8"/>
      <c r="L185" s="8" t="s">
        <v>66</v>
      </c>
      <c r="N185" s="8" t="s">
        <v>67</v>
      </c>
      <c r="P185" s="18" t="s">
        <v>68</v>
      </c>
      <c r="R185" s="8"/>
      <c r="T185" s="8" t="s">
        <v>69</v>
      </c>
      <c r="V185" s="8" t="s">
        <v>5</v>
      </c>
      <c r="W185" s="8"/>
    </row>
    <row r="186" spans="1:28" outlineLevel="2" x14ac:dyDescent="0.2">
      <c r="B186" s="22"/>
      <c r="D186" s="12" t="s">
        <v>7</v>
      </c>
      <c r="F186" s="12" t="s">
        <v>70</v>
      </c>
      <c r="H186" s="12" t="s">
        <v>9</v>
      </c>
      <c r="J186" s="12" t="s">
        <v>10</v>
      </c>
      <c r="K186" s="18"/>
      <c r="L186" s="12" t="s">
        <v>71</v>
      </c>
      <c r="N186" s="12" t="s">
        <v>72</v>
      </c>
      <c r="P186" s="12" t="s">
        <v>73</v>
      </c>
      <c r="R186" s="12" t="s">
        <v>74</v>
      </c>
      <c r="T186" s="12" t="s">
        <v>75</v>
      </c>
      <c r="V186" s="12" t="s">
        <v>7</v>
      </c>
      <c r="W186" s="18"/>
    </row>
    <row r="187" spans="1:28" outlineLevel="2" x14ac:dyDescent="0.2">
      <c r="A187" s="124" t="s">
        <v>192</v>
      </c>
      <c r="C187" s="10" t="s">
        <v>199</v>
      </c>
      <c r="D187" s="99">
        <f>+'KY_Res by Plant Acct-P29 (Reg)'!B356+'IN_Res by Plant Acct-P30 (Reg)'!B15+'KY_Res by Plant Acct-P29 (Reg)'!B11+0.04+7.82-0.36</f>
        <v>-2965029.1</v>
      </c>
      <c r="E187" s="99"/>
      <c r="F187" s="99">
        <f>+'KY_Res by Plant Acct-P29 (Reg)'!D356+'IN_Res by Plant Acct-P30 (Reg)'!D15+'KY_Res by Plant Acct-P29 (Reg)'!D11</f>
        <v>-128814.72</v>
      </c>
      <c r="G187" s="99"/>
      <c r="H187" s="99">
        <f>+'KY_Res by Plant Acct-P29 (Reg)'!F356+'IN_Res by Plant Acct-P30 (Reg)'!F15+'KY_Res by Plant Acct-P29 (Reg)'!F11</f>
        <v>0</v>
      </c>
      <c r="I187" s="99"/>
      <c r="J187" s="99">
        <f>+'KY_Res by Plant Acct-P29 (Reg)'!H356+'IN_Res by Plant Acct-P30 (Reg)'!H15+'KY_Res by Plant Acct-P29 (Reg)'!H11</f>
        <v>0</v>
      </c>
      <c r="K187" s="99"/>
      <c r="L187" s="99"/>
      <c r="M187" s="99"/>
      <c r="N187" s="99">
        <f>+'KY_Res by Plant Acct-P29 (Reg)'!J356+'IN_Res by Plant Acct-P30 (Reg)'!J15+'KY_Res by Plant Acct-P29 (Reg)'!J11</f>
        <v>0</v>
      </c>
      <c r="O187" s="99"/>
      <c r="P187" s="99">
        <f>+'KY_Res by Plant Acct-P29 (Reg)'!L356+'IN_Res by Plant Acct-P30 (Reg)'!L15+'KY_Res by Plant Acct-P29 (Reg)'!L11</f>
        <v>0</v>
      </c>
      <c r="Q187" s="99"/>
      <c r="R187" s="99">
        <f>+'KY_Res by Plant Acct-P29 (Reg)'!N356+'IN_Res by Plant Acct-P30 (Reg)'!N15+'KY_Res by Plant Acct-P29 (Reg)'!N11</f>
        <v>0</v>
      </c>
      <c r="S187" s="99"/>
      <c r="T187" s="99">
        <f>+'KY_Res by Plant Acct-P29 (Reg)'!P356+'IN_Res by Plant Acct-P30 (Reg)'!P15+'KY_Res by Plant Acct-P29 (Reg)'!P11</f>
        <v>0</v>
      </c>
      <c r="U187" s="99"/>
      <c r="V187" s="37">
        <f>T187+R187+P187+N187+J187+H187+F187+D187</f>
        <v>-3093843.8200000003</v>
      </c>
      <c r="W187" s="99"/>
    </row>
    <row r="188" spans="1:28" outlineLevel="2" x14ac:dyDescent="0.2">
      <c r="A188" s="124" t="s">
        <v>184</v>
      </c>
      <c r="C188" s="10" t="s">
        <v>185</v>
      </c>
      <c r="D188" s="37">
        <f>+'KY_Res by Plant Acct-P29 (Reg)'!B424</f>
        <v>-72165.17</v>
      </c>
      <c r="E188" s="37"/>
      <c r="F188" s="37">
        <f>+'KY_Res by Plant Acct-P29 (Reg)'!D424</f>
        <v>-579.59</v>
      </c>
      <c r="G188" s="37"/>
      <c r="H188" s="37">
        <f>+'KY_Res by Plant Acct-P29 (Reg)'!F424</f>
        <v>0</v>
      </c>
      <c r="I188" s="37"/>
      <c r="J188" s="37">
        <f>+'KY_Res by Plant Acct-P29 (Reg)'!H424</f>
        <v>2996.91</v>
      </c>
      <c r="K188" s="37"/>
      <c r="L188" s="37"/>
      <c r="M188" s="37"/>
      <c r="N188" s="37">
        <f>+'KY_Res by Plant Acct-P29 (Reg)'!J424</f>
        <v>0</v>
      </c>
      <c r="O188" s="37"/>
      <c r="P188" s="37">
        <f>+'KY_Res by Plant Acct-P29 (Reg)'!L424</f>
        <v>0</v>
      </c>
      <c r="Q188" s="37"/>
      <c r="R188" s="37">
        <f>+'KY_Res by Plant Acct-P29 (Reg)'!N424</f>
        <v>0</v>
      </c>
      <c r="S188" s="37"/>
      <c r="T188" s="37">
        <f>+'KY_Res by Plant Acct-P29 (Reg)'!P424</f>
        <v>0</v>
      </c>
      <c r="U188" s="37"/>
      <c r="V188" s="37">
        <f t="shared" ref="V188:V195" si="17">T188+R188+P188+N188+J188+H188+F188+D188</f>
        <v>-69747.850000000006</v>
      </c>
      <c r="W188" s="37"/>
    </row>
    <row r="189" spans="1:28" outlineLevel="2" x14ac:dyDescent="0.2">
      <c r="A189" s="124" t="s">
        <v>186</v>
      </c>
      <c r="C189" s="10" t="s">
        <v>185</v>
      </c>
      <c r="D189" s="37">
        <f>'KY_Res by Plant Acct-P29 (Reg)'!B393</f>
        <v>-77439.69</v>
      </c>
      <c r="E189" s="37"/>
      <c r="F189" s="37">
        <f>+'KY_Res by Plant Acct-P29 (Reg)'!D393</f>
        <v>0</v>
      </c>
      <c r="G189" s="37"/>
      <c r="H189" s="37">
        <f>+'KY_Res by Plant Acct-P29 (Reg)'!F393</f>
        <v>0</v>
      </c>
      <c r="I189" s="37"/>
      <c r="J189" s="37">
        <f>+'KY_Res by Plant Acct-P29 (Reg)'!H393</f>
        <v>0</v>
      </c>
      <c r="K189" s="37"/>
      <c r="L189" s="37"/>
      <c r="M189" s="37"/>
      <c r="N189" s="37">
        <f>+'KY_Res by Plant Acct-P29 (Reg)'!J393</f>
        <v>0</v>
      </c>
      <c r="O189" s="37"/>
      <c r="P189" s="37">
        <f>+'KY_Res by Plant Acct-P29 (Reg)'!L393</f>
        <v>0</v>
      </c>
      <c r="Q189" s="37"/>
      <c r="R189" s="37">
        <f>+'KY_Res by Plant Acct-P29 (Reg)'!N393</f>
        <v>0</v>
      </c>
      <c r="S189" s="37"/>
      <c r="T189" s="37">
        <f>+'KY_Res by Plant Acct-P29 (Reg)'!P393</f>
        <v>0</v>
      </c>
      <c r="U189" s="37"/>
      <c r="V189" s="37">
        <f t="shared" si="17"/>
        <v>-77439.69</v>
      </c>
      <c r="W189" s="37"/>
    </row>
    <row r="190" spans="1:28" outlineLevel="2" x14ac:dyDescent="0.2">
      <c r="A190" s="124" t="s">
        <v>187</v>
      </c>
      <c r="C190" s="10" t="s">
        <v>185</v>
      </c>
      <c r="D190" s="37">
        <f>+'KY_Res by Plant Acct-P29 (Reg)'!B428</f>
        <v>-569589.96</v>
      </c>
      <c r="E190" s="37"/>
      <c r="F190" s="37">
        <f>+'KY_Res by Plant Acct-P29 (Reg)'!D428</f>
        <v>0</v>
      </c>
      <c r="G190" s="37"/>
      <c r="H190" s="37">
        <f>+'KY_Res by Plant Acct-P29 (Reg)'!F428</f>
        <v>0</v>
      </c>
      <c r="I190" s="37"/>
      <c r="J190" s="37">
        <f>+'KY_Res by Plant Acct-P29 (Reg)'!H428</f>
        <v>0</v>
      </c>
      <c r="K190" s="37"/>
      <c r="L190" s="37"/>
      <c r="M190" s="37"/>
      <c r="N190" s="37">
        <f>+'KY_Res by Plant Acct-P29 (Reg)'!J428</f>
        <v>0</v>
      </c>
      <c r="O190" s="37"/>
      <c r="P190" s="37">
        <f>+'KY_Res by Plant Acct-P29 (Reg)'!L428</f>
        <v>0</v>
      </c>
      <c r="Q190" s="37"/>
      <c r="R190" s="37">
        <f>+'KY_Res by Plant Acct-P29 (Reg)'!N428</f>
        <v>0</v>
      </c>
      <c r="S190" s="37"/>
      <c r="T190" s="37">
        <f>+'KY_Res by Plant Acct-P29 (Reg)'!P428</f>
        <v>0</v>
      </c>
      <c r="U190" s="37"/>
      <c r="V190" s="37">
        <f>T190+R190+P190+N190+J190+H190+F190+D190</f>
        <v>-569589.96</v>
      </c>
      <c r="W190" s="37"/>
    </row>
    <row r="191" spans="1:28" outlineLevel="2" x14ac:dyDescent="0.2">
      <c r="A191" s="124" t="s">
        <v>188</v>
      </c>
      <c r="C191" s="10" t="s">
        <v>189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8" outlineLevel="2" x14ac:dyDescent="0.2">
      <c r="A192" s="124" t="s">
        <v>191</v>
      </c>
      <c r="C192" s="10" t="s">
        <v>185</v>
      </c>
      <c r="D192" s="37">
        <f>'KY_Res by Plant Acct-P29 (Reg)'!B444</f>
        <v>-210492.38999999998</v>
      </c>
      <c r="E192" s="37"/>
      <c r="F192" s="37">
        <f>'KY_Res by Plant Acct-P29 (Reg)'!D444</f>
        <v>-353.04</v>
      </c>
      <c r="G192" s="37"/>
      <c r="H192" s="37">
        <f>'KY_Res by Plant Acct-P29 (Reg)'!F444</f>
        <v>0</v>
      </c>
      <c r="I192" s="37"/>
      <c r="J192" s="37">
        <f>'KY_Res by Plant Acct-P29 (Reg)'!H444</f>
        <v>0</v>
      </c>
      <c r="K192" s="37"/>
      <c r="L192" s="37"/>
      <c r="M192" s="37"/>
      <c r="N192" s="37">
        <f>'KY_Res by Plant Acct-P29 (Reg)'!J444</f>
        <v>0</v>
      </c>
      <c r="O192" s="37"/>
      <c r="P192" s="37">
        <f>'KY_Res by Plant Acct-P29 (Reg)'!L444</f>
        <v>0</v>
      </c>
      <c r="Q192" s="37"/>
      <c r="R192" s="37">
        <f>'KY_Res by Plant Acct-P29 (Reg)'!N444</f>
        <v>0</v>
      </c>
      <c r="S192" s="37"/>
      <c r="T192" s="37">
        <f>'KY_Res by Plant Acct-P29 (Reg)'!P444</f>
        <v>0</v>
      </c>
      <c r="U192" s="37"/>
      <c r="V192" s="37">
        <f t="shared" si="17"/>
        <v>-210845.43</v>
      </c>
      <c r="W192" s="37"/>
    </row>
    <row r="193" spans="1:47" outlineLevel="2" x14ac:dyDescent="0.2">
      <c r="A193" s="124" t="s">
        <v>182</v>
      </c>
      <c r="C193" s="10" t="s">
        <v>183</v>
      </c>
      <c r="D193" s="37">
        <f>+'KY_Res by Plant Acct-P29 (Reg)'!B463</f>
        <v>-140828.57999999999</v>
      </c>
      <c r="E193" s="37"/>
      <c r="F193" s="37">
        <f>+'KY_Res by Plant Acct-P29 (Reg)'!D463</f>
        <v>0</v>
      </c>
      <c r="G193" s="37"/>
      <c r="H193" s="37">
        <f>+'KY_Res by Plant Acct-P29 (Reg)'!F463</f>
        <v>0</v>
      </c>
      <c r="I193" s="37"/>
      <c r="J193" s="37">
        <f>+'KY_Res by Plant Acct-P29 (Reg)'!H463</f>
        <v>140828.57999999999</v>
      </c>
      <c r="K193" s="37"/>
      <c r="L193" s="37"/>
      <c r="M193" s="37"/>
      <c r="N193" s="37">
        <f>+'KY_Res by Plant Acct-P29 (Reg)'!J463</f>
        <v>0</v>
      </c>
      <c r="O193" s="37"/>
      <c r="P193" s="37">
        <f>+'KY_Res by Plant Acct-P29 (Reg)'!L463</f>
        <v>0</v>
      </c>
      <c r="Q193" s="37"/>
      <c r="R193" s="37">
        <f>+'KY_Res by Plant Acct-P29 (Reg)'!N463</f>
        <v>0</v>
      </c>
      <c r="S193" s="37"/>
      <c r="T193" s="37">
        <f>+'KY_Res by Plant Acct-P29 (Reg)'!P463</f>
        <v>0</v>
      </c>
      <c r="U193" s="37"/>
      <c r="V193" s="37">
        <f>T193+R193+P193+N193+J193+H193+F193+D193</f>
        <v>0</v>
      </c>
      <c r="W193" s="37"/>
    </row>
    <row r="194" spans="1:47" outlineLevel="2" x14ac:dyDescent="0.2">
      <c r="A194" s="124" t="s">
        <v>194</v>
      </c>
      <c r="C194" s="10" t="s">
        <v>195</v>
      </c>
      <c r="D194" s="37">
        <f>+'KY_Res by Plant Acct-P29 (Reg)'!B507</f>
        <v>0</v>
      </c>
      <c r="E194" s="37"/>
      <c r="F194" s="37">
        <f>+'KY_Res by Plant Acct-P29 (Reg)'!D507</f>
        <v>0</v>
      </c>
      <c r="G194" s="37"/>
      <c r="H194" s="37">
        <f>+'KY_Res by Plant Acct-P29 (Reg)'!F507</f>
        <v>0</v>
      </c>
      <c r="I194" s="37"/>
      <c r="J194" s="37">
        <f>+'KY_Res by Plant Acct-P29 (Reg)'!H507</f>
        <v>0</v>
      </c>
      <c r="K194" s="37"/>
      <c r="L194" s="37"/>
      <c r="M194" s="37"/>
      <c r="N194" s="37">
        <f>+'KY_Res by Plant Acct-P29 (Reg)'!J507</f>
        <v>0</v>
      </c>
      <c r="O194" s="37"/>
      <c r="P194" s="37">
        <f>+'KY_Res by Plant Acct-P29 (Reg)'!L507</f>
        <v>0</v>
      </c>
      <c r="Q194" s="37"/>
      <c r="R194" s="37">
        <f>+'KY_Res by Plant Acct-P29 (Reg)'!N507</f>
        <v>0</v>
      </c>
      <c r="S194" s="37"/>
      <c r="T194" s="37">
        <f>+'KY_Res by Plant Acct-P29 (Reg)'!P507</f>
        <v>0</v>
      </c>
      <c r="U194" s="37"/>
      <c r="V194" s="37">
        <f>T194+R194+P194+N194+J194+H194+F194+D194</f>
        <v>0</v>
      </c>
      <c r="W194" s="37"/>
    </row>
    <row r="195" spans="1:47" outlineLevel="2" x14ac:dyDescent="0.2">
      <c r="A195" s="124" t="s">
        <v>194</v>
      </c>
      <c r="C195" s="10" t="s">
        <v>196</v>
      </c>
      <c r="D195" s="37">
        <f>+'KY_Res by Plant Acct-P29 (Reg)'!B383</f>
        <v>0</v>
      </c>
      <c r="E195" s="37"/>
      <c r="F195" s="37">
        <f>+'KY_Res by Plant Acct-P29 (Reg)'!D383</f>
        <v>0</v>
      </c>
      <c r="G195" s="37"/>
      <c r="H195" s="37">
        <f>+'KY_Res by Plant Acct-P29 (Reg)'!F383</f>
        <v>0</v>
      </c>
      <c r="I195" s="37"/>
      <c r="J195" s="37">
        <f>+'KY_Res by Plant Acct-P29 (Reg)'!H383</f>
        <v>0</v>
      </c>
      <c r="K195" s="37"/>
      <c r="L195" s="37"/>
      <c r="M195" s="37"/>
      <c r="N195" s="37">
        <f>+'KY_Res by Plant Acct-P29 (Reg)'!J383</f>
        <v>0</v>
      </c>
      <c r="O195" s="37"/>
      <c r="P195" s="37">
        <f>+'KY_Res by Plant Acct-P29 (Reg)'!L383</f>
        <v>0</v>
      </c>
      <c r="Q195" s="37"/>
      <c r="R195" s="37">
        <f>+'KY_Res by Plant Acct-P29 (Reg)'!N383</f>
        <v>0</v>
      </c>
      <c r="S195" s="37"/>
      <c r="T195" s="37">
        <f>+'KY_Res by Plant Acct-P29 (Reg)'!P383</f>
        <v>0</v>
      </c>
      <c r="U195" s="37"/>
      <c r="V195" s="37">
        <f t="shared" si="17"/>
        <v>0</v>
      </c>
      <c r="W195" s="37"/>
    </row>
    <row r="196" spans="1:47" outlineLevel="2" x14ac:dyDescent="0.2">
      <c r="A196" s="124" t="s">
        <v>194</v>
      </c>
      <c r="C196" s="10" t="s">
        <v>197</v>
      </c>
      <c r="D196" s="37">
        <f>+'KY_Res by Plant Acct-P29 (Reg)'!B454</f>
        <v>-123.12000000000003</v>
      </c>
      <c r="E196" s="37"/>
      <c r="F196" s="37">
        <f>+'KY_Res by Plant Acct-P29 (Reg)'!D454</f>
        <v>-41.04</v>
      </c>
      <c r="G196" s="37"/>
      <c r="H196" s="37">
        <f>+'KY_Res by Plant Acct-P29 (Reg)'!F454</f>
        <v>0</v>
      </c>
      <c r="I196" s="37"/>
      <c r="J196" s="37">
        <f>+'KY_Res by Plant Acct-P29 (Reg)'!H454</f>
        <v>0</v>
      </c>
      <c r="K196" s="37"/>
      <c r="L196" s="37"/>
      <c r="M196" s="37"/>
      <c r="N196" s="37">
        <f>+'KY_Res by Plant Acct-P29 (Reg)'!J454</f>
        <v>0</v>
      </c>
      <c r="O196" s="37"/>
      <c r="P196" s="37">
        <f>+'KY_Res by Plant Acct-P29 (Reg)'!L454</f>
        <v>0</v>
      </c>
      <c r="Q196" s="37"/>
      <c r="R196" s="37">
        <f>+'KY_Res by Plant Acct-P29 (Reg)'!N454</f>
        <v>0</v>
      </c>
      <c r="S196" s="37"/>
      <c r="T196" s="37">
        <f>+'KY_Res by Plant Acct-P29 (Reg)'!P454</f>
        <v>0</v>
      </c>
      <c r="U196" s="37"/>
      <c r="V196" s="37">
        <f>'KY_Res by Plant Acct-P29 (Reg)'!R454</f>
        <v>-164.16000000000003</v>
      </c>
      <c r="W196" s="37"/>
    </row>
    <row r="197" spans="1:47" outlineLevel="2" x14ac:dyDescent="0.2">
      <c r="C197" s="22" t="s">
        <v>200</v>
      </c>
      <c r="D197" s="91">
        <f>SUM(D187:D196)</f>
        <v>-4035668.0100000002</v>
      </c>
      <c r="E197" s="37"/>
      <c r="F197" s="91">
        <f>SUM(F187:F196)</f>
        <v>-129788.38999999998</v>
      </c>
      <c r="G197" s="37"/>
      <c r="H197" s="91">
        <f>SUM(H187:H196)</f>
        <v>0</v>
      </c>
      <c r="I197" s="37"/>
      <c r="J197" s="91">
        <f>SUM(J187:J196)</f>
        <v>143825.49</v>
      </c>
      <c r="K197" s="86"/>
      <c r="L197" s="86"/>
      <c r="M197" s="37"/>
      <c r="N197" s="91">
        <f>SUM(N187:N196)</f>
        <v>0</v>
      </c>
      <c r="O197" s="86"/>
      <c r="P197" s="91">
        <f>SUM(P187:P196)</f>
        <v>0</v>
      </c>
      <c r="Q197" s="86"/>
      <c r="R197" s="91">
        <f>SUM(R187:R196)</f>
        <v>0</v>
      </c>
      <c r="S197" s="86"/>
      <c r="T197" s="91">
        <f>SUM(T187:T196)</f>
        <v>0</v>
      </c>
      <c r="U197" s="37"/>
      <c r="V197" s="91">
        <f>SUM(V187:V196)</f>
        <v>-4021630.9100000006</v>
      </c>
      <c r="W197" s="86"/>
    </row>
    <row r="198" spans="1:47" outlineLevel="2" x14ac:dyDescent="0.2"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1:47" outlineLevel="2" x14ac:dyDescent="0.2">
      <c r="B199" s="90" t="s">
        <v>201</v>
      </c>
      <c r="D199" s="99">
        <f>+D182+D197</f>
        <v>6221264.0300000012</v>
      </c>
      <c r="E199" s="99"/>
      <c r="F199" s="99">
        <f>+F182+F197</f>
        <v>-129788.38999999998</v>
      </c>
      <c r="G199" s="99"/>
      <c r="H199" s="99">
        <f>+H182+H197</f>
        <v>0</v>
      </c>
      <c r="I199" s="99"/>
      <c r="J199" s="99">
        <f>+J182+J197</f>
        <v>-61926.450000000012</v>
      </c>
      <c r="K199" s="99"/>
      <c r="L199" s="99"/>
      <c r="M199" s="99"/>
      <c r="N199" s="99">
        <f>+N197</f>
        <v>0</v>
      </c>
      <c r="O199" s="99"/>
      <c r="P199" s="99">
        <f>+P182+P197</f>
        <v>0</v>
      </c>
      <c r="Q199" s="99"/>
      <c r="R199" s="99">
        <f>+R182+R197</f>
        <v>0</v>
      </c>
      <c r="S199" s="99"/>
      <c r="T199" s="99">
        <f>+T182+T197</f>
        <v>0</v>
      </c>
      <c r="U199" s="99"/>
      <c r="V199" s="99">
        <f>+V182+V197</f>
        <v>6029549.1899999995</v>
      </c>
      <c r="W199" s="99"/>
      <c r="X199" s="100">
        <f>+F197</f>
        <v>-129788.38999999998</v>
      </c>
      <c r="Y199" s="100"/>
      <c r="Z199" s="100"/>
      <c r="AA199" s="100"/>
      <c r="AB199" s="100"/>
      <c r="AC199" s="87">
        <f>+F182</f>
        <v>0</v>
      </c>
      <c r="AD199" s="87"/>
      <c r="AL199" s="87"/>
      <c r="AN199" s="87">
        <f>+J182+J197</f>
        <v>-61926.450000000012</v>
      </c>
      <c r="AT199" s="87">
        <f>SUM(X199:AR199)</f>
        <v>-191714.84</v>
      </c>
      <c r="AU199" s="87">
        <f>+V199-D199-AT199</f>
        <v>-1.7171259969472885E-9</v>
      </c>
    </row>
    <row r="200" spans="1:47" outlineLevel="1" x14ac:dyDescent="0.2">
      <c r="D200" s="99">
        <f>D199-D15</f>
        <v>0</v>
      </c>
      <c r="E200" s="99"/>
      <c r="F200" s="99">
        <v>0</v>
      </c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>
        <f>+V199-V15</f>
        <v>0</v>
      </c>
      <c r="W200" s="99"/>
    </row>
    <row r="201" spans="1:47" outlineLevel="1" x14ac:dyDescent="0.2"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1:47" outlineLevel="1" x14ac:dyDescent="0.2">
      <c r="B202" s="22"/>
      <c r="D202" s="8" t="s">
        <v>3</v>
      </c>
      <c r="F202" s="37"/>
      <c r="H202" s="37"/>
      <c r="J202" s="8" t="s">
        <v>4</v>
      </c>
      <c r="K202" s="8"/>
      <c r="L202" s="8" t="s">
        <v>66</v>
      </c>
      <c r="N202" s="8" t="s">
        <v>67</v>
      </c>
      <c r="P202" s="18" t="s">
        <v>68</v>
      </c>
      <c r="R202" s="8"/>
      <c r="T202" s="8" t="s">
        <v>69</v>
      </c>
      <c r="V202" s="8" t="s">
        <v>5</v>
      </c>
      <c r="W202" s="8"/>
    </row>
    <row r="203" spans="1:47" outlineLevel="3" x14ac:dyDescent="0.2">
      <c r="B203" s="22"/>
      <c r="D203" s="12" t="s">
        <v>7</v>
      </c>
      <c r="F203" s="12" t="s">
        <v>70</v>
      </c>
      <c r="H203" s="12" t="s">
        <v>9</v>
      </c>
      <c r="J203" s="12" t="s">
        <v>10</v>
      </c>
      <c r="K203" s="18"/>
      <c r="L203" s="12" t="s">
        <v>71</v>
      </c>
      <c r="N203" s="12" t="s">
        <v>72</v>
      </c>
      <c r="P203" s="12" t="s">
        <v>73</v>
      </c>
      <c r="R203" s="12" t="s">
        <v>74</v>
      </c>
      <c r="T203" s="12" t="s">
        <v>75</v>
      </c>
      <c r="V203" s="12" t="s">
        <v>7</v>
      </c>
      <c r="W203" s="18"/>
    </row>
    <row r="204" spans="1:47" outlineLevel="3" x14ac:dyDescent="0.2">
      <c r="B204" s="22"/>
      <c r="D204" s="18"/>
      <c r="F204" s="18"/>
      <c r="H204" s="18"/>
      <c r="J204" s="18"/>
      <c r="K204" s="18"/>
      <c r="L204" s="18"/>
      <c r="N204" s="18"/>
      <c r="P204" s="18"/>
      <c r="R204" s="18"/>
      <c r="T204" s="18"/>
      <c r="V204" s="18"/>
      <c r="W204" s="18"/>
    </row>
    <row r="205" spans="1:47" outlineLevel="3" x14ac:dyDescent="0.2">
      <c r="B205" s="10" t="s">
        <v>76</v>
      </c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</row>
    <row r="206" spans="1:47" outlineLevel="3" x14ac:dyDescent="0.2">
      <c r="B206" s="22"/>
      <c r="C206" s="22" t="s">
        <v>14</v>
      </c>
      <c r="D206" s="37">
        <f>+'Summary - Reserve - PG 2 (Reg)'!C10</f>
        <v>-90277222.729999989</v>
      </c>
      <c r="E206" s="37"/>
      <c r="F206" s="37">
        <f>+'Summary - Reserve - PG 2 (Reg)'!E10</f>
        <v>-10060793.949999999</v>
      </c>
      <c r="G206" s="37"/>
      <c r="H206" s="37">
        <f>+'Summary - Reserve - PG 2 (Reg)'!G10</f>
        <v>20362956.43</v>
      </c>
      <c r="I206" s="37"/>
      <c r="J206" s="37">
        <f>+'Summary - Reserve - PG 2 (Reg)'!I10</f>
        <v>1342.38</v>
      </c>
      <c r="K206" s="37"/>
      <c r="L206" s="37"/>
      <c r="M206" s="37"/>
      <c r="N206" s="37">
        <f>+'Summary - Reserve - PG 2 (Reg)'!M10</f>
        <v>0</v>
      </c>
      <c r="O206" s="37"/>
      <c r="P206" s="37">
        <f>+'Summary - Reserve - PG 2 (Reg)'!O10</f>
        <v>0</v>
      </c>
      <c r="Q206" s="37"/>
      <c r="R206" s="37">
        <f>+'Summary - Reserve - PG 2 (Reg)'!Q10</f>
        <v>0</v>
      </c>
      <c r="S206" s="37"/>
      <c r="T206" s="37">
        <f>+'Summary - Reserve - PG 2 (Reg)'!S10</f>
        <v>0</v>
      </c>
      <c r="U206" s="37"/>
      <c r="V206" s="37">
        <f>T206+R206+P206+N206+J206+H206+F206+D206</f>
        <v>-79973717.86999999</v>
      </c>
      <c r="W206" s="37"/>
    </row>
    <row r="207" spans="1:47" outlineLevel="3" x14ac:dyDescent="0.2">
      <c r="B207" s="22"/>
      <c r="C207" s="22" t="s">
        <v>77</v>
      </c>
      <c r="D207" s="37">
        <f>+'Summary - Reserve - PG 2 (Reg)'!C11</f>
        <v>0</v>
      </c>
      <c r="E207" s="37"/>
      <c r="F207" s="37">
        <f>+'Summary - Reserve - PG 2 (Reg)'!E11</f>
        <v>0</v>
      </c>
      <c r="G207" s="37"/>
      <c r="H207" s="37">
        <f>+'Summary - Reserve - PG 2 (Reg)'!G11</f>
        <v>0</v>
      </c>
      <c r="I207" s="37"/>
      <c r="J207" s="37">
        <f>+'Summary - Reserve - PG 2 (Reg)'!I11</f>
        <v>0</v>
      </c>
      <c r="K207" s="37"/>
      <c r="L207" s="37"/>
      <c r="M207" s="37"/>
      <c r="N207" s="37">
        <f>+'Summary - Reserve - PG 2 (Reg)'!M11</f>
        <v>0</v>
      </c>
      <c r="O207" s="37"/>
      <c r="P207" s="37">
        <f>+'Summary - Reserve - PG 2 (Reg)'!O11</f>
        <v>0</v>
      </c>
      <c r="Q207" s="37"/>
      <c r="R207" s="37">
        <f>+'Summary - Reserve - PG 2 (Reg)'!Q11</f>
        <v>0</v>
      </c>
      <c r="S207" s="37"/>
      <c r="T207" s="37">
        <f>+'Summary - Reserve - PG 2 (Reg)'!S11</f>
        <v>0</v>
      </c>
      <c r="U207" s="37"/>
      <c r="V207" s="37">
        <f t="shared" ref="V207:V228" si="18">T207+R207+P207+N207+J207+H207+F207+D207</f>
        <v>0</v>
      </c>
      <c r="W207" s="37"/>
    </row>
    <row r="208" spans="1:47" outlineLevel="3" x14ac:dyDescent="0.2">
      <c r="B208" s="22"/>
      <c r="C208" s="22" t="s">
        <v>18</v>
      </c>
      <c r="D208" s="37">
        <f>+'Summary - Reserve - PG 2 (Reg)'!C12</f>
        <v>-342879796.25</v>
      </c>
      <c r="E208" s="37"/>
      <c r="F208" s="37">
        <f>+'Summary - Reserve - PG 2 (Reg)'!E12</f>
        <v>-24235413.379999999</v>
      </c>
      <c r="G208" s="37"/>
      <c r="H208" s="37">
        <f>+'Summary - Reserve - PG 2 (Reg)'!G12</f>
        <v>10202649.220000001</v>
      </c>
      <c r="I208" s="37"/>
      <c r="J208" s="37">
        <f>+'Summary - Reserve - PG 2 (Reg)'!I12</f>
        <v>48347.59</v>
      </c>
      <c r="K208" s="37"/>
      <c r="L208" s="37"/>
      <c r="M208" s="37"/>
      <c r="N208" s="37">
        <f>+'Summary - Reserve - PG 2 (Reg)'!M12</f>
        <v>0</v>
      </c>
      <c r="O208" s="37"/>
      <c r="P208" s="37">
        <f>+'Summary - Reserve - PG 2 (Reg)'!O12</f>
        <v>0</v>
      </c>
      <c r="Q208" s="37"/>
      <c r="R208" s="37">
        <f>+'Summary - Reserve - PG 2 (Reg)'!Q12</f>
        <v>0</v>
      </c>
      <c r="S208" s="37"/>
      <c r="T208" s="37">
        <f>+'Summary - Reserve - PG 2 (Reg)'!S12</f>
        <v>0</v>
      </c>
      <c r="U208" s="37"/>
      <c r="V208" s="37">
        <f t="shared" si="18"/>
        <v>-356864212.81999999</v>
      </c>
      <c r="W208" s="37"/>
    </row>
    <row r="209" spans="2:23" outlineLevel="3" x14ac:dyDescent="0.2">
      <c r="B209" s="22"/>
      <c r="C209" s="22" t="s">
        <v>78</v>
      </c>
      <c r="D209" s="37">
        <f>+'Summary - Reserve - PG 2 (Reg)'!C13</f>
        <v>-42568.650000000067</v>
      </c>
      <c r="E209" s="37"/>
      <c r="F209" s="37">
        <f>+'Summary - Reserve - PG 2 (Reg)'!E13</f>
        <v>-7460.06</v>
      </c>
      <c r="G209" s="37"/>
      <c r="H209" s="37">
        <f>+'Summary - Reserve - PG 2 (Reg)'!G13</f>
        <v>0</v>
      </c>
      <c r="I209" s="37"/>
      <c r="J209" s="37">
        <f>+'Summary - Reserve - PG 2 (Reg)'!I13</f>
        <v>0</v>
      </c>
      <c r="K209" s="37"/>
      <c r="L209" s="37"/>
      <c r="M209" s="37"/>
      <c r="N209" s="37">
        <f>+'Summary - Reserve - PG 2 (Reg)'!M13</f>
        <v>0</v>
      </c>
      <c r="O209" s="37"/>
      <c r="P209" s="37">
        <f>+'Summary - Reserve - PG 2 (Reg)'!O13</f>
        <v>0</v>
      </c>
      <c r="Q209" s="37"/>
      <c r="R209" s="37">
        <f>+'Summary - Reserve - PG 2 (Reg)'!Q13</f>
        <v>0</v>
      </c>
      <c r="S209" s="37"/>
      <c r="T209" s="37">
        <f>+'Summary - Reserve - PG 2 (Reg)'!S13</f>
        <v>0</v>
      </c>
      <c r="U209" s="37"/>
      <c r="V209" s="37">
        <f>T209+R209+P209+N209+J209+H209+F209+D209</f>
        <v>-50028.710000000065</v>
      </c>
      <c r="W209" s="37"/>
    </row>
    <row r="210" spans="2:23" outlineLevel="3" x14ac:dyDescent="0.2">
      <c r="B210" s="22"/>
      <c r="C210" s="22" t="s">
        <v>19</v>
      </c>
      <c r="D210" s="37">
        <f>+'Summary - Reserve - PG 2 (Reg)'!C14</f>
        <v>-7511140.4899999984</v>
      </c>
      <c r="E210" s="37"/>
      <c r="F210" s="37">
        <f>+'Summary - Reserve - PG 2 (Reg)'!E14</f>
        <v>-1735391.42</v>
      </c>
      <c r="G210" s="37"/>
      <c r="H210" s="37">
        <f>+'Summary - Reserve - PG 2 (Reg)'!G14</f>
        <v>575538.23</v>
      </c>
      <c r="I210" s="37"/>
      <c r="J210" s="37">
        <f>+'Summary - Reserve - PG 2 (Reg)'!I14</f>
        <v>-370194.9</v>
      </c>
      <c r="K210" s="37"/>
      <c r="L210" s="37"/>
      <c r="M210" s="37"/>
      <c r="N210" s="37">
        <f>+'Summary - Reserve - PG 2 (Reg)'!M14</f>
        <v>0</v>
      </c>
      <c r="O210" s="37"/>
      <c r="P210" s="37">
        <f>+'Summary - Reserve - PG 2 (Reg)'!O14</f>
        <v>0</v>
      </c>
      <c r="Q210" s="37"/>
      <c r="R210" s="37">
        <f>+'Summary - Reserve - PG 2 (Reg)'!Q14</f>
        <v>0</v>
      </c>
      <c r="S210" s="37"/>
      <c r="T210" s="37">
        <f>+'Summary - Reserve - PG 2 (Reg)'!S14</f>
        <v>0</v>
      </c>
      <c r="U210" s="37"/>
      <c r="V210" s="37">
        <f>T210+R210+P210+N210+J210+H210+F210+D210</f>
        <v>-9041188.5799999982</v>
      </c>
      <c r="W210" s="37"/>
    </row>
    <row r="211" spans="2:23" outlineLevel="3" x14ac:dyDescent="0.2">
      <c r="B211" s="22"/>
      <c r="C211" s="22" t="s">
        <v>20</v>
      </c>
      <c r="D211" s="37">
        <f>+'Summary - Reserve - PG 2 (Reg)'!C15</f>
        <v>-15869434.650000002</v>
      </c>
      <c r="E211" s="37"/>
      <c r="F211" s="37">
        <f>+'Summary - Reserve - PG 2 (Reg)'!E15</f>
        <v>-2840451.53</v>
      </c>
      <c r="G211" s="37"/>
      <c r="H211" s="37">
        <f>+'Summary - Reserve - PG 2 (Reg)'!G15</f>
        <v>135429.89000000001</v>
      </c>
      <c r="I211" s="37"/>
      <c r="J211" s="37">
        <f>+'Summary - Reserve - PG 2 (Reg)'!I15</f>
        <v>0</v>
      </c>
      <c r="K211" s="37"/>
      <c r="L211" s="37"/>
      <c r="M211" s="37"/>
      <c r="N211" s="37">
        <f>+'Summary - Reserve - PG 2 (Reg)'!M15</f>
        <v>0</v>
      </c>
      <c r="O211" s="37"/>
      <c r="P211" s="37">
        <f>+'Summary - Reserve - PG 2 (Reg)'!O15</f>
        <v>0</v>
      </c>
      <c r="Q211" s="37"/>
      <c r="R211" s="37">
        <f>+'Summary - Reserve - PG 2 (Reg)'!Q15</f>
        <v>0</v>
      </c>
      <c r="S211" s="37"/>
      <c r="T211" s="37">
        <f>+'Summary - Reserve - PG 2 (Reg)'!S15</f>
        <v>0</v>
      </c>
      <c r="U211" s="37"/>
      <c r="V211" s="37">
        <f t="shared" si="18"/>
        <v>-18574456.290000003</v>
      </c>
      <c r="W211" s="37"/>
    </row>
    <row r="212" spans="2:23" outlineLevel="3" x14ac:dyDescent="0.2">
      <c r="B212" s="22"/>
      <c r="C212" s="22" t="s">
        <v>79</v>
      </c>
      <c r="D212" s="37">
        <f>+'Summary - Reserve - PG 2 (Reg)'!C16</f>
        <v>-5910.2300000000105</v>
      </c>
      <c r="E212" s="37"/>
      <c r="F212" s="37">
        <f>+'Summary - Reserve - PG 2 (Reg)'!E16</f>
        <v>-4728.41</v>
      </c>
      <c r="G212" s="37"/>
      <c r="H212" s="37">
        <f>+'Summary - Reserve - PG 2 (Reg)'!G16</f>
        <v>0</v>
      </c>
      <c r="I212" s="37"/>
      <c r="J212" s="37">
        <f>+'Summary - Reserve - PG 2 (Reg)'!I16</f>
        <v>0</v>
      </c>
      <c r="K212" s="37"/>
      <c r="L212" s="37"/>
      <c r="M212" s="37"/>
      <c r="N212" s="37">
        <f>+'Summary - Reserve - PG 2 (Reg)'!M16</f>
        <v>0</v>
      </c>
      <c r="O212" s="37"/>
      <c r="P212" s="37">
        <f>+'Summary - Reserve - PG 2 (Reg)'!O16</f>
        <v>0</v>
      </c>
      <c r="Q212" s="37"/>
      <c r="R212" s="37">
        <f>+'Summary - Reserve - PG 2 (Reg)'!Q16</f>
        <v>0</v>
      </c>
      <c r="S212" s="37"/>
      <c r="T212" s="37">
        <f>+'Summary - Reserve - PG 2 (Reg)'!S16</f>
        <v>0</v>
      </c>
      <c r="U212" s="37"/>
      <c r="V212" s="37">
        <f t="shared" si="18"/>
        <v>-10638.64000000001</v>
      </c>
      <c r="W212" s="37"/>
    </row>
    <row r="213" spans="2:23" outlineLevel="3" x14ac:dyDescent="0.2">
      <c r="B213" s="22"/>
      <c r="C213" s="22" t="s">
        <v>22</v>
      </c>
      <c r="D213" s="37">
        <f>+'Summary - Reserve - PG 2 (Reg)'!C17</f>
        <v>-103883604.21000001</v>
      </c>
      <c r="E213" s="37"/>
      <c r="F213" s="37">
        <f>+'Summary - Reserve - PG 2 (Reg)'!E17</f>
        <v>-13539571.99</v>
      </c>
      <c r="G213" s="37"/>
      <c r="H213" s="37">
        <f>+'Summary - Reserve - PG 2 (Reg)'!G17</f>
        <v>290230.69</v>
      </c>
      <c r="I213" s="37"/>
      <c r="J213" s="37">
        <f>+'Summary - Reserve - PG 2 (Reg)'!I17</f>
        <v>0</v>
      </c>
      <c r="K213" s="37"/>
      <c r="L213" s="37"/>
      <c r="M213" s="37"/>
      <c r="N213" s="37">
        <f>+'Summary - Reserve - PG 2 (Reg)'!M17</f>
        <v>0</v>
      </c>
      <c r="O213" s="37"/>
      <c r="P213" s="37">
        <f>+'Summary - Reserve - PG 2 (Reg)'!O17</f>
        <v>0</v>
      </c>
      <c r="Q213" s="37"/>
      <c r="R213" s="37">
        <f>+'Summary - Reserve - PG 2 (Reg)'!Q17</f>
        <v>0</v>
      </c>
      <c r="S213" s="37"/>
      <c r="T213" s="37">
        <f>+'Summary - Reserve - PG 2 (Reg)'!S17</f>
        <v>0</v>
      </c>
      <c r="U213" s="37"/>
      <c r="V213" s="37">
        <f t="shared" si="18"/>
        <v>-117132945.51000001</v>
      </c>
      <c r="W213" s="37"/>
    </row>
    <row r="214" spans="2:23" outlineLevel="3" x14ac:dyDescent="0.2">
      <c r="B214" s="22"/>
      <c r="C214" s="22" t="s">
        <v>80</v>
      </c>
      <c r="D214" s="37">
        <f>+'Summary - Reserve - PG 2 (Reg)'!C18</f>
        <v>-5839.0800000001236</v>
      </c>
      <c r="E214" s="37"/>
      <c r="F214" s="37">
        <f>+'Summary - Reserve - PG 2 (Reg)'!E18</f>
        <v>-3137.93</v>
      </c>
      <c r="G214" s="37"/>
      <c r="H214" s="37">
        <f>+'Summary - Reserve - PG 2 (Reg)'!G18</f>
        <v>0</v>
      </c>
      <c r="I214" s="37"/>
      <c r="J214" s="37">
        <f>+'Summary - Reserve - PG 2 (Reg)'!I18</f>
        <v>0</v>
      </c>
      <c r="K214" s="37"/>
      <c r="L214" s="37"/>
      <c r="M214" s="37"/>
      <c r="N214" s="37">
        <f>+'Summary - Reserve - PG 2 (Reg)'!M18</f>
        <v>0</v>
      </c>
      <c r="O214" s="37"/>
      <c r="P214" s="37">
        <f>+'Summary - Reserve - PG 2 (Reg)'!O18</f>
        <v>0</v>
      </c>
      <c r="Q214" s="37"/>
      <c r="R214" s="37">
        <f>+'Summary - Reserve - PG 2 (Reg)'!Q18</f>
        <v>0</v>
      </c>
      <c r="S214" s="37"/>
      <c r="T214" s="37">
        <f>+'Summary - Reserve - PG 2 (Reg)'!S18</f>
        <v>0</v>
      </c>
      <c r="U214" s="37"/>
      <c r="V214" s="37">
        <f>T214+R214+P214+N214+J214+H214+F214+D214</f>
        <v>-8977.0100000001239</v>
      </c>
      <c r="W214" s="37"/>
    </row>
    <row r="215" spans="2:23" outlineLevel="3" x14ac:dyDescent="0.2">
      <c r="B215" s="22"/>
      <c r="C215" s="22" t="s">
        <v>23</v>
      </c>
      <c r="D215" s="37">
        <f>+'Summary - Reserve - PG 2 (Reg)'!C19</f>
        <v>-751940758.83000004</v>
      </c>
      <c r="E215" s="37"/>
      <c r="F215" s="37">
        <f>+'Summary - Reserve - PG 2 (Reg)'!E19</f>
        <v>-56328130.93</v>
      </c>
      <c r="G215" s="37"/>
      <c r="H215" s="37">
        <f>+'Summary - Reserve - PG 2 (Reg)'!G19</f>
        <v>73521604.209999993</v>
      </c>
      <c r="I215" s="37"/>
      <c r="J215" s="37">
        <f>+'Summary - Reserve - PG 2 (Reg)'!I19</f>
        <v>76448.429999999993</v>
      </c>
      <c r="K215" s="37"/>
      <c r="L215" s="37"/>
      <c r="M215" s="37"/>
      <c r="N215" s="37">
        <f>+'Summary - Reserve - PG 2 (Reg)'!M19</f>
        <v>0</v>
      </c>
      <c r="O215" s="37"/>
      <c r="P215" s="37">
        <f>+'Summary - Reserve - PG 2 (Reg)'!O19</f>
        <v>0</v>
      </c>
      <c r="Q215" s="37"/>
      <c r="R215" s="37">
        <f>+'Summary - Reserve - PG 2 (Reg)'!Q19</f>
        <v>0</v>
      </c>
      <c r="S215" s="37"/>
      <c r="T215" s="37">
        <f>+'Summary - Reserve - PG 2 (Reg)'!S19</f>
        <v>0</v>
      </c>
      <c r="U215" s="37"/>
      <c r="V215" s="37">
        <f t="shared" si="18"/>
        <v>-734670837.12</v>
      </c>
      <c r="W215" s="37"/>
    </row>
    <row r="216" spans="2:23" outlineLevel="3" x14ac:dyDescent="0.2">
      <c r="B216" s="22"/>
      <c r="C216" s="22" t="s">
        <v>81</v>
      </c>
      <c r="D216" s="37">
        <f>+'Summary - Reserve - PG 2 (Reg)'!C20</f>
        <v>-21563814.689999998</v>
      </c>
      <c r="E216" s="37"/>
      <c r="F216" s="37">
        <f>+'Summary - Reserve - PG 2 (Reg)'!E20</f>
        <v>-19024259.27</v>
      </c>
      <c r="G216" s="37"/>
      <c r="H216" s="37">
        <f>+'Summary - Reserve - PG 2 (Reg)'!G20</f>
        <v>765926.26</v>
      </c>
      <c r="I216" s="37"/>
      <c r="J216" s="37">
        <f>+'Summary - Reserve - PG 2 (Reg)'!I20</f>
        <v>0</v>
      </c>
      <c r="K216" s="37"/>
      <c r="L216" s="37"/>
      <c r="M216" s="37"/>
      <c r="N216" s="37">
        <f>+'Summary - Reserve - PG 2 (Reg)'!M20</f>
        <v>0</v>
      </c>
      <c r="O216" s="37"/>
      <c r="P216" s="37">
        <f>+'Summary - Reserve - PG 2 (Reg)'!O20</f>
        <v>0</v>
      </c>
      <c r="Q216" s="37"/>
      <c r="R216" s="37">
        <f>+'Summary - Reserve - PG 2 (Reg)'!Q20</f>
        <v>0</v>
      </c>
      <c r="S216" s="37"/>
      <c r="T216" s="37">
        <f>+'Summary - Reserve - PG 2 (Reg)'!S20</f>
        <v>0</v>
      </c>
      <c r="U216" s="37"/>
      <c r="V216" s="37">
        <f t="shared" si="18"/>
        <v>-39822147.699999996</v>
      </c>
      <c r="W216" s="37"/>
    </row>
    <row r="217" spans="2:23" outlineLevel="3" x14ac:dyDescent="0.2">
      <c r="B217" s="22"/>
      <c r="C217" s="22" t="s">
        <v>24</v>
      </c>
      <c r="D217" s="37">
        <f>+'Summary - Reserve - PG 2 (Reg)'!C21</f>
        <v>-131166295.53999999</v>
      </c>
      <c r="E217" s="37"/>
      <c r="F217" s="37">
        <f>+'Summary - Reserve - PG 2 (Reg)'!E21</f>
        <v>-6107462.46</v>
      </c>
      <c r="G217" s="37"/>
      <c r="H217" s="37">
        <f>+'Summary - Reserve - PG 2 (Reg)'!G21</f>
        <v>2416860.85</v>
      </c>
      <c r="I217" s="37"/>
      <c r="J217" s="37">
        <f>+'Summary - Reserve - PG 2 (Reg)'!I21</f>
        <v>-48347.59</v>
      </c>
      <c r="K217" s="37"/>
      <c r="L217" s="37"/>
      <c r="M217" s="37"/>
      <c r="N217" s="37">
        <f>+'Summary - Reserve - PG 2 (Reg)'!M21</f>
        <v>0</v>
      </c>
      <c r="O217" s="37"/>
      <c r="P217" s="37">
        <f>+'Summary - Reserve - PG 2 (Reg)'!O21</f>
        <v>0</v>
      </c>
      <c r="Q217" s="37"/>
      <c r="R217" s="37">
        <f>+'Summary - Reserve - PG 2 (Reg)'!Q21</f>
        <v>0</v>
      </c>
      <c r="S217" s="37"/>
      <c r="T217" s="37">
        <f>+'Summary - Reserve - PG 2 (Reg)'!S21</f>
        <v>0</v>
      </c>
      <c r="U217" s="37"/>
      <c r="V217" s="37">
        <f t="shared" si="18"/>
        <v>-134905244.73999998</v>
      </c>
      <c r="W217" s="37"/>
    </row>
    <row r="218" spans="2:23" outlineLevel="3" x14ac:dyDescent="0.2">
      <c r="B218" s="22"/>
      <c r="C218" s="22" t="s">
        <v>82</v>
      </c>
      <c r="D218" s="37">
        <f>+'Summary - Reserve - PG 2 (Reg)'!C22</f>
        <v>-24596.489999999998</v>
      </c>
      <c r="E218" s="37"/>
      <c r="F218" s="37">
        <f>+'Summary - Reserve - PG 2 (Reg)'!E22</f>
        <v>-5564.8</v>
      </c>
      <c r="G218" s="37"/>
      <c r="H218" s="37">
        <f>+'Summary - Reserve - PG 2 (Reg)'!G22</f>
        <v>0</v>
      </c>
      <c r="I218" s="37"/>
      <c r="J218" s="37">
        <f>+'Summary - Reserve - PG 2 (Reg)'!I22</f>
        <v>0</v>
      </c>
      <c r="K218" s="37"/>
      <c r="L218" s="37"/>
      <c r="M218" s="37"/>
      <c r="N218" s="37">
        <f>+'Summary - Reserve - PG 2 (Reg)'!M22</f>
        <v>0</v>
      </c>
      <c r="O218" s="37"/>
      <c r="P218" s="37">
        <f>+'Summary - Reserve - PG 2 (Reg)'!O22</f>
        <v>0</v>
      </c>
      <c r="Q218" s="37"/>
      <c r="R218" s="37">
        <f>+'Summary - Reserve - PG 2 (Reg)'!Q22</f>
        <v>0</v>
      </c>
      <c r="S218" s="37"/>
      <c r="T218" s="37">
        <f>+'Summary - Reserve - PG 2 (Reg)'!S22</f>
        <v>0</v>
      </c>
      <c r="U218" s="37"/>
      <c r="V218" s="37">
        <f t="shared" si="18"/>
        <v>-30161.289999999997</v>
      </c>
      <c r="W218" s="37"/>
    </row>
    <row r="219" spans="2:23" outlineLevel="3" x14ac:dyDescent="0.2">
      <c r="B219" s="22"/>
      <c r="C219" s="22" t="s">
        <v>27</v>
      </c>
      <c r="D219" s="37">
        <f>+'Summary - Reserve - PG 2 (Reg)'!C23</f>
        <v>-162540313.63000005</v>
      </c>
      <c r="E219" s="37"/>
      <c r="F219" s="37">
        <f>+'Summary - Reserve - PG 2 (Reg)'!E23</f>
        <v>-17404032.07</v>
      </c>
      <c r="G219" s="37"/>
      <c r="H219" s="37">
        <f>+'Summary - Reserve - PG 2 (Reg)'!G23</f>
        <v>8491708.0600000005</v>
      </c>
      <c r="I219" s="37"/>
      <c r="J219" s="37">
        <f>+'Summary - Reserve - PG 2 (Reg)'!I23</f>
        <v>-962.14</v>
      </c>
      <c r="K219" s="37"/>
      <c r="L219" s="37"/>
      <c r="M219" s="37"/>
      <c r="N219" s="37">
        <f>+'Summary - Reserve - PG 2 (Reg)'!M23</f>
        <v>0</v>
      </c>
      <c r="O219" s="37"/>
      <c r="P219" s="37">
        <f>+'Summary - Reserve - PG 2 (Reg)'!O23</f>
        <v>0</v>
      </c>
      <c r="Q219" s="37"/>
      <c r="R219" s="37">
        <f>+'Summary - Reserve - PG 2 (Reg)'!Q23</f>
        <v>0</v>
      </c>
      <c r="S219" s="37"/>
      <c r="T219" s="37">
        <f>+'Summary - Reserve - PG 2 (Reg)'!S23</f>
        <v>0</v>
      </c>
      <c r="U219" s="37"/>
      <c r="V219" s="37">
        <f t="shared" si="18"/>
        <v>-171453599.78000006</v>
      </c>
      <c r="W219" s="37"/>
    </row>
    <row r="220" spans="2:23" outlineLevel="3" x14ac:dyDescent="0.2">
      <c r="B220" s="22"/>
      <c r="C220" s="22" t="s">
        <v>83</v>
      </c>
      <c r="D220" s="37">
        <f>+'Summary - Reserve - PG 2 (Reg)'!C24</f>
        <v>-1243743.4399999992</v>
      </c>
      <c r="E220" s="37"/>
      <c r="F220" s="37">
        <f>+'Summary - Reserve - PG 2 (Reg)'!E24</f>
        <v>-622075.52</v>
      </c>
      <c r="G220" s="37"/>
      <c r="H220" s="37">
        <f>+'Summary - Reserve - PG 2 (Reg)'!G24</f>
        <v>487435.15</v>
      </c>
      <c r="I220" s="37"/>
      <c r="J220" s="37">
        <f>+'Summary - Reserve - PG 2 (Reg)'!I24</f>
        <v>0</v>
      </c>
      <c r="K220" s="37"/>
      <c r="L220" s="37"/>
      <c r="M220" s="37"/>
      <c r="N220" s="37">
        <f>+'Summary - Reserve - PG 2 (Reg)'!M24</f>
        <v>0</v>
      </c>
      <c r="O220" s="37"/>
      <c r="P220" s="37">
        <f>+'Summary - Reserve - PG 2 (Reg)'!O24</f>
        <v>0</v>
      </c>
      <c r="Q220" s="37"/>
      <c r="R220" s="37">
        <f>+'Summary - Reserve - PG 2 (Reg)'!Q24</f>
        <v>0</v>
      </c>
      <c r="S220" s="37"/>
      <c r="T220" s="37">
        <f>+'Summary - Reserve - PG 2 (Reg)'!S24</f>
        <v>0</v>
      </c>
      <c r="U220" s="37"/>
      <c r="V220" s="37">
        <f t="shared" si="18"/>
        <v>-1378383.8099999991</v>
      </c>
      <c r="W220" s="37"/>
    </row>
    <row r="221" spans="2:23" outlineLevel="3" x14ac:dyDescent="0.2">
      <c r="B221" s="22"/>
      <c r="C221" s="22" t="s">
        <v>28</v>
      </c>
      <c r="D221" s="37">
        <f>+'Summary - Reserve - PG 2 (Reg)'!C25</f>
        <v>-5798498.0999999996</v>
      </c>
      <c r="E221" s="37"/>
      <c r="F221" s="37">
        <f>+'Summary - Reserve - PG 2 (Reg)'!E25</f>
        <v>-630687.13</v>
      </c>
      <c r="G221" s="37"/>
      <c r="H221" s="37">
        <f>+'Summary - Reserve - PG 2 (Reg)'!G25</f>
        <v>421851.46</v>
      </c>
      <c r="I221" s="37"/>
      <c r="J221" s="37">
        <f>+'Summary - Reserve - PG 2 (Reg)'!I25</f>
        <v>-2996.9100000000035</v>
      </c>
      <c r="K221" s="37"/>
      <c r="L221" s="37"/>
      <c r="M221" s="37"/>
      <c r="N221" s="37">
        <f>+'Summary - Reserve - PG 2 (Reg)'!M25</f>
        <v>0</v>
      </c>
      <c r="O221" s="37"/>
      <c r="P221" s="37">
        <f>+'Summary - Reserve - PG 2 (Reg)'!O25</f>
        <v>0</v>
      </c>
      <c r="Q221" s="37"/>
      <c r="R221" s="37">
        <f>+'Summary - Reserve - PG 2 (Reg)'!Q25</f>
        <v>0</v>
      </c>
      <c r="S221" s="37"/>
      <c r="T221" s="37">
        <f>+'Summary - Reserve - PG 2 (Reg)'!S25</f>
        <v>0</v>
      </c>
      <c r="U221" s="37"/>
      <c r="V221" s="37">
        <f t="shared" si="18"/>
        <v>-6010330.6799999997</v>
      </c>
      <c r="W221" s="37"/>
    </row>
    <row r="222" spans="2:23" outlineLevel="3" x14ac:dyDescent="0.2">
      <c r="B222" s="22"/>
      <c r="C222" s="22" t="s">
        <v>30</v>
      </c>
      <c r="D222" s="37">
        <f>+'Summary - Reserve - PG 2 (Reg)'!C26</f>
        <v>-36041847.840000004</v>
      </c>
      <c r="E222" s="37"/>
      <c r="F222" s="37">
        <f>+'Summary - Reserve - PG 2 (Reg)'!E26</f>
        <v>-2637818.63</v>
      </c>
      <c r="G222" s="37"/>
      <c r="H222" s="37">
        <f>+'Summary - Reserve - PG 2 (Reg)'!G26</f>
        <v>451160.9</v>
      </c>
      <c r="I222" s="37"/>
      <c r="J222" s="37">
        <f>+'Summary - Reserve - PG 2 (Reg)'!I26</f>
        <v>2616.67</v>
      </c>
      <c r="K222" s="37"/>
      <c r="L222" s="37"/>
      <c r="M222" s="37"/>
      <c r="N222" s="37">
        <f>+'Summary - Reserve - PG 2 (Reg)'!M26</f>
        <v>0</v>
      </c>
      <c r="O222" s="37"/>
      <c r="P222" s="37">
        <f>+'Summary - Reserve - PG 2 (Reg)'!O26</f>
        <v>0</v>
      </c>
      <c r="Q222" s="37"/>
      <c r="R222" s="37">
        <f>+'Summary - Reserve - PG 2 (Reg)'!Q26</f>
        <v>0</v>
      </c>
      <c r="S222" s="37"/>
      <c r="T222" s="37">
        <f>+'Summary - Reserve - PG 2 (Reg)'!S26</f>
        <v>0</v>
      </c>
      <c r="U222" s="37"/>
      <c r="V222" s="37">
        <f t="shared" si="18"/>
        <v>-38225888.900000006</v>
      </c>
      <c r="W222" s="37"/>
    </row>
    <row r="223" spans="2:23" outlineLevel="3" x14ac:dyDescent="0.2">
      <c r="B223" s="22"/>
      <c r="C223" s="22" t="s">
        <v>84</v>
      </c>
      <c r="D223" s="37">
        <f>+'Summary - Reserve - PG 2 (Reg)'!C27</f>
        <v>-827718.63</v>
      </c>
      <c r="E223" s="37"/>
      <c r="F223" s="37">
        <f>+'Summary - Reserve - PG 2 (Reg)'!E27</f>
        <v>-203291.15</v>
      </c>
      <c r="G223" s="37"/>
      <c r="H223" s="37">
        <f>+'Summary - Reserve - PG 2 (Reg)'!G27</f>
        <v>57317.95</v>
      </c>
      <c r="I223" s="37"/>
      <c r="J223" s="37">
        <f>+'Summary - Reserve - PG 2 (Reg)'!I27</f>
        <v>0</v>
      </c>
      <c r="K223" s="37"/>
      <c r="L223" s="37"/>
      <c r="M223" s="37"/>
      <c r="N223" s="37">
        <f>+'Summary - Reserve - PG 2 (Reg)'!M27</f>
        <v>0</v>
      </c>
      <c r="O223" s="37"/>
      <c r="P223" s="37">
        <f>+'Summary - Reserve - PG 2 (Reg)'!O27</f>
        <v>0</v>
      </c>
      <c r="Q223" s="37"/>
      <c r="R223" s="37">
        <f>+'Summary - Reserve - PG 2 (Reg)'!Q27</f>
        <v>0</v>
      </c>
      <c r="S223" s="37"/>
      <c r="T223" s="37">
        <f>+'Summary - Reserve - PG 2 (Reg)'!S27</f>
        <v>0</v>
      </c>
      <c r="U223" s="37"/>
      <c r="V223" s="37">
        <f t="shared" si="18"/>
        <v>-973691.83000000007</v>
      </c>
      <c r="W223" s="37"/>
    </row>
    <row r="224" spans="2:23" outlineLevel="3" x14ac:dyDescent="0.2">
      <c r="B224" s="22"/>
      <c r="C224" s="22" t="s">
        <v>51</v>
      </c>
      <c r="D224" s="37">
        <f>+'Summary - Reserve - PG 2 (Reg)'!C28</f>
        <v>0</v>
      </c>
      <c r="E224" s="37"/>
      <c r="F224" s="37">
        <f>+'Summary - Reserve - PG 2 (Reg)'!E28</f>
        <v>0</v>
      </c>
      <c r="G224" s="37"/>
      <c r="H224" s="37">
        <f>+'Summary - Reserve - PG 2 (Reg)'!G28</f>
        <v>0</v>
      </c>
      <c r="I224" s="37"/>
      <c r="J224" s="37">
        <f>+'Summary - Reserve - PG 2 (Reg)'!I28</f>
        <v>0</v>
      </c>
      <c r="K224" s="37"/>
      <c r="L224" s="37"/>
      <c r="M224" s="37"/>
      <c r="N224" s="37">
        <f>+'Summary - Reserve - PG 2 (Reg)'!M28</f>
        <v>0</v>
      </c>
      <c r="O224" s="37"/>
      <c r="P224" s="37">
        <f>+'Summary - Reserve - PG 2 (Reg)'!O28</f>
        <v>0</v>
      </c>
      <c r="Q224" s="37"/>
      <c r="R224" s="37">
        <f>+'Summary - Reserve - PG 2 (Reg)'!Q28</f>
        <v>0</v>
      </c>
      <c r="S224" s="37"/>
      <c r="T224" s="37">
        <f>+'Summary - Reserve - PG 2 (Reg)'!S28</f>
        <v>0</v>
      </c>
      <c r="U224" s="37"/>
      <c r="V224" s="37">
        <f t="shared" si="18"/>
        <v>0</v>
      </c>
      <c r="W224" s="37"/>
    </row>
    <row r="225" spans="1:28" outlineLevel="3" x14ac:dyDescent="0.2">
      <c r="B225" s="22"/>
      <c r="C225" s="22" t="s">
        <v>31</v>
      </c>
      <c r="D225" s="37">
        <f>+'Summary - Reserve - PG 2 (Reg)'!C29</f>
        <v>-9504819.1000000034</v>
      </c>
      <c r="E225" s="86"/>
      <c r="F225" s="37">
        <f>+'Summary - Reserve - PG 2 (Reg)'!E29</f>
        <v>-371734.96</v>
      </c>
      <c r="G225" s="86"/>
      <c r="H225" s="37">
        <f>+'Summary - Reserve - PG 2 (Reg)'!G29</f>
        <v>88991</v>
      </c>
      <c r="I225" s="86"/>
      <c r="J225" s="37">
        <f>+'Summary - Reserve - PG 2 (Reg)'!I29</f>
        <v>0</v>
      </c>
      <c r="K225" s="37"/>
      <c r="L225" s="37"/>
      <c r="M225" s="86"/>
      <c r="N225" s="37">
        <f>+'Summary - Reserve - PG 2 (Reg)'!M29</f>
        <v>0</v>
      </c>
      <c r="O225" s="86"/>
      <c r="P225" s="37">
        <f>+'Summary - Reserve - PG 2 (Reg)'!O29</f>
        <v>0</v>
      </c>
      <c r="Q225" s="86"/>
      <c r="R225" s="37">
        <f>+'Summary - Reserve - PG 2 (Reg)'!Q29</f>
        <v>0</v>
      </c>
      <c r="S225" s="86"/>
      <c r="T225" s="37">
        <f>+'Summary - Reserve - PG 2 (Reg)'!S29</f>
        <v>0</v>
      </c>
      <c r="U225" s="86"/>
      <c r="V225" s="86">
        <f t="shared" si="18"/>
        <v>-9787563.0600000042</v>
      </c>
      <c r="W225" s="86"/>
    </row>
    <row r="226" spans="1:28" outlineLevel="3" x14ac:dyDescent="0.2">
      <c r="B226" s="22"/>
      <c r="C226" s="22" t="s">
        <v>31</v>
      </c>
      <c r="D226" s="37">
        <f>+'Summary - Reserve - PG 2 (Reg)'!C30</f>
        <v>-304501.31</v>
      </c>
      <c r="E226" s="86"/>
      <c r="F226" s="37">
        <f>+'Summary - Reserve - PG 2 (Reg)'!E30</f>
        <v>-40027.08</v>
      </c>
      <c r="G226" s="86"/>
      <c r="H226" s="37">
        <f>+'Summary - Reserve - PG 2 (Reg)'!G30</f>
        <v>2851.93</v>
      </c>
      <c r="I226" s="86"/>
      <c r="J226" s="37">
        <f>+'Summary - Reserve - PG 2 (Reg)'!I30</f>
        <v>0</v>
      </c>
      <c r="K226" s="37"/>
      <c r="L226" s="37"/>
      <c r="M226" s="86"/>
      <c r="N226" s="37">
        <f>+'Summary - Reserve - PG 2 (Reg)'!M30</f>
        <v>0</v>
      </c>
      <c r="O226" s="86"/>
      <c r="P226" s="37">
        <f>+'Summary - Reserve - PG 2 (Reg)'!O30</f>
        <v>0</v>
      </c>
      <c r="Q226" s="86"/>
      <c r="R226" s="37">
        <f>+'Summary - Reserve - PG 2 (Reg)'!Q30</f>
        <v>0</v>
      </c>
      <c r="S226" s="86"/>
      <c r="T226" s="37">
        <f>+'Summary - Reserve - PG 2 (Reg)'!S30</f>
        <v>0</v>
      </c>
      <c r="U226" s="86"/>
      <c r="V226" s="86">
        <f>T226+R226+P226+N226+J226+H226+F226+D226</f>
        <v>-341676.46</v>
      </c>
      <c r="W226" s="86"/>
    </row>
    <row r="227" spans="1:28" outlineLevel="3" x14ac:dyDescent="0.2">
      <c r="B227" s="22"/>
      <c r="C227" s="22" t="s">
        <v>202</v>
      </c>
      <c r="D227" s="37">
        <f>+'Summary - Reserve - PG 2 (Reg)'!C31</f>
        <v>0</v>
      </c>
      <c r="E227" s="86"/>
      <c r="F227" s="37">
        <f>+'Summary - Reserve - PG 2 (Reg)'!E31</f>
        <v>0</v>
      </c>
      <c r="G227" s="86"/>
      <c r="H227" s="37">
        <f>+'Summary - Reserve - PG 2 (Reg)'!G31</f>
        <v>0</v>
      </c>
      <c r="I227" s="86"/>
      <c r="J227" s="37">
        <f>+'Summary - Reserve - PG 2 (Reg)'!I31</f>
        <v>0</v>
      </c>
      <c r="K227" s="37"/>
      <c r="L227" s="37"/>
      <c r="M227" s="86"/>
      <c r="N227" s="37">
        <f>+'Summary - Reserve - PG 2 (Reg)'!M31</f>
        <v>0</v>
      </c>
      <c r="O227" s="86"/>
      <c r="P227" s="37">
        <f>+'Summary - Reserve - PG 2 (Reg)'!O31</f>
        <v>0</v>
      </c>
      <c r="Q227" s="86"/>
      <c r="R227" s="37">
        <f>+'Summary - Reserve - PG 2 (Reg)'!Q31</f>
        <v>0</v>
      </c>
      <c r="S227" s="86"/>
      <c r="T227" s="37">
        <f>+'Summary - Reserve - PG 2 (Reg)'!S31</f>
        <v>0</v>
      </c>
      <c r="U227" s="86"/>
      <c r="V227" s="86">
        <f>T227+R227+P227+N227+J227+H227+F227+D227</f>
        <v>0</v>
      </c>
      <c r="W227" s="86"/>
    </row>
    <row r="228" spans="1:28" outlineLevel="3" x14ac:dyDescent="0.2">
      <c r="B228" s="22"/>
      <c r="C228" s="22" t="s">
        <v>88</v>
      </c>
      <c r="D228" s="37">
        <f>+'Summary - Reserve - PG 2 (Reg)'!C32</f>
        <v>-63361.850000000006</v>
      </c>
      <c r="E228" s="86"/>
      <c r="F228" s="37">
        <f>+'Summary - Reserve - PG 2 (Reg)'!E32</f>
        <v>0</v>
      </c>
      <c r="G228" s="86"/>
      <c r="H228" s="37">
        <f>+'Summary - Reserve - PG 2 (Reg)'!G32</f>
        <v>0</v>
      </c>
      <c r="I228" s="86"/>
      <c r="J228" s="37">
        <f>+'Summary - Reserve - PG 2 (Reg)'!I32</f>
        <v>1.49</v>
      </c>
      <c r="K228" s="86"/>
      <c r="L228" s="86"/>
      <c r="M228" s="86"/>
      <c r="N228" s="37">
        <f>+'Summary - Reserve - PG 2 (Reg)'!M32</f>
        <v>0</v>
      </c>
      <c r="O228" s="86"/>
      <c r="P228" s="37">
        <f>+'Summary - Reserve - PG 2 (Reg)'!O32</f>
        <v>0</v>
      </c>
      <c r="Q228" s="86"/>
      <c r="R228" s="37">
        <f>+'Summary - Reserve - PG 2 (Reg)'!Q32</f>
        <v>0</v>
      </c>
      <c r="S228" s="86"/>
      <c r="T228" s="37">
        <f>+'Summary - Reserve - PG 2 (Reg)'!S32</f>
        <v>0</v>
      </c>
      <c r="U228" s="86"/>
      <c r="V228" s="147">
        <f t="shared" si="18"/>
        <v>-63360.360000000008</v>
      </c>
      <c r="W228" s="86"/>
    </row>
    <row r="229" spans="1:28" outlineLevel="3" x14ac:dyDescent="0.2">
      <c r="B229" s="22"/>
      <c r="C229" s="19"/>
      <c r="D229" s="114">
        <f>SUM(D206:D228)</f>
        <v>-1681495785.74</v>
      </c>
      <c r="E229" s="86"/>
      <c r="F229" s="114">
        <f>SUM(F206:F228)</f>
        <v>-155802032.67000002</v>
      </c>
      <c r="G229" s="86"/>
      <c r="H229" s="114">
        <f>SUM(H206:H228)</f>
        <v>118272512.23</v>
      </c>
      <c r="I229" s="86"/>
      <c r="J229" s="114">
        <f>SUM(J206:J228)</f>
        <v>-293744.98000000016</v>
      </c>
      <c r="K229" s="86"/>
      <c r="L229" s="86"/>
      <c r="M229" s="86"/>
      <c r="N229" s="114">
        <f>SUM(N206:N228)</f>
        <v>0</v>
      </c>
      <c r="O229" s="86"/>
      <c r="P229" s="114">
        <f>SUM(P206:P228)</f>
        <v>0</v>
      </c>
      <c r="Q229" s="86"/>
      <c r="R229" s="114">
        <f>SUM(R206:R228)</f>
        <v>0</v>
      </c>
      <c r="S229" s="86"/>
      <c r="T229" s="114">
        <f>SUM(T206:T228)</f>
        <v>0</v>
      </c>
      <c r="U229" s="86"/>
      <c r="V229" s="86">
        <f>SUM(V206:V228)</f>
        <v>-1719319051.1599998</v>
      </c>
      <c r="W229" s="86"/>
    </row>
    <row r="230" spans="1:28" outlineLevel="3" x14ac:dyDescent="0.2">
      <c r="B230" s="22"/>
      <c r="D230" s="83"/>
      <c r="E230" s="83"/>
      <c r="F230" s="83"/>
      <c r="G230" s="83"/>
      <c r="H230" s="83"/>
      <c r="I230" s="83"/>
      <c r="J230" s="32"/>
      <c r="K230" s="32"/>
      <c r="L230" s="32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</row>
    <row r="231" spans="1:28" outlineLevel="3" x14ac:dyDescent="0.2">
      <c r="B231" s="10" t="s">
        <v>95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8" outlineLevel="3" x14ac:dyDescent="0.2">
      <c r="B232" s="22"/>
      <c r="C232" s="22" t="s">
        <v>13</v>
      </c>
      <c r="D232" s="37">
        <f>+'Summary - Reserve - PG 2 (Reg)'!C82</f>
        <v>-47213499.239999995</v>
      </c>
      <c r="E232" s="37"/>
      <c r="F232" s="37">
        <f>+'Summary - Reserve - PG 2 (Reg)'!E82</f>
        <v>-11392872.48</v>
      </c>
      <c r="G232" s="37"/>
      <c r="H232" s="37">
        <f>+'Summary - Reserve - PG 2 (Reg)'!G82</f>
        <v>7105652.6600000001</v>
      </c>
      <c r="I232" s="37"/>
      <c r="J232" s="37">
        <f>+'Summary - Reserve - PG 2 (Reg)'!I82</f>
        <v>0</v>
      </c>
      <c r="K232" s="37"/>
      <c r="L232" s="37"/>
      <c r="M232" s="37"/>
      <c r="N232" s="37">
        <f>+'Summary - Reserve - PG 2 (Reg)'!M82</f>
        <v>0</v>
      </c>
      <c r="O232" s="37"/>
      <c r="P232" s="37">
        <f>+'Summary - Reserve - PG 2 (Reg)'!O82</f>
        <v>0</v>
      </c>
      <c r="Q232" s="37"/>
      <c r="R232" s="37">
        <f>+'Summary - Reserve - PG 2 (Reg)'!Q82</f>
        <v>0</v>
      </c>
      <c r="S232" s="37"/>
      <c r="T232" s="37">
        <f>+'Summary - Reserve - PG 2 (Reg)'!S82</f>
        <v>0</v>
      </c>
      <c r="U232" s="37"/>
      <c r="V232" s="37">
        <f>T232+R232+P232+N232+J232+H232+F232+D232</f>
        <v>-51500719.059999995</v>
      </c>
      <c r="W232" s="37"/>
    </row>
    <row r="233" spans="1:28" outlineLevel="3" x14ac:dyDescent="0.2">
      <c r="B233" s="22"/>
      <c r="C233" s="22" t="s">
        <v>17</v>
      </c>
      <c r="D233" s="37">
        <f>+'Summary - Reserve - PG 2 (Reg)'!C83</f>
        <v>0</v>
      </c>
      <c r="E233" s="37"/>
      <c r="F233" s="37">
        <f>+'Summary - Reserve - PG 2 (Reg)'!E83</f>
        <v>0</v>
      </c>
      <c r="G233" s="37"/>
      <c r="H233" s="37">
        <f>+'Summary - Reserve - PG 2 (Reg)'!G83</f>
        <v>0</v>
      </c>
      <c r="I233" s="37"/>
      <c r="J233" s="37">
        <f>+'Summary - Reserve - PG 2 (Reg)'!I83</f>
        <v>0</v>
      </c>
      <c r="K233" s="37"/>
      <c r="L233" s="37"/>
      <c r="M233" s="37"/>
      <c r="N233" s="37">
        <f>+'Summary - Reserve - PG 2 (Reg)'!M83</f>
        <v>0</v>
      </c>
      <c r="O233" s="37"/>
      <c r="P233" s="37">
        <f>+'Summary - Reserve - PG 2 (Reg)'!O83</f>
        <v>0</v>
      </c>
      <c r="Q233" s="37"/>
      <c r="R233" s="37">
        <f>+'Summary - Reserve - PG 2 (Reg)'!Q83</f>
        <v>0</v>
      </c>
      <c r="S233" s="37"/>
      <c r="T233" s="37">
        <f>+'Summary - Reserve - PG 2 (Reg)'!S83</f>
        <v>0</v>
      </c>
      <c r="U233" s="37"/>
      <c r="V233" s="37">
        <f>T233+R233+P233+N233+J233+H233+F233+D233</f>
        <v>0</v>
      </c>
      <c r="W233" s="37"/>
    </row>
    <row r="234" spans="1:28" outlineLevel="3" x14ac:dyDescent="0.2">
      <c r="B234" s="22"/>
      <c r="C234" s="22" t="s">
        <v>26</v>
      </c>
      <c r="D234" s="37">
        <f>+'Summary - Reserve - PG 2 (Reg)'!C84</f>
        <v>-123.12000000000003</v>
      </c>
      <c r="E234" s="37"/>
      <c r="F234" s="37">
        <f>+'Summary - Reserve - PG 2 (Reg)'!E84</f>
        <v>-41.04</v>
      </c>
      <c r="G234" s="37"/>
      <c r="H234" s="37">
        <f>+'Summary - Reserve - PG 2 (Reg)'!G84</f>
        <v>0</v>
      </c>
      <c r="I234" s="37"/>
      <c r="J234" s="37">
        <f>+'Summary - Reserve - PG 2 (Reg)'!I84</f>
        <v>0</v>
      </c>
      <c r="K234" s="86"/>
      <c r="L234" s="86"/>
      <c r="M234" s="37"/>
      <c r="N234" s="37">
        <f>+'Summary - Reserve - PG 2 (Reg)'!M84</f>
        <v>0</v>
      </c>
      <c r="O234" s="37"/>
      <c r="P234" s="37">
        <f>+'Summary - Reserve - PG 2 (Reg)'!O84</f>
        <v>0</v>
      </c>
      <c r="Q234" s="37"/>
      <c r="R234" s="37">
        <f>+'Summary - Reserve - PG 2 (Reg)'!Q84</f>
        <v>0</v>
      </c>
      <c r="S234" s="37"/>
      <c r="T234" s="37">
        <f>+'Summary - Reserve - PG 2 (Reg)'!S84</f>
        <v>0</v>
      </c>
      <c r="U234" s="37"/>
      <c r="V234" s="147">
        <f>T234+R234+P234+N234+J234+H234+F234+D234</f>
        <v>-164.16000000000003</v>
      </c>
      <c r="W234" s="86"/>
    </row>
    <row r="235" spans="1:28" outlineLevel="3" x14ac:dyDescent="0.2">
      <c r="B235" s="22"/>
      <c r="C235" s="19" t="s">
        <v>99</v>
      </c>
      <c r="D235" s="114">
        <f>SUM(D232:D234)</f>
        <v>-47213622.359999992</v>
      </c>
      <c r="E235" s="86"/>
      <c r="F235" s="114">
        <f>SUM(F232:F234)</f>
        <v>-11392913.52</v>
      </c>
      <c r="G235" s="86"/>
      <c r="H235" s="114">
        <f>SUM(H232:H234)</f>
        <v>7105652.6600000001</v>
      </c>
      <c r="I235" s="86"/>
      <c r="J235" s="114">
        <f>SUM(J232:J234)</f>
        <v>0</v>
      </c>
      <c r="K235" s="86"/>
      <c r="L235" s="86"/>
      <c r="M235" s="86"/>
      <c r="N235" s="114">
        <f>SUM(N232:N234)</f>
        <v>0</v>
      </c>
      <c r="O235" s="86"/>
      <c r="P235" s="114">
        <f>SUM(P232:P234)</f>
        <v>0</v>
      </c>
      <c r="Q235" s="86"/>
      <c r="R235" s="114">
        <f>SUM(R232:R234)</f>
        <v>0</v>
      </c>
      <c r="S235" s="86"/>
      <c r="T235" s="114">
        <f>SUM(T232:T234)</f>
        <v>0</v>
      </c>
      <c r="U235" s="86"/>
      <c r="V235" s="86">
        <f>SUM(V232:V234)</f>
        <v>-51500883.219999991</v>
      </c>
      <c r="W235" s="86"/>
    </row>
    <row r="236" spans="1:28" outlineLevel="3" x14ac:dyDescent="0.2">
      <c r="B236" s="22"/>
      <c r="C236" s="19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</row>
    <row r="237" spans="1:28" outlineLevel="3" x14ac:dyDescent="0.2">
      <c r="A237" s="22" t="s">
        <v>203</v>
      </c>
      <c r="B237" s="10" t="s">
        <v>129</v>
      </c>
      <c r="X237" s="22"/>
      <c r="Y237" s="22"/>
      <c r="Z237" s="22"/>
      <c r="AA237" s="22"/>
      <c r="AB237" s="22"/>
    </row>
    <row r="238" spans="1:28" outlineLevel="3" x14ac:dyDescent="0.2">
      <c r="A238" s="22"/>
      <c r="B238" s="22"/>
      <c r="C238" s="22" t="s">
        <v>13</v>
      </c>
      <c r="D238" s="37">
        <v>0</v>
      </c>
      <c r="F238" s="37">
        <v>0</v>
      </c>
      <c r="H238" s="37">
        <v>0</v>
      </c>
      <c r="J238" s="37">
        <v>0</v>
      </c>
      <c r="K238" s="37"/>
      <c r="L238" s="37"/>
      <c r="N238" s="37">
        <v>0</v>
      </c>
      <c r="P238" s="37">
        <v>0</v>
      </c>
      <c r="R238" s="37">
        <v>0</v>
      </c>
      <c r="T238" s="37">
        <v>0</v>
      </c>
      <c r="V238" s="37">
        <v>0</v>
      </c>
      <c r="W238" s="37"/>
      <c r="X238" s="22"/>
      <c r="Y238" s="22"/>
      <c r="Z238" s="22"/>
      <c r="AA238" s="22"/>
      <c r="AB238" s="22"/>
    </row>
    <row r="239" spans="1:28" outlineLevel="3" x14ac:dyDescent="0.2">
      <c r="A239" s="22"/>
      <c r="B239" s="22"/>
      <c r="C239" s="22" t="s">
        <v>17</v>
      </c>
      <c r="D239" s="37">
        <v>0</v>
      </c>
      <c r="F239" s="37">
        <v>0</v>
      </c>
      <c r="H239" s="37">
        <v>0</v>
      </c>
      <c r="J239" s="37">
        <v>0</v>
      </c>
      <c r="K239" s="37"/>
      <c r="L239" s="37"/>
      <c r="N239" s="37">
        <v>0</v>
      </c>
      <c r="P239" s="37">
        <v>0</v>
      </c>
      <c r="R239" s="37">
        <v>0</v>
      </c>
      <c r="T239" s="37">
        <v>0</v>
      </c>
      <c r="V239" s="37">
        <v>0</v>
      </c>
      <c r="W239" s="37"/>
      <c r="X239" s="22"/>
      <c r="Y239" s="22"/>
      <c r="Z239" s="22"/>
      <c r="AA239" s="22"/>
      <c r="AB239" s="22"/>
    </row>
    <row r="240" spans="1:28" outlineLevel="3" x14ac:dyDescent="0.2">
      <c r="A240" s="22"/>
      <c r="B240" s="22"/>
      <c r="C240" s="22" t="s">
        <v>26</v>
      </c>
      <c r="D240" s="37">
        <v>0</v>
      </c>
      <c r="F240" s="37">
        <v>0</v>
      </c>
      <c r="H240" s="37">
        <v>0</v>
      </c>
      <c r="J240" s="37">
        <v>0</v>
      </c>
      <c r="K240" s="37"/>
      <c r="L240" s="37"/>
      <c r="N240" s="37">
        <v>0</v>
      </c>
      <c r="P240" s="37">
        <v>0</v>
      </c>
      <c r="R240" s="37">
        <v>0</v>
      </c>
      <c r="T240" s="37">
        <v>0</v>
      </c>
      <c r="V240" s="37">
        <v>0</v>
      </c>
      <c r="W240" s="37"/>
      <c r="X240" s="22"/>
      <c r="Y240" s="22"/>
      <c r="Z240" s="22"/>
      <c r="AA240" s="22"/>
      <c r="AB240" s="22"/>
    </row>
    <row r="241" spans="1:28" outlineLevel="3" x14ac:dyDescent="0.2">
      <c r="A241" s="22"/>
      <c r="B241" s="22"/>
      <c r="D241" s="91">
        <f>SUM(D238:D240)</f>
        <v>0</v>
      </c>
      <c r="F241" s="91">
        <f>SUM(F238:F240)</f>
        <v>0</v>
      </c>
      <c r="H241" s="91">
        <f>SUM(H238:H240)</f>
        <v>0</v>
      </c>
      <c r="J241" s="91">
        <f>SUM(J238:J240)</f>
        <v>0</v>
      </c>
      <c r="K241" s="86"/>
      <c r="L241" s="86"/>
      <c r="N241" s="91">
        <f>SUM(N238:N240)</f>
        <v>0</v>
      </c>
      <c r="P241" s="91">
        <f>SUM(P238:P240)</f>
        <v>0</v>
      </c>
      <c r="R241" s="91">
        <f>SUM(R238:R240)</f>
        <v>0</v>
      </c>
      <c r="T241" s="91">
        <f>SUM(T238:T240)</f>
        <v>0</v>
      </c>
      <c r="V241" s="91">
        <f>SUM(V238:V240)</f>
        <v>0</v>
      </c>
      <c r="W241" s="86"/>
      <c r="X241" s="22"/>
      <c r="Y241" s="22"/>
      <c r="Z241" s="22"/>
      <c r="AA241" s="22"/>
      <c r="AB241" s="22"/>
    </row>
    <row r="242" spans="1:28" outlineLevel="3" x14ac:dyDescent="0.2">
      <c r="B242" s="10" t="s">
        <v>181</v>
      </c>
      <c r="C242" s="19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</row>
    <row r="243" spans="1:28" outlineLevel="3" x14ac:dyDescent="0.2">
      <c r="B243" s="22"/>
      <c r="C243" s="19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</row>
    <row r="244" spans="1:28" ht="13.5" customHeight="1" outlineLevel="3" x14ac:dyDescent="0.2">
      <c r="A244" s="124" t="s">
        <v>192</v>
      </c>
      <c r="C244" s="10" t="s">
        <v>199</v>
      </c>
      <c r="D244" s="37">
        <f>+D187</f>
        <v>-2965029.1</v>
      </c>
      <c r="E244" s="99"/>
      <c r="F244" s="37">
        <f>+F187</f>
        <v>-128814.72</v>
      </c>
      <c r="G244" s="99"/>
      <c r="H244" s="37">
        <f>+H187</f>
        <v>0</v>
      </c>
      <c r="I244" s="99"/>
      <c r="J244" s="37">
        <f>+J187</f>
        <v>0</v>
      </c>
      <c r="K244" s="37"/>
      <c r="L244" s="37"/>
      <c r="M244" s="99"/>
      <c r="N244" s="37">
        <f>+N187</f>
        <v>0</v>
      </c>
      <c r="O244" s="99"/>
      <c r="P244" s="37">
        <f>+P187</f>
        <v>0</v>
      </c>
      <c r="Q244" s="99"/>
      <c r="R244" s="37">
        <f>+R187</f>
        <v>0</v>
      </c>
      <c r="S244" s="99"/>
      <c r="T244" s="37">
        <f>+T187</f>
        <v>0</v>
      </c>
      <c r="U244" s="99"/>
      <c r="V244" s="37">
        <f>+V187</f>
        <v>-3093843.8200000003</v>
      </c>
      <c r="W244" s="37"/>
    </row>
    <row r="245" spans="1:28" outlineLevel="3" x14ac:dyDescent="0.2">
      <c r="A245" s="124" t="s">
        <v>184</v>
      </c>
      <c r="C245" s="10" t="s">
        <v>185</v>
      </c>
      <c r="D245" s="37">
        <f>+D188</f>
        <v>-72165.17</v>
      </c>
      <c r="E245" s="99"/>
      <c r="F245" s="37">
        <f>+F188</f>
        <v>-579.59</v>
      </c>
      <c r="G245" s="99"/>
      <c r="H245" s="37">
        <f>+H188</f>
        <v>0</v>
      </c>
      <c r="I245" s="99"/>
      <c r="J245" s="37">
        <f>+J188</f>
        <v>2996.91</v>
      </c>
      <c r="K245" s="37"/>
      <c r="L245" s="37"/>
      <c r="M245" s="99"/>
      <c r="N245" s="37">
        <f>+N188</f>
        <v>0</v>
      </c>
      <c r="O245" s="99"/>
      <c r="P245" s="37">
        <f>+P188</f>
        <v>0</v>
      </c>
      <c r="Q245" s="99"/>
      <c r="R245" s="37">
        <f>+R188</f>
        <v>0</v>
      </c>
      <c r="S245" s="99"/>
      <c r="T245" s="37">
        <f>+T188</f>
        <v>0</v>
      </c>
      <c r="U245" s="99"/>
      <c r="V245" s="37">
        <f>+V188</f>
        <v>-69747.850000000006</v>
      </c>
      <c r="W245" s="37"/>
    </row>
    <row r="246" spans="1:28" outlineLevel="3" x14ac:dyDescent="0.2">
      <c r="A246" s="124" t="s">
        <v>186</v>
      </c>
      <c r="C246" s="10" t="s">
        <v>185</v>
      </c>
      <c r="D246" s="37">
        <f>+D189</f>
        <v>-77439.69</v>
      </c>
      <c r="E246" s="99"/>
      <c r="F246" s="37">
        <f>+F189</f>
        <v>0</v>
      </c>
      <c r="G246" s="99"/>
      <c r="H246" s="37">
        <f>+H189</f>
        <v>0</v>
      </c>
      <c r="I246" s="99"/>
      <c r="J246" s="37">
        <f>+J189</f>
        <v>0</v>
      </c>
      <c r="K246" s="37"/>
      <c r="L246" s="37"/>
      <c r="M246" s="99"/>
      <c r="N246" s="37">
        <f>+N189</f>
        <v>0</v>
      </c>
      <c r="O246" s="99"/>
      <c r="P246" s="37">
        <f>+P189</f>
        <v>0</v>
      </c>
      <c r="Q246" s="99"/>
      <c r="R246" s="37">
        <f>+R189</f>
        <v>0</v>
      </c>
      <c r="S246" s="99"/>
      <c r="T246" s="37">
        <f>+T189</f>
        <v>0</v>
      </c>
      <c r="U246" s="99"/>
      <c r="V246" s="37">
        <f>+V189</f>
        <v>-77439.69</v>
      </c>
      <c r="W246" s="37"/>
    </row>
    <row r="247" spans="1:28" outlineLevel="3" x14ac:dyDescent="0.2">
      <c r="A247" s="124" t="s">
        <v>187</v>
      </c>
      <c r="C247" s="10" t="s">
        <v>185</v>
      </c>
      <c r="D247" s="37">
        <f>+D190</f>
        <v>-569589.96</v>
      </c>
      <c r="E247" s="99"/>
      <c r="F247" s="37">
        <f>+F190</f>
        <v>0</v>
      </c>
      <c r="G247" s="99"/>
      <c r="H247" s="37">
        <f>+H190</f>
        <v>0</v>
      </c>
      <c r="I247" s="99"/>
      <c r="J247" s="37">
        <f>+J190</f>
        <v>0</v>
      </c>
      <c r="K247" s="37"/>
      <c r="L247" s="37"/>
      <c r="M247" s="99"/>
      <c r="N247" s="37">
        <f>+N190</f>
        <v>0</v>
      </c>
      <c r="O247" s="99"/>
      <c r="P247" s="37">
        <f>+P190</f>
        <v>0</v>
      </c>
      <c r="Q247" s="99"/>
      <c r="R247" s="37">
        <f>+R190</f>
        <v>0</v>
      </c>
      <c r="S247" s="99"/>
      <c r="T247" s="37">
        <f>+T190</f>
        <v>0</v>
      </c>
      <c r="U247" s="99"/>
      <c r="V247" s="37">
        <f>+V190</f>
        <v>-569589.96</v>
      </c>
      <c r="W247" s="37"/>
    </row>
    <row r="248" spans="1:28" outlineLevel="3" x14ac:dyDescent="0.2">
      <c r="A248" s="124" t="s">
        <v>191</v>
      </c>
      <c r="C248" s="10" t="s">
        <v>185</v>
      </c>
      <c r="D248" s="37">
        <f>+D192</f>
        <v>-210492.38999999998</v>
      </c>
      <c r="E248" s="99"/>
      <c r="F248" s="37">
        <f>+F192</f>
        <v>-353.04</v>
      </c>
      <c r="G248" s="99"/>
      <c r="H248" s="37">
        <f>+H192</f>
        <v>0</v>
      </c>
      <c r="I248" s="99"/>
      <c r="J248" s="37">
        <f>+J192</f>
        <v>0</v>
      </c>
      <c r="K248" s="37"/>
      <c r="L248" s="37"/>
      <c r="M248" s="99"/>
      <c r="N248" s="37">
        <f>+N192</f>
        <v>0</v>
      </c>
      <c r="O248" s="99"/>
      <c r="P248" s="37">
        <f>+P192</f>
        <v>0</v>
      </c>
      <c r="Q248" s="99"/>
      <c r="R248" s="37">
        <f>+R192</f>
        <v>0</v>
      </c>
      <c r="S248" s="99"/>
      <c r="T248" s="37">
        <f>+T192</f>
        <v>0</v>
      </c>
      <c r="U248" s="99"/>
      <c r="V248" s="37">
        <f>+V192</f>
        <v>-210845.43</v>
      </c>
      <c r="W248" s="37"/>
    </row>
    <row r="249" spans="1:28" outlineLevel="3" x14ac:dyDescent="0.2">
      <c r="A249" s="124" t="s">
        <v>182</v>
      </c>
      <c r="C249" s="10" t="s">
        <v>183</v>
      </c>
      <c r="D249" s="37">
        <f>+D193</f>
        <v>-140828.57999999999</v>
      </c>
      <c r="E249" s="99"/>
      <c r="F249" s="37">
        <f>+F193</f>
        <v>0</v>
      </c>
      <c r="G249" s="99"/>
      <c r="H249" s="37">
        <f>+H193</f>
        <v>0</v>
      </c>
      <c r="I249" s="99"/>
      <c r="J249" s="37">
        <f>+J193</f>
        <v>140828.57999999999</v>
      </c>
      <c r="K249" s="37"/>
      <c r="L249" s="37"/>
      <c r="M249" s="99"/>
      <c r="N249" s="37">
        <f>+N193</f>
        <v>0</v>
      </c>
      <c r="O249" s="99"/>
      <c r="P249" s="37">
        <f>+P193</f>
        <v>0</v>
      </c>
      <c r="Q249" s="99"/>
      <c r="R249" s="37">
        <f>+R193</f>
        <v>0</v>
      </c>
      <c r="S249" s="99"/>
      <c r="T249" s="37">
        <f>+T193</f>
        <v>0</v>
      </c>
      <c r="U249" s="99"/>
      <c r="V249" s="37">
        <f>+V193</f>
        <v>0</v>
      </c>
      <c r="W249" s="37"/>
    </row>
    <row r="250" spans="1:28" outlineLevel="3" x14ac:dyDescent="0.2">
      <c r="A250" s="124" t="s">
        <v>194</v>
      </c>
      <c r="C250" s="10" t="s">
        <v>195</v>
      </c>
      <c r="D250" s="37">
        <f>+D194</f>
        <v>0</v>
      </c>
      <c r="E250" s="99"/>
      <c r="F250" s="37">
        <f>+F194</f>
        <v>0</v>
      </c>
      <c r="G250" s="99"/>
      <c r="H250" s="37">
        <f>+H194</f>
        <v>0</v>
      </c>
      <c r="I250" s="99"/>
      <c r="J250" s="37">
        <f>+J194</f>
        <v>0</v>
      </c>
      <c r="K250" s="37"/>
      <c r="L250" s="37"/>
      <c r="M250" s="99"/>
      <c r="N250" s="37">
        <f>+N194</f>
        <v>0</v>
      </c>
      <c r="O250" s="99"/>
      <c r="P250" s="37">
        <f>+P194</f>
        <v>0</v>
      </c>
      <c r="Q250" s="99"/>
      <c r="R250" s="37">
        <f>+R194</f>
        <v>0</v>
      </c>
      <c r="S250" s="99"/>
      <c r="T250" s="37">
        <f>+T194</f>
        <v>0</v>
      </c>
      <c r="U250" s="99"/>
      <c r="V250" s="37">
        <f>+V194</f>
        <v>0</v>
      </c>
      <c r="W250" s="37"/>
    </row>
    <row r="251" spans="1:28" outlineLevel="3" x14ac:dyDescent="0.2">
      <c r="A251" s="124" t="s">
        <v>194</v>
      </c>
      <c r="C251" s="10" t="s">
        <v>196</v>
      </c>
      <c r="D251" s="37">
        <f>+D195</f>
        <v>0</v>
      </c>
      <c r="E251" s="99"/>
      <c r="F251" s="37">
        <f>+F195</f>
        <v>0</v>
      </c>
      <c r="G251" s="99"/>
      <c r="H251" s="37">
        <f>+H195</f>
        <v>0</v>
      </c>
      <c r="I251" s="99"/>
      <c r="J251" s="37">
        <f>+J195</f>
        <v>0</v>
      </c>
      <c r="K251" s="37"/>
      <c r="L251" s="37"/>
      <c r="M251" s="99"/>
      <c r="N251" s="37">
        <f>+N195</f>
        <v>0</v>
      </c>
      <c r="O251" s="99"/>
      <c r="P251" s="37">
        <f>+P195</f>
        <v>0</v>
      </c>
      <c r="Q251" s="99"/>
      <c r="R251" s="37">
        <f>+R195</f>
        <v>0</v>
      </c>
      <c r="S251" s="99"/>
      <c r="T251" s="37">
        <f>+T195</f>
        <v>0</v>
      </c>
      <c r="U251" s="99"/>
      <c r="V251" s="37">
        <f>+V195</f>
        <v>0</v>
      </c>
      <c r="W251" s="37"/>
    </row>
    <row r="252" spans="1:28" outlineLevel="3" x14ac:dyDescent="0.2">
      <c r="A252" s="124" t="s">
        <v>204</v>
      </c>
      <c r="C252" s="10" t="s">
        <v>205</v>
      </c>
      <c r="D252" s="37">
        <f>+D227</f>
        <v>0</v>
      </c>
      <c r="E252" s="99"/>
      <c r="F252" s="37">
        <f>+F227</f>
        <v>0</v>
      </c>
      <c r="G252" s="99"/>
      <c r="H252" s="37">
        <f>+H227</f>
        <v>0</v>
      </c>
      <c r="I252" s="99"/>
      <c r="J252" s="37">
        <f>+J227</f>
        <v>0</v>
      </c>
      <c r="K252" s="37"/>
      <c r="L252" s="37"/>
      <c r="M252" s="99"/>
      <c r="N252" s="37">
        <f>+N227</f>
        <v>0</v>
      </c>
      <c r="O252" s="99"/>
      <c r="P252" s="37">
        <f>+P227</f>
        <v>0</v>
      </c>
      <c r="Q252" s="99"/>
      <c r="R252" s="37">
        <f>+R227</f>
        <v>0</v>
      </c>
      <c r="S252" s="99"/>
      <c r="T252" s="37">
        <f>+T227</f>
        <v>0</v>
      </c>
      <c r="U252" s="99"/>
      <c r="V252" s="37">
        <f>+V227</f>
        <v>0</v>
      </c>
      <c r="W252" s="37"/>
    </row>
    <row r="253" spans="1:28" outlineLevel="3" x14ac:dyDescent="0.2">
      <c r="A253" s="124"/>
      <c r="C253" s="158" t="s">
        <v>206</v>
      </c>
      <c r="D253" s="37">
        <f>+D228</f>
        <v>-63361.850000000006</v>
      </c>
      <c r="E253" s="99"/>
      <c r="F253" s="37">
        <f>+F228</f>
        <v>0</v>
      </c>
      <c r="G253" s="99"/>
      <c r="H253" s="37">
        <f>+H228</f>
        <v>0</v>
      </c>
      <c r="I253" s="99"/>
      <c r="J253" s="37">
        <v>1.49</v>
      </c>
      <c r="K253" s="37"/>
      <c r="L253" s="37"/>
      <c r="M253" s="99"/>
      <c r="N253" s="37">
        <f>+N228</f>
        <v>0</v>
      </c>
      <c r="O253" s="99"/>
      <c r="P253" s="37">
        <f>+P228</f>
        <v>0</v>
      </c>
      <c r="Q253" s="99"/>
      <c r="R253" s="37">
        <f>+R228</f>
        <v>0</v>
      </c>
      <c r="S253" s="99"/>
      <c r="T253" s="37">
        <f>+T228</f>
        <v>0</v>
      </c>
      <c r="U253" s="99"/>
      <c r="V253" s="37">
        <f>+V228</f>
        <v>-63360.360000000008</v>
      </c>
      <c r="W253" s="37"/>
    </row>
    <row r="254" spans="1:28" outlineLevel="3" x14ac:dyDescent="0.2">
      <c r="A254" s="124" t="s">
        <v>194</v>
      </c>
      <c r="C254" s="10" t="s">
        <v>197</v>
      </c>
      <c r="D254" s="37">
        <f>+D196</f>
        <v>-123.12000000000003</v>
      </c>
      <c r="E254" s="99"/>
      <c r="F254" s="37">
        <f>+F196</f>
        <v>-41.04</v>
      </c>
      <c r="G254" s="99"/>
      <c r="H254" s="37">
        <f>+H196</f>
        <v>0</v>
      </c>
      <c r="I254" s="99"/>
      <c r="J254" s="37">
        <f>+J196</f>
        <v>0</v>
      </c>
      <c r="K254" s="37"/>
      <c r="L254" s="37"/>
      <c r="M254" s="99"/>
      <c r="N254" s="37">
        <f>+N196</f>
        <v>0</v>
      </c>
      <c r="O254" s="99"/>
      <c r="P254" s="37">
        <f>+P196</f>
        <v>0</v>
      </c>
      <c r="Q254" s="99"/>
      <c r="R254" s="37">
        <f>+R196</f>
        <v>0</v>
      </c>
      <c r="S254" s="99"/>
      <c r="T254" s="37">
        <f>+T196</f>
        <v>0</v>
      </c>
      <c r="U254" s="99"/>
      <c r="V254" s="37">
        <f>+V196</f>
        <v>-164.16000000000003</v>
      </c>
      <c r="W254" s="37"/>
    </row>
    <row r="255" spans="1:28" outlineLevel="3" x14ac:dyDescent="0.2">
      <c r="C255" s="22" t="s">
        <v>200</v>
      </c>
      <c r="D255" s="91">
        <f>SUM(D244:D254)</f>
        <v>-4099029.8600000003</v>
      </c>
      <c r="E255" s="37"/>
      <c r="F255" s="91">
        <f>SUM(F244:F254)</f>
        <v>-129788.38999999998</v>
      </c>
      <c r="G255" s="37"/>
      <c r="H255" s="91">
        <f>SUM(H244:H254)</f>
        <v>0</v>
      </c>
      <c r="I255" s="37"/>
      <c r="J255" s="91">
        <f>SUM(J244:J254)</f>
        <v>143826.97999999998</v>
      </c>
      <c r="K255" s="86"/>
      <c r="L255" s="86"/>
      <c r="M255" s="37"/>
      <c r="N255" s="91">
        <f>SUM(N244:N254)</f>
        <v>0</v>
      </c>
      <c r="O255" s="86"/>
      <c r="P255" s="91">
        <f>SUM(P244:P254)</f>
        <v>0</v>
      </c>
      <c r="Q255" s="86"/>
      <c r="R255" s="91">
        <f>SUM(R244:R254)</f>
        <v>0</v>
      </c>
      <c r="S255" s="86"/>
      <c r="T255" s="91">
        <f>SUM(T244:T254)</f>
        <v>0</v>
      </c>
      <c r="U255" s="37"/>
      <c r="V255" s="91">
        <f>SUM(V244:V254)</f>
        <v>-4084991.2700000005</v>
      </c>
      <c r="W255" s="86"/>
      <c r="Y255" s="104"/>
    </row>
    <row r="256" spans="1:28" outlineLevel="3" x14ac:dyDescent="0.2">
      <c r="D256" s="86"/>
      <c r="E256" s="37"/>
      <c r="F256" s="86"/>
      <c r="G256" s="37"/>
      <c r="H256" s="86"/>
      <c r="I256" s="37"/>
      <c r="J256" s="86"/>
      <c r="K256" s="86"/>
      <c r="L256" s="86"/>
      <c r="M256" s="37"/>
      <c r="N256" s="86"/>
      <c r="O256" s="86"/>
      <c r="P256" s="86"/>
      <c r="Q256" s="86"/>
      <c r="R256" s="86"/>
      <c r="S256" s="86"/>
      <c r="T256" s="86"/>
      <c r="U256" s="37"/>
      <c r="V256" s="86"/>
      <c r="W256" s="86"/>
    </row>
    <row r="257" spans="2:47" outlineLevel="3" x14ac:dyDescent="0.2">
      <c r="D257" s="86"/>
      <c r="E257" s="37"/>
      <c r="F257" s="86"/>
      <c r="G257" s="37"/>
      <c r="H257" s="86"/>
      <c r="I257" s="37"/>
      <c r="J257" s="86"/>
      <c r="K257" s="86"/>
      <c r="L257" s="86"/>
      <c r="M257" s="37"/>
      <c r="N257" s="86"/>
      <c r="O257" s="86"/>
      <c r="P257" s="86"/>
      <c r="Q257" s="86"/>
      <c r="R257" s="86"/>
      <c r="S257" s="86"/>
      <c r="T257" s="86"/>
      <c r="U257" s="37"/>
      <c r="V257" s="86"/>
      <c r="W257" s="86"/>
    </row>
    <row r="258" spans="2:47" outlineLevel="3" x14ac:dyDescent="0.2">
      <c r="D258" s="86"/>
      <c r="E258" s="37"/>
      <c r="F258" s="86"/>
      <c r="G258" s="37"/>
      <c r="H258" s="86"/>
      <c r="I258" s="37"/>
      <c r="J258" s="86"/>
      <c r="K258" s="86"/>
      <c r="L258" s="86"/>
      <c r="M258" s="37"/>
      <c r="N258" s="86"/>
      <c r="O258" s="86"/>
      <c r="P258" s="86"/>
      <c r="Q258" s="86"/>
      <c r="R258" s="86"/>
      <c r="S258" s="86"/>
      <c r="T258" s="86"/>
      <c r="U258" s="37"/>
      <c r="V258" s="86"/>
      <c r="W258" s="86"/>
    </row>
    <row r="259" spans="2:47" outlineLevel="3" x14ac:dyDescent="0.2">
      <c r="B259" s="22"/>
      <c r="C259" s="19"/>
      <c r="D259" s="86"/>
      <c r="E259" s="37"/>
      <c r="F259" s="86"/>
      <c r="G259" s="37"/>
      <c r="H259" s="86"/>
      <c r="I259" s="37"/>
      <c r="J259" s="86"/>
      <c r="K259" s="86"/>
      <c r="L259" s="86"/>
      <c r="M259" s="37"/>
      <c r="N259" s="86"/>
      <c r="O259" s="37"/>
      <c r="P259" s="86"/>
      <c r="Q259" s="37"/>
      <c r="R259" s="86"/>
      <c r="S259" s="37"/>
      <c r="T259" s="86"/>
      <c r="U259" s="37"/>
      <c r="V259" s="86"/>
      <c r="W259" s="86"/>
    </row>
    <row r="260" spans="2:47" outlineLevel="3" x14ac:dyDescent="0.2">
      <c r="B260" s="98" t="s">
        <v>162</v>
      </c>
      <c r="D260" s="99">
        <f>+D229+D235-D255+D241</f>
        <v>-1724610378.24</v>
      </c>
      <c r="E260" s="99"/>
      <c r="F260" s="99">
        <f>+F229+F235-F255+F241</f>
        <v>-167065157.80000004</v>
      </c>
      <c r="G260" s="99"/>
      <c r="H260" s="99">
        <f>+H229+H235-H255+H241</f>
        <v>125378164.89</v>
      </c>
      <c r="I260" s="99"/>
      <c r="J260" s="99">
        <f>+J229+J235-J255+J241</f>
        <v>-437571.96000000014</v>
      </c>
      <c r="K260" s="99"/>
      <c r="L260" s="99"/>
      <c r="M260" s="99"/>
      <c r="N260" s="99">
        <f>+N229+N235-N255+N241</f>
        <v>0</v>
      </c>
      <c r="O260" s="99"/>
      <c r="P260" s="99">
        <f>+P229+P235-P255+P241</f>
        <v>0</v>
      </c>
      <c r="Q260" s="99"/>
      <c r="R260" s="99">
        <f>+R229+R235-R255+R241</f>
        <v>0</v>
      </c>
      <c r="S260" s="99"/>
      <c r="T260" s="99">
        <f>+T229+T235-T255+T241</f>
        <v>0</v>
      </c>
      <c r="U260" s="99"/>
      <c r="V260" s="99">
        <f>+V229+V235+V241-V255</f>
        <v>-1766734943.1099999</v>
      </c>
      <c r="W260" s="99"/>
      <c r="X260" s="101">
        <f>+F260-Z260-AO260-Y260-F252-'KY_Res by Plant Acct-P29 (Reg)'!D217</f>
        <v>-145982642.12000006</v>
      </c>
      <c r="Y260" s="101">
        <v>0</v>
      </c>
      <c r="Z260" s="101">
        <v>-19910544.219999999</v>
      </c>
      <c r="AA260" s="101"/>
      <c r="AB260" s="101"/>
      <c r="AE260" s="102">
        <f>+H260</f>
        <v>125378164.89</v>
      </c>
      <c r="AF260" s="102"/>
      <c r="AG260" s="102">
        <f>-'Land &amp; Vehicle Retire P3A(Reg)'!D14</f>
        <v>-20353.87</v>
      </c>
      <c r="AH260" s="102">
        <v>0</v>
      </c>
      <c r="AI260" s="102"/>
      <c r="AJ260" s="102">
        <v>0</v>
      </c>
      <c r="AK260" s="102"/>
      <c r="AL260" s="102"/>
      <c r="AM260" s="102"/>
      <c r="AN260" s="102">
        <f>+J260-J241-AG260-AL260-AM260-AJ260+F252-AH260+'KY_Res by Plant Acct-P29 (Reg)'!D217</f>
        <v>-438186.29000000015</v>
      </c>
      <c r="AO260" s="101">
        <f>+'Recon Depr Exp to IS P4 (Reg)'!E22+'Recon Depr Exp to IS P4 (Reg)'!E31-'Recon Depr Exp to IS P4 (Reg)'!I22-'Recon Depr Exp to IS P4 (Reg)'!K22-'Recon Depr Exp to IS P4 (Reg)'!M20-'Recon Depr Exp to IS P4 (Reg)'!O30-'Recon Depr Exp to IS P4 (Reg)'!O17-'Recon Depr Exp to IS P4 (Reg)'!O10</f>
        <v>-1151003.26</v>
      </c>
      <c r="AP260" s="87">
        <f>+P260+R260+T260</f>
        <v>0</v>
      </c>
      <c r="AQ260" s="87"/>
      <c r="AT260" s="87">
        <f>SUM(X260:AR260)</f>
        <v>-42124564.870000057</v>
      </c>
      <c r="AU260" s="87">
        <f>+V260-D260-AT260</f>
        <v>1.7136335372924805E-7</v>
      </c>
    </row>
    <row r="261" spans="2:47" outlineLevel="1" x14ac:dyDescent="0.2">
      <c r="B261" s="22"/>
      <c r="C261" s="19"/>
      <c r="D261" s="86">
        <f>+D260-D12</f>
        <v>0</v>
      </c>
      <c r="E261" s="37"/>
      <c r="F261" s="86"/>
      <c r="G261" s="37"/>
      <c r="H261" s="86"/>
      <c r="I261" s="37"/>
      <c r="J261" s="86"/>
      <c r="K261" s="86"/>
      <c r="L261" s="86"/>
      <c r="M261" s="37"/>
      <c r="N261" s="86"/>
      <c r="O261" s="37"/>
      <c r="P261" s="86"/>
      <c r="Q261" s="37"/>
      <c r="R261" s="86"/>
      <c r="S261" s="37"/>
      <c r="T261" s="86"/>
      <c r="U261" s="37"/>
      <c r="V261" s="86">
        <f>+V260-V12</f>
        <v>0</v>
      </c>
      <c r="W261" s="86"/>
      <c r="X261" s="100"/>
      <c r="Y261" s="100"/>
      <c r="Z261" s="100"/>
      <c r="AA261" s="100"/>
      <c r="AB261" s="100"/>
    </row>
    <row r="262" spans="2:47" outlineLevel="1" x14ac:dyDescent="0.2">
      <c r="B262" s="22"/>
      <c r="C262" s="19"/>
      <c r="D262" s="86"/>
      <c r="E262" s="37"/>
      <c r="F262" s="86"/>
      <c r="G262" s="37"/>
      <c r="H262" s="86"/>
      <c r="I262" s="37"/>
      <c r="J262" s="86"/>
      <c r="K262" s="86"/>
      <c r="L262" s="86"/>
      <c r="M262" s="37"/>
      <c r="N262" s="86"/>
      <c r="O262" s="37"/>
      <c r="P262" s="86"/>
      <c r="Q262" s="37"/>
      <c r="R262" s="86"/>
      <c r="S262" s="37"/>
      <c r="T262" s="86"/>
      <c r="U262" s="37"/>
      <c r="V262" s="86">
        <f>+V260-T260-R260-P260-N260-J260-H260-F260-D260</f>
        <v>0</v>
      </c>
      <c r="W262" s="86"/>
    </row>
    <row r="263" spans="2:47" ht="15" outlineLevel="1" x14ac:dyDescent="0.35">
      <c r="B263" s="10" t="s">
        <v>89</v>
      </c>
      <c r="D263" s="34"/>
      <c r="E263" s="32"/>
      <c r="F263" s="34"/>
      <c r="G263" s="32"/>
      <c r="H263" s="34"/>
      <c r="I263" s="32"/>
      <c r="J263" s="34"/>
      <c r="K263" s="34"/>
      <c r="L263" s="34"/>
      <c r="M263" s="32"/>
      <c r="N263" s="34"/>
      <c r="O263" s="32"/>
      <c r="P263" s="34"/>
      <c r="Q263" s="32"/>
      <c r="R263" s="34"/>
      <c r="S263" s="32"/>
      <c r="T263" s="34"/>
      <c r="U263" s="32"/>
      <c r="V263" s="34"/>
      <c r="W263" s="34"/>
    </row>
    <row r="264" spans="2:47" outlineLevel="3" x14ac:dyDescent="0.2">
      <c r="B264" s="22"/>
      <c r="C264" s="22" t="s">
        <v>14</v>
      </c>
      <c r="D264" s="86">
        <f>+'Summary - Reserve - PG 2 (Reg)'!C36</f>
        <v>-1331586.2</v>
      </c>
      <c r="E264" s="86"/>
      <c r="F264" s="86">
        <f>+'Summary - Reserve - PG 2 (Reg)'!E36</f>
        <v>-226303.64</v>
      </c>
      <c r="G264" s="86"/>
      <c r="H264" s="86">
        <f>+'Summary - Reserve - PG 2 (Reg)'!G36</f>
        <v>0</v>
      </c>
      <c r="I264" s="86"/>
      <c r="J264" s="86">
        <f>+'Summary - Reserve - PG 2 (Reg)'!I36</f>
        <v>-907.88</v>
      </c>
      <c r="K264" s="86"/>
      <c r="L264" s="86"/>
      <c r="M264" s="86"/>
      <c r="N264" s="86">
        <f>+'Summary - Reserve - PG 2 (Reg)'!M36</f>
        <v>0</v>
      </c>
      <c r="O264" s="86"/>
      <c r="P264" s="86">
        <f>+'Summary - Reserve - PG 2 (Reg)'!O36</f>
        <v>150892.29999999999</v>
      </c>
      <c r="Q264" s="86"/>
      <c r="R264" s="86">
        <f>+'Summary - Reserve - PG 2 (Reg)'!Q36</f>
        <v>0</v>
      </c>
      <c r="S264" s="86"/>
      <c r="T264" s="86">
        <f>+'Summary - Reserve - PG 2 (Reg)'!S36</f>
        <v>0</v>
      </c>
      <c r="U264" s="86"/>
      <c r="V264" s="86">
        <f t="shared" ref="V264:V276" si="19">T264+R264+P264+N264+J264+H264+F264+D264</f>
        <v>-1407905.42</v>
      </c>
      <c r="W264" s="86"/>
    </row>
    <row r="265" spans="2:47" outlineLevel="3" x14ac:dyDescent="0.2">
      <c r="B265" s="22"/>
      <c r="C265" s="22" t="s">
        <v>18</v>
      </c>
      <c r="D265" s="86">
        <f>+'Summary - Reserve - PG 2 (Reg)'!C37</f>
        <v>-159145186.31000003</v>
      </c>
      <c r="E265" s="86"/>
      <c r="F265" s="86">
        <f>+'Summary - Reserve - PG 2 (Reg)'!E37</f>
        <v>-9875795.7599999998</v>
      </c>
      <c r="G265" s="86"/>
      <c r="H265" s="86">
        <f>+'Summary - Reserve - PG 2 (Reg)'!G37</f>
        <v>0</v>
      </c>
      <c r="I265" s="86"/>
      <c r="J265" s="86">
        <f>+'Summary - Reserve - PG 2 (Reg)'!I37</f>
        <v>24051.51</v>
      </c>
      <c r="K265" s="86"/>
      <c r="L265" s="86"/>
      <c r="M265" s="86"/>
      <c r="N265" s="86">
        <f>+'Summary - Reserve - PG 2 (Reg)'!M37</f>
        <v>0</v>
      </c>
      <c r="O265" s="86"/>
      <c r="P265" s="86">
        <f>+'Summary - Reserve - PG 2 (Reg)'!O37</f>
        <v>7580571.1699999999</v>
      </c>
      <c r="Q265" s="86"/>
      <c r="R265" s="86">
        <f>+'Summary - Reserve - PG 2 (Reg)'!Q37</f>
        <v>0</v>
      </c>
      <c r="S265" s="86"/>
      <c r="T265" s="86">
        <f>+'Summary - Reserve - PG 2 (Reg)'!S37</f>
        <v>-713431.35</v>
      </c>
      <c r="U265" s="86"/>
      <c r="V265" s="86">
        <f t="shared" si="19"/>
        <v>-162129790.74000004</v>
      </c>
      <c r="W265" s="86"/>
    </row>
    <row r="266" spans="2:47" outlineLevel="3" x14ac:dyDescent="0.2">
      <c r="B266" s="22"/>
      <c r="C266" s="22" t="s">
        <v>19</v>
      </c>
      <c r="D266" s="86">
        <f>+'Summary - Reserve - PG 2 (Reg)'!C38</f>
        <v>3866.64</v>
      </c>
      <c r="E266" s="86"/>
      <c r="F266" s="86">
        <f>+'Summary - Reserve - PG 2 (Reg)'!E38</f>
        <v>0</v>
      </c>
      <c r="G266" s="86"/>
      <c r="H266" s="86">
        <f>+'Summary - Reserve - PG 2 (Reg)'!G38</f>
        <v>0</v>
      </c>
      <c r="I266" s="86"/>
      <c r="J266" s="86">
        <f>+'Summary - Reserve - PG 2 (Reg)'!I38</f>
        <v>0</v>
      </c>
      <c r="K266" s="86"/>
      <c r="L266" s="86"/>
      <c r="M266" s="86"/>
      <c r="N266" s="86">
        <f>+'Summary - Reserve - PG 2 (Reg)'!M38</f>
        <v>0</v>
      </c>
      <c r="O266" s="86"/>
      <c r="P266" s="86">
        <f>+'Summary - Reserve - PG 2 (Reg)'!O38</f>
        <v>0</v>
      </c>
      <c r="Q266" s="86"/>
      <c r="R266" s="86">
        <f>+'Summary - Reserve - PG 2 (Reg)'!Q38</f>
        <v>0</v>
      </c>
      <c r="S266" s="86"/>
      <c r="T266" s="86">
        <f>+'Summary - Reserve - PG 2 (Reg)'!S38</f>
        <v>0</v>
      </c>
      <c r="U266" s="86"/>
      <c r="V266" s="86">
        <f t="shared" si="19"/>
        <v>3866.64</v>
      </c>
      <c r="W266" s="86"/>
    </row>
    <row r="267" spans="2:47" outlineLevel="3" x14ac:dyDescent="0.2">
      <c r="B267" s="22"/>
      <c r="C267" s="22" t="s">
        <v>20</v>
      </c>
      <c r="D267" s="86">
        <f>+'Summary - Reserve - PG 2 (Reg)'!C39</f>
        <v>1676117.03</v>
      </c>
      <c r="E267" s="86"/>
      <c r="F267" s="86">
        <f>+'Summary - Reserve - PG 2 (Reg)'!E39</f>
        <v>-102710.98</v>
      </c>
      <c r="G267" s="86"/>
      <c r="H267" s="86">
        <f>+'Summary - Reserve - PG 2 (Reg)'!G39</f>
        <v>0</v>
      </c>
      <c r="I267" s="86"/>
      <c r="J267" s="86">
        <f>+'Summary - Reserve - PG 2 (Reg)'!I39</f>
        <v>0</v>
      </c>
      <c r="K267" s="86"/>
      <c r="L267" s="86"/>
      <c r="M267" s="86"/>
      <c r="N267" s="86">
        <f>+'Summary - Reserve - PG 2 (Reg)'!M39</f>
        <v>0</v>
      </c>
      <c r="O267" s="86"/>
      <c r="P267" s="86">
        <f>+'Summary - Reserve - PG 2 (Reg)'!O39</f>
        <v>15985.87</v>
      </c>
      <c r="Q267" s="86"/>
      <c r="R267" s="86">
        <f>+'Summary - Reserve - PG 2 (Reg)'!Q39</f>
        <v>0</v>
      </c>
      <c r="S267" s="86"/>
      <c r="T267" s="86">
        <f>+'Summary - Reserve - PG 2 (Reg)'!S39</f>
        <v>0</v>
      </c>
      <c r="U267" s="86"/>
      <c r="V267" s="86">
        <f t="shared" si="19"/>
        <v>1589391.92</v>
      </c>
      <c r="W267" s="86"/>
    </row>
    <row r="268" spans="2:47" outlineLevel="3" x14ac:dyDescent="0.2">
      <c r="B268" s="22"/>
      <c r="C268" s="22" t="s">
        <v>22</v>
      </c>
      <c r="D268" s="86">
        <f>+'Summary - Reserve - PG 2 (Reg)'!C40</f>
        <v>-3603371.0100000007</v>
      </c>
      <c r="E268" s="86"/>
      <c r="F268" s="86">
        <f>+'Summary - Reserve - PG 2 (Reg)'!E40</f>
        <v>-595898.91</v>
      </c>
      <c r="G268" s="86"/>
      <c r="H268" s="86">
        <f>+'Summary - Reserve - PG 2 (Reg)'!G40</f>
        <v>0</v>
      </c>
      <c r="I268" s="86"/>
      <c r="J268" s="86">
        <f>+'Summary - Reserve - PG 2 (Reg)'!I40</f>
        <v>0</v>
      </c>
      <c r="K268" s="86"/>
      <c r="L268" s="86"/>
      <c r="M268" s="86"/>
      <c r="N268" s="86">
        <f>+'Summary - Reserve - PG 2 (Reg)'!M40</f>
        <v>0</v>
      </c>
      <c r="O268" s="86"/>
      <c r="P268" s="86">
        <f>+'Summary - Reserve - PG 2 (Reg)'!O40</f>
        <v>39115.85</v>
      </c>
      <c r="Q268" s="86"/>
      <c r="R268" s="86">
        <f>+'Summary - Reserve - PG 2 (Reg)'!Q40</f>
        <v>0</v>
      </c>
      <c r="S268" s="86"/>
      <c r="T268" s="86">
        <f>+'Summary - Reserve - PG 2 (Reg)'!S40</f>
        <v>0</v>
      </c>
      <c r="U268" s="86"/>
      <c r="V268" s="86">
        <f t="shared" si="19"/>
        <v>-4160154.0700000008</v>
      </c>
      <c r="W268" s="86"/>
    </row>
    <row r="269" spans="2:47" outlineLevel="3" x14ac:dyDescent="0.2">
      <c r="B269" s="22"/>
      <c r="C269" s="22" t="s">
        <v>23</v>
      </c>
      <c r="D269" s="86">
        <f>+'Summary - Reserve - PG 2 (Reg)'!C41</f>
        <v>-122806127.67</v>
      </c>
      <c r="E269" s="86"/>
      <c r="F269" s="86">
        <f>+'Summary - Reserve - PG 2 (Reg)'!E41</f>
        <v>-5877860.96</v>
      </c>
      <c r="G269" s="86"/>
      <c r="H269" s="86">
        <f>+'Summary - Reserve - PG 2 (Reg)'!G41</f>
        <v>0</v>
      </c>
      <c r="I269" s="86"/>
      <c r="J269" s="86">
        <f>+'Summary - Reserve - PG 2 (Reg)'!I41</f>
        <v>0</v>
      </c>
      <c r="K269" s="86"/>
      <c r="L269" s="86"/>
      <c r="M269" s="86"/>
      <c r="N269" s="86">
        <f>+'Summary - Reserve - PG 2 (Reg)'!M41</f>
        <v>0</v>
      </c>
      <c r="O269" s="86"/>
      <c r="P269" s="86">
        <f>+'Summary - Reserve - PG 2 (Reg)'!O41</f>
        <v>3641835.22</v>
      </c>
      <c r="Q269" s="86"/>
      <c r="R269" s="86">
        <f>+'Summary - Reserve - PG 2 (Reg)'!Q41</f>
        <v>0</v>
      </c>
      <c r="S269" s="86"/>
      <c r="T269" s="86">
        <f>+'Summary - Reserve - PG 2 (Reg)'!S41</f>
        <v>-264723.98</v>
      </c>
      <c r="U269" s="86"/>
      <c r="V269" s="86">
        <f t="shared" si="19"/>
        <v>-125306877.39</v>
      </c>
      <c r="W269" s="86"/>
    </row>
    <row r="270" spans="2:47" outlineLevel="3" x14ac:dyDescent="0.2">
      <c r="B270" s="22"/>
      <c r="C270" s="22" t="s">
        <v>24</v>
      </c>
      <c r="D270" s="86">
        <f>+'Summary - Reserve - PG 2 (Reg)'!C42</f>
        <v>-25494116.360000003</v>
      </c>
      <c r="E270" s="86"/>
      <c r="F270" s="86">
        <f>+'Summary - Reserve - PG 2 (Reg)'!E42</f>
        <v>-2014427.03</v>
      </c>
      <c r="G270" s="86"/>
      <c r="H270" s="86">
        <f>+'Summary - Reserve - PG 2 (Reg)'!G42</f>
        <v>0</v>
      </c>
      <c r="I270" s="86"/>
      <c r="J270" s="86">
        <f>+'Summary - Reserve - PG 2 (Reg)'!I42</f>
        <v>2848.49</v>
      </c>
      <c r="K270" s="86"/>
      <c r="L270" s="86"/>
      <c r="M270" s="86"/>
      <c r="N270" s="86">
        <f>+'Summary - Reserve - PG 2 (Reg)'!M42</f>
        <v>0</v>
      </c>
      <c r="O270" s="86"/>
      <c r="P270" s="86">
        <f>+'Summary - Reserve - PG 2 (Reg)'!O42</f>
        <v>1730797.34</v>
      </c>
      <c r="Q270" s="86"/>
      <c r="R270" s="86">
        <f>+'Summary - Reserve - PG 2 (Reg)'!Q42</f>
        <v>0</v>
      </c>
      <c r="S270" s="86"/>
      <c r="T270" s="86">
        <f>+'Summary - Reserve - PG 2 (Reg)'!S42</f>
        <v>-2798.5399999999991</v>
      </c>
      <c r="U270" s="86"/>
      <c r="V270" s="86">
        <f t="shared" si="19"/>
        <v>-25777696.100000001</v>
      </c>
      <c r="W270" s="86"/>
    </row>
    <row r="271" spans="2:47" outlineLevel="3" x14ac:dyDescent="0.2">
      <c r="B271" s="22"/>
      <c r="C271" s="22" t="s">
        <v>27</v>
      </c>
      <c r="D271" s="86">
        <f>+'Summary - Reserve - PG 2 (Reg)'!C43</f>
        <v>-77876680.659999996</v>
      </c>
      <c r="E271" s="86"/>
      <c r="F271" s="86">
        <f>+'Summary - Reserve - PG 2 (Reg)'!E43</f>
        <v>-6926488.0199999996</v>
      </c>
      <c r="G271" s="86"/>
      <c r="H271" s="86">
        <f>+'Summary - Reserve - PG 2 (Reg)'!G43</f>
        <v>0</v>
      </c>
      <c r="I271" s="86"/>
      <c r="J271" s="86">
        <f>+'Summary - Reserve - PG 2 (Reg)'!I43</f>
        <v>-63.76</v>
      </c>
      <c r="K271" s="86"/>
      <c r="L271" s="86"/>
      <c r="M271" s="86"/>
      <c r="N271" s="86">
        <f>+'Summary - Reserve - PG 2 (Reg)'!M43</f>
        <v>0</v>
      </c>
      <c r="O271" s="86"/>
      <c r="P271" s="86">
        <f>+'Summary - Reserve - PG 2 (Reg)'!O43</f>
        <v>2342563.54</v>
      </c>
      <c r="Q271" s="86"/>
      <c r="R271" s="86">
        <f>+'Summary - Reserve - PG 2 (Reg)'!Q43</f>
        <v>0</v>
      </c>
      <c r="S271" s="86"/>
      <c r="T271" s="86">
        <f>+'Summary - Reserve - PG 2 (Reg)'!S43</f>
        <v>4945.8599999999997</v>
      </c>
      <c r="U271" s="86"/>
      <c r="V271" s="86">
        <f t="shared" si="19"/>
        <v>-82455723.039999992</v>
      </c>
      <c r="W271" s="86"/>
    </row>
    <row r="272" spans="2:47" outlineLevel="3" x14ac:dyDescent="0.2">
      <c r="B272" s="22"/>
      <c r="C272" s="22" t="s">
        <v>28</v>
      </c>
      <c r="D272" s="86">
        <f>+'Summary - Reserve - PG 2 (Reg)'!C44</f>
        <v>111.56</v>
      </c>
      <c r="E272" s="86"/>
      <c r="F272" s="86">
        <f>+'Summary - Reserve - PG 2 (Reg)'!E44</f>
        <v>0</v>
      </c>
      <c r="G272" s="86"/>
      <c r="H272" s="86">
        <f>+'Summary - Reserve - PG 2 (Reg)'!G44</f>
        <v>0</v>
      </c>
      <c r="I272" s="86"/>
      <c r="J272" s="86">
        <f>+'Summary - Reserve - PG 2 (Reg)'!I44</f>
        <v>1545.44</v>
      </c>
      <c r="K272" s="86"/>
      <c r="L272" s="86"/>
      <c r="M272" s="86"/>
      <c r="N272" s="86">
        <f>+'Summary - Reserve - PG 2 (Reg)'!M44</f>
        <v>0</v>
      </c>
      <c r="O272" s="86"/>
      <c r="P272" s="86">
        <f>+'Summary - Reserve - PG 2 (Reg)'!O44</f>
        <v>-1568.4</v>
      </c>
      <c r="Q272" s="86"/>
      <c r="R272" s="86">
        <f>+'Summary - Reserve - PG 2 (Reg)'!Q44</f>
        <v>0</v>
      </c>
      <c r="S272" s="86"/>
      <c r="T272" s="86">
        <f>+'Summary - Reserve - PG 2 (Reg)'!S44</f>
        <v>0</v>
      </c>
      <c r="U272" s="86"/>
      <c r="V272" s="86">
        <f t="shared" si="19"/>
        <v>88.599999999999966</v>
      </c>
      <c r="W272" s="86"/>
    </row>
    <row r="273" spans="2:23" outlineLevel="3" x14ac:dyDescent="0.2">
      <c r="B273" s="22"/>
      <c r="C273" s="22" t="s">
        <v>30</v>
      </c>
      <c r="D273" s="86">
        <f>+'Summary - Reserve - PG 2 (Reg)'!C45</f>
        <v>-1257455.6800000006</v>
      </c>
      <c r="E273" s="86"/>
      <c r="F273" s="86">
        <f>+'Summary - Reserve - PG 2 (Reg)'!E45</f>
        <v>-286738.92</v>
      </c>
      <c r="G273" s="86"/>
      <c r="H273" s="86">
        <f>+'Summary - Reserve - PG 2 (Reg)'!G45</f>
        <v>0</v>
      </c>
      <c r="I273" s="86"/>
      <c r="J273" s="86">
        <f>+'Summary - Reserve - PG 2 (Reg)'!I45</f>
        <v>-1.72</v>
      </c>
      <c r="K273" s="86"/>
      <c r="L273" s="86"/>
      <c r="M273" s="86"/>
      <c r="N273" s="86">
        <f>+'Summary - Reserve - PG 2 (Reg)'!M45</f>
        <v>0</v>
      </c>
      <c r="O273" s="86"/>
      <c r="P273" s="86">
        <f>+'Summary - Reserve - PG 2 (Reg)'!O45</f>
        <v>593252.31999999995</v>
      </c>
      <c r="Q273" s="86"/>
      <c r="R273" s="86">
        <f>+'Summary - Reserve - PG 2 (Reg)'!Q45</f>
        <v>0</v>
      </c>
      <c r="S273" s="86"/>
      <c r="T273" s="86">
        <f>+'Summary - Reserve - PG 2 (Reg)'!S45</f>
        <v>0</v>
      </c>
      <c r="U273" s="86"/>
      <c r="V273" s="86">
        <f t="shared" si="19"/>
        <v>-950944.0000000007</v>
      </c>
      <c r="W273" s="86"/>
    </row>
    <row r="274" spans="2:23" outlineLevel="3" x14ac:dyDescent="0.2">
      <c r="B274" s="22"/>
      <c r="C274" s="22" t="s">
        <v>51</v>
      </c>
      <c r="D274" s="86">
        <f>+'Summary - Reserve - PG 2 (Reg)'!C46</f>
        <v>0</v>
      </c>
      <c r="E274" s="86"/>
      <c r="F274" s="86">
        <f>+'Summary - Reserve - PG 2 (Reg)'!E46</f>
        <v>0</v>
      </c>
      <c r="G274" s="86"/>
      <c r="H274" s="86">
        <f>+'Summary - Reserve - PG 2 (Reg)'!G46</f>
        <v>0</v>
      </c>
      <c r="I274" s="86"/>
      <c r="J274" s="86">
        <f>+'Summary - Reserve - PG 2 (Reg)'!I46</f>
        <v>0</v>
      </c>
      <c r="K274" s="86"/>
      <c r="L274" s="86"/>
      <c r="M274" s="86"/>
      <c r="N274" s="86">
        <f>+'Summary - Reserve - PG 2 (Reg)'!M46</f>
        <v>0</v>
      </c>
      <c r="O274" s="86"/>
      <c r="P274" s="86">
        <f>+'Summary - Reserve - PG 2 (Reg)'!O46</f>
        <v>0</v>
      </c>
      <c r="Q274" s="86"/>
      <c r="R274" s="86">
        <f>+'Summary - Reserve - PG 2 (Reg)'!Q46</f>
        <v>0</v>
      </c>
      <c r="S274" s="86"/>
      <c r="T274" s="86">
        <f>+'Summary - Reserve - PG 2 (Reg)'!S46</f>
        <v>0</v>
      </c>
      <c r="U274" s="86"/>
      <c r="V274" s="86">
        <f t="shared" si="19"/>
        <v>0</v>
      </c>
      <c r="W274" s="86"/>
    </row>
    <row r="275" spans="2:23" outlineLevel="3" x14ac:dyDescent="0.2">
      <c r="B275" s="22"/>
      <c r="C275" s="22" t="s">
        <v>31</v>
      </c>
      <c r="D275" s="86">
        <f>+'Summary - Reserve - PG 2 (Reg)'!C47</f>
        <v>-2009727.9699999997</v>
      </c>
      <c r="E275" s="86"/>
      <c r="F275" s="86">
        <f>+'Summary - Reserve - PG 2 (Reg)'!E47</f>
        <v>-41264.67</v>
      </c>
      <c r="G275" s="86"/>
      <c r="H275" s="86">
        <f>+'Summary - Reserve - PG 2 (Reg)'!G47</f>
        <v>0</v>
      </c>
      <c r="I275" s="86"/>
      <c r="J275" s="86">
        <f>+'Summary - Reserve - PG 2 (Reg)'!I47</f>
        <v>0</v>
      </c>
      <c r="K275" s="86"/>
      <c r="L275" s="86"/>
      <c r="M275" s="86"/>
      <c r="N275" s="86">
        <f>+'Summary - Reserve - PG 2 (Reg)'!M47</f>
        <v>0</v>
      </c>
      <c r="O275" s="86"/>
      <c r="P275" s="86">
        <f>+'Summary - Reserve - PG 2 (Reg)'!O47</f>
        <v>61231.55</v>
      </c>
      <c r="Q275" s="86"/>
      <c r="R275" s="86">
        <f>+'Summary - Reserve - PG 2 (Reg)'!Q47</f>
        <v>0</v>
      </c>
      <c r="S275" s="86"/>
      <c r="T275" s="86">
        <f>+'Summary - Reserve - PG 2 (Reg)'!S47</f>
        <v>0</v>
      </c>
      <c r="U275" s="86"/>
      <c r="V275" s="86">
        <f t="shared" si="19"/>
        <v>-1989761.0899999999</v>
      </c>
      <c r="W275" s="86"/>
    </row>
    <row r="276" spans="2:23" outlineLevel="3" x14ac:dyDescent="0.2">
      <c r="B276" s="22"/>
      <c r="C276" s="22" t="s">
        <v>54</v>
      </c>
      <c r="D276" s="86">
        <f>+'Summary - Reserve - PG 2 (Reg)'!C48</f>
        <v>1.2734258092450546E-13</v>
      </c>
      <c r="E276" s="86"/>
      <c r="F276" s="86">
        <f>+'Summary - Reserve - PG 2 (Reg)'!E48</f>
        <v>0</v>
      </c>
      <c r="G276" s="86"/>
      <c r="H276" s="86">
        <f>+'Summary - Reserve - PG 2 (Reg)'!G48</f>
        <v>0</v>
      </c>
      <c r="I276" s="86"/>
      <c r="J276" s="86">
        <f>+'Summary - Reserve - PG 2 (Reg)'!I48</f>
        <v>0</v>
      </c>
      <c r="K276" s="86"/>
      <c r="L276" s="86"/>
      <c r="M276" s="86"/>
      <c r="N276" s="86">
        <f>+'Summary - Reserve - PG 2 (Reg)'!M48</f>
        <v>0</v>
      </c>
      <c r="O276" s="86"/>
      <c r="P276" s="86">
        <f>+'Summary - Reserve - PG 2 (Reg)'!O48</f>
        <v>0</v>
      </c>
      <c r="Q276" s="86"/>
      <c r="R276" s="86">
        <f>+'Summary - Reserve - PG 2 (Reg)'!Q48</f>
        <v>0</v>
      </c>
      <c r="S276" s="86"/>
      <c r="T276" s="86">
        <f>+'Summary - Reserve - PG 2 (Reg)'!S48</f>
        <v>0</v>
      </c>
      <c r="U276" s="86"/>
      <c r="V276" s="147">
        <f t="shared" si="19"/>
        <v>1.2734258092450546E-13</v>
      </c>
      <c r="W276" s="86"/>
    </row>
    <row r="277" spans="2:23" outlineLevel="3" x14ac:dyDescent="0.2">
      <c r="B277" s="22"/>
      <c r="C277" s="19"/>
      <c r="D277" s="114">
        <f>SUM(D264:D276)</f>
        <v>-391844156.63000011</v>
      </c>
      <c r="E277" s="86"/>
      <c r="F277" s="114">
        <f>SUM(F264:F276)</f>
        <v>-25947488.890000004</v>
      </c>
      <c r="G277" s="86"/>
      <c r="H277" s="114">
        <f>SUM(H264:H276)</f>
        <v>0</v>
      </c>
      <c r="I277" s="86"/>
      <c r="J277" s="114">
        <f>SUM(J264:J276)</f>
        <v>27472.079999999994</v>
      </c>
      <c r="K277" s="86"/>
      <c r="L277" s="86"/>
      <c r="M277" s="86"/>
      <c r="N277" s="114">
        <f>SUM(N264:N276)</f>
        <v>0</v>
      </c>
      <c r="O277" s="86"/>
      <c r="P277" s="114">
        <f>SUM(P264:P276)</f>
        <v>16154676.76</v>
      </c>
      <c r="Q277" s="86"/>
      <c r="R277" s="114">
        <f>SUM(R264:R276)</f>
        <v>0</v>
      </c>
      <c r="S277" s="86"/>
      <c r="T277" s="114">
        <f>SUM(T264:T276)</f>
        <v>-976008.01</v>
      </c>
      <c r="U277" s="86"/>
      <c r="V277" s="86">
        <f>SUM(V264:V276)</f>
        <v>-402585504.69</v>
      </c>
      <c r="W277" s="86"/>
    </row>
    <row r="278" spans="2:23" outlineLevel="3" x14ac:dyDescent="0.2">
      <c r="B278" s="22"/>
      <c r="D278" s="83"/>
      <c r="E278" s="83"/>
      <c r="F278" s="83"/>
      <c r="G278" s="83"/>
      <c r="H278" s="83"/>
      <c r="I278" s="83"/>
      <c r="J278" s="32"/>
      <c r="K278" s="32"/>
      <c r="L278" s="32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</row>
    <row r="279" spans="2:23" ht="15" outlineLevel="3" x14ac:dyDescent="0.35">
      <c r="B279" s="10" t="s">
        <v>90</v>
      </c>
      <c r="D279" s="34"/>
      <c r="E279" s="32"/>
      <c r="F279" s="34"/>
      <c r="G279" s="32"/>
      <c r="H279" s="34"/>
      <c r="I279" s="32"/>
      <c r="J279" s="34"/>
      <c r="K279" s="34"/>
      <c r="L279" s="34"/>
      <c r="M279" s="32"/>
      <c r="N279" s="34"/>
      <c r="O279" s="32"/>
      <c r="P279" s="34"/>
      <c r="Q279" s="32"/>
      <c r="R279" s="34"/>
      <c r="S279" s="32"/>
      <c r="T279" s="34"/>
      <c r="U279" s="32"/>
      <c r="V279" s="34"/>
      <c r="W279" s="34"/>
    </row>
    <row r="280" spans="2:23" outlineLevel="3" x14ac:dyDescent="0.2">
      <c r="B280" s="22"/>
      <c r="C280" s="22" t="s">
        <v>14</v>
      </c>
      <c r="D280" s="86">
        <f>+'Summary - Reserve - PG 2 (Reg)'!C52</f>
        <v>276891.90999999997</v>
      </c>
      <c r="E280" s="86"/>
      <c r="F280" s="86">
        <f>+'Summary - Reserve - PG 2 (Reg)'!E52</f>
        <v>253.1</v>
      </c>
      <c r="G280" s="86"/>
      <c r="H280" s="86">
        <f>+'Summary - Reserve - PG 2 (Reg)'!G52</f>
        <v>0</v>
      </c>
      <c r="I280" s="86"/>
      <c r="J280" s="86">
        <f>+'Summary - Reserve - PG 2 (Reg)'!I52</f>
        <v>0</v>
      </c>
      <c r="K280" s="86"/>
      <c r="L280" s="86"/>
      <c r="M280" s="86"/>
      <c r="N280" s="86">
        <f>+'Summary - Reserve - PG 2 (Reg)'!M52</f>
        <v>0</v>
      </c>
      <c r="O280" s="86"/>
      <c r="P280" s="86">
        <f>+'Summary - Reserve - PG 2 (Reg)'!O52</f>
        <v>0</v>
      </c>
      <c r="Q280" s="86"/>
      <c r="R280" s="86">
        <f>+'Summary - Reserve - PG 2 (Reg)'!Q52</f>
        <v>-1397.96</v>
      </c>
      <c r="S280" s="86"/>
      <c r="T280" s="86">
        <f>+'Summary - Reserve - PG 2 (Reg)'!S52</f>
        <v>0</v>
      </c>
      <c r="U280" s="86"/>
      <c r="V280" s="86">
        <f t="shared" ref="V280:V292" si="20">T280+R280+P280+N280+J280+H280+F280+D280</f>
        <v>275747.05</v>
      </c>
      <c r="W280" s="86"/>
    </row>
    <row r="281" spans="2:23" outlineLevel="3" x14ac:dyDescent="0.2">
      <c r="B281" s="22"/>
      <c r="C281" s="22" t="s">
        <v>18</v>
      </c>
      <c r="D281" s="86">
        <f>+'Summary - Reserve - PG 2 (Reg)'!C53</f>
        <v>20117939</v>
      </c>
      <c r="E281" s="86"/>
      <c r="F281" s="86">
        <f>+'Summary - Reserve - PG 2 (Reg)'!E53</f>
        <v>683306.81</v>
      </c>
      <c r="G281" s="86"/>
      <c r="H281" s="86">
        <f>+'Summary - Reserve - PG 2 (Reg)'!G53</f>
        <v>0</v>
      </c>
      <c r="I281" s="86"/>
      <c r="J281" s="86">
        <f>+'Summary - Reserve - PG 2 (Reg)'!I53</f>
        <v>0</v>
      </c>
      <c r="K281" s="86"/>
      <c r="L281" s="86"/>
      <c r="M281" s="86"/>
      <c r="N281" s="86">
        <f>+'Summary - Reserve - PG 2 (Reg)'!M53</f>
        <v>0</v>
      </c>
      <c r="O281" s="86"/>
      <c r="P281" s="86">
        <f>+'Summary - Reserve - PG 2 (Reg)'!O53</f>
        <v>0</v>
      </c>
      <c r="Q281" s="86"/>
      <c r="R281" s="86">
        <f>+'Summary - Reserve - PG 2 (Reg)'!Q53</f>
        <v>-174072.58</v>
      </c>
      <c r="S281" s="86"/>
      <c r="T281" s="86">
        <f>+'Summary - Reserve - PG 2 (Reg)'!S53</f>
        <v>0</v>
      </c>
      <c r="U281" s="86"/>
      <c r="V281" s="86">
        <f t="shared" si="20"/>
        <v>20627173.23</v>
      </c>
      <c r="W281" s="86"/>
    </row>
    <row r="282" spans="2:23" outlineLevel="3" x14ac:dyDescent="0.2">
      <c r="B282" s="22"/>
      <c r="C282" s="22" t="s">
        <v>19</v>
      </c>
      <c r="D282" s="86">
        <f>+'Summary - Reserve - PG 2 (Reg)'!C54</f>
        <v>150030.12</v>
      </c>
      <c r="E282" s="86"/>
      <c r="F282" s="86">
        <f>+'Summary - Reserve - PG 2 (Reg)'!E54</f>
        <v>1660.33</v>
      </c>
      <c r="G282" s="86"/>
      <c r="H282" s="86">
        <f>+'Summary - Reserve - PG 2 (Reg)'!G54</f>
        <v>0</v>
      </c>
      <c r="I282" s="86"/>
      <c r="J282" s="86">
        <f>+'Summary - Reserve - PG 2 (Reg)'!I54</f>
        <v>0</v>
      </c>
      <c r="K282" s="86"/>
      <c r="L282" s="86"/>
      <c r="M282" s="86"/>
      <c r="N282" s="86">
        <f>+'Summary - Reserve - PG 2 (Reg)'!M54</f>
        <v>0</v>
      </c>
      <c r="O282" s="86"/>
      <c r="P282" s="86">
        <f>+'Summary - Reserve - PG 2 (Reg)'!O54</f>
        <v>0</v>
      </c>
      <c r="Q282" s="86"/>
      <c r="R282" s="86">
        <f>+'Summary - Reserve - PG 2 (Reg)'!Q54</f>
        <v>0</v>
      </c>
      <c r="S282" s="86"/>
      <c r="T282" s="86">
        <f>+'Summary - Reserve - PG 2 (Reg)'!S54</f>
        <v>0</v>
      </c>
      <c r="U282" s="86"/>
      <c r="V282" s="86">
        <f t="shared" si="20"/>
        <v>151690.44999999998</v>
      </c>
      <c r="W282" s="86"/>
    </row>
    <row r="283" spans="2:23" outlineLevel="3" x14ac:dyDescent="0.2">
      <c r="B283" s="22"/>
      <c r="C283" s="22" t="s">
        <v>20</v>
      </c>
      <c r="D283" s="86">
        <f>+'Summary - Reserve - PG 2 (Reg)'!C55</f>
        <v>420519.30999999994</v>
      </c>
      <c r="E283" s="86"/>
      <c r="F283" s="86">
        <f>+'Summary - Reserve - PG 2 (Reg)'!E55</f>
        <v>21488.11</v>
      </c>
      <c r="G283" s="86"/>
      <c r="H283" s="86">
        <f>+'Summary - Reserve - PG 2 (Reg)'!G55</f>
        <v>0</v>
      </c>
      <c r="I283" s="86"/>
      <c r="J283" s="86">
        <f>+'Summary - Reserve - PG 2 (Reg)'!I55</f>
        <v>0</v>
      </c>
      <c r="K283" s="86"/>
      <c r="L283" s="86"/>
      <c r="M283" s="86"/>
      <c r="N283" s="86">
        <f>+'Summary - Reserve - PG 2 (Reg)'!M55</f>
        <v>0</v>
      </c>
      <c r="O283" s="86"/>
      <c r="P283" s="86">
        <f>+'Summary - Reserve - PG 2 (Reg)'!O55</f>
        <v>0</v>
      </c>
      <c r="Q283" s="86"/>
      <c r="R283" s="86">
        <f>+'Summary - Reserve - PG 2 (Reg)'!Q55</f>
        <v>-110.96</v>
      </c>
      <c r="S283" s="86"/>
      <c r="T283" s="86">
        <f>+'Summary - Reserve - PG 2 (Reg)'!S55</f>
        <v>0</v>
      </c>
      <c r="U283" s="86"/>
      <c r="V283" s="86">
        <f t="shared" si="20"/>
        <v>441896.45999999996</v>
      </c>
      <c r="W283" s="86"/>
    </row>
    <row r="284" spans="2:23" outlineLevel="3" x14ac:dyDescent="0.2">
      <c r="B284" s="22"/>
      <c r="C284" s="22" t="s">
        <v>22</v>
      </c>
      <c r="D284" s="86">
        <f>+'Summary - Reserve - PG 2 (Reg)'!C56</f>
        <v>229366.72</v>
      </c>
      <c r="E284" s="86"/>
      <c r="F284" s="86">
        <f>+'Summary - Reserve - PG 2 (Reg)'!E56</f>
        <v>111138.87</v>
      </c>
      <c r="G284" s="86"/>
      <c r="H284" s="86">
        <f>+'Summary - Reserve - PG 2 (Reg)'!G56</f>
        <v>0</v>
      </c>
      <c r="I284" s="86"/>
      <c r="J284" s="86">
        <f>+'Summary - Reserve - PG 2 (Reg)'!I56</f>
        <v>0</v>
      </c>
      <c r="K284" s="86"/>
      <c r="L284" s="86"/>
      <c r="M284" s="86"/>
      <c r="N284" s="86">
        <f>+'Summary - Reserve - PG 2 (Reg)'!M56</f>
        <v>0</v>
      </c>
      <c r="O284" s="86"/>
      <c r="P284" s="86">
        <f>+'Summary - Reserve - PG 2 (Reg)'!O56</f>
        <v>0</v>
      </c>
      <c r="Q284" s="86"/>
      <c r="R284" s="86">
        <f>+'Summary - Reserve - PG 2 (Reg)'!Q56</f>
        <v>-1433.84</v>
      </c>
      <c r="S284" s="86"/>
      <c r="T284" s="86">
        <f>+'Summary - Reserve - PG 2 (Reg)'!S56</f>
        <v>0</v>
      </c>
      <c r="U284" s="86"/>
      <c r="V284" s="86">
        <f t="shared" si="20"/>
        <v>339071.75</v>
      </c>
      <c r="W284" s="86"/>
    </row>
    <row r="285" spans="2:23" outlineLevel="3" x14ac:dyDescent="0.2">
      <c r="B285" s="22"/>
      <c r="C285" s="22" t="s">
        <v>23</v>
      </c>
      <c r="D285" s="86">
        <f>+'Summary - Reserve - PG 2 (Reg)'!C57</f>
        <v>27764727.52</v>
      </c>
      <c r="E285" s="86"/>
      <c r="F285" s="86">
        <f>+'Summary - Reserve - PG 2 (Reg)'!E57</f>
        <v>1043312.34</v>
      </c>
      <c r="G285" s="86"/>
      <c r="H285" s="86">
        <f>+'Summary - Reserve - PG 2 (Reg)'!G57</f>
        <v>0</v>
      </c>
      <c r="I285" s="86"/>
      <c r="J285" s="86">
        <f>+'Summary - Reserve - PG 2 (Reg)'!I57</f>
        <v>0</v>
      </c>
      <c r="K285" s="86"/>
      <c r="L285" s="86"/>
      <c r="M285" s="86"/>
      <c r="N285" s="86">
        <f>+'Summary - Reserve - PG 2 (Reg)'!M57</f>
        <v>0</v>
      </c>
      <c r="O285" s="86"/>
      <c r="P285" s="86">
        <f>+'Summary - Reserve - PG 2 (Reg)'!O57</f>
        <v>0</v>
      </c>
      <c r="Q285" s="86"/>
      <c r="R285" s="86">
        <f>+'Summary - Reserve - PG 2 (Reg)'!Q57</f>
        <v>-463028.95</v>
      </c>
      <c r="S285" s="86"/>
      <c r="T285" s="86">
        <f>+'Summary - Reserve - PG 2 (Reg)'!S57</f>
        <v>0</v>
      </c>
      <c r="U285" s="86"/>
      <c r="V285" s="86">
        <f t="shared" si="20"/>
        <v>28345010.91</v>
      </c>
      <c r="W285" s="86"/>
    </row>
    <row r="286" spans="2:23" outlineLevel="3" x14ac:dyDescent="0.2">
      <c r="B286" s="22"/>
      <c r="C286" s="22" t="s">
        <v>24</v>
      </c>
      <c r="D286" s="86">
        <f>+'Summary - Reserve - PG 2 (Reg)'!C58</f>
        <v>6628958.7399999993</v>
      </c>
      <c r="E286" s="86"/>
      <c r="F286" s="86">
        <f>+'Summary - Reserve - PG 2 (Reg)'!E58</f>
        <v>236882.53</v>
      </c>
      <c r="G286" s="86"/>
      <c r="H286" s="86">
        <f>+'Summary - Reserve - PG 2 (Reg)'!G58</f>
        <v>0</v>
      </c>
      <c r="I286" s="86"/>
      <c r="J286" s="86">
        <f>+'Summary - Reserve - PG 2 (Reg)'!I58</f>
        <v>0</v>
      </c>
      <c r="K286" s="86"/>
      <c r="L286" s="86"/>
      <c r="M286" s="86"/>
      <c r="N286" s="86">
        <f>+'Summary - Reserve - PG 2 (Reg)'!M58</f>
        <v>0</v>
      </c>
      <c r="O286" s="86"/>
      <c r="P286" s="86">
        <f>+'Summary - Reserve - PG 2 (Reg)'!O58</f>
        <v>0</v>
      </c>
      <c r="Q286" s="86"/>
      <c r="R286" s="86">
        <f>+'Summary - Reserve - PG 2 (Reg)'!Q58</f>
        <v>-179939.95</v>
      </c>
      <c r="S286" s="86"/>
      <c r="T286" s="86">
        <f>+'Summary - Reserve - PG 2 (Reg)'!S58</f>
        <v>0</v>
      </c>
      <c r="U286" s="86"/>
      <c r="V286" s="86">
        <f t="shared" si="20"/>
        <v>6685901.3199999994</v>
      </c>
      <c r="W286" s="86"/>
    </row>
    <row r="287" spans="2:23" outlineLevel="3" x14ac:dyDescent="0.2">
      <c r="B287" s="22"/>
      <c r="C287" s="22" t="s">
        <v>27</v>
      </c>
      <c r="D287" s="86">
        <f>+'Summary - Reserve - PG 2 (Reg)'!C59</f>
        <v>4331533.53</v>
      </c>
      <c r="E287" s="86"/>
      <c r="F287" s="86">
        <f>+'Summary - Reserve - PG 2 (Reg)'!E59</f>
        <v>135517.89000000001</v>
      </c>
      <c r="G287" s="86"/>
      <c r="H287" s="86">
        <f>+'Summary - Reserve - PG 2 (Reg)'!G59</f>
        <v>0</v>
      </c>
      <c r="I287" s="86"/>
      <c r="J287" s="86">
        <f>+'Summary - Reserve - PG 2 (Reg)'!I59</f>
        <v>0</v>
      </c>
      <c r="K287" s="86"/>
      <c r="L287" s="86"/>
      <c r="M287" s="86"/>
      <c r="N287" s="86">
        <f>+'Summary - Reserve - PG 2 (Reg)'!M59</f>
        <v>0</v>
      </c>
      <c r="O287" s="86"/>
      <c r="P287" s="86">
        <f>+'Summary - Reserve - PG 2 (Reg)'!O59</f>
        <v>0</v>
      </c>
      <c r="Q287" s="86"/>
      <c r="R287" s="86">
        <f>+'Summary - Reserve - PG 2 (Reg)'!Q59</f>
        <v>-2550.4699999999998</v>
      </c>
      <c r="S287" s="86"/>
      <c r="T287" s="86">
        <f>+'Summary - Reserve - PG 2 (Reg)'!S59</f>
        <v>0</v>
      </c>
      <c r="U287" s="86"/>
      <c r="V287" s="86">
        <f t="shared" si="20"/>
        <v>4464500.95</v>
      </c>
      <c r="W287" s="86"/>
    </row>
    <row r="288" spans="2:23" outlineLevel="3" x14ac:dyDescent="0.2">
      <c r="B288" s="22"/>
      <c r="C288" s="22" t="s">
        <v>28</v>
      </c>
      <c r="D288" s="86">
        <f>+'Summary - Reserve - PG 2 (Reg)'!C60</f>
        <v>236217.59000000003</v>
      </c>
      <c r="E288" s="86"/>
      <c r="F288" s="86">
        <f>+'Summary - Reserve - PG 2 (Reg)'!E60</f>
        <v>2167.5300000000002</v>
      </c>
      <c r="G288" s="86"/>
      <c r="H288" s="86">
        <f>+'Summary - Reserve - PG 2 (Reg)'!G60</f>
        <v>0</v>
      </c>
      <c r="I288" s="86"/>
      <c r="J288" s="86">
        <f>+'Summary - Reserve - PG 2 (Reg)'!I60</f>
        <v>43607.11</v>
      </c>
      <c r="K288" s="86"/>
      <c r="L288" s="86"/>
      <c r="M288" s="86"/>
      <c r="N288" s="86">
        <f>+'Summary - Reserve - PG 2 (Reg)'!M60</f>
        <v>0</v>
      </c>
      <c r="O288" s="86"/>
      <c r="P288" s="86">
        <f>+'Summary - Reserve - PG 2 (Reg)'!O60</f>
        <v>0</v>
      </c>
      <c r="Q288" s="86"/>
      <c r="R288" s="86">
        <f>+'Summary - Reserve - PG 2 (Reg)'!Q60</f>
        <v>-44255</v>
      </c>
      <c r="S288" s="86"/>
      <c r="T288" s="86">
        <f>+'Summary - Reserve - PG 2 (Reg)'!S60</f>
        <v>0</v>
      </c>
      <c r="U288" s="86"/>
      <c r="V288" s="86">
        <f t="shared" si="20"/>
        <v>237737.23000000004</v>
      </c>
      <c r="W288" s="86"/>
    </row>
    <row r="289" spans="1:28" outlineLevel="3" x14ac:dyDescent="0.2">
      <c r="B289" s="22"/>
      <c r="C289" s="22" t="s">
        <v>30</v>
      </c>
      <c r="D289" s="86">
        <f>+'Summary - Reserve - PG 2 (Reg)'!C61</f>
        <v>409204.43999999994</v>
      </c>
      <c r="E289" s="86"/>
      <c r="F289" s="86">
        <f>+'Summary - Reserve - PG 2 (Reg)'!E61</f>
        <v>44582.28</v>
      </c>
      <c r="G289" s="86"/>
      <c r="H289" s="86">
        <f>+'Summary - Reserve - PG 2 (Reg)'!G61</f>
        <v>0</v>
      </c>
      <c r="I289" s="86"/>
      <c r="J289" s="86">
        <f>+'Summary - Reserve - PG 2 (Reg)'!I61</f>
        <v>0</v>
      </c>
      <c r="K289" s="86"/>
      <c r="L289" s="86"/>
      <c r="M289" s="86"/>
      <c r="N289" s="86">
        <f>+'Summary - Reserve - PG 2 (Reg)'!M61</f>
        <v>0</v>
      </c>
      <c r="O289" s="86"/>
      <c r="P289" s="86">
        <f>+'Summary - Reserve - PG 2 (Reg)'!O61</f>
        <v>0</v>
      </c>
      <c r="Q289" s="86"/>
      <c r="R289" s="86">
        <f>+'Summary - Reserve - PG 2 (Reg)'!Q61</f>
        <v>-433.45</v>
      </c>
      <c r="S289" s="86"/>
      <c r="T289" s="86">
        <f>+'Summary - Reserve - PG 2 (Reg)'!S61</f>
        <v>0</v>
      </c>
      <c r="U289" s="86"/>
      <c r="V289" s="86">
        <f t="shared" si="20"/>
        <v>453353.26999999996</v>
      </c>
      <c r="W289" s="86"/>
    </row>
    <row r="290" spans="1:28" outlineLevel="3" x14ac:dyDescent="0.2">
      <c r="B290" s="22"/>
      <c r="C290" s="22" t="s">
        <v>51</v>
      </c>
      <c r="D290" s="86">
        <f>+'Summary - Reserve - PG 2 (Reg)'!C62</f>
        <v>0</v>
      </c>
      <c r="E290" s="86"/>
      <c r="F290" s="86">
        <f>+'Summary - Reserve - PG 2 (Reg)'!E62</f>
        <v>0</v>
      </c>
      <c r="G290" s="86"/>
      <c r="H290" s="86">
        <f>+'Summary - Reserve - PG 2 (Reg)'!G62</f>
        <v>0</v>
      </c>
      <c r="I290" s="86"/>
      <c r="J290" s="86">
        <f>+'Summary - Reserve - PG 2 (Reg)'!I62</f>
        <v>0</v>
      </c>
      <c r="K290" s="86"/>
      <c r="L290" s="86"/>
      <c r="M290" s="86"/>
      <c r="N290" s="86">
        <f>+'Summary - Reserve - PG 2 (Reg)'!M62</f>
        <v>0</v>
      </c>
      <c r="O290" s="86"/>
      <c r="P290" s="86">
        <f>+'Summary - Reserve - PG 2 (Reg)'!O62</f>
        <v>0</v>
      </c>
      <c r="Q290" s="86"/>
      <c r="R290" s="86">
        <f>+'Summary - Reserve - PG 2 (Reg)'!Q62</f>
        <v>0</v>
      </c>
      <c r="S290" s="86"/>
      <c r="T290" s="86">
        <f>+'Summary - Reserve - PG 2 (Reg)'!S62</f>
        <v>0</v>
      </c>
      <c r="U290" s="86"/>
      <c r="V290" s="86">
        <f t="shared" si="20"/>
        <v>0</v>
      </c>
      <c r="W290" s="86"/>
    </row>
    <row r="291" spans="1:28" outlineLevel="3" x14ac:dyDescent="0.2">
      <c r="B291" s="22"/>
      <c r="C291" s="22" t="s">
        <v>31</v>
      </c>
      <c r="D291" s="86">
        <f>+'Summary - Reserve - PG 2 (Reg)'!C63</f>
        <v>240896.06</v>
      </c>
      <c r="E291" s="86"/>
      <c r="F291" s="86">
        <f>+'Summary - Reserve - PG 2 (Reg)'!E63</f>
        <v>5158.07</v>
      </c>
      <c r="G291" s="86"/>
      <c r="H291" s="86">
        <f>+'Summary - Reserve - PG 2 (Reg)'!G63</f>
        <v>0</v>
      </c>
      <c r="I291" s="86"/>
      <c r="J291" s="86">
        <f>+'Summary - Reserve - PG 2 (Reg)'!I63</f>
        <v>0</v>
      </c>
      <c r="K291" s="86"/>
      <c r="L291" s="86"/>
      <c r="M291" s="86"/>
      <c r="N291" s="86">
        <f>+'Summary - Reserve - PG 2 (Reg)'!M63</f>
        <v>0</v>
      </c>
      <c r="O291" s="86"/>
      <c r="P291" s="86">
        <f>+'Summary - Reserve - PG 2 (Reg)'!O63</f>
        <v>0</v>
      </c>
      <c r="Q291" s="86"/>
      <c r="R291" s="86">
        <f>+'Summary - Reserve - PG 2 (Reg)'!Q63</f>
        <v>0</v>
      </c>
      <c r="S291" s="86"/>
      <c r="T291" s="86">
        <f>+'Summary - Reserve - PG 2 (Reg)'!S63</f>
        <v>0</v>
      </c>
      <c r="U291" s="86"/>
      <c r="V291" s="86">
        <f t="shared" si="20"/>
        <v>246054.13</v>
      </c>
      <c r="W291" s="86"/>
    </row>
    <row r="292" spans="1:28" outlineLevel="3" x14ac:dyDescent="0.2">
      <c r="B292" s="22"/>
      <c r="C292" s="22" t="s">
        <v>54</v>
      </c>
      <c r="D292" s="86">
        <f>+'Summary - Reserve - PG 2 (Reg)'!C64</f>
        <v>0</v>
      </c>
      <c r="E292" s="86"/>
      <c r="F292" s="86">
        <f>+'Summary - Reserve - PG 2 (Reg)'!E64</f>
        <v>0</v>
      </c>
      <c r="G292" s="86"/>
      <c r="H292" s="86">
        <f>+'Summary - Reserve - PG 2 (Reg)'!G64</f>
        <v>0</v>
      </c>
      <c r="I292" s="86"/>
      <c r="J292" s="86">
        <f>+'Summary - Reserve - PG 2 (Reg)'!I64</f>
        <v>0</v>
      </c>
      <c r="K292" s="86"/>
      <c r="L292" s="86"/>
      <c r="M292" s="86"/>
      <c r="N292" s="86">
        <f>+'Summary - Reserve - PG 2 (Reg)'!M64</f>
        <v>0</v>
      </c>
      <c r="O292" s="86"/>
      <c r="P292" s="86">
        <f>+'Summary - Reserve - PG 2 (Reg)'!O64</f>
        <v>0</v>
      </c>
      <c r="Q292" s="86"/>
      <c r="R292" s="86">
        <f>+'Summary - Reserve - PG 2 (Reg)'!Q64</f>
        <v>0</v>
      </c>
      <c r="S292" s="86"/>
      <c r="T292" s="86">
        <f>+'Summary - Reserve - PG 2 (Reg)'!S64</f>
        <v>0</v>
      </c>
      <c r="U292" s="86"/>
      <c r="V292" s="147">
        <f t="shared" si="20"/>
        <v>0</v>
      </c>
      <c r="W292" s="86"/>
    </row>
    <row r="293" spans="1:28" outlineLevel="3" x14ac:dyDescent="0.2">
      <c r="B293" s="22"/>
      <c r="C293" s="19"/>
      <c r="D293" s="114">
        <f>SUM(D280:D292)</f>
        <v>60806284.940000005</v>
      </c>
      <c r="E293" s="86"/>
      <c r="F293" s="114">
        <f>SUM(F280:F292)</f>
        <v>2285467.8599999994</v>
      </c>
      <c r="G293" s="86"/>
      <c r="H293" s="114">
        <f>SUM(H280:H292)</f>
        <v>0</v>
      </c>
      <c r="I293" s="86"/>
      <c r="J293" s="114">
        <f>SUM(J280:J292)</f>
        <v>43607.11</v>
      </c>
      <c r="K293" s="86"/>
      <c r="L293" s="86"/>
      <c r="M293" s="86"/>
      <c r="N293" s="114">
        <f>SUM(N280:N292)</f>
        <v>0</v>
      </c>
      <c r="O293" s="86"/>
      <c r="P293" s="114">
        <f>SUM(P280:P292)</f>
        <v>0</v>
      </c>
      <c r="Q293" s="86"/>
      <c r="R293" s="114">
        <f>SUM(R280:R292)</f>
        <v>-867223.15999999992</v>
      </c>
      <c r="S293" s="86"/>
      <c r="T293" s="114">
        <f>SUM(T280:T292)</f>
        <v>0</v>
      </c>
      <c r="U293" s="86"/>
      <c r="V293" s="86">
        <f>SUM(V280:V292)</f>
        <v>62268136.750000007</v>
      </c>
      <c r="W293" s="86"/>
    </row>
    <row r="294" spans="1:28" outlineLevel="3" x14ac:dyDescent="0.2">
      <c r="B294" s="22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</row>
    <row r="295" spans="1:28" outlineLevel="3" x14ac:dyDescent="0.2">
      <c r="B295" s="10" t="s">
        <v>93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1:28" outlineLevel="3" x14ac:dyDescent="0.2">
      <c r="B296" s="22"/>
      <c r="C296" s="22" t="s">
        <v>13</v>
      </c>
      <c r="D296" s="37">
        <f>+'Summary - Reserve - PG 2 (Reg)'!C74</f>
        <v>150607.13999999996</v>
      </c>
      <c r="E296" s="37"/>
      <c r="F296" s="37">
        <f>+'Summary - Reserve - PG 2 (Reg)'!E74</f>
        <v>0</v>
      </c>
      <c r="G296" s="37"/>
      <c r="H296" s="37">
        <f>+'Summary - Reserve - PG 2 (Reg)'!G74</f>
        <v>0</v>
      </c>
      <c r="I296" s="37"/>
      <c r="J296" s="37">
        <f>+'Summary - Reserve - PG 2 (Reg)'!I74</f>
        <v>0</v>
      </c>
      <c r="K296" s="37"/>
      <c r="L296" s="37">
        <f>+'Summary - Reserve - PG 2 (Reg)'!K74</f>
        <v>0</v>
      </c>
      <c r="M296" s="37"/>
      <c r="N296" s="37">
        <f>+'Summary - Reserve - PG 2 (Reg)'!M74</f>
        <v>-149494.34</v>
      </c>
      <c r="O296" s="37"/>
      <c r="P296" s="37">
        <f>+'Summary - Reserve - PG 2 (Reg)'!O74</f>
        <v>141067.25</v>
      </c>
      <c r="Q296" s="37"/>
      <c r="R296" s="37">
        <f>+'Summary - Reserve - PG 2 (Reg)'!Q74</f>
        <v>-12650</v>
      </c>
      <c r="S296" s="37"/>
      <c r="T296" s="37">
        <f>+'Summary - Reserve - PG 2 (Reg)'!S74</f>
        <v>189610.73</v>
      </c>
      <c r="U296" s="37"/>
      <c r="V296" s="37">
        <f>T296+R296+P296+N296+J296+H296+F296+D296+L296</f>
        <v>319140.77999999991</v>
      </c>
      <c r="W296" s="37"/>
    </row>
    <row r="297" spans="1:28" outlineLevel="3" x14ac:dyDescent="0.2">
      <c r="B297" s="22"/>
      <c r="C297" s="22" t="s">
        <v>17</v>
      </c>
      <c r="D297" s="37">
        <f>+'Summary - Reserve - PG 2 (Reg)'!C75</f>
        <v>39614101.059999995</v>
      </c>
      <c r="E297" s="37"/>
      <c r="F297" s="37">
        <f>+'Summary - Reserve - PG 2 (Reg)'!E75</f>
        <v>0</v>
      </c>
      <c r="G297" s="37"/>
      <c r="H297" s="37">
        <f>+'Summary - Reserve - PG 2 (Reg)'!G75</f>
        <v>0</v>
      </c>
      <c r="I297" s="37"/>
      <c r="J297" s="37">
        <f>+'Summary - Reserve - PG 2 (Reg)'!I75</f>
        <v>9160.81</v>
      </c>
      <c r="K297" s="37"/>
      <c r="L297" s="37">
        <f>+'Summary - Reserve - PG 2 (Reg)'!K75</f>
        <v>-863330.08</v>
      </c>
      <c r="M297" s="37"/>
      <c r="N297" s="37">
        <f>+'Summary - Reserve - PG 2 (Reg)'!M75</f>
        <v>-10345435.219999997</v>
      </c>
      <c r="O297" s="37"/>
      <c r="P297" s="37">
        <f>+'Summary - Reserve - PG 2 (Reg)'!O75</f>
        <v>27555886.109999999</v>
      </c>
      <c r="Q297" s="37"/>
      <c r="R297" s="37">
        <f>+'Summary - Reserve - PG 2 (Reg)'!Q75</f>
        <v>-1781290.1199999999</v>
      </c>
      <c r="S297" s="37"/>
      <c r="T297" s="37">
        <f>+'Summary - Reserve - PG 2 (Reg)'!S75</f>
        <v>-402172.62000000005</v>
      </c>
      <c r="U297" s="37"/>
      <c r="V297" s="37">
        <f>T297+R297+P297+N297+J297+H297+F297+D297+L297</f>
        <v>53786919.939999998</v>
      </c>
      <c r="W297" s="37"/>
    </row>
    <row r="298" spans="1:28" outlineLevel="3" x14ac:dyDescent="0.2">
      <c r="B298" s="22"/>
      <c r="C298" s="22" t="s">
        <v>26</v>
      </c>
      <c r="D298" s="37">
        <f>+'Summary - Reserve - PG 2 (Reg)'!C76</f>
        <v>3981749.2600000007</v>
      </c>
      <c r="E298" s="37"/>
      <c r="F298" s="37">
        <f>+'Summary - Reserve - PG 2 (Reg)'!E76</f>
        <v>0</v>
      </c>
      <c r="G298" s="37"/>
      <c r="H298" s="37">
        <f>+'Summary - Reserve - PG 2 (Reg)'!G76</f>
        <v>0</v>
      </c>
      <c r="I298" s="37"/>
      <c r="J298" s="37">
        <f>+'Summary - Reserve - PG 2 (Reg)'!I76</f>
        <v>0</v>
      </c>
      <c r="K298" s="37"/>
      <c r="L298" s="37">
        <f>+'Summary - Reserve - PG 2 (Reg)'!K76</f>
        <v>-2054147.46</v>
      </c>
      <c r="M298" s="37"/>
      <c r="N298" s="37">
        <f>+'Summary - Reserve - PG 2 (Reg)'!M76</f>
        <v>-899038.49000000022</v>
      </c>
      <c r="O298" s="37"/>
      <c r="P298" s="37">
        <f>+'Summary - Reserve - PG 2 (Reg)'!O76</f>
        <v>2918541.65</v>
      </c>
      <c r="Q298" s="37"/>
      <c r="R298" s="37">
        <f>+'Summary - Reserve - PG 2 (Reg)'!Q76</f>
        <v>-7620.4399999999987</v>
      </c>
      <c r="S298" s="37"/>
      <c r="T298" s="37">
        <f>+'Summary - Reserve - PG 2 (Reg)'!S76</f>
        <v>0</v>
      </c>
      <c r="U298" s="37"/>
      <c r="V298" s="37">
        <f>T298+R298+P298+N298+J298+H298+F298+D298+L298</f>
        <v>3939484.5200000005</v>
      </c>
      <c r="W298" s="37"/>
    </row>
    <row r="299" spans="1:28" outlineLevel="3" x14ac:dyDescent="0.2">
      <c r="B299" s="22"/>
      <c r="C299" s="19"/>
      <c r="D299" s="91">
        <f>SUM(D296:D298)</f>
        <v>43746457.459999993</v>
      </c>
      <c r="E299" s="37"/>
      <c r="F299" s="91">
        <f>SUM(F296:F298)</f>
        <v>0</v>
      </c>
      <c r="G299" s="37"/>
      <c r="H299" s="91">
        <f>SUM(H296:H298)</f>
        <v>0</v>
      </c>
      <c r="I299" s="37"/>
      <c r="J299" s="91">
        <f>SUM(J296:J298)</f>
        <v>9160.81</v>
      </c>
      <c r="K299" s="37"/>
      <c r="L299" s="91">
        <f>SUM(L296:L298)</f>
        <v>-2917477.54</v>
      </c>
      <c r="M299" s="37"/>
      <c r="N299" s="91">
        <f>SUM(N296:N298)</f>
        <v>-11393968.049999997</v>
      </c>
      <c r="O299" s="37"/>
      <c r="P299" s="91">
        <f>SUM(P296:P298)</f>
        <v>30615495.009999998</v>
      </c>
      <c r="Q299" s="37"/>
      <c r="R299" s="91">
        <f>SUM(R296:R298)</f>
        <v>-1801560.5599999998</v>
      </c>
      <c r="S299" s="37"/>
      <c r="T299" s="91">
        <f>SUM(T296:T298)</f>
        <v>-212561.89000000004</v>
      </c>
      <c r="U299" s="37"/>
      <c r="V299" s="91">
        <f>SUM(V296:V298)</f>
        <v>58045545.240000002</v>
      </c>
      <c r="W299" s="86"/>
    </row>
    <row r="300" spans="1:28" outlineLevel="3" x14ac:dyDescent="0.2">
      <c r="B300" s="22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1:28" outlineLevel="3" x14ac:dyDescent="0.2">
      <c r="A301" s="22" t="s">
        <v>207</v>
      </c>
      <c r="B301" s="10" t="s">
        <v>129</v>
      </c>
      <c r="X301" s="22"/>
      <c r="Y301" s="22"/>
      <c r="Z301" s="22"/>
      <c r="AA301" s="22"/>
      <c r="AB301" s="22"/>
    </row>
    <row r="302" spans="1:28" outlineLevel="3" x14ac:dyDescent="0.2">
      <c r="A302" s="22"/>
      <c r="B302" s="22"/>
      <c r="C302" s="22" t="s">
        <v>13</v>
      </c>
      <c r="D302" s="37">
        <f>+'RWIP BY ACCOUNT - PG 2A (Reg)'!C17</f>
        <v>0</v>
      </c>
      <c r="F302" s="37">
        <f>+'RWIP BY ACCOUNT - PG 2A (Reg)'!E17</f>
        <v>0</v>
      </c>
      <c r="H302" s="37">
        <f>+'RWIP BY ACCOUNT - PG 2A (Reg)'!G17</f>
        <v>0</v>
      </c>
      <c r="J302" s="37">
        <f>+'RWIP BY ACCOUNT - PG 2A (Reg)'!I17</f>
        <v>0</v>
      </c>
      <c r="K302" s="37"/>
      <c r="L302" s="37"/>
      <c r="N302" s="37">
        <f>+'RWIP BY ACCOUNT - PG 2A (Reg)'!M17</f>
        <v>0</v>
      </c>
      <c r="P302" s="37">
        <f>+'RWIP BY ACCOUNT - PG 2A (Reg)'!O17</f>
        <v>0</v>
      </c>
      <c r="R302" s="37">
        <f>+'RWIP BY ACCOUNT - PG 2A (Reg)'!Q17</f>
        <v>0</v>
      </c>
      <c r="T302" s="37">
        <f>+'RWIP BY ACCOUNT - PG 2A (Reg)'!S17</f>
        <v>0</v>
      </c>
      <c r="V302" s="37">
        <f>+'RWIP BY ACCOUNT - PG 2A (Reg)'!U17</f>
        <v>0</v>
      </c>
      <c r="W302" s="37"/>
      <c r="X302" s="22"/>
      <c r="Y302" s="22"/>
      <c r="Z302" s="22"/>
      <c r="AA302" s="22"/>
      <c r="AB302" s="22"/>
    </row>
    <row r="303" spans="1:28" outlineLevel="3" x14ac:dyDescent="0.2">
      <c r="A303" s="22"/>
      <c r="B303" s="22"/>
      <c r="C303" s="22" t="s">
        <v>17</v>
      </c>
      <c r="D303" s="37">
        <f>+'RWIP BY ACCOUNT - PG 2A (Reg)'!C18</f>
        <v>0</v>
      </c>
      <c r="F303" s="37">
        <f>+'RWIP BY ACCOUNT - PG 2A (Reg)'!E18</f>
        <v>0</v>
      </c>
      <c r="H303" s="37">
        <f>+'RWIP BY ACCOUNT - PG 2A (Reg)'!G18</f>
        <v>0</v>
      </c>
      <c r="J303" s="37">
        <f>+'RWIP BY ACCOUNT - PG 2A (Reg)'!I18</f>
        <v>0</v>
      </c>
      <c r="K303" s="37"/>
      <c r="L303" s="37"/>
      <c r="N303" s="37">
        <f>+'RWIP BY ACCOUNT - PG 2A (Reg)'!M18</f>
        <v>0</v>
      </c>
      <c r="P303" s="37">
        <f>+'RWIP BY ACCOUNT - PG 2A (Reg)'!O18</f>
        <v>0</v>
      </c>
      <c r="R303" s="37">
        <f>+'RWIP BY ACCOUNT - PG 2A (Reg)'!Q18</f>
        <v>0</v>
      </c>
      <c r="T303" s="37">
        <f>+'RWIP BY ACCOUNT - PG 2A (Reg)'!S18</f>
        <v>0</v>
      </c>
      <c r="V303" s="37">
        <f>+'RWIP BY ACCOUNT - PG 2A (Reg)'!U18</f>
        <v>0</v>
      </c>
      <c r="W303" s="37"/>
      <c r="X303" s="22"/>
      <c r="Y303" s="22"/>
      <c r="Z303" s="22"/>
      <c r="AA303" s="22"/>
      <c r="AB303" s="22"/>
    </row>
    <row r="304" spans="1:28" outlineLevel="3" x14ac:dyDescent="0.2">
      <c r="A304" s="22"/>
      <c r="B304" s="22"/>
      <c r="C304" s="22" t="s">
        <v>26</v>
      </c>
      <c r="D304" s="37">
        <f>+'RWIP BY ACCOUNT - PG 2A (Reg)'!C19</f>
        <v>0</v>
      </c>
      <c r="F304" s="37">
        <f>+'RWIP BY ACCOUNT - PG 2A (Reg)'!E19</f>
        <v>0</v>
      </c>
      <c r="H304" s="37">
        <f>+'RWIP BY ACCOUNT - PG 2A (Reg)'!G19</f>
        <v>0</v>
      </c>
      <c r="J304" s="37">
        <f>+'RWIP BY ACCOUNT - PG 2A (Reg)'!I19</f>
        <v>0</v>
      </c>
      <c r="K304" s="37"/>
      <c r="L304" s="37"/>
      <c r="N304" s="37">
        <f>+'RWIP BY ACCOUNT - PG 2A (Reg)'!M19</f>
        <v>0</v>
      </c>
      <c r="P304" s="37">
        <f>+'RWIP BY ACCOUNT - PG 2A (Reg)'!O19</f>
        <v>0</v>
      </c>
      <c r="R304" s="37">
        <f>+'RWIP BY ACCOUNT - PG 2A (Reg)'!Q19</f>
        <v>0</v>
      </c>
      <c r="T304" s="37">
        <f>+'RWIP BY ACCOUNT - PG 2A (Reg)'!S19</f>
        <v>0</v>
      </c>
      <c r="V304" s="37">
        <f>+'RWIP BY ACCOUNT - PG 2A (Reg)'!U19</f>
        <v>0</v>
      </c>
      <c r="W304" s="37"/>
      <c r="X304" s="22"/>
      <c r="Y304" s="22"/>
      <c r="Z304" s="22"/>
      <c r="AA304" s="22"/>
      <c r="AB304" s="22"/>
    </row>
    <row r="305" spans="1:28" outlineLevel="3" x14ac:dyDescent="0.2">
      <c r="A305" s="22"/>
      <c r="B305" s="22"/>
      <c r="D305" s="91">
        <f>SUM(D302:D304)</f>
        <v>0</v>
      </c>
      <c r="F305" s="91">
        <f>SUM(F302:F304)</f>
        <v>0</v>
      </c>
      <c r="H305" s="91">
        <f>SUM(H302:H304)</f>
        <v>0</v>
      </c>
      <c r="J305" s="91">
        <f>SUM(J302:J304)</f>
        <v>0</v>
      </c>
      <c r="K305" s="86"/>
      <c r="L305" s="86"/>
      <c r="N305" s="91">
        <f>SUM(N302:N304)</f>
        <v>0</v>
      </c>
      <c r="P305" s="91">
        <f>SUM(P302:P304)</f>
        <v>0</v>
      </c>
      <c r="R305" s="91">
        <f>SUM(R302:R304)</f>
        <v>0</v>
      </c>
      <c r="T305" s="91">
        <f>SUM(T302:T304)</f>
        <v>0</v>
      </c>
      <c r="V305" s="91">
        <v>0</v>
      </c>
      <c r="W305" s="86"/>
      <c r="X305" s="22"/>
      <c r="Y305" s="22"/>
      <c r="Z305" s="22"/>
      <c r="AA305" s="22"/>
      <c r="AB305" s="22"/>
    </row>
    <row r="306" spans="1:28" outlineLevel="3" x14ac:dyDescent="0.2">
      <c r="A306" s="22" t="s">
        <v>207</v>
      </c>
      <c r="B306" s="10" t="s">
        <v>130</v>
      </c>
      <c r="X306" s="22"/>
      <c r="Y306" s="22"/>
      <c r="Z306" s="22"/>
      <c r="AA306" s="22"/>
      <c r="AB306" s="22"/>
    </row>
    <row r="307" spans="1:28" outlineLevel="3" x14ac:dyDescent="0.2">
      <c r="A307" s="22"/>
      <c r="B307" s="22"/>
      <c r="C307" s="22" t="s">
        <v>13</v>
      </c>
      <c r="D307" s="37">
        <f>+'RWIP BY ACCOUNT - PG 2A (Reg)'!C22</f>
        <v>0</v>
      </c>
      <c r="F307" s="37">
        <f>+'RWIP BY ACCOUNT - PG 2A (Reg)'!E22</f>
        <v>0</v>
      </c>
      <c r="H307" s="37">
        <f>+'RWIP BY ACCOUNT - PG 2A (Reg)'!G22</f>
        <v>0</v>
      </c>
      <c r="J307" s="37">
        <f>+'RWIP BY ACCOUNT - PG 2A (Reg)'!I22</f>
        <v>0</v>
      </c>
      <c r="K307" s="37"/>
      <c r="L307" s="37">
        <f>+'RWIP BY ACCOUNT - PG 2A (Reg)'!K22</f>
        <v>0</v>
      </c>
      <c r="N307" s="37">
        <f>+'RWIP BY ACCOUNT - PG 2A (Reg)'!M22</f>
        <v>0</v>
      </c>
      <c r="P307" s="37">
        <f>+'RWIP BY ACCOUNT - PG 2A (Reg)'!O22</f>
        <v>0</v>
      </c>
      <c r="R307" s="37">
        <f>+'RWIP BY ACCOUNT - PG 2A (Reg)'!Q22</f>
        <v>0</v>
      </c>
      <c r="T307" s="37">
        <f>+'RWIP BY ACCOUNT - PG 2A (Reg)'!S22</f>
        <v>0</v>
      </c>
      <c r="V307" s="37">
        <f>T307+R307+P307+N307+J307+H307+F307+D307+L307</f>
        <v>0</v>
      </c>
      <c r="W307" s="37"/>
      <c r="X307" s="22"/>
      <c r="Y307" s="22"/>
      <c r="Z307" s="22"/>
      <c r="AA307" s="22"/>
      <c r="AB307" s="22"/>
    </row>
    <row r="308" spans="1:28" outlineLevel="3" x14ac:dyDescent="0.2">
      <c r="A308" s="22"/>
      <c r="B308" s="22"/>
      <c r="C308" s="22" t="s">
        <v>17</v>
      </c>
      <c r="D308" s="37">
        <f>+'RWIP BY ACCOUNT - PG 2A (Reg)'!C23</f>
        <v>11275861.839999998</v>
      </c>
      <c r="F308" s="37">
        <f>+'RWIP BY ACCOUNT - PG 2A (Reg)'!E23</f>
        <v>0</v>
      </c>
      <c r="H308" s="37">
        <f>+'RWIP BY ACCOUNT - PG 2A (Reg)'!G23</f>
        <v>0</v>
      </c>
      <c r="J308" s="37">
        <f>+'RWIP BY ACCOUNT - PG 2A (Reg)'!I23</f>
        <v>0</v>
      </c>
      <c r="K308" s="37"/>
      <c r="L308" s="37">
        <f>+'RWIP BY ACCOUNT - PG 2A (Reg)'!K23</f>
        <v>-863330.08</v>
      </c>
      <c r="N308" s="37">
        <f>+'RWIP BY ACCOUNT - PG 2A (Reg)'!M23</f>
        <v>0</v>
      </c>
      <c r="P308" s="37">
        <f>+'RWIP BY ACCOUNT - PG 2A (Reg)'!O23</f>
        <v>9192256.9300000016</v>
      </c>
      <c r="R308" s="37">
        <f>+'RWIP BY ACCOUNT - PG 2A (Reg)'!Q23</f>
        <v>0</v>
      </c>
      <c r="T308" s="37">
        <f>+'RWIP BY ACCOUNT - PG 2A (Reg)'!S23</f>
        <v>0</v>
      </c>
      <c r="V308" s="37">
        <f>T308+R308+P308+N308+J308+H308+F308+D308+L308</f>
        <v>19604788.690000001</v>
      </c>
      <c r="W308" s="37"/>
      <c r="X308" s="22"/>
      <c r="Y308" s="22"/>
      <c r="Z308" s="22"/>
      <c r="AA308" s="22"/>
      <c r="AB308" s="22"/>
    </row>
    <row r="309" spans="1:28" outlineLevel="3" x14ac:dyDescent="0.2">
      <c r="A309" s="22"/>
      <c r="B309" s="22"/>
      <c r="C309" s="22" t="s">
        <v>26</v>
      </c>
      <c r="D309" s="37">
        <f>+'RWIP BY ACCOUNT - PG 2A (Reg)'!C24</f>
        <v>2992179.2399999993</v>
      </c>
      <c r="F309" s="37">
        <f>+'RWIP BY ACCOUNT - PG 2A (Reg)'!E24</f>
        <v>0</v>
      </c>
      <c r="H309" s="37">
        <f>+'RWIP BY ACCOUNT - PG 2A (Reg)'!G24</f>
        <v>0</v>
      </c>
      <c r="J309" s="37">
        <f>+'RWIP BY ACCOUNT - PG 2A (Reg)'!I24</f>
        <v>0</v>
      </c>
      <c r="K309" s="37"/>
      <c r="L309" s="37">
        <f>+'RWIP BY ACCOUNT - PG 2A (Reg)'!K24</f>
        <v>-2054147.46</v>
      </c>
      <c r="N309" s="37">
        <f>+'RWIP BY ACCOUNT - PG 2A (Reg)'!M24</f>
        <v>0</v>
      </c>
      <c r="P309" s="37">
        <f>+'RWIP BY ACCOUNT - PG 2A (Reg)'!O24</f>
        <v>2148660.9099999997</v>
      </c>
      <c r="R309" s="37">
        <f>+'RWIP BY ACCOUNT - PG 2A (Reg)'!Q24</f>
        <v>0</v>
      </c>
      <c r="T309" s="37">
        <f>+'RWIP BY ACCOUNT - PG 2A (Reg)'!S24</f>
        <v>0</v>
      </c>
      <c r="V309" s="37">
        <f>T309+R309+P309+N309+J309+H309+F309+D309+L309</f>
        <v>3086692.6899999985</v>
      </c>
      <c r="W309" s="37"/>
      <c r="X309" s="22"/>
      <c r="Y309" s="22"/>
      <c r="Z309" s="22"/>
      <c r="AA309" s="22"/>
      <c r="AB309" s="22"/>
    </row>
    <row r="310" spans="1:28" outlineLevel="3" x14ac:dyDescent="0.2">
      <c r="A310" s="22"/>
      <c r="B310" s="22"/>
      <c r="D310" s="91">
        <f>SUM(D307:D309)</f>
        <v>14268041.079999998</v>
      </c>
      <c r="F310" s="91">
        <f>SUM(F307:F309)</f>
        <v>0</v>
      </c>
      <c r="H310" s="91">
        <f>SUM(H307:H309)</f>
        <v>0</v>
      </c>
      <c r="J310" s="91">
        <f>SUM(J307:J309)</f>
        <v>0</v>
      </c>
      <c r="K310" s="86"/>
      <c r="L310" s="91">
        <f>SUM(L307:L309)</f>
        <v>-2917477.54</v>
      </c>
      <c r="N310" s="91">
        <f>SUM(N307:N309)</f>
        <v>0</v>
      </c>
      <c r="P310" s="91">
        <f>SUM(P307:P309)</f>
        <v>11340917.840000002</v>
      </c>
      <c r="R310" s="91">
        <f>SUM(R307:R309)</f>
        <v>0</v>
      </c>
      <c r="T310" s="91">
        <f>SUM(T307:T309)</f>
        <v>0</v>
      </c>
      <c r="V310" s="91">
        <f>SUM(V307:V309)</f>
        <v>22691481.379999999</v>
      </c>
      <c r="W310" s="86"/>
      <c r="X310" s="22"/>
      <c r="Y310" s="22"/>
      <c r="Z310" s="22"/>
      <c r="AA310" s="22"/>
      <c r="AB310" s="22"/>
    </row>
    <row r="311" spans="1:28" outlineLevel="3" x14ac:dyDescent="0.2">
      <c r="A311" s="22" t="s">
        <v>207</v>
      </c>
      <c r="B311" s="10" t="s">
        <v>208</v>
      </c>
      <c r="X311" s="22"/>
      <c r="Y311" s="22"/>
      <c r="Z311" s="22"/>
      <c r="AA311" s="22"/>
      <c r="AB311" s="22"/>
    </row>
    <row r="312" spans="1:28" outlineLevel="3" x14ac:dyDescent="0.2">
      <c r="A312" s="22"/>
      <c r="B312" s="22"/>
      <c r="C312" s="22" t="s">
        <v>13</v>
      </c>
      <c r="D312" s="37" t="e">
        <v>#REF!</v>
      </c>
      <c r="F312" s="37" t="e">
        <v>#REF!</v>
      </c>
      <c r="H312" s="37" t="e">
        <v>#REF!</v>
      </c>
      <c r="J312" s="37" t="e">
        <v>#REF!</v>
      </c>
      <c r="K312" s="37"/>
      <c r="L312" s="37" t="e">
        <v>#REF!</v>
      </c>
      <c r="N312" s="37" t="e">
        <v>#REF!</v>
      </c>
      <c r="P312" s="37" t="e">
        <v>#REF!</v>
      </c>
      <c r="R312" s="37" t="e">
        <v>#REF!</v>
      </c>
      <c r="T312" s="37" t="e">
        <v>#REF!</v>
      </c>
      <c r="V312" s="37" t="e">
        <f>T312+R312+P312+N312+J312+H312+F312+D312+L312</f>
        <v>#REF!</v>
      </c>
      <c r="W312" s="37"/>
      <c r="X312" s="22"/>
      <c r="Y312" s="22"/>
      <c r="Z312" s="22"/>
      <c r="AA312" s="22"/>
      <c r="AB312" s="22"/>
    </row>
    <row r="313" spans="1:28" outlineLevel="3" x14ac:dyDescent="0.2">
      <c r="A313" s="22"/>
      <c r="B313" s="22"/>
      <c r="C313" s="22" t="s">
        <v>17</v>
      </c>
      <c r="D313" s="37" t="e">
        <v>#REF!</v>
      </c>
      <c r="F313" s="37" t="e">
        <v>#REF!</v>
      </c>
      <c r="H313" s="37" t="e">
        <v>#REF!</v>
      </c>
      <c r="J313" s="37" t="e">
        <v>#REF!</v>
      </c>
      <c r="K313" s="37"/>
      <c r="L313" s="37" t="e">
        <v>#REF!</v>
      </c>
      <c r="N313" s="37" t="e">
        <v>#REF!</v>
      </c>
      <c r="P313" s="37" t="e">
        <v>#REF!</v>
      </c>
      <c r="R313" s="37" t="e">
        <v>#REF!</v>
      </c>
      <c r="T313" s="37" t="e">
        <v>#REF!</v>
      </c>
      <c r="V313" s="37" t="e">
        <f>T313+R313+P313+N313+J313+H313+F313+D313+L313</f>
        <v>#REF!</v>
      </c>
      <c r="W313" s="37"/>
      <c r="X313" s="22"/>
      <c r="Y313" s="22"/>
      <c r="Z313" s="22"/>
      <c r="AA313" s="22"/>
      <c r="AB313" s="22"/>
    </row>
    <row r="314" spans="1:28" outlineLevel="3" x14ac:dyDescent="0.2">
      <c r="A314" s="22"/>
      <c r="B314" s="22"/>
      <c r="C314" s="22" t="s">
        <v>26</v>
      </c>
      <c r="D314" s="37" t="e">
        <v>#REF!</v>
      </c>
      <c r="F314" s="37" t="e">
        <v>#REF!</v>
      </c>
      <c r="H314" s="37" t="e">
        <v>#REF!</v>
      </c>
      <c r="J314" s="37" t="e">
        <v>#REF!</v>
      </c>
      <c r="K314" s="37"/>
      <c r="L314" s="37" t="e">
        <v>#REF!</v>
      </c>
      <c r="N314" s="37" t="e">
        <v>#REF!</v>
      </c>
      <c r="P314" s="37" t="e">
        <v>#REF!</v>
      </c>
      <c r="R314" s="37" t="e">
        <v>#REF!</v>
      </c>
      <c r="T314" s="37" t="e">
        <v>#REF!</v>
      </c>
      <c r="V314" s="37" t="e">
        <f>T314+R314+P314+N314+J314+H314+F314+D314+L314</f>
        <v>#REF!</v>
      </c>
      <c r="W314" s="37"/>
      <c r="X314" s="22"/>
      <c r="Y314" s="22"/>
      <c r="Z314" s="22"/>
      <c r="AA314" s="22"/>
      <c r="AB314" s="22"/>
    </row>
    <row r="315" spans="1:28" outlineLevel="3" x14ac:dyDescent="0.2">
      <c r="A315" s="22"/>
      <c r="B315" s="22"/>
      <c r="D315" s="91" t="e">
        <f>SUM(D312:D314)</f>
        <v>#REF!</v>
      </c>
      <c r="F315" s="91" t="e">
        <f>SUM(F312:F314)</f>
        <v>#REF!</v>
      </c>
      <c r="H315" s="91" t="e">
        <f>SUM(H312:H314)</f>
        <v>#REF!</v>
      </c>
      <c r="J315" s="91" t="e">
        <f>SUM(J312:J314)</f>
        <v>#REF!</v>
      </c>
      <c r="K315" s="86"/>
      <c r="L315" s="91" t="e">
        <f>SUM(L312:L314)</f>
        <v>#REF!</v>
      </c>
      <c r="N315" s="91" t="e">
        <f>SUM(N312:N314)</f>
        <v>#REF!</v>
      </c>
      <c r="P315" s="91" t="e">
        <f>SUM(P312:P314)</f>
        <v>#REF!</v>
      </c>
      <c r="R315" s="91" t="e">
        <f>SUM(R312:R314)</f>
        <v>#REF!</v>
      </c>
      <c r="T315" s="91" t="e">
        <f>SUM(T312:T314)</f>
        <v>#REF!</v>
      </c>
      <c r="V315" s="91" t="e">
        <f>SUM(V312:V314)</f>
        <v>#REF!</v>
      </c>
      <c r="W315" s="86"/>
      <c r="X315" s="22"/>
      <c r="Y315" s="22"/>
      <c r="Z315" s="22"/>
      <c r="AA315" s="22"/>
      <c r="AB315" s="22"/>
    </row>
    <row r="316" spans="1:28" outlineLevel="3" x14ac:dyDescent="0.2">
      <c r="B316" s="22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>
        <f>+V310-T310-R310-P310-N310-J310-H310-F310-D310-L310</f>
        <v>0</v>
      </c>
      <c r="W316" s="37"/>
    </row>
    <row r="317" spans="1:28" outlineLevel="3" x14ac:dyDescent="0.2">
      <c r="B317" s="22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8" outlineLevel="3" x14ac:dyDescent="0.2">
      <c r="A318" s="93" t="s">
        <v>203</v>
      </c>
      <c r="B318" s="10" t="s">
        <v>209</v>
      </c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1:28" outlineLevel="3" x14ac:dyDescent="0.2">
      <c r="B319" s="22"/>
      <c r="C319" s="22" t="s">
        <v>210</v>
      </c>
      <c r="D319" s="37">
        <v>0</v>
      </c>
      <c r="E319" s="37"/>
      <c r="F319" s="37">
        <f>0-D319</f>
        <v>0</v>
      </c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>
        <f>T319+R319+P319+N319+J319+H319+F319+D319</f>
        <v>0</v>
      </c>
      <c r="W319" s="37"/>
    </row>
    <row r="320" spans="1:28" outlineLevel="3" x14ac:dyDescent="0.2">
      <c r="B320" s="22"/>
      <c r="C320" s="22" t="s">
        <v>26</v>
      </c>
      <c r="D320" s="37">
        <v>0</v>
      </c>
      <c r="E320" s="37"/>
      <c r="F320" s="37">
        <f>0-D320</f>
        <v>0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>
        <f>T320+R320+P320+N320+J320+H320+F320+D320</f>
        <v>0</v>
      </c>
      <c r="W320" s="37"/>
    </row>
    <row r="321" spans="1:47" outlineLevel="3" x14ac:dyDescent="0.2">
      <c r="B321" s="22"/>
      <c r="D321" s="91">
        <f>SUM(D318:D320)</f>
        <v>0</v>
      </c>
      <c r="E321" s="37"/>
      <c r="F321" s="91">
        <f>SUM(F318:F320)</f>
        <v>0</v>
      </c>
      <c r="G321" s="37"/>
      <c r="H321" s="91">
        <f>SUM(H318:H320)</f>
        <v>0</v>
      </c>
      <c r="I321" s="37"/>
      <c r="J321" s="91">
        <f>SUM(J318:J320)</f>
        <v>0</v>
      </c>
      <c r="K321" s="86"/>
      <c r="L321" s="86"/>
      <c r="M321" s="37"/>
      <c r="N321" s="91">
        <f>SUM(N318:N320)</f>
        <v>0</v>
      </c>
      <c r="O321" s="37"/>
      <c r="P321" s="91">
        <f>SUM(P318:P320)</f>
        <v>0</v>
      </c>
      <c r="Q321" s="37"/>
      <c r="R321" s="91">
        <f>SUM(R318:R320)</f>
        <v>0</v>
      </c>
      <c r="S321" s="37"/>
      <c r="T321" s="91">
        <f>SUM(T318:T320)</f>
        <v>0</v>
      </c>
      <c r="U321" s="37"/>
      <c r="V321" s="91">
        <f>SUM(V318:V320)</f>
        <v>0</v>
      </c>
      <c r="W321" s="37"/>
    </row>
    <row r="322" spans="1:47" outlineLevel="3" x14ac:dyDescent="0.2">
      <c r="B322" s="22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1:47" outlineLevel="3" x14ac:dyDescent="0.2">
      <c r="A323" s="22"/>
      <c r="B323" s="22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1:47" outlineLevel="3" x14ac:dyDescent="0.2">
      <c r="A324" s="22"/>
      <c r="B324" s="22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1:47" outlineLevel="3" x14ac:dyDescent="0.2">
      <c r="A325" s="22"/>
      <c r="B325" s="103" t="s">
        <v>166</v>
      </c>
      <c r="D325" s="87">
        <f>+D277+D293+D299-D310-D305+D321</f>
        <v>-301559455.31000012</v>
      </c>
      <c r="E325" s="87"/>
      <c r="F325" s="87">
        <f>+F277+F293+F299-F310-F305+F321</f>
        <v>-23662021.030000005</v>
      </c>
      <c r="G325" s="87"/>
      <c r="H325" s="87">
        <f>+H277+H293+H299-H310-H305+H321</f>
        <v>0</v>
      </c>
      <c r="I325" s="87"/>
      <c r="J325" s="87">
        <f>+J277+J293+J299-J310-J305+J321</f>
        <v>80240</v>
      </c>
      <c r="K325" s="87"/>
      <c r="L325" s="87">
        <f>+L277+L293+L299-L310-L305+L321</f>
        <v>0</v>
      </c>
      <c r="M325" s="87"/>
      <c r="N325" s="87">
        <f>+N277+N293+N299-N310-N305+N321</f>
        <v>-11393968.049999997</v>
      </c>
      <c r="O325" s="87"/>
      <c r="P325" s="87">
        <f>+P277+P293+P299-P310-P305+P321</f>
        <v>35429253.929999992</v>
      </c>
      <c r="Q325" s="87"/>
      <c r="R325" s="87">
        <f>+R277+R293+R299-R310-R305+R321</f>
        <v>-2668783.7199999997</v>
      </c>
      <c r="S325" s="87"/>
      <c r="T325" s="87">
        <f>+T277+T293+T299-T310-T305+T321</f>
        <v>-1188569.9000000001</v>
      </c>
      <c r="U325" s="87"/>
      <c r="V325" s="87">
        <f>+V277+V293+V299-V310-V305+V321</f>
        <v>-304963304.07999998</v>
      </c>
      <c r="W325" s="87"/>
      <c r="X325" s="87">
        <f>+F325-Y325-AA325</f>
        <v>-23662021.030000005</v>
      </c>
      <c r="Y325" s="87">
        <v>0</v>
      </c>
      <c r="Z325" s="87"/>
      <c r="AA325" s="87">
        <f>+F321</f>
        <v>0</v>
      </c>
      <c r="AB325" s="87"/>
      <c r="AC325" s="1"/>
      <c r="AD325" s="1"/>
      <c r="AE325" s="102">
        <f>+H325</f>
        <v>0</v>
      </c>
      <c r="AF325" s="102"/>
      <c r="AG325" s="102">
        <f>-'Land &amp; Vehicle Retire P3A(Reg)'!J14</f>
        <v>81213.36</v>
      </c>
      <c r="AH325" s="102"/>
      <c r="AI325" s="102"/>
      <c r="AJ325" s="102"/>
      <c r="AK325" s="102"/>
      <c r="AL325" s="102"/>
      <c r="AM325" s="102"/>
      <c r="AN325" s="102">
        <f>+J325+J305-AG325-AL325</f>
        <v>-973.36000000000058</v>
      </c>
      <c r="AO325" s="87"/>
      <c r="AP325" s="87">
        <f>+P299+R299+T299-P310</f>
        <v>17260454.719999999</v>
      </c>
      <c r="AQ325" s="87"/>
      <c r="AT325" s="87">
        <f>SUM(X325:AR325)</f>
        <v>-6321326.3100000061</v>
      </c>
      <c r="AU325" s="87">
        <f>+V325-D325-AT325</f>
        <v>2917477.5400001444</v>
      </c>
    </row>
    <row r="326" spans="1:47" outlineLevel="1" x14ac:dyDescent="0.2">
      <c r="A326" s="22"/>
      <c r="D326" s="87">
        <f>+D325-D16</f>
        <v>0</v>
      </c>
      <c r="V326" s="87">
        <f>+V325-V16</f>
        <v>0</v>
      </c>
      <c r="W326" s="87"/>
    </row>
    <row r="327" spans="1:47" outlineLevel="1" x14ac:dyDescent="0.2">
      <c r="A327" s="22"/>
      <c r="D327" s="87"/>
      <c r="V327" s="87">
        <f>+V325-D325-F325-H325-J325-N325-P325-R325-T325-L325</f>
        <v>1.4784745872020721E-7</v>
      </c>
      <c r="W327" s="87"/>
      <c r="X327" s="104">
        <f>SUM(X38:X326)</f>
        <v>-169774451.54000005</v>
      </c>
      <c r="Y327" s="104"/>
      <c r="Z327" s="104"/>
      <c r="AA327" s="104"/>
      <c r="AB327" s="104"/>
      <c r="AC327" s="104">
        <f>SUM(AC38:AC326)</f>
        <v>0</v>
      </c>
      <c r="AD327" s="104"/>
      <c r="AE327" s="104">
        <f>SUM(AE38:AE326)</f>
        <v>0</v>
      </c>
      <c r="AF327" s="104"/>
      <c r="AG327" s="104"/>
      <c r="AH327" s="104"/>
      <c r="AI327" s="104"/>
      <c r="AJ327" s="104"/>
      <c r="AK327" s="104"/>
      <c r="AL327" s="104"/>
      <c r="AM327" s="104"/>
      <c r="AN327" s="104">
        <f>SUM(AN38:AN326)</f>
        <v>-7991788.7399999974</v>
      </c>
      <c r="AO327" s="104">
        <f>SUM(AO38:AO326)</f>
        <v>-1151003.26</v>
      </c>
      <c r="AP327" s="104">
        <f>SUM(AP29:AP326)</f>
        <v>17260454.719999999</v>
      </c>
      <c r="AQ327" s="104"/>
      <c r="AR327" s="104">
        <f>SUM(AR29:AR326)</f>
        <v>378745466.19999993</v>
      </c>
      <c r="AS327" s="104"/>
      <c r="AT327" s="104"/>
      <c r="AU327" s="104"/>
    </row>
    <row r="328" spans="1:47" outlineLevel="1" x14ac:dyDescent="0.2">
      <c r="A328" s="22"/>
      <c r="B328" s="2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</row>
    <row r="329" spans="1:47" outlineLevel="1" x14ac:dyDescent="0.2">
      <c r="A329" s="22"/>
      <c r="B329" s="2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22"/>
      <c r="Y329" s="22"/>
      <c r="Z329" s="22"/>
      <c r="AA329" s="22"/>
      <c r="AB329" s="22"/>
    </row>
    <row r="330" spans="1:47" outlineLevel="1" x14ac:dyDescent="0.2">
      <c r="A330" s="22"/>
      <c r="B330" s="2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22"/>
      <c r="Y330" s="22"/>
      <c r="Z330" s="22"/>
      <c r="AA330" s="22"/>
      <c r="AB330" s="22"/>
    </row>
    <row r="331" spans="1:47" outlineLevel="1" x14ac:dyDescent="0.2">
      <c r="A331" s="22"/>
      <c r="X331" s="22"/>
      <c r="Y331" s="22"/>
      <c r="Z331" s="22"/>
      <c r="AA331" s="22"/>
      <c r="AB331" s="22"/>
    </row>
    <row r="332" spans="1:47" outlineLevel="1" x14ac:dyDescent="0.2">
      <c r="X332" s="22"/>
      <c r="Y332" s="22"/>
      <c r="Z332" s="22"/>
      <c r="AA332" s="22"/>
      <c r="AB332" s="22"/>
    </row>
    <row r="333" spans="1:47" x14ac:dyDescent="0.2">
      <c r="X333" s="22"/>
      <c r="Y333" s="22"/>
      <c r="Z333" s="22"/>
      <c r="AA333" s="22"/>
      <c r="AB333" s="22"/>
    </row>
  </sheetData>
  <mergeCells count="5">
    <mergeCell ref="A1:AU1"/>
    <mergeCell ref="A2:AU2"/>
    <mergeCell ref="A3:AU3"/>
    <mergeCell ref="X6:AO6"/>
    <mergeCell ref="AP6:AR6"/>
  </mergeCells>
  <conditionalFormatting sqref="AO24:AR24 AR26">
    <cfRule type="cellIs" dxfId="1" priority="2" operator="greaterThan">
      <formula>0</formula>
    </cfRule>
  </conditionalFormatting>
  <conditionalFormatting sqref="AO24:AR24 AR26">
    <cfRule type="cellIs" dxfId="0" priority="1" operator="lessThan">
      <formula>0</formula>
    </cfRule>
  </conditionalFormatting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O705"/>
  <sheetViews>
    <sheetView zoomScale="80" zoomScaleNormal="80" zoomScaleSheetLayoutView="80" workbookViewId="0">
      <pane xSplit="2" ySplit="10" topLeftCell="C11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2" x14ac:dyDescent="0.2"/>
  <cols>
    <col min="1" max="1" width="14.7109375" style="3" customWidth="1"/>
    <col min="2" max="2" width="47.7109375" style="3" customWidth="1"/>
    <col min="3" max="3" width="15.7109375" style="3" bestFit="1" customWidth="1"/>
    <col min="4" max="4" width="3" style="3" customWidth="1"/>
    <col min="5" max="5" width="15.7109375" style="3" bestFit="1" customWidth="1"/>
    <col min="6" max="6" width="1.7109375" style="3" customWidth="1"/>
    <col min="7" max="7" width="15.7109375" style="3" bestFit="1" customWidth="1"/>
    <col min="8" max="8" width="1.7109375" style="3" customWidth="1"/>
    <col min="9" max="9" width="15.7109375" style="3" customWidth="1"/>
    <col min="10" max="10" width="2" style="3" customWidth="1"/>
    <col min="11" max="11" width="15.7109375" style="3" customWidth="1"/>
    <col min="12" max="12" width="1.42578125" style="3" customWidth="1"/>
    <col min="13" max="13" width="15.7109375" style="3" customWidth="1"/>
    <col min="14" max="14" width="1.7109375" style="3" customWidth="1"/>
    <col min="15" max="15" width="15.7109375" style="3" customWidth="1"/>
    <col min="16" max="16" width="1.7109375" style="3" customWidth="1"/>
    <col min="17" max="17" width="15.7109375" style="3" customWidth="1"/>
    <col min="18" max="18" width="1.7109375" style="3" customWidth="1"/>
    <col min="19" max="19" width="15.7109375" style="3" customWidth="1"/>
    <col min="20" max="20" width="1.7109375" style="3" customWidth="1"/>
    <col min="21" max="21" width="15.7109375" style="3" customWidth="1"/>
    <col min="22" max="22" width="1.7109375" style="3" customWidth="1"/>
    <col min="23" max="23" width="15.7109375" style="3" customWidth="1"/>
    <col min="24" max="24" width="1.7109375" style="3" customWidth="1"/>
    <col min="25" max="25" width="17" style="3" bestFit="1" customWidth="1"/>
    <col min="26" max="26" width="1.7109375" style="3" customWidth="1"/>
    <col min="27" max="27" width="15.7109375" style="3" customWidth="1"/>
    <col min="28" max="28" width="1.7109375" style="3" customWidth="1"/>
    <col min="29" max="29" width="15.7109375" style="3" customWidth="1"/>
    <col min="30" max="30" width="1.7109375" style="3" customWidth="1"/>
    <col min="31" max="31" width="15.7109375" style="3" customWidth="1"/>
    <col min="32" max="32" width="1.7109375" style="3" customWidth="1"/>
    <col min="33" max="33" width="15.7109375" style="3" customWidth="1"/>
    <col min="34" max="34" width="1.7109375" style="3" customWidth="1"/>
    <col min="35" max="35" width="15.7109375" style="3" customWidth="1"/>
    <col min="36" max="36" width="1.7109375" style="3" customWidth="1"/>
    <col min="37" max="37" width="15.7109375" style="3" customWidth="1"/>
    <col min="38" max="38" width="1.85546875" style="3" customWidth="1"/>
    <col min="39" max="39" width="15.7109375" style="3" customWidth="1"/>
    <col min="40" max="40" width="1.85546875" style="3" customWidth="1"/>
    <col min="41" max="41" width="15.7109375" style="3" customWidth="1"/>
    <col min="42" max="42" width="1.85546875" style="3" customWidth="1"/>
    <col min="43" max="43" width="15.7109375" style="3" bestFit="1" customWidth="1"/>
    <col min="44" max="44" width="1.85546875" style="3" customWidth="1"/>
    <col min="45" max="45" width="15.7109375" style="3" bestFit="1" customWidth="1"/>
    <col min="46" max="46" width="15.7109375" style="3" customWidth="1"/>
    <col min="47" max="47" width="1.85546875" style="3" customWidth="1"/>
    <col min="48" max="48" width="15.7109375" style="3" customWidth="1"/>
    <col min="49" max="49" width="1.85546875" style="3" customWidth="1"/>
    <col min="50" max="50" width="15.7109375" style="3" customWidth="1"/>
    <col min="51" max="51" width="1.85546875" style="3" customWidth="1"/>
    <col min="52" max="52" width="15.7109375" style="3" customWidth="1"/>
    <col min="53" max="53" width="1.85546875" style="3" customWidth="1"/>
    <col min="54" max="54" width="15.7109375" style="3" customWidth="1"/>
    <col min="55" max="55" width="3.42578125" style="3" customWidth="1"/>
    <col min="56" max="56" width="17.7109375" style="3" customWidth="1"/>
    <col min="57" max="57" width="9.140625" style="3"/>
    <col min="58" max="58" width="17.7109375" style="37" customWidth="1"/>
    <col min="59" max="59" width="1.5703125" style="37" customWidth="1"/>
    <col min="60" max="60" width="15.7109375" style="37" bestFit="1" customWidth="1"/>
    <col min="61" max="61" width="1.5703125" style="37" customWidth="1"/>
    <col min="62" max="62" width="17" style="37" bestFit="1" customWidth="1"/>
    <col min="63" max="63" width="1.5703125" style="37" customWidth="1"/>
    <col min="64" max="64" width="15.42578125" style="37" customWidth="1"/>
    <col min="65" max="65" width="1.5703125" style="37" customWidth="1"/>
    <col min="66" max="66" width="17" style="37" bestFit="1" customWidth="1"/>
    <col min="67" max="67" width="1.5703125" style="37" customWidth="1"/>
    <col min="68" max="68" width="17" style="3" bestFit="1" customWidth="1"/>
    <col min="69" max="16384" width="9.140625" style="3"/>
  </cols>
  <sheetData>
    <row r="1" spans="1:67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B1" s="37"/>
      <c r="BC1" s="37"/>
      <c r="BD1" s="37"/>
      <c r="BE1" s="37"/>
      <c r="BL1" s="193" t="s">
        <v>211</v>
      </c>
      <c r="BM1" s="3"/>
      <c r="BN1" s="3"/>
      <c r="BO1" s="3"/>
    </row>
    <row r="2" spans="1:67" x14ac:dyDescent="0.2">
      <c r="A2" s="106" t="s">
        <v>212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B2" s="37"/>
      <c r="BC2" s="37"/>
      <c r="BD2" s="37"/>
      <c r="BE2" s="37"/>
      <c r="BL2" s="194" t="s">
        <v>213</v>
      </c>
      <c r="BM2" s="3"/>
      <c r="BN2" s="3"/>
      <c r="BO2" s="3"/>
    </row>
    <row r="3" spans="1:67" x14ac:dyDescent="0.2">
      <c r="A3" s="107" t="str">
        <f>'Summary - Cost - PG 1 (Reg)'!A3:N3</f>
        <v>DECEMBER 2016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B3" s="37"/>
      <c r="BC3" s="37"/>
      <c r="BD3" s="37"/>
      <c r="BE3" s="37"/>
      <c r="BL3" s="194" t="s">
        <v>214</v>
      </c>
      <c r="BM3" s="3"/>
      <c r="BN3" s="3"/>
      <c r="BO3" s="3"/>
    </row>
    <row r="4" spans="1:6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76"/>
      <c r="BC4" s="37"/>
      <c r="BD4" s="76"/>
      <c r="BE4" s="37"/>
      <c r="BL4" s="195" t="s">
        <v>215</v>
      </c>
      <c r="BM4" s="3"/>
      <c r="BN4" s="3"/>
      <c r="BO4" s="3"/>
    </row>
    <row r="5" spans="1:67" x14ac:dyDescent="0.2">
      <c r="A5" s="5"/>
      <c r="B5" s="5"/>
      <c r="C5" s="5"/>
      <c r="D5" s="5"/>
      <c r="E5" s="5"/>
      <c r="F5" s="5"/>
      <c r="G5" s="5" t="s">
        <v>216</v>
      </c>
      <c r="H5" s="5"/>
      <c r="I5" s="5" t="s">
        <v>217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76"/>
      <c r="BC5" s="37"/>
      <c r="BD5" s="76"/>
      <c r="BE5" s="37"/>
      <c r="BL5" s="3"/>
      <c r="BM5" s="3"/>
      <c r="BN5" s="3"/>
      <c r="BO5" s="3"/>
    </row>
    <row r="6" spans="1:67" x14ac:dyDescent="0.2">
      <c r="A6" s="4"/>
      <c r="B6" s="5"/>
      <c r="C6" s="108" t="s">
        <v>218</v>
      </c>
      <c r="D6" s="5"/>
      <c r="E6" s="108" t="s">
        <v>219</v>
      </c>
      <c r="F6" s="5"/>
      <c r="G6" s="108" t="s">
        <v>220</v>
      </c>
      <c r="H6" s="108"/>
      <c r="I6" s="108" t="s">
        <v>220</v>
      </c>
      <c r="J6" s="5"/>
      <c r="K6" s="108" t="s">
        <v>221</v>
      </c>
      <c r="L6" s="5"/>
      <c r="M6" s="108" t="s">
        <v>222</v>
      </c>
      <c r="N6" s="5"/>
      <c r="O6" s="108" t="s">
        <v>223</v>
      </c>
      <c r="P6" s="5"/>
      <c r="Q6" s="5" t="s">
        <v>224</v>
      </c>
      <c r="R6" s="5"/>
      <c r="S6" s="5" t="s">
        <v>225</v>
      </c>
      <c r="T6" s="5"/>
      <c r="U6" s="5" t="s">
        <v>226</v>
      </c>
      <c r="V6" s="5"/>
      <c r="W6" s="108" t="s">
        <v>227</v>
      </c>
      <c r="X6" s="5"/>
      <c r="Y6" s="108" t="s">
        <v>228</v>
      </c>
      <c r="Z6" s="5"/>
      <c r="AA6" s="108" t="s">
        <v>229</v>
      </c>
      <c r="AB6" s="5"/>
      <c r="AC6" s="108" t="s">
        <v>230</v>
      </c>
      <c r="AD6" s="5"/>
      <c r="AE6" s="108" t="s">
        <v>231</v>
      </c>
      <c r="AF6" s="5"/>
      <c r="AG6" s="108" t="s">
        <v>232</v>
      </c>
      <c r="AH6" s="5"/>
      <c r="AI6" s="108" t="s">
        <v>233</v>
      </c>
      <c r="AJ6" s="5"/>
      <c r="AK6" s="108" t="s">
        <v>234</v>
      </c>
      <c r="AL6" s="108"/>
      <c r="AM6" s="108" t="s">
        <v>235</v>
      </c>
      <c r="AN6" s="108"/>
      <c r="AO6" s="108" t="s">
        <v>236</v>
      </c>
      <c r="AP6" s="108"/>
      <c r="AQ6" s="108" t="s">
        <v>237</v>
      </c>
      <c r="AR6" s="108"/>
      <c r="AS6" s="108" t="s">
        <v>238</v>
      </c>
      <c r="AT6" s="108" t="s">
        <v>239</v>
      </c>
      <c r="AU6" s="108"/>
      <c r="AV6" s="108" t="s">
        <v>240</v>
      </c>
      <c r="AW6" s="108"/>
      <c r="AX6" s="108" t="s">
        <v>241</v>
      </c>
      <c r="AY6" s="108"/>
      <c r="AZ6" s="5"/>
      <c r="BA6" s="6"/>
      <c r="BB6" s="8" t="s">
        <v>242</v>
      </c>
      <c r="BC6" s="109"/>
      <c r="BD6" s="8" t="s">
        <v>242</v>
      </c>
      <c r="BE6" s="109"/>
      <c r="BF6" s="8" t="s">
        <v>242</v>
      </c>
      <c r="BG6" s="109"/>
      <c r="BH6" s="8" t="s">
        <v>242</v>
      </c>
      <c r="BI6" s="109"/>
      <c r="BJ6" s="8" t="s">
        <v>243</v>
      </c>
      <c r="BK6" s="109"/>
      <c r="BL6" s="3"/>
      <c r="BM6" s="3"/>
      <c r="BN6" s="3"/>
      <c r="BO6" s="3"/>
    </row>
    <row r="7" spans="1:67" x14ac:dyDescent="0.2">
      <c r="A7" s="4"/>
      <c r="B7" s="6"/>
      <c r="C7" s="8" t="s">
        <v>4</v>
      </c>
      <c r="D7" s="8"/>
      <c r="E7" s="8" t="s">
        <v>4</v>
      </c>
      <c r="F7" s="7"/>
      <c r="G7" s="8" t="s">
        <v>4</v>
      </c>
      <c r="H7" s="8"/>
      <c r="I7" s="8" t="s">
        <v>4</v>
      </c>
      <c r="J7" s="8"/>
      <c r="K7" s="8" t="s">
        <v>4</v>
      </c>
      <c r="L7" s="8"/>
      <c r="M7" s="8" t="s">
        <v>4</v>
      </c>
      <c r="N7" s="8"/>
      <c r="O7" s="8" t="s">
        <v>4</v>
      </c>
      <c r="P7" s="7"/>
      <c r="Q7" s="8" t="s">
        <v>4</v>
      </c>
      <c r="R7" s="7"/>
      <c r="S7" s="8" t="s">
        <v>4</v>
      </c>
      <c r="T7" s="8"/>
      <c r="U7" s="8" t="s">
        <v>4</v>
      </c>
      <c r="V7" s="8"/>
      <c r="W7" s="8" t="s">
        <v>4</v>
      </c>
      <c r="X7" s="7"/>
      <c r="Y7" s="8" t="s">
        <v>4</v>
      </c>
      <c r="Z7" s="7"/>
      <c r="AA7" s="8" t="s">
        <v>4</v>
      </c>
      <c r="AB7" s="7"/>
      <c r="AC7" s="8" t="s">
        <v>4</v>
      </c>
      <c r="AD7" s="7"/>
      <c r="AE7" s="8" t="s">
        <v>4</v>
      </c>
      <c r="AF7" s="7"/>
      <c r="AG7" s="8" t="s">
        <v>4</v>
      </c>
      <c r="AH7" s="7"/>
      <c r="AI7" s="8" t="s">
        <v>4</v>
      </c>
      <c r="AJ7" s="7"/>
      <c r="AK7" s="8" t="s">
        <v>4</v>
      </c>
      <c r="AL7" s="8"/>
      <c r="AM7" s="8" t="s">
        <v>4</v>
      </c>
      <c r="AN7" s="8"/>
      <c r="AO7" s="8" t="s">
        <v>4</v>
      </c>
      <c r="AP7" s="8"/>
      <c r="AQ7" s="8" t="s">
        <v>4</v>
      </c>
      <c r="AR7" s="8"/>
      <c r="AS7" s="8" t="s">
        <v>4</v>
      </c>
      <c r="AT7" s="8" t="s">
        <v>4</v>
      </c>
      <c r="AU7" s="8"/>
      <c r="AV7" s="8" t="s">
        <v>4</v>
      </c>
      <c r="AW7" s="8"/>
      <c r="AX7" s="8" t="s">
        <v>4</v>
      </c>
      <c r="AY7" s="8"/>
      <c r="AZ7" s="8" t="s">
        <v>5</v>
      </c>
      <c r="BA7" s="5"/>
      <c r="BB7" s="8" t="s">
        <v>8</v>
      </c>
      <c r="BC7" s="109"/>
      <c r="BD7" s="8" t="s">
        <v>10</v>
      </c>
      <c r="BE7" s="109"/>
      <c r="BF7" s="8" t="s">
        <v>214</v>
      </c>
      <c r="BG7" s="109"/>
      <c r="BH7" s="8" t="s">
        <v>215</v>
      </c>
      <c r="BI7" s="109"/>
      <c r="BJ7" s="8" t="s">
        <v>242</v>
      </c>
      <c r="BK7" s="109"/>
      <c r="BL7" s="3"/>
      <c r="BM7" s="3"/>
      <c r="BN7" s="3"/>
      <c r="BO7" s="3"/>
    </row>
    <row r="8" spans="1:67" x14ac:dyDescent="0.2">
      <c r="A8" s="9"/>
      <c r="B8" s="10"/>
      <c r="C8" s="12" t="s">
        <v>10</v>
      </c>
      <c r="D8" s="18"/>
      <c r="E8" s="12" t="s">
        <v>10</v>
      </c>
      <c r="F8" s="11"/>
      <c r="G8" s="12" t="s">
        <v>10</v>
      </c>
      <c r="H8" s="18"/>
      <c r="I8" s="12" t="s">
        <v>10</v>
      </c>
      <c r="J8" s="18"/>
      <c r="K8" s="12" t="s">
        <v>10</v>
      </c>
      <c r="L8" s="18"/>
      <c r="M8" s="12" t="s">
        <v>10</v>
      </c>
      <c r="N8" s="18"/>
      <c r="O8" s="12" t="s">
        <v>10</v>
      </c>
      <c r="P8" s="11"/>
      <c r="Q8" s="12" t="s">
        <v>10</v>
      </c>
      <c r="R8" s="11"/>
      <c r="S8" s="12" t="s">
        <v>10</v>
      </c>
      <c r="T8" s="12"/>
      <c r="U8" s="12" t="s">
        <v>10</v>
      </c>
      <c r="V8" s="12"/>
      <c r="W8" s="12" t="s">
        <v>10</v>
      </c>
      <c r="X8" s="11"/>
      <c r="Y8" s="12" t="s">
        <v>10</v>
      </c>
      <c r="Z8" s="11"/>
      <c r="AA8" s="12" t="s">
        <v>10</v>
      </c>
      <c r="AB8" s="11"/>
      <c r="AC8" s="12" t="s">
        <v>10</v>
      </c>
      <c r="AD8" s="11"/>
      <c r="AE8" s="12" t="s">
        <v>10</v>
      </c>
      <c r="AF8" s="11"/>
      <c r="AG8" s="12" t="s">
        <v>10</v>
      </c>
      <c r="AH8" s="11"/>
      <c r="AI8" s="12" t="s">
        <v>10</v>
      </c>
      <c r="AJ8" s="11"/>
      <c r="AK8" s="12" t="s">
        <v>10</v>
      </c>
      <c r="AL8" s="12"/>
      <c r="AM8" s="12" t="s">
        <v>10</v>
      </c>
      <c r="AN8" s="12"/>
      <c r="AO8" s="12" t="s">
        <v>10</v>
      </c>
      <c r="AP8" s="12"/>
      <c r="AQ8" s="12" t="s">
        <v>10</v>
      </c>
      <c r="AR8" s="12"/>
      <c r="AS8" s="12" t="s">
        <v>10</v>
      </c>
      <c r="AT8" s="12" t="s">
        <v>10</v>
      </c>
      <c r="AU8" s="12"/>
      <c r="AV8" s="12" t="s">
        <v>10</v>
      </c>
      <c r="AW8" s="12"/>
      <c r="AX8" s="12" t="s">
        <v>10</v>
      </c>
      <c r="AY8" s="12"/>
      <c r="AZ8" s="12" t="s">
        <v>7</v>
      </c>
      <c r="BA8" s="5"/>
      <c r="BB8" s="76"/>
      <c r="BC8" s="37"/>
      <c r="BD8" s="76"/>
      <c r="BE8" s="37"/>
      <c r="BL8" s="3"/>
      <c r="BM8" s="3"/>
      <c r="BN8" s="3"/>
      <c r="BO8" s="3"/>
    </row>
    <row r="9" spans="1:67" x14ac:dyDescent="0.2">
      <c r="A9" s="9"/>
      <c r="B9" s="10"/>
      <c r="C9" s="18"/>
      <c r="D9" s="18"/>
      <c r="E9" s="18"/>
      <c r="F9" s="11"/>
      <c r="G9" s="18"/>
      <c r="H9" s="18"/>
      <c r="I9" s="18"/>
      <c r="J9" s="18"/>
      <c r="K9" s="18"/>
      <c r="L9" s="18"/>
      <c r="M9" s="18"/>
      <c r="N9" s="18"/>
      <c r="O9" s="18"/>
      <c r="P9" s="11"/>
      <c r="Q9" s="18"/>
      <c r="R9" s="11"/>
      <c r="S9" s="18"/>
      <c r="T9" s="18"/>
      <c r="U9" s="18"/>
      <c r="V9" s="18"/>
      <c r="W9" s="18"/>
      <c r="X9" s="11"/>
      <c r="Y9" s="18"/>
      <c r="Z9" s="11"/>
      <c r="AA9" s="18"/>
      <c r="AB9" s="11"/>
      <c r="AC9" s="18"/>
      <c r="AD9" s="11"/>
      <c r="AE9" s="18"/>
      <c r="AF9" s="11"/>
      <c r="AG9" s="18"/>
      <c r="AH9" s="11"/>
      <c r="AI9" s="18"/>
      <c r="AJ9" s="11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5"/>
      <c r="BB9" s="76"/>
      <c r="BC9" s="37"/>
      <c r="BD9" s="76"/>
      <c r="BE9" s="37"/>
      <c r="BL9" s="3"/>
      <c r="BM9" s="3"/>
      <c r="BN9" s="3"/>
      <c r="BO9" s="3"/>
    </row>
    <row r="10" spans="1:67" s="1" customFormat="1" x14ac:dyDescent="0.2">
      <c r="A10" s="9" t="s">
        <v>244</v>
      </c>
      <c r="B10" s="9"/>
      <c r="C10" s="18" t="s">
        <v>214</v>
      </c>
      <c r="E10" s="18" t="s">
        <v>214</v>
      </c>
      <c r="G10" s="1" t="s">
        <v>213</v>
      </c>
      <c r="I10" s="1" t="s">
        <v>215</v>
      </c>
      <c r="K10" s="1" t="s">
        <v>213</v>
      </c>
      <c r="M10" s="1" t="s">
        <v>214</v>
      </c>
      <c r="N10" s="18"/>
      <c r="O10" s="1" t="s">
        <v>214</v>
      </c>
      <c r="P10" s="110"/>
      <c r="Q10" s="1" t="s">
        <v>214</v>
      </c>
      <c r="R10" s="110"/>
      <c r="S10" s="1" t="s">
        <v>214</v>
      </c>
      <c r="U10" s="1" t="s">
        <v>213</v>
      </c>
      <c r="W10" s="1" t="s">
        <v>214</v>
      </c>
      <c r="X10" s="110"/>
      <c r="Y10" s="1" t="s">
        <v>214</v>
      </c>
      <c r="Z10" s="110"/>
      <c r="AA10" s="1" t="s">
        <v>214</v>
      </c>
      <c r="AB10" s="110"/>
      <c r="AC10" s="1" t="s">
        <v>214</v>
      </c>
      <c r="AD10" s="110"/>
      <c r="AE10" s="1" t="s">
        <v>211</v>
      </c>
      <c r="AF10" s="110"/>
      <c r="AG10" s="1" t="s">
        <v>213</v>
      </c>
      <c r="AH10" s="110"/>
      <c r="AI10" s="1" t="s">
        <v>214</v>
      </c>
      <c r="AJ10" s="110"/>
      <c r="AK10" s="1" t="s">
        <v>215</v>
      </c>
      <c r="AM10" s="1" t="s">
        <v>213</v>
      </c>
      <c r="AO10" s="1" t="s">
        <v>215</v>
      </c>
      <c r="AQ10" s="1" t="s">
        <v>211</v>
      </c>
      <c r="AS10" s="1" t="s">
        <v>213</v>
      </c>
      <c r="AT10" s="1" t="s">
        <v>214</v>
      </c>
      <c r="AV10" s="1" t="s">
        <v>214</v>
      </c>
      <c r="AX10" s="1" t="s">
        <v>215</v>
      </c>
      <c r="AZ10" s="18"/>
      <c r="BA10" s="5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7" ht="12" customHeight="1" x14ac:dyDescent="0.2">
      <c r="A11" s="9"/>
      <c r="B11" s="10"/>
      <c r="C11" s="18"/>
      <c r="D11" s="18"/>
      <c r="E11" s="18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1"/>
      <c r="Q11" s="18"/>
      <c r="R11" s="11"/>
      <c r="S11" s="18"/>
      <c r="T11" s="18"/>
      <c r="U11" s="18"/>
      <c r="V11" s="18"/>
      <c r="W11" s="18"/>
      <c r="X11" s="11"/>
      <c r="Y11" s="18"/>
      <c r="Z11" s="11"/>
      <c r="AA11" s="18"/>
      <c r="AB11" s="11"/>
      <c r="AC11" s="18"/>
      <c r="AD11" s="11"/>
      <c r="AE11" s="18"/>
      <c r="AF11" s="11"/>
      <c r="AG11" s="18"/>
      <c r="AH11" s="11"/>
      <c r="AI11" s="18"/>
      <c r="AJ11" s="11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5"/>
      <c r="BB11" s="76"/>
      <c r="BC11" s="37"/>
      <c r="BD11" s="76"/>
      <c r="BE11" s="37"/>
      <c r="BL11" s="3"/>
      <c r="BM11" s="3"/>
      <c r="BN11" s="3"/>
      <c r="BO11" s="3"/>
    </row>
    <row r="12" spans="1:67" x14ac:dyDescent="0.2">
      <c r="A12" s="14">
        <v>101</v>
      </c>
      <c r="B12" s="10" t="s">
        <v>12</v>
      </c>
      <c r="C12" s="22"/>
      <c r="E12" s="22"/>
      <c r="G12" s="111"/>
      <c r="I12" s="22"/>
      <c r="K12" s="22"/>
      <c r="M12" s="22"/>
      <c r="BB12" s="76"/>
      <c r="BC12" s="37"/>
      <c r="BD12" s="76"/>
      <c r="BE12" s="37"/>
      <c r="BL12" s="3"/>
      <c r="BM12" s="3"/>
      <c r="BN12" s="3"/>
      <c r="BO12" s="3"/>
    </row>
    <row r="13" spans="1:67" x14ac:dyDescent="0.2">
      <c r="A13" s="14"/>
      <c r="B13" s="10"/>
      <c r="BB13" s="76"/>
      <c r="BC13" s="37"/>
      <c r="BD13" s="76"/>
      <c r="BE13" s="37"/>
      <c r="BL13" s="3"/>
      <c r="BM13" s="3"/>
      <c r="BN13" s="3"/>
      <c r="BO13" s="3"/>
    </row>
    <row r="14" spans="1:67" x14ac:dyDescent="0.2">
      <c r="A14" s="9" t="s">
        <v>13</v>
      </c>
      <c r="B14" s="10"/>
      <c r="BB14" s="76"/>
      <c r="BC14" s="37"/>
      <c r="BD14" s="76"/>
      <c r="BE14" s="37"/>
      <c r="BL14" s="3"/>
      <c r="BM14" s="3"/>
      <c r="BN14" s="3"/>
      <c r="BO14" s="3"/>
    </row>
    <row r="15" spans="1:67" x14ac:dyDescent="0.2">
      <c r="A15" s="14"/>
      <c r="B15" s="3" t="s">
        <v>245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>
        <f t="shared" ref="AZ15:AZ44" si="0">SUM(C15:AY15)</f>
        <v>0</v>
      </c>
      <c r="BB15" s="76">
        <f t="shared" ref="BB15:BB44" si="1">SUMIF($C$10:$AY$10,"=Addition",$C15:$AY15)</f>
        <v>0</v>
      </c>
      <c r="BC15" s="37"/>
      <c r="BD15" s="76">
        <f t="shared" ref="BD15:BD44" si="2">SUMIF($C$10:$AY$10,"=Adjustment",$C15:$AY15)</f>
        <v>0</v>
      </c>
      <c r="BE15" s="37"/>
      <c r="BF15" s="76">
        <f t="shared" ref="BF15:BF44" si="3">SUMIF($C$10:$AY$10,"=Transfer",$C15:$AY15)</f>
        <v>0</v>
      </c>
      <c r="BH15" s="76">
        <f t="shared" ref="BH15:BH44" si="4">SUMIF($C$10:$AY$10,"=N/A",$C15:$AY15)</f>
        <v>0</v>
      </c>
      <c r="BJ15" s="76">
        <f>SUM(BB15:BH15)</f>
        <v>0</v>
      </c>
      <c r="BL15" s="39">
        <f>AZ15-BJ15</f>
        <v>0</v>
      </c>
      <c r="BM15" s="3"/>
      <c r="BN15" s="3"/>
      <c r="BO15" s="3"/>
    </row>
    <row r="16" spans="1:67" x14ac:dyDescent="0.2">
      <c r="A16" s="14"/>
      <c r="B16" s="3" t="s">
        <v>246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v>-202094.94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>
        <f t="shared" si="0"/>
        <v>-202094.94</v>
      </c>
      <c r="BB16" s="76">
        <f t="shared" si="1"/>
        <v>0</v>
      </c>
      <c r="BC16" s="37"/>
      <c r="BD16" s="76">
        <f t="shared" si="2"/>
        <v>0</v>
      </c>
      <c r="BE16" s="37"/>
      <c r="BF16" s="76">
        <f t="shared" si="3"/>
        <v>-202094.94</v>
      </c>
      <c r="BH16" s="76">
        <f t="shared" si="4"/>
        <v>0</v>
      </c>
      <c r="BJ16" s="76">
        <f>SUM(BB16:BH16)</f>
        <v>-202094.94</v>
      </c>
      <c r="BL16" s="39">
        <f t="shared" ref="BL16:BL80" si="5">AZ16-BJ16</f>
        <v>0</v>
      </c>
      <c r="BM16" s="3"/>
      <c r="BN16" s="3"/>
      <c r="BO16" s="3"/>
    </row>
    <row r="17" spans="1:67" x14ac:dyDescent="0.2">
      <c r="A17" s="14"/>
      <c r="B17" s="3" t="s">
        <v>247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>
        <v>-12074.4</v>
      </c>
      <c r="AU17" s="15"/>
      <c r="AV17" s="15"/>
      <c r="AW17" s="15"/>
      <c r="AX17" s="15"/>
      <c r="AY17" s="15"/>
      <c r="AZ17" s="15">
        <f t="shared" si="0"/>
        <v>-12074.4</v>
      </c>
      <c r="BB17" s="76">
        <f t="shared" si="1"/>
        <v>0</v>
      </c>
      <c r="BC17" s="37"/>
      <c r="BD17" s="76">
        <f t="shared" si="2"/>
        <v>0</v>
      </c>
      <c r="BE17" s="37"/>
      <c r="BF17" s="76">
        <f t="shared" si="3"/>
        <v>-12074.4</v>
      </c>
      <c r="BH17" s="76">
        <f t="shared" si="4"/>
        <v>0</v>
      </c>
      <c r="BJ17" s="76">
        <f>SUM(BB17:BH17)</f>
        <v>-12074.4</v>
      </c>
      <c r="BL17" s="39">
        <f t="shared" si="5"/>
        <v>0</v>
      </c>
      <c r="BM17" s="3"/>
      <c r="BN17" s="3"/>
      <c r="BO17" s="3"/>
    </row>
    <row r="18" spans="1:67" x14ac:dyDescent="0.2">
      <c r="A18" s="14"/>
      <c r="B18" s="3" t="s">
        <v>248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>
        <f t="shared" si="0"/>
        <v>0</v>
      </c>
      <c r="BB18" s="76">
        <f t="shared" si="1"/>
        <v>0</v>
      </c>
      <c r="BC18" s="37"/>
      <c r="BD18" s="76">
        <f t="shared" si="2"/>
        <v>0</v>
      </c>
      <c r="BE18" s="37"/>
      <c r="BF18" s="76">
        <f t="shared" si="3"/>
        <v>0</v>
      </c>
      <c r="BH18" s="76">
        <f t="shared" si="4"/>
        <v>0</v>
      </c>
      <c r="BJ18" s="76">
        <f>SUM(BB18:BH18)</f>
        <v>0</v>
      </c>
      <c r="BL18" s="39">
        <f t="shared" si="5"/>
        <v>0</v>
      </c>
      <c r="BM18" s="3"/>
      <c r="BN18" s="3"/>
      <c r="BO18" s="3"/>
    </row>
    <row r="19" spans="1:67" x14ac:dyDescent="0.2">
      <c r="A19" s="14"/>
      <c r="B19" s="3" t="s">
        <v>249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>
        <v>202094.94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>
        <f t="shared" si="0"/>
        <v>202094.94</v>
      </c>
      <c r="BB19" s="76">
        <f t="shared" si="1"/>
        <v>0</v>
      </c>
      <c r="BC19" s="37"/>
      <c r="BD19" s="76">
        <f t="shared" si="2"/>
        <v>0</v>
      </c>
      <c r="BE19" s="37"/>
      <c r="BF19" s="76">
        <f t="shared" si="3"/>
        <v>202094.94</v>
      </c>
      <c r="BH19" s="76">
        <f t="shared" si="4"/>
        <v>0</v>
      </c>
      <c r="BJ19" s="76">
        <f t="shared" ref="BJ19:BJ44" si="6">SUM(BB19:BH19)</f>
        <v>202094.94</v>
      </c>
      <c r="BL19" s="39">
        <f t="shared" si="5"/>
        <v>0</v>
      </c>
      <c r="BM19" s="3"/>
      <c r="BN19" s="3"/>
      <c r="BO19" s="3"/>
    </row>
    <row r="20" spans="1:67" x14ac:dyDescent="0.2">
      <c r="A20" s="14"/>
      <c r="B20" s="3" t="s">
        <v>250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f t="shared" si="0"/>
        <v>0</v>
      </c>
      <c r="BB20" s="76">
        <f t="shared" si="1"/>
        <v>0</v>
      </c>
      <c r="BC20" s="37"/>
      <c r="BD20" s="76">
        <f t="shared" si="2"/>
        <v>0</v>
      </c>
      <c r="BE20" s="37"/>
      <c r="BF20" s="76">
        <f t="shared" si="3"/>
        <v>0</v>
      </c>
      <c r="BH20" s="76">
        <f t="shared" si="4"/>
        <v>0</v>
      </c>
      <c r="BJ20" s="76">
        <f t="shared" si="6"/>
        <v>0</v>
      </c>
      <c r="BL20" s="39">
        <f t="shared" si="5"/>
        <v>0</v>
      </c>
      <c r="BM20" s="3"/>
      <c r="BN20" s="3"/>
      <c r="BO20" s="3"/>
    </row>
    <row r="21" spans="1:67" x14ac:dyDescent="0.2">
      <c r="A21" s="14"/>
      <c r="B21" s="3" t="s">
        <v>251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>
        <f t="shared" si="0"/>
        <v>0</v>
      </c>
      <c r="BB21" s="76">
        <f t="shared" si="1"/>
        <v>0</v>
      </c>
      <c r="BC21" s="37"/>
      <c r="BD21" s="76">
        <f t="shared" si="2"/>
        <v>0</v>
      </c>
      <c r="BE21" s="37"/>
      <c r="BF21" s="76">
        <f t="shared" si="3"/>
        <v>0</v>
      </c>
      <c r="BH21" s="76">
        <f t="shared" si="4"/>
        <v>0</v>
      </c>
      <c r="BJ21" s="76">
        <f t="shared" si="6"/>
        <v>0</v>
      </c>
      <c r="BL21" s="39">
        <f t="shared" si="5"/>
        <v>0</v>
      </c>
      <c r="BM21" s="3"/>
      <c r="BN21" s="3"/>
      <c r="BO21" s="3"/>
    </row>
    <row r="22" spans="1:67" x14ac:dyDescent="0.2">
      <c r="A22" s="14"/>
      <c r="B22" s="3" t="s">
        <v>252</v>
      </c>
      <c r="C22" s="15"/>
      <c r="D22" s="15"/>
      <c r="E22" s="15"/>
      <c r="F22" s="15"/>
      <c r="G22" s="37" t="s">
        <v>159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>
        <f t="shared" si="0"/>
        <v>0</v>
      </c>
      <c r="BB22" s="76">
        <f t="shared" si="1"/>
        <v>0</v>
      </c>
      <c r="BC22" s="37"/>
      <c r="BD22" s="76">
        <f t="shared" si="2"/>
        <v>0</v>
      </c>
      <c r="BE22" s="37"/>
      <c r="BF22" s="76">
        <f t="shared" si="3"/>
        <v>0</v>
      </c>
      <c r="BH22" s="76">
        <f t="shared" si="4"/>
        <v>0</v>
      </c>
      <c r="BJ22" s="76">
        <f t="shared" si="6"/>
        <v>0</v>
      </c>
      <c r="BL22" s="39">
        <f t="shared" si="5"/>
        <v>0</v>
      </c>
      <c r="BM22" s="3"/>
      <c r="BN22" s="3"/>
      <c r="BO22" s="3"/>
    </row>
    <row r="23" spans="1:67" x14ac:dyDescent="0.2">
      <c r="A23" s="14"/>
      <c r="B23" s="3" t="s">
        <v>253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>
        <f t="shared" si="0"/>
        <v>0</v>
      </c>
      <c r="BB23" s="76">
        <f t="shared" si="1"/>
        <v>0</v>
      </c>
      <c r="BC23" s="37"/>
      <c r="BD23" s="76">
        <f t="shared" si="2"/>
        <v>0</v>
      </c>
      <c r="BE23" s="37"/>
      <c r="BF23" s="76">
        <f t="shared" si="3"/>
        <v>0</v>
      </c>
      <c r="BH23" s="76">
        <f t="shared" si="4"/>
        <v>0</v>
      </c>
      <c r="BJ23" s="76">
        <f t="shared" si="6"/>
        <v>0</v>
      </c>
      <c r="BL23" s="39">
        <f t="shared" si="5"/>
        <v>0</v>
      </c>
      <c r="BM23" s="3"/>
      <c r="BN23" s="3"/>
      <c r="BO23" s="3"/>
    </row>
    <row r="24" spans="1:67" x14ac:dyDescent="0.2">
      <c r="A24" s="14"/>
      <c r="B24" s="3" t="s">
        <v>254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f t="shared" si="0"/>
        <v>0</v>
      </c>
      <c r="BB24" s="76">
        <f t="shared" si="1"/>
        <v>0</v>
      </c>
      <c r="BC24" s="37"/>
      <c r="BD24" s="76">
        <f t="shared" si="2"/>
        <v>0</v>
      </c>
      <c r="BE24" s="37"/>
      <c r="BF24" s="76">
        <f t="shared" si="3"/>
        <v>0</v>
      </c>
      <c r="BH24" s="76">
        <f t="shared" si="4"/>
        <v>0</v>
      </c>
      <c r="BJ24" s="76">
        <f t="shared" si="6"/>
        <v>0</v>
      </c>
      <c r="BL24" s="39">
        <f t="shared" si="5"/>
        <v>0</v>
      </c>
      <c r="BM24" s="3"/>
      <c r="BN24" s="3"/>
      <c r="BO24" s="3"/>
    </row>
    <row r="25" spans="1:67" x14ac:dyDescent="0.2">
      <c r="A25" s="14"/>
      <c r="B25" s="3" t="s">
        <v>255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>
        <f t="shared" si="0"/>
        <v>0</v>
      </c>
      <c r="BB25" s="76">
        <f t="shared" si="1"/>
        <v>0</v>
      </c>
      <c r="BC25" s="37"/>
      <c r="BD25" s="76">
        <f t="shared" si="2"/>
        <v>0</v>
      </c>
      <c r="BE25" s="37"/>
      <c r="BF25" s="76">
        <f t="shared" si="3"/>
        <v>0</v>
      </c>
      <c r="BH25" s="76">
        <f t="shared" si="4"/>
        <v>0</v>
      </c>
      <c r="BJ25" s="76">
        <f t="shared" si="6"/>
        <v>0</v>
      </c>
      <c r="BL25" s="39">
        <f t="shared" si="5"/>
        <v>0</v>
      </c>
      <c r="BM25" s="3"/>
      <c r="BN25" s="3"/>
      <c r="BO25" s="3"/>
    </row>
    <row r="26" spans="1:67" x14ac:dyDescent="0.2">
      <c r="A26" s="14"/>
      <c r="B26" s="22" t="s">
        <v>256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>
        <f t="shared" si="0"/>
        <v>0</v>
      </c>
      <c r="BB26" s="76">
        <f t="shared" si="1"/>
        <v>0</v>
      </c>
      <c r="BC26" s="37"/>
      <c r="BD26" s="76">
        <f t="shared" si="2"/>
        <v>0</v>
      </c>
      <c r="BE26" s="37"/>
      <c r="BF26" s="76">
        <f t="shared" si="3"/>
        <v>0</v>
      </c>
      <c r="BH26" s="76">
        <f t="shared" si="4"/>
        <v>0</v>
      </c>
      <c r="BJ26" s="76">
        <f t="shared" si="6"/>
        <v>0</v>
      </c>
      <c r="BL26" s="39">
        <f t="shared" si="5"/>
        <v>0</v>
      </c>
      <c r="BM26" s="3"/>
      <c r="BN26" s="3"/>
      <c r="BO26" s="3"/>
    </row>
    <row r="27" spans="1:67" x14ac:dyDescent="0.2">
      <c r="A27" s="14"/>
      <c r="B27" s="3" t="s">
        <v>257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>
        <f t="shared" si="0"/>
        <v>0</v>
      </c>
      <c r="BB27" s="76">
        <f t="shared" si="1"/>
        <v>0</v>
      </c>
      <c r="BC27" s="37"/>
      <c r="BD27" s="76">
        <f t="shared" si="2"/>
        <v>0</v>
      </c>
      <c r="BE27" s="37"/>
      <c r="BF27" s="76">
        <f t="shared" si="3"/>
        <v>0</v>
      </c>
      <c r="BH27" s="76">
        <f t="shared" si="4"/>
        <v>0</v>
      </c>
      <c r="BJ27" s="76">
        <f t="shared" si="6"/>
        <v>0</v>
      </c>
      <c r="BL27" s="39">
        <f t="shared" si="5"/>
        <v>0</v>
      </c>
      <c r="BM27" s="3"/>
      <c r="BN27" s="3"/>
      <c r="BO27" s="3"/>
    </row>
    <row r="28" spans="1:67" x14ac:dyDescent="0.2">
      <c r="A28" s="14"/>
      <c r="B28" s="3" t="s">
        <v>258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>
        <f t="shared" si="0"/>
        <v>0</v>
      </c>
      <c r="BB28" s="76">
        <f t="shared" si="1"/>
        <v>0</v>
      </c>
      <c r="BC28" s="37"/>
      <c r="BD28" s="76">
        <f t="shared" si="2"/>
        <v>0</v>
      </c>
      <c r="BE28" s="37"/>
      <c r="BF28" s="76">
        <f t="shared" si="3"/>
        <v>0</v>
      </c>
      <c r="BH28" s="76">
        <f t="shared" si="4"/>
        <v>0</v>
      </c>
      <c r="BJ28" s="76">
        <f>SUM(BB28:BH28)</f>
        <v>0</v>
      </c>
      <c r="BL28" s="39">
        <f t="shared" si="5"/>
        <v>0</v>
      </c>
      <c r="BM28" s="3"/>
      <c r="BN28" s="3"/>
      <c r="BO28" s="3"/>
    </row>
    <row r="29" spans="1:67" x14ac:dyDescent="0.2">
      <c r="A29" s="14"/>
      <c r="B29" s="3" t="s">
        <v>259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>
        <f t="shared" si="0"/>
        <v>0</v>
      </c>
      <c r="BB29" s="76">
        <f t="shared" si="1"/>
        <v>0</v>
      </c>
      <c r="BC29" s="37"/>
      <c r="BD29" s="76">
        <f t="shared" si="2"/>
        <v>0</v>
      </c>
      <c r="BE29" s="37"/>
      <c r="BF29" s="76">
        <f t="shared" si="3"/>
        <v>0</v>
      </c>
      <c r="BH29" s="76">
        <f t="shared" si="4"/>
        <v>0</v>
      </c>
      <c r="BJ29" s="76">
        <f t="shared" si="6"/>
        <v>0</v>
      </c>
      <c r="BL29" s="39">
        <f t="shared" si="5"/>
        <v>0</v>
      </c>
      <c r="BM29" s="3"/>
      <c r="BN29" s="3"/>
      <c r="BO29" s="3"/>
    </row>
    <row r="30" spans="1:67" x14ac:dyDescent="0.2">
      <c r="A30" s="14"/>
      <c r="B30" s="3" t="s">
        <v>260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>
        <f t="shared" si="0"/>
        <v>0</v>
      </c>
      <c r="BB30" s="76">
        <f t="shared" si="1"/>
        <v>0</v>
      </c>
      <c r="BC30" s="37"/>
      <c r="BD30" s="76">
        <f t="shared" si="2"/>
        <v>0</v>
      </c>
      <c r="BE30" s="37"/>
      <c r="BF30" s="76">
        <f t="shared" si="3"/>
        <v>0</v>
      </c>
      <c r="BH30" s="76">
        <f t="shared" si="4"/>
        <v>0</v>
      </c>
      <c r="BJ30" s="76">
        <f t="shared" si="6"/>
        <v>0</v>
      </c>
      <c r="BL30" s="39">
        <f t="shared" si="5"/>
        <v>0</v>
      </c>
      <c r="BM30" s="3"/>
      <c r="BN30" s="3"/>
      <c r="BO30" s="3"/>
    </row>
    <row r="31" spans="1:67" x14ac:dyDescent="0.2">
      <c r="A31" s="14"/>
      <c r="B31" s="3" t="s">
        <v>261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>
        <f t="shared" si="0"/>
        <v>0</v>
      </c>
      <c r="BB31" s="76">
        <f t="shared" si="1"/>
        <v>0</v>
      </c>
      <c r="BC31" s="37"/>
      <c r="BD31" s="76">
        <f t="shared" si="2"/>
        <v>0</v>
      </c>
      <c r="BE31" s="37"/>
      <c r="BF31" s="76">
        <f t="shared" si="3"/>
        <v>0</v>
      </c>
      <c r="BH31" s="76">
        <f t="shared" si="4"/>
        <v>0</v>
      </c>
      <c r="BJ31" s="76">
        <f t="shared" si="6"/>
        <v>0</v>
      </c>
      <c r="BL31" s="39">
        <f t="shared" si="5"/>
        <v>0</v>
      </c>
      <c r="BM31" s="3"/>
      <c r="BN31" s="3"/>
      <c r="BO31" s="3"/>
    </row>
    <row r="32" spans="1:67" x14ac:dyDescent="0.2">
      <c r="A32" s="14"/>
      <c r="B32" s="3" t="s">
        <v>262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>
        <v>-2817.36</v>
      </c>
      <c r="AW32" s="15"/>
      <c r="AX32" s="15"/>
      <c r="AY32" s="15"/>
      <c r="AZ32" s="15">
        <f t="shared" si="0"/>
        <v>-2817.36</v>
      </c>
      <c r="BB32" s="76">
        <f t="shared" si="1"/>
        <v>0</v>
      </c>
      <c r="BC32" s="37"/>
      <c r="BD32" s="76">
        <f t="shared" si="2"/>
        <v>0</v>
      </c>
      <c r="BE32" s="37"/>
      <c r="BF32" s="76">
        <f t="shared" si="3"/>
        <v>-2817.36</v>
      </c>
      <c r="BH32" s="76">
        <f t="shared" si="4"/>
        <v>0</v>
      </c>
      <c r="BJ32" s="76">
        <f t="shared" si="6"/>
        <v>-2817.36</v>
      </c>
      <c r="BL32" s="39">
        <f t="shared" si="5"/>
        <v>0</v>
      </c>
      <c r="BM32" s="3"/>
      <c r="BN32" s="3"/>
      <c r="BO32" s="3"/>
    </row>
    <row r="33" spans="1:67" x14ac:dyDescent="0.2">
      <c r="A33" s="14"/>
      <c r="B33" s="3" t="s">
        <v>263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>
        <f t="shared" si="0"/>
        <v>0</v>
      </c>
      <c r="BB33" s="76">
        <f t="shared" si="1"/>
        <v>0</v>
      </c>
      <c r="BC33" s="37"/>
      <c r="BD33" s="76">
        <f t="shared" si="2"/>
        <v>0</v>
      </c>
      <c r="BE33" s="37"/>
      <c r="BF33" s="76">
        <f t="shared" si="3"/>
        <v>0</v>
      </c>
      <c r="BH33" s="76">
        <f t="shared" si="4"/>
        <v>0</v>
      </c>
      <c r="BJ33" s="76">
        <f t="shared" si="6"/>
        <v>0</v>
      </c>
      <c r="BL33" s="39">
        <f t="shared" si="5"/>
        <v>0</v>
      </c>
      <c r="BM33" s="3"/>
      <c r="BN33" s="3"/>
      <c r="BO33" s="3"/>
    </row>
    <row r="34" spans="1:67" x14ac:dyDescent="0.2">
      <c r="A34" s="14"/>
      <c r="B34" s="3" t="s">
        <v>264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>
        <f t="shared" si="0"/>
        <v>0</v>
      </c>
      <c r="BB34" s="76">
        <f t="shared" si="1"/>
        <v>0</v>
      </c>
      <c r="BC34" s="37"/>
      <c r="BD34" s="76">
        <f t="shared" si="2"/>
        <v>0</v>
      </c>
      <c r="BE34" s="37"/>
      <c r="BF34" s="76">
        <f t="shared" si="3"/>
        <v>0</v>
      </c>
      <c r="BH34" s="76">
        <f t="shared" si="4"/>
        <v>0</v>
      </c>
      <c r="BJ34" s="76">
        <f t="shared" si="6"/>
        <v>0</v>
      </c>
      <c r="BL34" s="39">
        <f t="shared" si="5"/>
        <v>0</v>
      </c>
      <c r="BM34" s="3"/>
      <c r="BN34" s="3"/>
      <c r="BO34" s="3"/>
    </row>
    <row r="35" spans="1:67" x14ac:dyDescent="0.2">
      <c r="A35" s="14"/>
      <c r="B35" s="3" t="s">
        <v>265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>
        <f t="shared" si="0"/>
        <v>0</v>
      </c>
      <c r="BB35" s="76">
        <f t="shared" si="1"/>
        <v>0</v>
      </c>
      <c r="BC35" s="37"/>
      <c r="BD35" s="76">
        <f t="shared" si="2"/>
        <v>0</v>
      </c>
      <c r="BE35" s="37"/>
      <c r="BF35" s="76">
        <f t="shared" si="3"/>
        <v>0</v>
      </c>
      <c r="BH35" s="76">
        <f t="shared" si="4"/>
        <v>0</v>
      </c>
      <c r="BJ35" s="76">
        <f t="shared" si="6"/>
        <v>0</v>
      </c>
      <c r="BL35" s="39">
        <f t="shared" si="5"/>
        <v>0</v>
      </c>
      <c r="BM35" s="3"/>
      <c r="BN35" s="3"/>
      <c r="BO35" s="3"/>
    </row>
    <row r="36" spans="1:67" x14ac:dyDescent="0.2">
      <c r="A36" s="112"/>
      <c r="B36" s="31" t="s">
        <v>266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>
        <f t="shared" si="0"/>
        <v>0</v>
      </c>
      <c r="BB36" s="76">
        <f t="shared" si="1"/>
        <v>0</v>
      </c>
      <c r="BC36" s="37"/>
      <c r="BD36" s="76">
        <f t="shared" si="2"/>
        <v>0</v>
      </c>
      <c r="BE36" s="37"/>
      <c r="BF36" s="76">
        <f t="shared" si="3"/>
        <v>0</v>
      </c>
      <c r="BH36" s="76">
        <f t="shared" si="4"/>
        <v>0</v>
      </c>
      <c r="BJ36" s="76">
        <f t="shared" si="6"/>
        <v>0</v>
      </c>
      <c r="BL36" s="39">
        <f t="shared" si="5"/>
        <v>0</v>
      </c>
      <c r="BM36" s="3"/>
      <c r="BN36" s="3"/>
      <c r="BO36" s="3"/>
    </row>
    <row r="37" spans="1:67" x14ac:dyDescent="0.2">
      <c r="A37" s="112"/>
      <c r="B37" s="31" t="s">
        <v>267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>
        <f t="shared" si="0"/>
        <v>0</v>
      </c>
      <c r="BB37" s="76">
        <f t="shared" si="1"/>
        <v>0</v>
      </c>
      <c r="BC37" s="37"/>
      <c r="BD37" s="76">
        <f t="shared" si="2"/>
        <v>0</v>
      </c>
      <c r="BE37" s="37"/>
      <c r="BF37" s="76">
        <f t="shared" si="3"/>
        <v>0</v>
      </c>
      <c r="BH37" s="76">
        <f t="shared" si="4"/>
        <v>0</v>
      </c>
      <c r="BJ37" s="76">
        <f t="shared" si="6"/>
        <v>0</v>
      </c>
      <c r="BL37" s="39">
        <f t="shared" si="5"/>
        <v>0</v>
      </c>
      <c r="BM37" s="3"/>
      <c r="BN37" s="3"/>
      <c r="BO37" s="3"/>
    </row>
    <row r="38" spans="1:67" x14ac:dyDescent="0.2">
      <c r="A38" s="14"/>
      <c r="B38" s="3" t="s">
        <v>268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>
        <f t="shared" si="0"/>
        <v>0</v>
      </c>
      <c r="BB38" s="76">
        <f t="shared" si="1"/>
        <v>0</v>
      </c>
      <c r="BC38" s="37"/>
      <c r="BD38" s="76">
        <f t="shared" si="2"/>
        <v>0</v>
      </c>
      <c r="BE38" s="37"/>
      <c r="BF38" s="76">
        <f t="shared" si="3"/>
        <v>0</v>
      </c>
      <c r="BH38" s="76">
        <f t="shared" si="4"/>
        <v>0</v>
      </c>
      <c r="BJ38" s="76">
        <f>SUM(BB38:BH38)</f>
        <v>0</v>
      </c>
      <c r="BL38" s="39">
        <f t="shared" si="5"/>
        <v>0</v>
      </c>
      <c r="BM38" s="3"/>
      <c r="BN38" s="3"/>
      <c r="BO38" s="3"/>
    </row>
    <row r="39" spans="1:67" x14ac:dyDescent="0.2">
      <c r="A39" s="14"/>
      <c r="B39" s="3" t="s">
        <v>269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>
        <f t="shared" si="0"/>
        <v>0</v>
      </c>
      <c r="BB39" s="76">
        <f t="shared" si="1"/>
        <v>0</v>
      </c>
      <c r="BC39" s="37"/>
      <c r="BD39" s="76">
        <f t="shared" si="2"/>
        <v>0</v>
      </c>
      <c r="BE39" s="37"/>
      <c r="BF39" s="76">
        <f t="shared" si="3"/>
        <v>0</v>
      </c>
      <c r="BH39" s="76">
        <f t="shared" si="4"/>
        <v>0</v>
      </c>
      <c r="BJ39" s="76">
        <f t="shared" si="6"/>
        <v>0</v>
      </c>
      <c r="BL39" s="39">
        <f t="shared" si="5"/>
        <v>0</v>
      </c>
      <c r="BM39" s="3"/>
      <c r="BN39" s="3"/>
      <c r="BO39" s="3"/>
    </row>
    <row r="40" spans="1:67" x14ac:dyDescent="0.2">
      <c r="A40" s="14"/>
      <c r="B40" s="3" t="s">
        <v>270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>
        <f t="shared" si="0"/>
        <v>0</v>
      </c>
      <c r="BB40" s="76">
        <f t="shared" si="1"/>
        <v>0</v>
      </c>
      <c r="BC40" s="37"/>
      <c r="BD40" s="76">
        <f t="shared" si="2"/>
        <v>0</v>
      </c>
      <c r="BE40" s="37"/>
      <c r="BF40" s="76">
        <f t="shared" si="3"/>
        <v>0</v>
      </c>
      <c r="BH40" s="76">
        <f t="shared" si="4"/>
        <v>0</v>
      </c>
      <c r="BJ40" s="76">
        <f t="shared" si="6"/>
        <v>0</v>
      </c>
      <c r="BL40" s="39">
        <f t="shared" si="5"/>
        <v>0</v>
      </c>
      <c r="BM40" s="3"/>
      <c r="BN40" s="3"/>
      <c r="BO40" s="3"/>
    </row>
    <row r="41" spans="1:67" x14ac:dyDescent="0.2">
      <c r="A41" s="14"/>
      <c r="B41" s="3" t="s">
        <v>271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>
        <f t="shared" si="0"/>
        <v>0</v>
      </c>
      <c r="BB41" s="76">
        <f t="shared" si="1"/>
        <v>0</v>
      </c>
      <c r="BC41" s="37"/>
      <c r="BD41" s="76">
        <f t="shared" si="2"/>
        <v>0</v>
      </c>
      <c r="BE41" s="37"/>
      <c r="BF41" s="76">
        <f t="shared" si="3"/>
        <v>0</v>
      </c>
      <c r="BH41" s="76">
        <f t="shared" si="4"/>
        <v>0</v>
      </c>
      <c r="BJ41" s="76">
        <f t="shared" si="6"/>
        <v>0</v>
      </c>
      <c r="BL41" s="39">
        <f t="shared" si="5"/>
        <v>0</v>
      </c>
      <c r="BM41" s="3"/>
      <c r="BN41" s="3"/>
      <c r="BO41" s="3"/>
    </row>
    <row r="42" spans="1:67" x14ac:dyDescent="0.2">
      <c r="A42" s="14"/>
      <c r="B42" s="3" t="s">
        <v>272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>
        <f t="shared" si="0"/>
        <v>0</v>
      </c>
      <c r="BB42" s="76">
        <f t="shared" si="1"/>
        <v>0</v>
      </c>
      <c r="BC42" s="37"/>
      <c r="BD42" s="76">
        <f t="shared" si="2"/>
        <v>0</v>
      </c>
      <c r="BE42" s="37"/>
      <c r="BF42" s="76">
        <f t="shared" si="3"/>
        <v>0</v>
      </c>
      <c r="BH42" s="76">
        <f t="shared" si="4"/>
        <v>0</v>
      </c>
      <c r="BJ42" s="76">
        <f t="shared" si="6"/>
        <v>0</v>
      </c>
      <c r="BL42" s="39">
        <f t="shared" si="5"/>
        <v>0</v>
      </c>
      <c r="BM42" s="3"/>
      <c r="BN42" s="3"/>
      <c r="BO42" s="3"/>
    </row>
    <row r="43" spans="1:67" x14ac:dyDescent="0.2">
      <c r="A43" s="14"/>
      <c r="B43" s="3" t="s">
        <v>273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>
        <f t="shared" si="0"/>
        <v>0</v>
      </c>
      <c r="BB43" s="76">
        <f t="shared" si="1"/>
        <v>0</v>
      </c>
      <c r="BC43" s="37"/>
      <c r="BD43" s="76">
        <f t="shared" si="2"/>
        <v>0</v>
      </c>
      <c r="BE43" s="37"/>
      <c r="BF43" s="76">
        <f t="shared" si="3"/>
        <v>0</v>
      </c>
      <c r="BH43" s="76">
        <f t="shared" si="4"/>
        <v>0</v>
      </c>
      <c r="BJ43" s="76">
        <f t="shared" si="6"/>
        <v>0</v>
      </c>
      <c r="BL43" s="39">
        <f t="shared" si="5"/>
        <v>0</v>
      </c>
      <c r="BM43" s="3"/>
      <c r="BN43" s="3"/>
      <c r="BO43" s="3"/>
    </row>
    <row r="44" spans="1:67" x14ac:dyDescent="0.2">
      <c r="A44" s="14"/>
      <c r="B44" s="3" t="s">
        <v>274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f t="shared" si="0"/>
        <v>0</v>
      </c>
      <c r="BB44" s="76">
        <f t="shared" si="1"/>
        <v>0</v>
      </c>
      <c r="BC44" s="37"/>
      <c r="BD44" s="76">
        <f t="shared" si="2"/>
        <v>0</v>
      </c>
      <c r="BE44" s="37"/>
      <c r="BF44" s="76">
        <f t="shared" si="3"/>
        <v>0</v>
      </c>
      <c r="BH44" s="76">
        <f t="shared" si="4"/>
        <v>0</v>
      </c>
      <c r="BJ44" s="76">
        <f t="shared" si="6"/>
        <v>0</v>
      </c>
      <c r="BL44" s="39">
        <f t="shared" si="5"/>
        <v>0</v>
      </c>
      <c r="BM44" s="3"/>
      <c r="BN44" s="3"/>
      <c r="BO44" s="3"/>
    </row>
    <row r="45" spans="1:67" x14ac:dyDescent="0.2">
      <c r="A45" s="14"/>
      <c r="B45" s="10" t="s">
        <v>275</v>
      </c>
      <c r="C45" s="20">
        <f>SUM(C15:C44)</f>
        <v>0</v>
      </c>
      <c r="E45" s="20">
        <f>SUM(E15:E44)</f>
        <v>0</v>
      </c>
      <c r="G45" s="20">
        <f>SUM(G15:G44)</f>
        <v>0</v>
      </c>
      <c r="I45" s="20">
        <f>SUM(I15:I44)</f>
        <v>0</v>
      </c>
      <c r="K45" s="20">
        <f>SUM(K15:K44)</f>
        <v>0</v>
      </c>
      <c r="M45" s="20">
        <f>SUM(M15:M44)</f>
        <v>0</v>
      </c>
      <c r="O45" s="20">
        <f>SUM(O15:O44)</f>
        <v>0</v>
      </c>
      <c r="Q45" s="20">
        <f>SUM(Q15:Q44)</f>
        <v>0</v>
      </c>
      <c r="S45" s="20">
        <f>SUM(S15:S44)</f>
        <v>0</v>
      </c>
      <c r="T45" s="20"/>
      <c r="U45" s="20">
        <f>SUM(U15:U44)</f>
        <v>0</v>
      </c>
      <c r="V45" s="20"/>
      <c r="W45" s="20">
        <f>SUM(W15:W44)</f>
        <v>0</v>
      </c>
      <c r="Y45" s="20">
        <f>SUM(Y15:Y44)</f>
        <v>0</v>
      </c>
      <c r="AA45" s="20">
        <f>SUM(AA15:AA44)</f>
        <v>0</v>
      </c>
      <c r="AC45" s="20">
        <f>SUM(AC15:AC44)</f>
        <v>0</v>
      </c>
      <c r="AE45" s="20">
        <f>SUM(AE15:AE44)</f>
        <v>0</v>
      </c>
      <c r="AG45" s="20">
        <f>SUM(AG15:AG44)</f>
        <v>0</v>
      </c>
      <c r="AI45" s="20">
        <f>SUM(AI15:AI44)</f>
        <v>0</v>
      </c>
      <c r="AK45" s="20">
        <f>SUM(AK15:AK44)</f>
        <v>0</v>
      </c>
      <c r="AL45" s="20"/>
      <c r="AM45" s="20">
        <f>SUM(AM15:AM44)</f>
        <v>0</v>
      </c>
      <c r="AN45" s="20"/>
      <c r="AO45" s="20">
        <f>SUM(AO15:AO44)</f>
        <v>0</v>
      </c>
      <c r="AP45" s="20"/>
      <c r="AQ45" s="20">
        <f>SUM(AQ15:AQ44)</f>
        <v>0</v>
      </c>
      <c r="AR45" s="20"/>
      <c r="AS45" s="20">
        <f>SUM(AS15:AS44)</f>
        <v>0</v>
      </c>
      <c r="AT45" s="20">
        <f>SUM(AT15:AT44)</f>
        <v>-12074.4</v>
      </c>
      <c r="AU45" s="20"/>
      <c r="AV45" s="20">
        <f>SUM(AV15:AV44)</f>
        <v>-2817.36</v>
      </c>
      <c r="AW45" s="20"/>
      <c r="AX45" s="20">
        <f>SUM(AX15:AX44)</f>
        <v>0</v>
      </c>
      <c r="AY45" s="20"/>
      <c r="AZ45" s="20">
        <f>SUM(AZ15:AZ44)</f>
        <v>-14891.759999999995</v>
      </c>
      <c r="BB45" s="113">
        <f>SUM(BB15:BB44)</f>
        <v>0</v>
      </c>
      <c r="BC45" s="37"/>
      <c r="BD45" s="113">
        <f>SUM(BD15:BD44)</f>
        <v>0</v>
      </c>
      <c r="BE45" s="37"/>
      <c r="BF45" s="113">
        <f>SUM(BF15:BF44)</f>
        <v>-14891.759999999995</v>
      </c>
      <c r="BH45" s="113">
        <f>SUM(BH15:BH44)</f>
        <v>0</v>
      </c>
      <c r="BJ45" s="113">
        <f>SUM(BB45:BH45)</f>
        <v>-14891.759999999995</v>
      </c>
      <c r="BL45" s="39">
        <f t="shared" si="5"/>
        <v>0</v>
      </c>
      <c r="BM45" s="3"/>
      <c r="BN45" s="3"/>
      <c r="BO45" s="3"/>
    </row>
    <row r="46" spans="1:67" x14ac:dyDescent="0.2">
      <c r="A46" s="14"/>
      <c r="B46" s="10"/>
      <c r="BB46" s="76"/>
      <c r="BC46" s="37"/>
      <c r="BD46" s="76"/>
      <c r="BE46" s="37"/>
      <c r="BL46" s="39">
        <f t="shared" si="5"/>
        <v>0</v>
      </c>
      <c r="BM46" s="3"/>
      <c r="BN46" s="3"/>
      <c r="BO46" s="3"/>
    </row>
    <row r="47" spans="1:67" x14ac:dyDescent="0.2">
      <c r="A47" s="14"/>
      <c r="B47" s="10"/>
      <c r="BB47" s="76"/>
      <c r="BC47" s="37"/>
      <c r="BD47" s="76"/>
      <c r="BE47" s="37"/>
      <c r="BL47" s="39">
        <f t="shared" si="5"/>
        <v>0</v>
      </c>
      <c r="BM47" s="3"/>
      <c r="BN47" s="3"/>
      <c r="BO47" s="3"/>
    </row>
    <row r="48" spans="1:67" x14ac:dyDescent="0.2">
      <c r="A48" s="9" t="s">
        <v>17</v>
      </c>
      <c r="B48" s="10"/>
      <c r="BB48" s="76"/>
      <c r="BC48" s="37"/>
      <c r="BD48" s="76"/>
      <c r="BE48" s="37"/>
      <c r="BL48" s="39">
        <f t="shared" si="5"/>
        <v>0</v>
      </c>
      <c r="BM48" s="3"/>
      <c r="BN48" s="3"/>
      <c r="BO48" s="3"/>
    </row>
    <row r="49" spans="1:67" x14ac:dyDescent="0.2">
      <c r="A49" s="14"/>
      <c r="B49" s="10" t="s">
        <v>276</v>
      </c>
      <c r="BB49" s="76"/>
      <c r="BC49" s="37"/>
      <c r="BD49" s="76"/>
      <c r="BE49" s="37"/>
      <c r="BL49" s="39">
        <f t="shared" si="5"/>
        <v>0</v>
      </c>
      <c r="BM49" s="3"/>
      <c r="BN49" s="3"/>
      <c r="BO49" s="3"/>
    </row>
    <row r="50" spans="1:67" outlineLevel="1" x14ac:dyDescent="0.2">
      <c r="A50" s="14"/>
      <c r="B50" s="22" t="s">
        <v>277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>
        <f t="shared" ref="AZ50:AZ70" si="7">SUM(C50:AY50)</f>
        <v>0</v>
      </c>
      <c r="BA50" s="5"/>
      <c r="BB50" s="76">
        <f t="shared" ref="BB50:BB70" si="8">SUMIF($C$10:$AY$10,"=Addition",$C50:$AY50)</f>
        <v>0</v>
      </c>
      <c r="BC50" s="37"/>
      <c r="BD50" s="76">
        <f t="shared" ref="BD50:BD70" si="9">SUMIF($C$10:$AY$10,"=Adjustment",$C50:$AY50)</f>
        <v>0</v>
      </c>
      <c r="BE50" s="37"/>
      <c r="BF50" s="76">
        <f t="shared" ref="BF50:BF70" si="10">SUMIF($C$10:$AY$10,"=Transfer",$C50:$AY50)</f>
        <v>0</v>
      </c>
      <c r="BH50" s="76">
        <f t="shared" ref="BH50:BH70" si="11">SUMIF($C$10:$AY$10,"=N/A",$C50:$AY50)</f>
        <v>0</v>
      </c>
      <c r="BJ50" s="76">
        <f t="shared" ref="BJ50:BJ70" si="12">SUM(BB50:BH50)</f>
        <v>0</v>
      </c>
      <c r="BL50" s="39">
        <f t="shared" si="5"/>
        <v>0</v>
      </c>
      <c r="BM50" s="3"/>
      <c r="BN50" s="3"/>
      <c r="BO50" s="3"/>
    </row>
    <row r="51" spans="1:67" outlineLevel="1" x14ac:dyDescent="0.2">
      <c r="A51" s="14"/>
      <c r="B51" s="3" t="s">
        <v>278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>
        <v>-871644.37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>
        <f t="shared" si="7"/>
        <v>-871644.37</v>
      </c>
      <c r="BA51" s="5"/>
      <c r="BB51" s="76">
        <f t="shared" si="8"/>
        <v>0</v>
      </c>
      <c r="BC51" s="37"/>
      <c r="BD51" s="76">
        <f t="shared" si="9"/>
        <v>0</v>
      </c>
      <c r="BE51" s="37"/>
      <c r="BF51" s="76">
        <f t="shared" si="10"/>
        <v>-871644.37</v>
      </c>
      <c r="BH51" s="76">
        <f t="shared" si="11"/>
        <v>0</v>
      </c>
      <c r="BJ51" s="76">
        <f t="shared" si="12"/>
        <v>-871644.37</v>
      </c>
      <c r="BL51" s="39">
        <f t="shared" si="5"/>
        <v>0</v>
      </c>
      <c r="BM51" s="3"/>
      <c r="BN51" s="3"/>
      <c r="BO51" s="3"/>
    </row>
    <row r="52" spans="1:67" x14ac:dyDescent="0.2">
      <c r="A52" s="14"/>
      <c r="B52" s="22" t="s">
        <v>279</v>
      </c>
      <c r="C52" s="15">
        <f>SUM(C50:C51)</f>
        <v>0</v>
      </c>
      <c r="D52" s="15"/>
      <c r="E52" s="15">
        <f>SUM(E50:E51)</f>
        <v>0</v>
      </c>
      <c r="F52" s="15"/>
      <c r="G52" s="15">
        <f>SUM(G50:G51)</f>
        <v>0</v>
      </c>
      <c r="H52" s="15"/>
      <c r="I52" s="15">
        <f>SUM(I50:I51)</f>
        <v>0</v>
      </c>
      <c r="J52" s="15"/>
      <c r="K52" s="15">
        <f>SUM(K50:K51)</f>
        <v>0</v>
      </c>
      <c r="L52" s="15"/>
      <c r="M52" s="15">
        <f>SUM(M50:M51)</f>
        <v>0</v>
      </c>
      <c r="N52" s="15"/>
      <c r="O52" s="15">
        <f>SUM(O50:O51)</f>
        <v>0</v>
      </c>
      <c r="P52" s="15"/>
      <c r="Q52" s="15">
        <f>SUM(Q50:Q51)</f>
        <v>0</v>
      </c>
      <c r="R52" s="15"/>
      <c r="S52" s="15">
        <f>SUM(S50:S51)</f>
        <v>0</v>
      </c>
      <c r="T52" s="15"/>
      <c r="U52" s="15">
        <f>SUM(U50:U51)</f>
        <v>0</v>
      </c>
      <c r="V52" s="15"/>
      <c r="W52" s="15">
        <f>SUM(W50:W51)</f>
        <v>0</v>
      </c>
      <c r="X52" s="15"/>
      <c r="Y52" s="15">
        <f>SUM(Y50:Y51)</f>
        <v>0</v>
      </c>
      <c r="Z52" s="15"/>
      <c r="AA52" s="15">
        <f>SUM(AA50:AA51)</f>
        <v>-871644.37</v>
      </c>
      <c r="AB52" s="15"/>
      <c r="AC52" s="15">
        <f>SUM(AC50:AC51)</f>
        <v>0</v>
      </c>
      <c r="AD52" s="15"/>
      <c r="AE52" s="15">
        <f>SUM(AE50:AE51)</f>
        <v>0</v>
      </c>
      <c r="AF52" s="15"/>
      <c r="AG52" s="15">
        <f>SUM(AG50:AG51)</f>
        <v>0</v>
      </c>
      <c r="AH52" s="15"/>
      <c r="AI52" s="15">
        <f>SUM(AI50:AI51)</f>
        <v>0</v>
      </c>
      <c r="AJ52" s="15"/>
      <c r="AK52" s="15">
        <f>SUM(AK50:AK51)</f>
        <v>0</v>
      </c>
      <c r="AL52" s="15"/>
      <c r="AM52" s="15">
        <f>SUM(AM50:AM51)</f>
        <v>0</v>
      </c>
      <c r="AN52" s="15"/>
      <c r="AO52" s="15">
        <f>SUM(AO50:AO51)</f>
        <v>0</v>
      </c>
      <c r="AP52" s="15"/>
      <c r="AQ52" s="15">
        <f>SUM(AQ50:AQ51)</f>
        <v>0</v>
      </c>
      <c r="AR52" s="15"/>
      <c r="AS52" s="15">
        <f>SUM(AS50:AS51)</f>
        <v>0</v>
      </c>
      <c r="AT52" s="15">
        <f>SUM(AT50:AT51)</f>
        <v>0</v>
      </c>
      <c r="AU52" s="15"/>
      <c r="AV52" s="15">
        <f>SUM(AV50:AV51)</f>
        <v>0</v>
      </c>
      <c r="AW52" s="15"/>
      <c r="AX52" s="15">
        <f>SUM(AX50:AX51)</f>
        <v>0</v>
      </c>
      <c r="AY52" s="15"/>
      <c r="AZ52" s="15">
        <f t="shared" si="7"/>
        <v>-871644.37</v>
      </c>
      <c r="BA52" s="5"/>
      <c r="BB52" s="76">
        <f t="shared" si="8"/>
        <v>0</v>
      </c>
      <c r="BC52" s="37"/>
      <c r="BD52" s="76">
        <f t="shared" si="9"/>
        <v>0</v>
      </c>
      <c r="BE52" s="37"/>
      <c r="BF52" s="76">
        <f t="shared" si="10"/>
        <v>-871644.37</v>
      </c>
      <c r="BH52" s="76">
        <f t="shared" si="11"/>
        <v>0</v>
      </c>
      <c r="BJ52" s="76">
        <f t="shared" si="12"/>
        <v>-871644.37</v>
      </c>
      <c r="BL52" s="39">
        <f t="shared" si="5"/>
        <v>0</v>
      </c>
      <c r="BM52" s="3"/>
      <c r="BN52" s="3"/>
      <c r="BO52" s="3"/>
    </row>
    <row r="53" spans="1:67" x14ac:dyDescent="0.2">
      <c r="A53" s="14"/>
      <c r="B53" s="3" t="s">
        <v>280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>
        <f t="shared" si="7"/>
        <v>0</v>
      </c>
      <c r="BA53" s="5"/>
      <c r="BB53" s="76">
        <f t="shared" si="8"/>
        <v>0</v>
      </c>
      <c r="BC53" s="37"/>
      <c r="BD53" s="76">
        <f t="shared" si="9"/>
        <v>0</v>
      </c>
      <c r="BE53" s="37"/>
      <c r="BF53" s="76">
        <f t="shared" si="10"/>
        <v>0</v>
      </c>
      <c r="BH53" s="76">
        <f t="shared" si="11"/>
        <v>0</v>
      </c>
      <c r="BJ53" s="76">
        <f t="shared" si="12"/>
        <v>0</v>
      </c>
      <c r="BL53" s="39">
        <f t="shared" si="5"/>
        <v>0</v>
      </c>
      <c r="BM53" s="3"/>
      <c r="BN53" s="3"/>
      <c r="BO53" s="3"/>
    </row>
    <row r="54" spans="1:67" x14ac:dyDescent="0.2">
      <c r="A54" s="14"/>
      <c r="B54" s="3" t="s">
        <v>281</v>
      </c>
      <c r="C54" s="15"/>
      <c r="D54" s="15"/>
      <c r="E54" s="15">
        <v>-309281.21999999997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>
        <f>49990.76+25261.52+1599.93+32802.17</f>
        <v>109654.37999999999</v>
      </c>
      <c r="T54" s="15"/>
      <c r="U54" s="15"/>
      <c r="V54" s="15"/>
      <c r="W54" s="15">
        <v>-56598.99</v>
      </c>
      <c r="X54" s="15"/>
      <c r="Y54" s="15"/>
      <c r="Z54" s="15"/>
      <c r="AA54" s="15"/>
      <c r="AB54" s="15"/>
      <c r="AC54" s="15">
        <v>-80515.649999999994</v>
      </c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>
        <f t="shared" si="7"/>
        <v>-336741.48</v>
      </c>
      <c r="BA54" s="5"/>
      <c r="BB54" s="76">
        <f t="shared" si="8"/>
        <v>0</v>
      </c>
      <c r="BC54" s="37"/>
      <c r="BD54" s="76">
        <f t="shared" si="9"/>
        <v>0</v>
      </c>
      <c r="BE54" s="37"/>
      <c r="BF54" s="76">
        <f t="shared" si="10"/>
        <v>-336741.48</v>
      </c>
      <c r="BH54" s="76">
        <f t="shared" si="11"/>
        <v>0</v>
      </c>
      <c r="BJ54" s="76">
        <f t="shared" si="12"/>
        <v>-336741.48</v>
      </c>
      <c r="BL54" s="39">
        <f t="shared" si="5"/>
        <v>0</v>
      </c>
      <c r="BM54" s="3"/>
      <c r="BN54" s="3"/>
      <c r="BO54" s="3"/>
    </row>
    <row r="55" spans="1:67" x14ac:dyDescent="0.2">
      <c r="A55" s="14"/>
      <c r="B55" s="3" t="s">
        <v>282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>
        <f t="shared" si="7"/>
        <v>0</v>
      </c>
      <c r="BA55" s="5"/>
      <c r="BB55" s="76">
        <f t="shared" si="8"/>
        <v>0</v>
      </c>
      <c r="BC55" s="37"/>
      <c r="BD55" s="76">
        <f t="shared" si="9"/>
        <v>0</v>
      </c>
      <c r="BE55" s="37"/>
      <c r="BF55" s="76">
        <f t="shared" si="10"/>
        <v>0</v>
      </c>
      <c r="BH55" s="76">
        <f t="shared" si="11"/>
        <v>0</v>
      </c>
      <c r="BJ55" s="76">
        <f t="shared" si="12"/>
        <v>0</v>
      </c>
      <c r="BL55" s="39">
        <f t="shared" si="5"/>
        <v>0</v>
      </c>
      <c r="BM55" s="3"/>
      <c r="BN55" s="3"/>
      <c r="BO55" s="3"/>
    </row>
    <row r="56" spans="1:67" x14ac:dyDescent="0.2">
      <c r="A56" s="14"/>
      <c r="B56" s="3" t="s">
        <v>283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>
        <f t="shared" si="7"/>
        <v>0</v>
      </c>
      <c r="BA56" s="5"/>
      <c r="BB56" s="76">
        <f t="shared" si="8"/>
        <v>0</v>
      </c>
      <c r="BC56" s="37"/>
      <c r="BD56" s="76">
        <f t="shared" si="9"/>
        <v>0</v>
      </c>
      <c r="BE56" s="37"/>
      <c r="BF56" s="76">
        <f t="shared" si="10"/>
        <v>0</v>
      </c>
      <c r="BH56" s="76">
        <f t="shared" si="11"/>
        <v>0</v>
      </c>
      <c r="BJ56" s="76">
        <f t="shared" si="12"/>
        <v>0</v>
      </c>
      <c r="BL56" s="39">
        <f t="shared" si="5"/>
        <v>0</v>
      </c>
      <c r="BM56" s="3"/>
      <c r="BN56" s="3"/>
      <c r="BO56" s="3"/>
    </row>
    <row r="57" spans="1:67" x14ac:dyDescent="0.2">
      <c r="A57" s="14"/>
      <c r="B57" s="3" t="s">
        <v>284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>
        <v>578380.64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>
        <f t="shared" si="7"/>
        <v>578380.64</v>
      </c>
      <c r="BA57" s="5"/>
      <c r="BB57" s="76">
        <f t="shared" si="8"/>
        <v>0</v>
      </c>
      <c r="BC57" s="37"/>
      <c r="BD57" s="76">
        <f t="shared" si="9"/>
        <v>0</v>
      </c>
      <c r="BE57" s="37"/>
      <c r="BF57" s="76">
        <f t="shared" si="10"/>
        <v>578380.64</v>
      </c>
      <c r="BH57" s="76">
        <f t="shared" si="11"/>
        <v>0</v>
      </c>
      <c r="BJ57" s="76">
        <f t="shared" si="12"/>
        <v>578380.64</v>
      </c>
      <c r="BL57" s="39">
        <f t="shared" si="5"/>
        <v>0</v>
      </c>
      <c r="BM57" s="3"/>
      <c r="BN57" s="3"/>
      <c r="BO57" s="3"/>
    </row>
    <row r="58" spans="1:67" x14ac:dyDescent="0.2">
      <c r="A58" s="14"/>
      <c r="B58" s="3" t="s">
        <v>285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>
        <f t="shared" si="7"/>
        <v>0</v>
      </c>
      <c r="BA58" s="5"/>
      <c r="BB58" s="76">
        <f t="shared" si="8"/>
        <v>0</v>
      </c>
      <c r="BC58" s="37"/>
      <c r="BD58" s="76">
        <f t="shared" si="9"/>
        <v>0</v>
      </c>
      <c r="BE58" s="37"/>
      <c r="BF58" s="76">
        <f t="shared" si="10"/>
        <v>0</v>
      </c>
      <c r="BH58" s="76">
        <f t="shared" si="11"/>
        <v>0</v>
      </c>
      <c r="BJ58" s="76">
        <f t="shared" si="12"/>
        <v>0</v>
      </c>
      <c r="BL58" s="39">
        <f t="shared" si="5"/>
        <v>0</v>
      </c>
      <c r="BM58" s="3"/>
      <c r="BN58" s="3"/>
      <c r="BO58" s="3"/>
    </row>
    <row r="59" spans="1:67" x14ac:dyDescent="0.2">
      <c r="A59" s="14"/>
      <c r="B59" s="3" t="s">
        <v>286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>
        <f t="shared" si="7"/>
        <v>0</v>
      </c>
      <c r="BA59" s="5"/>
      <c r="BB59" s="76">
        <f t="shared" si="8"/>
        <v>0</v>
      </c>
      <c r="BC59" s="37"/>
      <c r="BD59" s="76">
        <f t="shared" si="9"/>
        <v>0</v>
      </c>
      <c r="BE59" s="37"/>
      <c r="BF59" s="76">
        <f t="shared" si="10"/>
        <v>0</v>
      </c>
      <c r="BH59" s="76">
        <f t="shared" si="11"/>
        <v>0</v>
      </c>
      <c r="BJ59" s="76">
        <f t="shared" si="12"/>
        <v>0</v>
      </c>
      <c r="BL59" s="39">
        <f t="shared" si="5"/>
        <v>0</v>
      </c>
      <c r="BM59" s="3"/>
      <c r="BN59" s="3"/>
      <c r="BO59" s="3"/>
    </row>
    <row r="60" spans="1:67" outlineLevel="1" x14ac:dyDescent="0.2">
      <c r="A60" s="14"/>
      <c r="B60" s="3" t="s">
        <v>287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>
        <f t="shared" si="7"/>
        <v>0</v>
      </c>
      <c r="BA60" s="5"/>
      <c r="BB60" s="76">
        <f t="shared" si="8"/>
        <v>0</v>
      </c>
      <c r="BC60" s="37"/>
      <c r="BD60" s="76">
        <f t="shared" si="9"/>
        <v>0</v>
      </c>
      <c r="BE60" s="37"/>
      <c r="BF60" s="76">
        <f t="shared" si="10"/>
        <v>0</v>
      </c>
      <c r="BH60" s="76">
        <f t="shared" si="11"/>
        <v>0</v>
      </c>
      <c r="BJ60" s="76">
        <f t="shared" si="12"/>
        <v>0</v>
      </c>
      <c r="BL60" s="39">
        <f t="shared" si="5"/>
        <v>0</v>
      </c>
      <c r="BM60" s="3"/>
      <c r="BN60" s="3"/>
      <c r="BO60" s="3"/>
    </row>
    <row r="61" spans="1:67" outlineLevel="1" x14ac:dyDescent="0.2">
      <c r="A61" s="14"/>
      <c r="B61" s="3" t="s">
        <v>288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>
        <f t="shared" si="7"/>
        <v>0</v>
      </c>
      <c r="BA61" s="5"/>
      <c r="BB61" s="76">
        <f t="shared" si="8"/>
        <v>0</v>
      </c>
      <c r="BC61" s="37"/>
      <c r="BD61" s="76">
        <f t="shared" si="9"/>
        <v>0</v>
      </c>
      <c r="BE61" s="37"/>
      <c r="BF61" s="76">
        <f t="shared" si="10"/>
        <v>0</v>
      </c>
      <c r="BH61" s="76">
        <f t="shared" si="11"/>
        <v>0</v>
      </c>
      <c r="BJ61" s="76">
        <f t="shared" si="12"/>
        <v>0</v>
      </c>
      <c r="BL61" s="39">
        <f t="shared" si="5"/>
        <v>0</v>
      </c>
      <c r="BM61" s="3"/>
      <c r="BN61" s="3"/>
      <c r="BO61" s="3"/>
    </row>
    <row r="62" spans="1:67" x14ac:dyDescent="0.2">
      <c r="A62" s="14"/>
      <c r="B62" s="3" t="s">
        <v>289</v>
      </c>
      <c r="C62" s="15">
        <f>SUM(C60:C61)</f>
        <v>0</v>
      </c>
      <c r="D62" s="15"/>
      <c r="E62" s="15">
        <f>SUM(E60:E61)</f>
        <v>0</v>
      </c>
      <c r="F62" s="15"/>
      <c r="G62" s="15">
        <f>SUM(G60:G61)</f>
        <v>0</v>
      </c>
      <c r="H62" s="15"/>
      <c r="I62" s="15">
        <f>SUM(I60:I61)</f>
        <v>0</v>
      </c>
      <c r="J62" s="15"/>
      <c r="K62" s="15">
        <f>SUM(K60:K61)</f>
        <v>0</v>
      </c>
      <c r="L62" s="15"/>
      <c r="M62" s="15">
        <f>SUM(M60:M61)</f>
        <v>0</v>
      </c>
      <c r="N62" s="15"/>
      <c r="O62" s="15">
        <f>SUM(O60:O61)</f>
        <v>0</v>
      </c>
      <c r="P62" s="15"/>
      <c r="Q62" s="15">
        <f>SUM(Q60:Q61)</f>
        <v>0</v>
      </c>
      <c r="R62" s="15"/>
      <c r="S62" s="15">
        <f>SUM(S60:S61)</f>
        <v>0</v>
      </c>
      <c r="T62" s="15"/>
      <c r="U62" s="15">
        <f>SUM(U60:U61)</f>
        <v>0</v>
      </c>
      <c r="V62" s="15"/>
      <c r="W62" s="15">
        <f>SUM(W60:W61)</f>
        <v>0</v>
      </c>
      <c r="X62" s="15"/>
      <c r="Y62" s="15">
        <f>SUM(Y60:Y61)</f>
        <v>0</v>
      </c>
      <c r="Z62" s="15"/>
      <c r="AA62" s="15">
        <f>SUM(AA60:AA61)</f>
        <v>0</v>
      </c>
      <c r="AB62" s="15"/>
      <c r="AC62" s="15">
        <f>SUM(AC60:AC61)</f>
        <v>0</v>
      </c>
      <c r="AD62" s="15"/>
      <c r="AE62" s="15">
        <f>SUM(AE60:AE61)</f>
        <v>0</v>
      </c>
      <c r="AF62" s="15"/>
      <c r="AG62" s="15">
        <f>SUM(AG60:AG61)</f>
        <v>0</v>
      </c>
      <c r="AH62" s="15"/>
      <c r="AI62" s="15">
        <f>SUM(AI60:AI61)</f>
        <v>0</v>
      </c>
      <c r="AJ62" s="15"/>
      <c r="AK62" s="15">
        <f>SUM(AK60:AK61)</f>
        <v>0</v>
      </c>
      <c r="AL62" s="15"/>
      <c r="AM62" s="15">
        <f>SUM(AM60:AM61)</f>
        <v>0</v>
      </c>
      <c r="AN62" s="15"/>
      <c r="AO62" s="15">
        <f>SUM(AO60:AO61)</f>
        <v>0</v>
      </c>
      <c r="AP62" s="15"/>
      <c r="AQ62" s="15">
        <f>SUM(AQ60:AQ61)</f>
        <v>0</v>
      </c>
      <c r="AR62" s="15"/>
      <c r="AS62" s="15">
        <f>SUM(AS60:AS61)</f>
        <v>0</v>
      </c>
      <c r="AT62" s="15">
        <f>SUM(AT60:AT61)</f>
        <v>0</v>
      </c>
      <c r="AU62" s="15"/>
      <c r="AV62" s="15">
        <f>SUM(AV60:AV61)</f>
        <v>0</v>
      </c>
      <c r="AW62" s="15"/>
      <c r="AX62" s="15">
        <f>SUM(AX60:AX61)</f>
        <v>0</v>
      </c>
      <c r="AY62" s="15"/>
      <c r="AZ62" s="15">
        <f t="shared" si="7"/>
        <v>0</v>
      </c>
      <c r="BA62" s="5"/>
      <c r="BB62" s="76">
        <f t="shared" si="8"/>
        <v>0</v>
      </c>
      <c r="BC62" s="37"/>
      <c r="BD62" s="76">
        <f t="shared" si="9"/>
        <v>0</v>
      </c>
      <c r="BE62" s="37"/>
      <c r="BF62" s="76">
        <f t="shared" si="10"/>
        <v>0</v>
      </c>
      <c r="BH62" s="76">
        <f t="shared" si="11"/>
        <v>0</v>
      </c>
      <c r="BJ62" s="76">
        <f t="shared" si="12"/>
        <v>0</v>
      </c>
      <c r="BL62" s="39">
        <f t="shared" si="5"/>
        <v>0</v>
      </c>
      <c r="BM62" s="3"/>
      <c r="BN62" s="3"/>
      <c r="BO62" s="3"/>
    </row>
    <row r="63" spans="1:67" x14ac:dyDescent="0.2">
      <c r="A63" s="14"/>
      <c r="B63" s="3" t="s">
        <v>290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>
        <f t="shared" si="7"/>
        <v>0</v>
      </c>
      <c r="BA63" s="5"/>
      <c r="BB63" s="76">
        <f t="shared" si="8"/>
        <v>0</v>
      </c>
      <c r="BC63" s="37"/>
      <c r="BD63" s="76">
        <f t="shared" si="9"/>
        <v>0</v>
      </c>
      <c r="BE63" s="37"/>
      <c r="BF63" s="76">
        <f t="shared" si="10"/>
        <v>0</v>
      </c>
      <c r="BH63" s="76">
        <f t="shared" si="11"/>
        <v>0</v>
      </c>
      <c r="BJ63" s="76">
        <f t="shared" si="12"/>
        <v>0</v>
      </c>
      <c r="BL63" s="39">
        <f t="shared" si="5"/>
        <v>0</v>
      </c>
      <c r="BM63" s="3"/>
      <c r="BN63" s="3"/>
      <c r="BO63" s="3"/>
    </row>
    <row r="64" spans="1:67" outlineLevel="1" x14ac:dyDescent="0.2">
      <c r="A64" s="14"/>
      <c r="B64" s="3" t="s">
        <v>291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>
        <f t="shared" si="7"/>
        <v>0</v>
      </c>
      <c r="BA64" s="5"/>
      <c r="BB64" s="76">
        <f t="shared" si="8"/>
        <v>0</v>
      </c>
      <c r="BC64" s="37"/>
      <c r="BD64" s="76">
        <f t="shared" si="9"/>
        <v>0</v>
      </c>
      <c r="BE64" s="37"/>
      <c r="BF64" s="76">
        <f t="shared" si="10"/>
        <v>0</v>
      </c>
      <c r="BH64" s="76">
        <f t="shared" si="11"/>
        <v>0</v>
      </c>
      <c r="BJ64" s="76">
        <f t="shared" si="12"/>
        <v>0</v>
      </c>
      <c r="BL64" s="39">
        <f t="shared" si="5"/>
        <v>0</v>
      </c>
      <c r="BM64" s="3"/>
      <c r="BN64" s="3"/>
      <c r="BO64" s="3"/>
    </row>
    <row r="65" spans="1:67" outlineLevel="1" x14ac:dyDescent="0.2">
      <c r="A65" s="14"/>
      <c r="B65" s="3" t="s">
        <v>292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f t="shared" si="7"/>
        <v>0</v>
      </c>
      <c r="BA65" s="5"/>
      <c r="BB65" s="76">
        <f t="shared" si="8"/>
        <v>0</v>
      </c>
      <c r="BC65" s="37"/>
      <c r="BD65" s="76">
        <f t="shared" si="9"/>
        <v>0</v>
      </c>
      <c r="BE65" s="37"/>
      <c r="BF65" s="76">
        <f t="shared" si="10"/>
        <v>0</v>
      </c>
      <c r="BH65" s="76">
        <f t="shared" si="11"/>
        <v>0</v>
      </c>
      <c r="BJ65" s="76">
        <f t="shared" si="12"/>
        <v>0</v>
      </c>
      <c r="BL65" s="39">
        <f t="shared" si="5"/>
        <v>0</v>
      </c>
      <c r="BM65" s="3"/>
      <c r="BN65" s="3"/>
      <c r="BO65" s="3"/>
    </row>
    <row r="66" spans="1:67" outlineLevel="1" x14ac:dyDescent="0.2">
      <c r="A66" s="14"/>
      <c r="B66" s="3" t="s">
        <v>293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>
        <f t="shared" si="7"/>
        <v>0</v>
      </c>
      <c r="BA66" s="5"/>
      <c r="BB66" s="76">
        <f t="shared" si="8"/>
        <v>0</v>
      </c>
      <c r="BC66" s="37"/>
      <c r="BD66" s="76">
        <f t="shared" si="9"/>
        <v>0</v>
      </c>
      <c r="BE66" s="37"/>
      <c r="BF66" s="76">
        <f t="shared" si="10"/>
        <v>0</v>
      </c>
      <c r="BH66" s="76">
        <f t="shared" si="11"/>
        <v>0</v>
      </c>
      <c r="BJ66" s="76">
        <f t="shared" si="12"/>
        <v>0</v>
      </c>
      <c r="BL66" s="39">
        <f t="shared" si="5"/>
        <v>0</v>
      </c>
      <c r="BM66" s="3"/>
      <c r="BN66" s="3"/>
      <c r="BO66" s="3"/>
    </row>
    <row r="67" spans="1:67" x14ac:dyDescent="0.2">
      <c r="A67" s="14"/>
      <c r="B67" s="3" t="s">
        <v>294</v>
      </c>
      <c r="C67" s="15">
        <f>SUM(C64:C66)</f>
        <v>0</v>
      </c>
      <c r="D67" s="15"/>
      <c r="E67" s="109">
        <f>SUM(E64:E66)</f>
        <v>0</v>
      </c>
      <c r="F67" s="15"/>
      <c r="G67" s="109">
        <f>SUM(G64:G66)</f>
        <v>0</v>
      </c>
      <c r="H67" s="15"/>
      <c r="I67" s="109">
        <f>SUM(I64:I66)</f>
        <v>0</v>
      </c>
      <c r="J67" s="15"/>
      <c r="K67" s="109">
        <f>SUM(K64:K66)</f>
        <v>0</v>
      </c>
      <c r="L67" s="15"/>
      <c r="M67" s="109">
        <f>SUM(M64:M66)</f>
        <v>0</v>
      </c>
      <c r="N67" s="15"/>
      <c r="O67" s="109">
        <f>SUM(O64:O66)</f>
        <v>0</v>
      </c>
      <c r="P67" s="15"/>
      <c r="Q67" s="109">
        <f>SUM(Q64:Q66)</f>
        <v>0</v>
      </c>
      <c r="R67" s="15"/>
      <c r="S67" s="109">
        <f>SUM(S64:S66)</f>
        <v>0</v>
      </c>
      <c r="T67" s="109"/>
      <c r="U67" s="109">
        <f>SUM(U64:U66)</f>
        <v>0</v>
      </c>
      <c r="V67" s="109"/>
      <c r="W67" s="109">
        <f>SUM(W64:W66)</f>
        <v>0</v>
      </c>
      <c r="X67" s="15"/>
      <c r="Y67" s="109">
        <f>SUM(Y64:Y66)</f>
        <v>0</v>
      </c>
      <c r="Z67" s="15"/>
      <c r="AA67" s="109">
        <f>SUM(AA64:AA66)</f>
        <v>0</v>
      </c>
      <c r="AB67" s="15"/>
      <c r="AC67" s="109">
        <f>SUM(AC64:AC66)</f>
        <v>0</v>
      </c>
      <c r="AD67" s="15"/>
      <c r="AE67" s="109">
        <f>SUM(AE64:AE66)</f>
        <v>0</v>
      </c>
      <c r="AF67" s="15"/>
      <c r="AG67" s="109">
        <f>SUM(AG64:AG66)</f>
        <v>0</v>
      </c>
      <c r="AH67" s="15"/>
      <c r="AI67" s="109">
        <f>SUM(AI64:AI66)</f>
        <v>0</v>
      </c>
      <c r="AJ67" s="15"/>
      <c r="AK67" s="109">
        <f>SUM(AK64:AK66)</f>
        <v>0</v>
      </c>
      <c r="AL67" s="109"/>
      <c r="AM67" s="109">
        <f>SUM(AM64:AM66)</f>
        <v>0</v>
      </c>
      <c r="AN67" s="109"/>
      <c r="AO67" s="109">
        <f>SUM(AO64:AO66)</f>
        <v>0</v>
      </c>
      <c r="AP67" s="109"/>
      <c r="AQ67" s="109">
        <f>SUM(AQ64:AQ66)</f>
        <v>0</v>
      </c>
      <c r="AR67" s="109"/>
      <c r="AS67" s="109">
        <f>SUM(AS64:AS66)</f>
        <v>0</v>
      </c>
      <c r="AT67" s="109">
        <f>SUM(AT64:AT66)</f>
        <v>0</v>
      </c>
      <c r="AU67" s="109"/>
      <c r="AV67" s="109">
        <f>SUM(AV64:AV66)</f>
        <v>0</v>
      </c>
      <c r="AW67" s="109"/>
      <c r="AX67" s="109">
        <f>SUM(AX64:AX66)</f>
        <v>0</v>
      </c>
      <c r="AY67" s="109"/>
      <c r="AZ67" s="15">
        <f t="shared" si="7"/>
        <v>0</v>
      </c>
      <c r="BA67" s="5"/>
      <c r="BB67" s="76">
        <f t="shared" si="8"/>
        <v>0</v>
      </c>
      <c r="BC67" s="37"/>
      <c r="BD67" s="76">
        <f t="shared" si="9"/>
        <v>0</v>
      </c>
      <c r="BE67" s="37"/>
      <c r="BF67" s="76">
        <f t="shared" si="10"/>
        <v>0</v>
      </c>
      <c r="BH67" s="76">
        <f t="shared" si="11"/>
        <v>0</v>
      </c>
      <c r="BJ67" s="76">
        <f t="shared" si="12"/>
        <v>0</v>
      </c>
      <c r="BL67" s="39">
        <f t="shared" si="5"/>
        <v>0</v>
      </c>
      <c r="BM67" s="3"/>
      <c r="BN67" s="3"/>
      <c r="BO67" s="3"/>
    </row>
    <row r="68" spans="1:67" outlineLevel="1" x14ac:dyDescent="0.2">
      <c r="A68" s="14"/>
      <c r="B68" s="3" t="s">
        <v>295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>
        <v>0</v>
      </c>
      <c r="AH68" s="15"/>
      <c r="AI68" s="15"/>
      <c r="AJ68" s="15"/>
      <c r="AK68" s="15"/>
      <c r="AL68" s="15"/>
      <c r="AM68" s="15"/>
      <c r="AN68" s="15"/>
      <c r="AO68" s="15"/>
      <c r="AP68" s="15"/>
      <c r="AQ68" s="15">
        <v>91610</v>
      </c>
      <c r="AR68" s="15"/>
      <c r="AS68" s="15">
        <v>-94876.26</v>
      </c>
      <c r="AT68" s="15"/>
      <c r="AU68" s="15"/>
      <c r="AV68" s="15"/>
      <c r="AW68" s="15"/>
      <c r="AX68" s="15"/>
      <c r="AY68" s="15"/>
      <c r="AZ68" s="15">
        <f t="shared" si="7"/>
        <v>-3266.2599999999948</v>
      </c>
      <c r="BA68" s="5"/>
      <c r="BB68" s="76">
        <f t="shared" si="8"/>
        <v>91610</v>
      </c>
      <c r="BC68" s="37"/>
      <c r="BD68" s="76">
        <f t="shared" si="9"/>
        <v>-94876.26</v>
      </c>
      <c r="BE68" s="37"/>
      <c r="BF68" s="76">
        <f t="shared" si="10"/>
        <v>0</v>
      </c>
      <c r="BH68" s="76">
        <f t="shared" si="11"/>
        <v>0</v>
      </c>
      <c r="BJ68" s="76">
        <f t="shared" si="12"/>
        <v>-3266.2599999999948</v>
      </c>
      <c r="BL68" s="39">
        <f t="shared" si="5"/>
        <v>0</v>
      </c>
      <c r="BM68" s="3"/>
      <c r="BN68" s="3"/>
      <c r="BO68" s="3"/>
    </row>
    <row r="69" spans="1:67" outlineLevel="1" x14ac:dyDescent="0.2">
      <c r="A69" s="14"/>
      <c r="B69" s="124" t="s">
        <v>296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X69" s="15"/>
      <c r="Z69" s="15"/>
      <c r="AB69" s="15"/>
      <c r="AD69" s="15"/>
      <c r="AE69" s="15"/>
      <c r="AF69" s="15"/>
      <c r="AG69" s="15">
        <v>0</v>
      </c>
      <c r="AH69" s="15"/>
      <c r="AI69" s="15">
        <v>0</v>
      </c>
      <c r="AJ69" s="15"/>
      <c r="AK69" s="15"/>
      <c r="AL69" s="15"/>
      <c r="AM69" s="15"/>
      <c r="AN69" s="15"/>
      <c r="AO69" s="15"/>
      <c r="AP69" s="15"/>
      <c r="AQ69" s="15"/>
      <c r="AR69" s="15"/>
      <c r="AS69" s="15">
        <v>-77731.460000000006</v>
      </c>
      <c r="AT69" s="15"/>
      <c r="AU69" s="15"/>
      <c r="AV69" s="15"/>
      <c r="AW69" s="15"/>
      <c r="AX69" s="15"/>
      <c r="AY69" s="15"/>
      <c r="AZ69" s="15">
        <f t="shared" si="7"/>
        <v>-77731.460000000006</v>
      </c>
      <c r="BA69" s="5"/>
      <c r="BB69" s="76">
        <f t="shared" si="8"/>
        <v>0</v>
      </c>
      <c r="BC69" s="37"/>
      <c r="BD69" s="76">
        <f t="shared" si="9"/>
        <v>-77731.460000000006</v>
      </c>
      <c r="BE69" s="37"/>
      <c r="BF69" s="76">
        <f t="shared" si="10"/>
        <v>0</v>
      </c>
      <c r="BH69" s="76">
        <f t="shared" si="11"/>
        <v>0</v>
      </c>
      <c r="BJ69" s="76">
        <f t="shared" si="12"/>
        <v>-77731.460000000006</v>
      </c>
      <c r="BL69" s="39">
        <f t="shared" si="5"/>
        <v>0</v>
      </c>
      <c r="BM69" s="3"/>
      <c r="BN69" s="3"/>
      <c r="BO69" s="3"/>
    </row>
    <row r="70" spans="1:67" x14ac:dyDescent="0.2">
      <c r="A70" s="14"/>
      <c r="B70" s="124" t="s">
        <v>297</v>
      </c>
      <c r="C70" s="15">
        <f>SUM(C68:C69)</f>
        <v>0</v>
      </c>
      <c r="D70" s="15"/>
      <c r="E70" s="15">
        <f>SUM(E68:E69)</f>
        <v>0</v>
      </c>
      <c r="F70" s="15"/>
      <c r="G70" s="15">
        <f>SUM(G68:G69)</f>
        <v>0</v>
      </c>
      <c r="H70" s="15"/>
      <c r="I70" s="15">
        <f>SUM(I68:I69)</f>
        <v>0</v>
      </c>
      <c r="J70" s="15"/>
      <c r="K70" s="15">
        <f>SUM(K68:K69)</f>
        <v>0</v>
      </c>
      <c r="L70" s="15"/>
      <c r="M70" s="15">
        <f>SUM(M68:M69)</f>
        <v>0</v>
      </c>
      <c r="N70" s="15"/>
      <c r="O70" s="15">
        <f>SUM(O68:O69)</f>
        <v>0</v>
      </c>
      <c r="P70" s="15"/>
      <c r="Q70" s="15">
        <f>SUM(Q68:Q69)</f>
        <v>0</v>
      </c>
      <c r="R70" s="15"/>
      <c r="S70" s="15">
        <f>SUM(S68:S69)</f>
        <v>0</v>
      </c>
      <c r="T70" s="15"/>
      <c r="U70" s="15">
        <f>SUM(U68:U69)</f>
        <v>0</v>
      </c>
      <c r="V70" s="15"/>
      <c r="W70" s="15"/>
      <c r="X70" s="15"/>
      <c r="Y70" s="15"/>
      <c r="Z70" s="15"/>
      <c r="AA70" s="15"/>
      <c r="AB70" s="15"/>
      <c r="AC70" s="15"/>
      <c r="AD70" s="15"/>
      <c r="AE70" s="15">
        <f>SUM(AE68:AE69)</f>
        <v>0</v>
      </c>
      <c r="AF70" s="15"/>
      <c r="AG70" s="15">
        <f>SUM(AG68:AG69)</f>
        <v>0</v>
      </c>
      <c r="AH70" s="15"/>
      <c r="AI70" s="15">
        <f>SUM(AI68:AI69)</f>
        <v>0</v>
      </c>
      <c r="AJ70" s="15"/>
      <c r="AK70" s="15">
        <f>SUM(AK68:AK69)</f>
        <v>0</v>
      </c>
      <c r="AL70" s="15"/>
      <c r="AM70" s="15">
        <f>SUM(AM68:AM69)</f>
        <v>0</v>
      </c>
      <c r="AN70" s="15"/>
      <c r="AO70" s="15">
        <f>SUM(AO68:AO69)</f>
        <v>0</v>
      </c>
      <c r="AP70" s="15"/>
      <c r="AQ70" s="15">
        <f>SUM(AQ68:AQ69)</f>
        <v>91610</v>
      </c>
      <c r="AR70" s="15"/>
      <c r="AS70" s="15">
        <f>SUM(AS68:AS69)</f>
        <v>-172607.72</v>
      </c>
      <c r="AT70" s="15">
        <f>SUM(AT68:AT69)</f>
        <v>0</v>
      </c>
      <c r="AU70" s="15"/>
      <c r="AV70" s="15">
        <f>SUM(AV68:AV69)</f>
        <v>0</v>
      </c>
      <c r="AW70" s="15"/>
      <c r="AX70" s="15">
        <f>SUM(AX68:AX69)</f>
        <v>0</v>
      </c>
      <c r="AY70" s="15"/>
      <c r="AZ70" s="15">
        <f t="shared" si="7"/>
        <v>-80997.72</v>
      </c>
      <c r="BA70" s="5"/>
      <c r="BB70" s="76">
        <f t="shared" si="8"/>
        <v>91610</v>
      </c>
      <c r="BC70" s="37"/>
      <c r="BD70" s="76">
        <f t="shared" si="9"/>
        <v>-172607.72</v>
      </c>
      <c r="BE70" s="37"/>
      <c r="BF70" s="76">
        <f t="shared" si="10"/>
        <v>0</v>
      </c>
      <c r="BH70" s="76">
        <f t="shared" si="11"/>
        <v>0</v>
      </c>
      <c r="BJ70" s="76">
        <f t="shared" si="12"/>
        <v>-80997.72</v>
      </c>
      <c r="BL70" s="39">
        <f t="shared" si="5"/>
        <v>0</v>
      </c>
      <c r="BM70" s="3"/>
      <c r="BN70" s="3"/>
      <c r="BO70" s="3"/>
    </row>
    <row r="71" spans="1:67" x14ac:dyDescent="0.2">
      <c r="A71" s="14"/>
      <c r="B71" s="10" t="s">
        <v>298</v>
      </c>
      <c r="C71" s="20">
        <f>C70+C67+C63+C62+SUM(C52:C59)</f>
        <v>0</v>
      </c>
      <c r="D71" s="15"/>
      <c r="E71" s="20">
        <f>E70+E67+E63+E62+SUM(E52:E59)</f>
        <v>-309281.21999999997</v>
      </c>
      <c r="F71" s="15"/>
      <c r="G71" s="20">
        <f>G70+G67+G63+G62+SUM(G52:G59)</f>
        <v>0</v>
      </c>
      <c r="H71" s="15"/>
      <c r="I71" s="20">
        <f>I70+I67+I63+I62+SUM(I52:I59)</f>
        <v>0</v>
      </c>
      <c r="J71" s="15"/>
      <c r="K71" s="20">
        <f>K70+K67+K63+K62+SUM(K52:K59)</f>
        <v>0</v>
      </c>
      <c r="L71" s="15"/>
      <c r="M71" s="20">
        <f>M70+M67+M63+M62+SUM(M52:M59)</f>
        <v>0</v>
      </c>
      <c r="N71" s="15"/>
      <c r="O71" s="20">
        <f>O70+O67+O63+O62+SUM(O52:O59)</f>
        <v>0</v>
      </c>
      <c r="P71" s="15"/>
      <c r="Q71" s="20">
        <f>Q70+Q67+Q63+Q62+SUM(Q52:Q59)</f>
        <v>0</v>
      </c>
      <c r="R71" s="15"/>
      <c r="S71" s="20">
        <f>S70+S67+S63+S62+SUM(S52:S59)</f>
        <v>688035.02</v>
      </c>
      <c r="T71" s="20"/>
      <c r="U71" s="20">
        <f>U70+U67+U63+U62+SUM(U52:U59)</f>
        <v>0</v>
      </c>
      <c r="V71" s="20"/>
      <c r="W71" s="20">
        <f>W70+W67+W63+W62+SUM(W52:W59)</f>
        <v>-56598.99</v>
      </c>
      <c r="X71" s="15"/>
      <c r="Y71" s="20">
        <f>Y70+Y67+Y63+Y62+SUM(Y52:Y59)</f>
        <v>0</v>
      </c>
      <c r="Z71" s="15"/>
      <c r="AA71" s="20">
        <f>AA70+AA67+AA63+AA62+SUM(AA52:AA59)</f>
        <v>-871644.37</v>
      </c>
      <c r="AB71" s="15"/>
      <c r="AC71" s="20">
        <f>AC70+AC67+AC63+AC62+SUM(AC52:AC59)</f>
        <v>-80515.649999999994</v>
      </c>
      <c r="AD71" s="15"/>
      <c r="AE71" s="20">
        <f>AE70+AE67+AE63+AE62+SUM(AE52:AE59)</f>
        <v>0</v>
      </c>
      <c r="AF71" s="15"/>
      <c r="AG71" s="20">
        <f>AG70+AG67+AG63+AG62+SUM(AG52:AG59)</f>
        <v>0</v>
      </c>
      <c r="AH71" s="15"/>
      <c r="AI71" s="20">
        <f>AI70+AI67+AI63+AI62+SUM(AI52:AI59)</f>
        <v>0</v>
      </c>
      <c r="AJ71" s="15"/>
      <c r="AK71" s="20">
        <f>AK70+AK67+AK63+AK62+SUM(AK52:AK59)</f>
        <v>0</v>
      </c>
      <c r="AL71" s="20"/>
      <c r="AM71" s="20">
        <f>AM70+AM67+AM63+AM62+SUM(AM52:AM59)</f>
        <v>0</v>
      </c>
      <c r="AN71" s="20"/>
      <c r="AO71" s="20">
        <f>AO70+AO67+AO63+AO62+SUM(AO52:AO59)</f>
        <v>0</v>
      </c>
      <c r="AP71" s="20"/>
      <c r="AQ71" s="20">
        <f>AQ70+AQ67+AQ63+AQ62+SUM(AQ52:AQ59)</f>
        <v>91610</v>
      </c>
      <c r="AR71" s="20"/>
      <c r="AS71" s="20">
        <f>AS70+AS67+AS63+AS62+SUM(AS52:AS59)</f>
        <v>-172607.72</v>
      </c>
      <c r="AT71" s="20">
        <f>AT70+AT67+AT63+AT62+SUM(AT52:AT59)</f>
        <v>0</v>
      </c>
      <c r="AU71" s="20"/>
      <c r="AV71" s="20">
        <f>AV70+AV67+AV63+AV62+SUM(AV52:AV59)</f>
        <v>0</v>
      </c>
      <c r="AW71" s="20"/>
      <c r="AX71" s="20">
        <f>AX70+AX67+AX63+AX62+SUM(AX52:AX59)</f>
        <v>0</v>
      </c>
      <c r="AY71" s="20"/>
      <c r="AZ71" s="20">
        <f>AZ70+AZ67+AZ63+AZ62+SUM(AZ52:AZ59)</f>
        <v>-711002.93</v>
      </c>
      <c r="BA71" s="5"/>
      <c r="BB71" s="114">
        <f>BB70+BB67+BB63+BB62+SUM(BB52:BB59)</f>
        <v>91610</v>
      </c>
      <c r="BC71" s="37"/>
      <c r="BD71" s="114">
        <f>BD70+BD67+BD63+BD62+SUM(BD52:BD59)</f>
        <v>-172607.72</v>
      </c>
      <c r="BE71" s="37"/>
      <c r="BF71" s="114">
        <f>BF70+BF67+BF63+BF62+SUM(BF52:BF59)</f>
        <v>-630005.21000000008</v>
      </c>
      <c r="BH71" s="114">
        <f>BH70+BH67+BH63+BH62+SUM(BH52:BH59)</f>
        <v>0</v>
      </c>
      <c r="BJ71" s="114">
        <f>BJ70+BJ67+BJ63+BJ62+SUM(BJ52:BJ59)</f>
        <v>-711002.93</v>
      </c>
      <c r="BL71" s="39">
        <f t="shared" si="5"/>
        <v>0</v>
      </c>
      <c r="BM71" s="3"/>
      <c r="BN71" s="3"/>
      <c r="BO71" s="3"/>
    </row>
    <row r="72" spans="1:67" x14ac:dyDescent="0.2">
      <c r="A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5"/>
      <c r="BB72" s="76"/>
      <c r="BC72" s="37"/>
      <c r="BD72" s="76"/>
      <c r="BE72" s="37"/>
      <c r="BL72" s="39">
        <f t="shared" si="5"/>
        <v>0</v>
      </c>
      <c r="BM72" s="3"/>
      <c r="BN72" s="3"/>
      <c r="BO72" s="3"/>
    </row>
    <row r="73" spans="1:67" x14ac:dyDescent="0.2">
      <c r="A73" s="14"/>
      <c r="B73" s="10" t="s">
        <v>299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5"/>
      <c r="BB73" s="76"/>
      <c r="BC73" s="37"/>
      <c r="BD73" s="76"/>
      <c r="BE73" s="37"/>
      <c r="BL73" s="39">
        <f t="shared" si="5"/>
        <v>0</v>
      </c>
      <c r="BM73" s="3"/>
      <c r="BN73" s="3"/>
      <c r="BO73" s="3"/>
    </row>
    <row r="74" spans="1:67" outlineLevel="2" x14ac:dyDescent="0.2">
      <c r="A74" s="14"/>
      <c r="B74" s="3" t="s">
        <v>300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>
        <f>SUM(C74:AY74)</f>
        <v>0</v>
      </c>
      <c r="BA74" s="5"/>
      <c r="BB74" s="76">
        <f t="shared" ref="BB74:BB83" si="13">SUMIF($C$10:$AY$10,"=Addition",$C74:$AY74)</f>
        <v>0</v>
      </c>
      <c r="BC74" s="37"/>
      <c r="BD74" s="76">
        <f t="shared" ref="BD74:BD83" si="14">SUMIF($C$10:$AY$10,"=Adjustment",$C74:$AY74)</f>
        <v>0</v>
      </c>
      <c r="BE74" s="37"/>
      <c r="BF74" s="76">
        <f t="shared" ref="BF74:BF83" si="15">SUMIF($C$10:$AY$10,"=Transfer",$C74:$AY74)</f>
        <v>0</v>
      </c>
      <c r="BH74" s="76">
        <f t="shared" ref="BH74:BH83" si="16">SUMIF($C$10:$AY$10,"=N/A",$C74:$AY74)</f>
        <v>0</v>
      </c>
      <c r="BJ74" s="76">
        <f t="shared" ref="BJ74:BJ83" si="17">SUM(BB74:BH74)</f>
        <v>0</v>
      </c>
      <c r="BK74" s="76"/>
      <c r="BL74" s="39"/>
      <c r="BM74" s="3"/>
      <c r="BN74" s="3"/>
      <c r="BO74" s="3"/>
    </row>
    <row r="75" spans="1:67" outlineLevel="2" x14ac:dyDescent="0.2">
      <c r="A75" s="14"/>
      <c r="B75" s="3" t="s">
        <v>301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>
        <f>SUM(C75:AY75)</f>
        <v>0</v>
      </c>
      <c r="BA75" s="5"/>
      <c r="BB75" s="76">
        <f t="shared" si="13"/>
        <v>0</v>
      </c>
      <c r="BC75" s="37"/>
      <c r="BD75" s="76">
        <f t="shared" si="14"/>
        <v>0</v>
      </c>
      <c r="BE75" s="37"/>
      <c r="BF75" s="76">
        <f t="shared" si="15"/>
        <v>0</v>
      </c>
      <c r="BH75" s="76">
        <f t="shared" si="16"/>
        <v>0</v>
      </c>
      <c r="BJ75" s="76">
        <f t="shared" si="17"/>
        <v>0</v>
      </c>
      <c r="BK75" s="76"/>
      <c r="BL75" s="39">
        <f t="shared" si="5"/>
        <v>0</v>
      </c>
      <c r="BM75" s="3"/>
      <c r="BN75" s="3"/>
      <c r="BO75" s="3"/>
    </row>
    <row r="76" spans="1:67" outlineLevel="2" x14ac:dyDescent="0.2">
      <c r="A76" s="14"/>
      <c r="B76" s="3" t="s">
        <v>302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>
        <f>SUM(C76:AY76)</f>
        <v>0</v>
      </c>
      <c r="BA76" s="5"/>
      <c r="BB76" s="76">
        <f t="shared" si="13"/>
        <v>0</v>
      </c>
      <c r="BC76" s="37"/>
      <c r="BD76" s="76">
        <f t="shared" si="14"/>
        <v>0</v>
      </c>
      <c r="BE76" s="37"/>
      <c r="BF76" s="76">
        <f t="shared" si="15"/>
        <v>0</v>
      </c>
      <c r="BH76" s="76">
        <f t="shared" si="16"/>
        <v>0</v>
      </c>
      <c r="BJ76" s="76">
        <f t="shared" si="17"/>
        <v>0</v>
      </c>
      <c r="BK76" s="76"/>
      <c r="BL76" s="39">
        <f t="shared" si="5"/>
        <v>0</v>
      </c>
      <c r="BM76" s="3"/>
      <c r="BN76" s="3"/>
      <c r="BO76" s="3"/>
    </row>
    <row r="77" spans="1:67" x14ac:dyDescent="0.2">
      <c r="A77" s="14"/>
      <c r="B77" s="3" t="s">
        <v>303</v>
      </c>
      <c r="C77" s="15">
        <f>SUM(C74:C76)</f>
        <v>0</v>
      </c>
      <c r="D77" s="15"/>
      <c r="E77" s="15">
        <f>SUM(E74:E76)</f>
        <v>0</v>
      </c>
      <c r="F77" s="15"/>
      <c r="G77" s="15">
        <f>SUM(G74:G76)</f>
        <v>0</v>
      </c>
      <c r="H77" s="15"/>
      <c r="I77" s="15">
        <f>SUM(I74:I76)</f>
        <v>0</v>
      </c>
      <c r="J77" s="15"/>
      <c r="K77" s="15">
        <f>SUM(K74:K76)</f>
        <v>0</v>
      </c>
      <c r="L77" s="15"/>
      <c r="M77" s="15">
        <f>SUM(M74:M76)</f>
        <v>0</v>
      </c>
      <c r="N77" s="15"/>
      <c r="O77" s="15">
        <f>SUM(O74:O76)</f>
        <v>0</v>
      </c>
      <c r="P77" s="15"/>
      <c r="Q77" s="15">
        <f>SUM(Q74:Q76)</f>
        <v>0</v>
      </c>
      <c r="R77" s="15"/>
      <c r="S77" s="15">
        <f>SUM(S74:S76)</f>
        <v>0</v>
      </c>
      <c r="T77" s="15"/>
      <c r="U77" s="15">
        <f>SUM(U74:U76)</f>
        <v>0</v>
      </c>
      <c r="V77" s="15"/>
      <c r="W77" s="15">
        <f>SUM(W74:W76)</f>
        <v>0</v>
      </c>
      <c r="X77" s="15"/>
      <c r="Y77" s="15">
        <f>SUM(Y74:Y76)</f>
        <v>0</v>
      </c>
      <c r="Z77" s="15"/>
      <c r="AA77" s="15">
        <f>SUM(AA74:AA76)</f>
        <v>0</v>
      </c>
      <c r="AB77" s="15"/>
      <c r="AC77" s="15">
        <f>SUM(AC74:AC76)</f>
        <v>0</v>
      </c>
      <c r="AD77" s="15"/>
      <c r="AE77" s="15">
        <f>SUM(AE74:AE76)</f>
        <v>0</v>
      </c>
      <c r="AF77" s="15"/>
      <c r="AG77" s="15">
        <f>SUM(AG74:AG76)</f>
        <v>0</v>
      </c>
      <c r="AH77" s="15"/>
      <c r="AI77" s="15">
        <f>SUM(AI74:AI76)</f>
        <v>0</v>
      </c>
      <c r="AJ77" s="15"/>
      <c r="AK77" s="15"/>
      <c r="AL77" s="15"/>
      <c r="AM77" s="15">
        <f>SUM(AM74:AM76)</f>
        <v>0</v>
      </c>
      <c r="AN77" s="15"/>
      <c r="AO77" s="15">
        <f>SUM(AO74:AO76)</f>
        <v>0</v>
      </c>
      <c r="AP77" s="15"/>
      <c r="AQ77" s="15">
        <f>SUM(AQ74:AQ76)</f>
        <v>0</v>
      </c>
      <c r="AR77" s="15"/>
      <c r="AS77" s="15">
        <f>SUM(AS74:AS76)</f>
        <v>0</v>
      </c>
      <c r="AT77" s="15"/>
      <c r="AU77" s="15"/>
      <c r="AV77" s="15">
        <f>SUM(AV74:AV76)</f>
        <v>0</v>
      </c>
      <c r="AW77" s="15"/>
      <c r="AX77" s="15">
        <f>SUM(AX74:AX76)</f>
        <v>0</v>
      </c>
      <c r="AY77" s="15"/>
      <c r="AZ77" s="15">
        <f>SUM(AZ74:AZ76)</f>
        <v>0</v>
      </c>
      <c r="BA77" s="5"/>
      <c r="BB77" s="76">
        <f t="shared" si="13"/>
        <v>0</v>
      </c>
      <c r="BC77" s="37"/>
      <c r="BD77" s="76">
        <f t="shared" si="14"/>
        <v>0</v>
      </c>
      <c r="BE77" s="37"/>
      <c r="BF77" s="76">
        <f t="shared" si="15"/>
        <v>0</v>
      </c>
      <c r="BH77" s="76">
        <f t="shared" si="16"/>
        <v>0</v>
      </c>
      <c r="BJ77" s="76">
        <f t="shared" si="17"/>
        <v>0</v>
      </c>
      <c r="BL77" s="39">
        <f t="shared" si="5"/>
        <v>0</v>
      </c>
      <c r="BM77" s="3"/>
      <c r="BN77" s="3"/>
      <c r="BO77" s="3"/>
    </row>
    <row r="78" spans="1:67" x14ac:dyDescent="0.2">
      <c r="A78" s="14"/>
      <c r="B78" s="3" t="s">
        <v>304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>
        <f t="shared" ref="AZ78:AZ83" si="18">SUM(C78:AY78)</f>
        <v>0</v>
      </c>
      <c r="BA78" s="5"/>
      <c r="BB78" s="76">
        <f t="shared" si="13"/>
        <v>0</v>
      </c>
      <c r="BC78" s="37"/>
      <c r="BD78" s="76">
        <f t="shared" si="14"/>
        <v>0</v>
      </c>
      <c r="BE78" s="37"/>
      <c r="BF78" s="76">
        <f t="shared" si="15"/>
        <v>0</v>
      </c>
      <c r="BH78" s="76">
        <f t="shared" si="16"/>
        <v>0</v>
      </c>
      <c r="BJ78" s="76">
        <f t="shared" si="17"/>
        <v>0</v>
      </c>
      <c r="BL78" s="39">
        <f t="shared" si="5"/>
        <v>0</v>
      </c>
      <c r="BM78" s="3"/>
      <c r="BN78" s="3"/>
      <c r="BO78" s="3"/>
    </row>
    <row r="79" spans="1:67" x14ac:dyDescent="0.2">
      <c r="A79" s="14"/>
      <c r="B79" s="3" t="s">
        <v>305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>
        <f t="shared" si="18"/>
        <v>0</v>
      </c>
      <c r="BA79" s="5"/>
      <c r="BB79" s="76">
        <f t="shared" si="13"/>
        <v>0</v>
      </c>
      <c r="BC79" s="37"/>
      <c r="BD79" s="76">
        <f t="shared" si="14"/>
        <v>0</v>
      </c>
      <c r="BE79" s="37"/>
      <c r="BF79" s="76">
        <f t="shared" si="15"/>
        <v>0</v>
      </c>
      <c r="BH79" s="76">
        <f t="shared" si="16"/>
        <v>0</v>
      </c>
      <c r="BJ79" s="76">
        <f t="shared" si="17"/>
        <v>0</v>
      </c>
      <c r="BL79" s="39">
        <f t="shared" si="5"/>
        <v>0</v>
      </c>
      <c r="BM79" s="3"/>
      <c r="BN79" s="3"/>
      <c r="BO79" s="3"/>
    </row>
    <row r="80" spans="1:67" outlineLevel="1" x14ac:dyDescent="0.2">
      <c r="A80" s="14"/>
      <c r="B80" s="3" t="s">
        <v>306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>
        <f t="shared" si="18"/>
        <v>0</v>
      </c>
      <c r="BA80" s="5"/>
      <c r="BB80" s="76">
        <f t="shared" si="13"/>
        <v>0</v>
      </c>
      <c r="BC80" s="37"/>
      <c r="BD80" s="76">
        <f t="shared" si="14"/>
        <v>0</v>
      </c>
      <c r="BE80" s="37"/>
      <c r="BF80" s="76">
        <f t="shared" si="15"/>
        <v>0</v>
      </c>
      <c r="BH80" s="76">
        <f t="shared" si="16"/>
        <v>0</v>
      </c>
      <c r="BJ80" s="76">
        <f t="shared" si="17"/>
        <v>0</v>
      </c>
      <c r="BL80" s="39">
        <f t="shared" si="5"/>
        <v>0</v>
      </c>
      <c r="BM80" s="3"/>
      <c r="BN80" s="3"/>
      <c r="BO80" s="3"/>
    </row>
    <row r="81" spans="1:67" outlineLevel="1" x14ac:dyDescent="0.2">
      <c r="A81" s="14"/>
      <c r="B81" s="31" t="s">
        <v>307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>
        <f t="shared" si="18"/>
        <v>0</v>
      </c>
      <c r="BA81" s="5"/>
      <c r="BB81" s="76">
        <f t="shared" si="13"/>
        <v>0</v>
      </c>
      <c r="BC81" s="37"/>
      <c r="BD81" s="76">
        <f t="shared" si="14"/>
        <v>0</v>
      </c>
      <c r="BE81" s="37"/>
      <c r="BF81" s="76">
        <f t="shared" si="15"/>
        <v>0</v>
      </c>
      <c r="BH81" s="76">
        <f t="shared" si="16"/>
        <v>0</v>
      </c>
      <c r="BJ81" s="76">
        <f t="shared" si="17"/>
        <v>0</v>
      </c>
      <c r="BL81" s="39">
        <f t="shared" ref="BL81:BL146" si="19">AZ81-BJ81</f>
        <v>0</v>
      </c>
      <c r="BM81" s="3"/>
      <c r="BN81" s="3"/>
      <c r="BO81" s="3"/>
    </row>
    <row r="82" spans="1:67" x14ac:dyDescent="0.2">
      <c r="A82" s="14"/>
      <c r="B82" s="31" t="s">
        <v>308</v>
      </c>
      <c r="C82" s="15">
        <f>SUM(C80:C81)</f>
        <v>0</v>
      </c>
      <c r="D82" s="15"/>
      <c r="E82" s="15">
        <f>SUM(E80:E81)</f>
        <v>0</v>
      </c>
      <c r="F82" s="15"/>
      <c r="G82" s="15">
        <f>SUM(G80:G81)</f>
        <v>0</v>
      </c>
      <c r="H82" s="15"/>
      <c r="I82" s="15">
        <f>SUM(I80:I81)</f>
        <v>0</v>
      </c>
      <c r="J82" s="15"/>
      <c r="K82" s="15">
        <f>SUM(K80:K81)</f>
        <v>0</v>
      </c>
      <c r="L82" s="15"/>
      <c r="M82" s="15">
        <f>SUM(M80:M81)</f>
        <v>0</v>
      </c>
      <c r="N82" s="15"/>
      <c r="O82" s="15">
        <f>SUM(O80:O81)</f>
        <v>0</v>
      </c>
      <c r="P82" s="15"/>
      <c r="Q82" s="15">
        <f>SUM(Q80:Q81)</f>
        <v>0</v>
      </c>
      <c r="R82" s="15"/>
      <c r="S82" s="15">
        <f>SUM(S80:S81)</f>
        <v>0</v>
      </c>
      <c r="T82" s="15"/>
      <c r="U82" s="15">
        <f>SUM(U80:U81)</f>
        <v>0</v>
      </c>
      <c r="V82" s="15"/>
      <c r="W82" s="15">
        <f>SUM(W80:W81)</f>
        <v>0</v>
      </c>
      <c r="X82" s="15"/>
      <c r="Y82" s="15">
        <f>SUM(Y80:Y81)</f>
        <v>0</v>
      </c>
      <c r="Z82" s="15"/>
      <c r="AA82" s="15">
        <f>SUM(AA80:AA81)</f>
        <v>0</v>
      </c>
      <c r="AB82" s="15"/>
      <c r="AC82" s="15">
        <f>SUM(AC80:AC81)</f>
        <v>0</v>
      </c>
      <c r="AD82" s="15"/>
      <c r="AE82" s="15">
        <f>SUM(AE80:AE81)</f>
        <v>0</v>
      </c>
      <c r="AF82" s="15"/>
      <c r="AG82" s="15">
        <f>SUM(AG80:AG81)</f>
        <v>0</v>
      </c>
      <c r="AH82" s="15"/>
      <c r="AI82" s="15">
        <f>SUM(AI80:AI81)</f>
        <v>0</v>
      </c>
      <c r="AJ82" s="15"/>
      <c r="AK82" s="15">
        <f>SUM(AK80:AK81)</f>
        <v>0</v>
      </c>
      <c r="AL82" s="15"/>
      <c r="AM82" s="15">
        <f>SUM(AM80:AM81)</f>
        <v>0</v>
      </c>
      <c r="AN82" s="15"/>
      <c r="AO82" s="15">
        <f>SUM(AO80:AO81)</f>
        <v>0</v>
      </c>
      <c r="AP82" s="15"/>
      <c r="AQ82" s="15">
        <f>SUM(AQ80:AQ81)</f>
        <v>0</v>
      </c>
      <c r="AR82" s="15"/>
      <c r="AS82" s="15">
        <f>SUM(AS80:AS81)</f>
        <v>0</v>
      </c>
      <c r="AT82" s="15">
        <f>SUM(AT80:AT81)</f>
        <v>0</v>
      </c>
      <c r="AU82" s="15"/>
      <c r="AV82" s="15">
        <f>SUM(AV80:AV81)</f>
        <v>0</v>
      </c>
      <c r="AW82" s="15"/>
      <c r="AX82" s="15">
        <f>SUM(AX80:AX81)</f>
        <v>0</v>
      </c>
      <c r="AY82" s="15"/>
      <c r="AZ82" s="15">
        <f t="shared" si="18"/>
        <v>0</v>
      </c>
      <c r="BA82" s="5"/>
      <c r="BB82" s="76">
        <f t="shared" si="13"/>
        <v>0</v>
      </c>
      <c r="BC82" s="37"/>
      <c r="BD82" s="76">
        <f t="shared" si="14"/>
        <v>0</v>
      </c>
      <c r="BE82" s="37"/>
      <c r="BF82" s="76">
        <f t="shared" si="15"/>
        <v>0</v>
      </c>
      <c r="BH82" s="76">
        <f t="shared" si="16"/>
        <v>0</v>
      </c>
      <c r="BJ82" s="76">
        <f t="shared" si="17"/>
        <v>0</v>
      </c>
      <c r="BL82" s="39">
        <f t="shared" si="19"/>
        <v>0</v>
      </c>
      <c r="BM82" s="3"/>
      <c r="BN82" s="3"/>
      <c r="BO82" s="3"/>
    </row>
    <row r="83" spans="1:67" x14ac:dyDescent="0.2">
      <c r="A83" s="14"/>
      <c r="B83" s="22" t="s">
        <v>309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>
        <f t="shared" si="18"/>
        <v>0</v>
      </c>
      <c r="BA83" s="5"/>
      <c r="BB83" s="76">
        <f t="shared" si="13"/>
        <v>0</v>
      </c>
      <c r="BC83" s="37"/>
      <c r="BD83" s="76">
        <f t="shared" si="14"/>
        <v>0</v>
      </c>
      <c r="BE83" s="37"/>
      <c r="BF83" s="76">
        <f t="shared" si="15"/>
        <v>0</v>
      </c>
      <c r="BH83" s="76">
        <f t="shared" si="16"/>
        <v>0</v>
      </c>
      <c r="BJ83" s="76">
        <f t="shared" si="17"/>
        <v>0</v>
      </c>
      <c r="BL83" s="39">
        <f t="shared" si="19"/>
        <v>0</v>
      </c>
      <c r="BM83" s="3"/>
      <c r="BN83" s="3"/>
      <c r="BO83" s="3"/>
    </row>
    <row r="84" spans="1:67" x14ac:dyDescent="0.2">
      <c r="A84" s="14"/>
      <c r="B84" s="10" t="s">
        <v>310</v>
      </c>
      <c r="C84" s="20">
        <f>C83+C82+C79+C78+C77</f>
        <v>0</v>
      </c>
      <c r="D84" s="15"/>
      <c r="E84" s="20">
        <f>E83+E82+E79+E78+E77</f>
        <v>0</v>
      </c>
      <c r="F84" s="15"/>
      <c r="G84" s="20">
        <f>G83+G82+G79+G78+G77</f>
        <v>0</v>
      </c>
      <c r="H84" s="15"/>
      <c r="I84" s="20">
        <f>I83+I82+I79+I78+I77</f>
        <v>0</v>
      </c>
      <c r="J84" s="15"/>
      <c r="K84" s="20">
        <f>K83+K82+K79+K78+K77</f>
        <v>0</v>
      </c>
      <c r="L84" s="15"/>
      <c r="M84" s="20">
        <f>M83+M82+M79+M78+M77</f>
        <v>0</v>
      </c>
      <c r="N84" s="15"/>
      <c r="O84" s="20">
        <f>O83+O82+O79+O78+O77</f>
        <v>0</v>
      </c>
      <c r="P84" s="15"/>
      <c r="Q84" s="20">
        <f>Q83+Q82+Q79+Q78+Q77</f>
        <v>0</v>
      </c>
      <c r="R84" s="15"/>
      <c r="S84" s="20">
        <f>S83+S82+S79+S78+S77</f>
        <v>0</v>
      </c>
      <c r="T84" s="20"/>
      <c r="U84" s="20">
        <f>U83+U82+U79+U78+U77</f>
        <v>0</v>
      </c>
      <c r="V84" s="20"/>
      <c r="W84" s="20">
        <f>W83+W82+W79+W78+W77</f>
        <v>0</v>
      </c>
      <c r="X84" s="15"/>
      <c r="Y84" s="20">
        <f>Y83+Y82+Y79+Y78+Y77</f>
        <v>0</v>
      </c>
      <c r="Z84" s="15"/>
      <c r="AA84" s="20">
        <f>AA83+AA82+AA79+AA78+AA77</f>
        <v>0</v>
      </c>
      <c r="AB84" s="15"/>
      <c r="AC84" s="20">
        <f>AC83+AC82+AC79+AC78+AC77</f>
        <v>0</v>
      </c>
      <c r="AD84" s="15"/>
      <c r="AE84" s="20">
        <f>AE83+AE82+AE79+AE78+AE77</f>
        <v>0</v>
      </c>
      <c r="AF84" s="15"/>
      <c r="AG84" s="20">
        <f>AG83+AG82+AG79+AG78+AG77</f>
        <v>0</v>
      </c>
      <c r="AH84" s="15"/>
      <c r="AI84" s="20">
        <f>AI83+AI82+AI79+AI78+AI77</f>
        <v>0</v>
      </c>
      <c r="AJ84" s="15"/>
      <c r="AK84" s="20">
        <f>AK83+AK82+AK79+AK78+AK77</f>
        <v>0</v>
      </c>
      <c r="AL84" s="20"/>
      <c r="AM84" s="20">
        <f>AM83+AM82+AM79+AM78+AM77</f>
        <v>0</v>
      </c>
      <c r="AN84" s="20"/>
      <c r="AO84" s="20">
        <f>AO83+AO82+AO79+AO78+AO77</f>
        <v>0</v>
      </c>
      <c r="AP84" s="20"/>
      <c r="AQ84" s="20">
        <f>AQ83+AQ82+AQ79+AQ78+AQ77</f>
        <v>0</v>
      </c>
      <c r="AR84" s="20"/>
      <c r="AS84" s="20">
        <f>AS83+AS82+AS79+AS78+AS77</f>
        <v>0</v>
      </c>
      <c r="AT84" s="20">
        <f>AT83+AT82+AT79+AT78+AT77</f>
        <v>0</v>
      </c>
      <c r="AU84" s="20"/>
      <c r="AV84" s="20">
        <f>AV83+AV82+AV79+AV78+AV77</f>
        <v>0</v>
      </c>
      <c r="AW84" s="20"/>
      <c r="AX84" s="20">
        <f>AX83+AX82+AX79+AX78+AX77</f>
        <v>0</v>
      </c>
      <c r="AY84" s="20"/>
      <c r="AZ84" s="20">
        <f>AZ83+AZ82+AZ79+AZ78+AZ77</f>
        <v>0</v>
      </c>
      <c r="BA84" s="5"/>
      <c r="BB84" s="114">
        <f>BB83+BB82+BB79+BB78+BB77</f>
        <v>0</v>
      </c>
      <c r="BC84" s="37"/>
      <c r="BD84" s="114">
        <f>BD83+BD82+BD79+BD78+BD77</f>
        <v>0</v>
      </c>
      <c r="BE84" s="37"/>
      <c r="BF84" s="114">
        <f>BF83+BF82+BF79+BF78+BF77</f>
        <v>0</v>
      </c>
      <c r="BH84" s="114">
        <f>BH83+BH82+BH79+BH78+BH77</f>
        <v>0</v>
      </c>
      <c r="BJ84" s="114">
        <f>BJ83+BJ82+BJ79+BJ78+BJ77</f>
        <v>0</v>
      </c>
      <c r="BL84" s="39">
        <f t="shared" si="19"/>
        <v>0</v>
      </c>
      <c r="BM84" s="3"/>
      <c r="BN84" s="3"/>
      <c r="BO84" s="3"/>
    </row>
    <row r="85" spans="1:67" x14ac:dyDescent="0.2">
      <c r="A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5"/>
      <c r="BB85" s="76"/>
      <c r="BC85" s="37"/>
      <c r="BD85" s="76"/>
      <c r="BE85" s="37"/>
      <c r="BL85" s="39">
        <f t="shared" si="19"/>
        <v>0</v>
      </c>
      <c r="BM85" s="3"/>
      <c r="BN85" s="3"/>
      <c r="BO85" s="3"/>
    </row>
    <row r="86" spans="1:67" x14ac:dyDescent="0.2">
      <c r="A86" s="14"/>
      <c r="B86" s="10" t="s">
        <v>311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5"/>
      <c r="BB86" s="76"/>
      <c r="BC86" s="37"/>
      <c r="BD86" s="76"/>
      <c r="BE86" s="37"/>
      <c r="BL86" s="39">
        <f t="shared" si="19"/>
        <v>0</v>
      </c>
      <c r="BM86" s="3"/>
      <c r="BN86" s="3"/>
      <c r="BO86" s="3"/>
    </row>
    <row r="87" spans="1:67" x14ac:dyDescent="0.2">
      <c r="A87" s="14"/>
      <c r="B87" s="3" t="s">
        <v>312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>
        <f t="shared" ref="AZ87:AZ94" si="20">SUM(C87:AY87)</f>
        <v>0</v>
      </c>
      <c r="BA87" s="5"/>
      <c r="BB87" s="76">
        <f t="shared" ref="BB87:BB94" si="21">SUMIF($C$10:$AY$10,"=Addition",$C87:$AY87)</f>
        <v>0</v>
      </c>
      <c r="BC87" s="37"/>
      <c r="BD87" s="76">
        <f t="shared" ref="BD87:BD94" si="22">SUMIF($C$10:$AY$10,"=Adjustment",$C87:$AY87)</f>
        <v>0</v>
      </c>
      <c r="BE87" s="37"/>
      <c r="BF87" s="76">
        <f t="shared" ref="BF87:BF94" si="23">SUMIF($C$10:$AY$10,"=Transfer",$C87:$AY87)</f>
        <v>0</v>
      </c>
      <c r="BH87" s="76">
        <f t="shared" ref="BH87:BH94" si="24">SUMIF($C$10:$AY$10,"=N/A",$C87:$AY87)</f>
        <v>0</v>
      </c>
      <c r="BJ87" s="76">
        <f t="shared" ref="BJ87:BJ94" si="25">SUM(BB87:BH87)</f>
        <v>0</v>
      </c>
      <c r="BL87" s="39">
        <f t="shared" si="19"/>
        <v>0</v>
      </c>
      <c r="BM87" s="3"/>
      <c r="BN87" s="3"/>
      <c r="BO87" s="3"/>
    </row>
    <row r="88" spans="1:67" x14ac:dyDescent="0.2">
      <c r="A88" s="14"/>
      <c r="B88" s="3" t="s">
        <v>313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>
        <f t="shared" si="20"/>
        <v>0</v>
      </c>
      <c r="BA88" s="5"/>
      <c r="BB88" s="76">
        <f t="shared" si="21"/>
        <v>0</v>
      </c>
      <c r="BC88" s="37"/>
      <c r="BD88" s="76">
        <f t="shared" si="22"/>
        <v>0</v>
      </c>
      <c r="BE88" s="37"/>
      <c r="BF88" s="76">
        <f t="shared" si="23"/>
        <v>0</v>
      </c>
      <c r="BH88" s="76">
        <f t="shared" si="24"/>
        <v>0</v>
      </c>
      <c r="BJ88" s="76">
        <f t="shared" si="25"/>
        <v>0</v>
      </c>
      <c r="BL88" s="39">
        <f t="shared" si="19"/>
        <v>0</v>
      </c>
      <c r="BM88" s="3"/>
      <c r="BN88" s="3"/>
      <c r="BO88" s="3"/>
    </row>
    <row r="89" spans="1:67" x14ac:dyDescent="0.2">
      <c r="A89" s="14"/>
      <c r="B89" s="3" t="s">
        <v>314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>
        <f t="shared" si="20"/>
        <v>0</v>
      </c>
      <c r="BA89" s="5"/>
      <c r="BB89" s="76">
        <f t="shared" si="21"/>
        <v>0</v>
      </c>
      <c r="BC89" s="37"/>
      <c r="BD89" s="76">
        <f t="shared" si="22"/>
        <v>0</v>
      </c>
      <c r="BE89" s="37"/>
      <c r="BF89" s="76">
        <f t="shared" si="23"/>
        <v>0</v>
      </c>
      <c r="BH89" s="76">
        <f t="shared" si="24"/>
        <v>0</v>
      </c>
      <c r="BJ89" s="76">
        <f t="shared" si="25"/>
        <v>0</v>
      </c>
      <c r="BL89" s="39">
        <f t="shared" si="19"/>
        <v>0</v>
      </c>
      <c r="BM89" s="3"/>
      <c r="BN89" s="3"/>
      <c r="BO89" s="3"/>
    </row>
    <row r="90" spans="1:67" x14ac:dyDescent="0.2">
      <c r="A90" s="14"/>
      <c r="B90" s="3" t="s">
        <v>315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>
        <f t="shared" si="20"/>
        <v>0</v>
      </c>
      <c r="BA90" s="5"/>
      <c r="BB90" s="76">
        <f t="shared" si="21"/>
        <v>0</v>
      </c>
      <c r="BC90" s="37"/>
      <c r="BD90" s="76">
        <f t="shared" si="22"/>
        <v>0</v>
      </c>
      <c r="BE90" s="37"/>
      <c r="BF90" s="76">
        <f t="shared" si="23"/>
        <v>0</v>
      </c>
      <c r="BH90" s="76">
        <f t="shared" si="24"/>
        <v>0</v>
      </c>
      <c r="BJ90" s="76">
        <f t="shared" si="25"/>
        <v>0</v>
      </c>
      <c r="BL90" s="39">
        <f t="shared" si="19"/>
        <v>0</v>
      </c>
      <c r="BM90" s="3"/>
      <c r="BN90" s="3"/>
      <c r="BO90" s="3"/>
    </row>
    <row r="91" spans="1:67" x14ac:dyDescent="0.2">
      <c r="A91" s="14"/>
      <c r="B91" s="3" t="s">
        <v>316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>
        <f t="shared" si="20"/>
        <v>0</v>
      </c>
      <c r="BA91" s="5"/>
      <c r="BB91" s="76">
        <f t="shared" si="21"/>
        <v>0</v>
      </c>
      <c r="BC91" s="37"/>
      <c r="BD91" s="76">
        <f t="shared" si="22"/>
        <v>0</v>
      </c>
      <c r="BE91" s="37"/>
      <c r="BF91" s="76">
        <f t="shared" si="23"/>
        <v>0</v>
      </c>
      <c r="BH91" s="76">
        <f t="shared" si="24"/>
        <v>0</v>
      </c>
      <c r="BJ91" s="76">
        <f t="shared" si="25"/>
        <v>0</v>
      </c>
      <c r="BL91" s="39">
        <f t="shared" si="19"/>
        <v>0</v>
      </c>
      <c r="BM91" s="3"/>
      <c r="BN91" s="3"/>
      <c r="BO91" s="3"/>
    </row>
    <row r="92" spans="1:67" x14ac:dyDescent="0.2">
      <c r="A92" s="14"/>
      <c r="B92" s="3" t="s">
        <v>317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>
        <f t="shared" si="20"/>
        <v>0</v>
      </c>
      <c r="BA92" s="5"/>
      <c r="BB92" s="76">
        <f t="shared" si="21"/>
        <v>0</v>
      </c>
      <c r="BC92" s="37"/>
      <c r="BD92" s="76">
        <f t="shared" si="22"/>
        <v>0</v>
      </c>
      <c r="BE92" s="37"/>
      <c r="BF92" s="76">
        <f t="shared" si="23"/>
        <v>0</v>
      </c>
      <c r="BH92" s="76">
        <f t="shared" si="24"/>
        <v>0</v>
      </c>
      <c r="BJ92" s="76">
        <f t="shared" si="25"/>
        <v>0</v>
      </c>
      <c r="BL92" s="39">
        <f t="shared" si="19"/>
        <v>0</v>
      </c>
      <c r="BM92" s="3"/>
      <c r="BN92" s="3"/>
      <c r="BO92" s="3"/>
    </row>
    <row r="93" spans="1:67" x14ac:dyDescent="0.2">
      <c r="A93" s="14"/>
      <c r="B93" s="3" t="s">
        <v>318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f t="shared" si="20"/>
        <v>0</v>
      </c>
      <c r="BA93" s="5"/>
      <c r="BB93" s="76">
        <f t="shared" si="21"/>
        <v>0</v>
      </c>
      <c r="BC93" s="37"/>
      <c r="BD93" s="76">
        <f t="shared" si="22"/>
        <v>0</v>
      </c>
      <c r="BE93" s="37"/>
      <c r="BF93" s="76">
        <f t="shared" si="23"/>
        <v>0</v>
      </c>
      <c r="BH93" s="76">
        <f t="shared" si="24"/>
        <v>0</v>
      </c>
      <c r="BJ93" s="76">
        <f t="shared" si="25"/>
        <v>0</v>
      </c>
      <c r="BL93" s="39">
        <f t="shared" si="19"/>
        <v>0</v>
      </c>
      <c r="BM93" s="3"/>
      <c r="BN93" s="3"/>
      <c r="BO93" s="3"/>
    </row>
    <row r="94" spans="1:67" x14ac:dyDescent="0.2">
      <c r="A94" s="14"/>
      <c r="B94" s="3" t="s">
        <v>319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>
        <v>0</v>
      </c>
      <c r="AJ94" s="15"/>
      <c r="AK94" s="15"/>
      <c r="AL94" s="15"/>
      <c r="AM94" s="15"/>
      <c r="AN94" s="15"/>
      <c r="AO94" s="15"/>
      <c r="AP94" s="15"/>
      <c r="AQ94" s="15">
        <v>208841.18</v>
      </c>
      <c r="AR94" s="15"/>
      <c r="AS94" s="15"/>
      <c r="AT94" s="15"/>
      <c r="AU94" s="15"/>
      <c r="AV94" s="15"/>
      <c r="AW94" s="15"/>
      <c r="AX94" s="15"/>
      <c r="AY94" s="15"/>
      <c r="AZ94" s="15">
        <f t="shared" si="20"/>
        <v>208841.18</v>
      </c>
      <c r="BA94" s="5"/>
      <c r="BB94" s="76">
        <f t="shared" si="21"/>
        <v>208841.18</v>
      </c>
      <c r="BC94" s="37"/>
      <c r="BD94" s="76">
        <f t="shared" si="22"/>
        <v>0</v>
      </c>
      <c r="BE94" s="37"/>
      <c r="BF94" s="76">
        <f t="shared" si="23"/>
        <v>0</v>
      </c>
      <c r="BH94" s="76">
        <f t="shared" si="24"/>
        <v>0</v>
      </c>
      <c r="BJ94" s="76">
        <f t="shared" si="25"/>
        <v>208841.18</v>
      </c>
      <c r="BL94" s="39">
        <f t="shared" si="19"/>
        <v>0</v>
      </c>
      <c r="BM94" s="3"/>
      <c r="BN94" s="3"/>
      <c r="BO94" s="3"/>
    </row>
    <row r="95" spans="1:67" x14ac:dyDescent="0.2">
      <c r="A95" s="14"/>
      <c r="B95" s="10" t="s">
        <v>320</v>
      </c>
      <c r="C95" s="20">
        <f>SUM(C87:C94)</f>
        <v>0</v>
      </c>
      <c r="D95" s="15"/>
      <c r="E95" s="20">
        <f>SUM(E87:E94)</f>
        <v>0</v>
      </c>
      <c r="F95" s="15"/>
      <c r="G95" s="20">
        <f>SUM(G87:G94)</f>
        <v>0</v>
      </c>
      <c r="H95" s="15"/>
      <c r="I95" s="20">
        <f>SUM(I87:I94)</f>
        <v>0</v>
      </c>
      <c r="J95" s="15"/>
      <c r="K95" s="20">
        <f>SUM(K87:K94)</f>
        <v>0</v>
      </c>
      <c r="L95" s="15"/>
      <c r="M95" s="20">
        <f>SUM(M87:M94)</f>
        <v>0</v>
      </c>
      <c r="N95" s="15"/>
      <c r="O95" s="20">
        <f>SUM(O87:O94)</f>
        <v>0</v>
      </c>
      <c r="P95" s="15"/>
      <c r="Q95" s="20">
        <f>SUM(Q87:Q94)</f>
        <v>0</v>
      </c>
      <c r="R95" s="15"/>
      <c r="S95" s="20">
        <f>SUM(S87:S94)</f>
        <v>0</v>
      </c>
      <c r="T95" s="20"/>
      <c r="U95" s="20">
        <f>SUM(U87:U94)</f>
        <v>0</v>
      </c>
      <c r="V95" s="20"/>
      <c r="W95" s="20">
        <f>SUM(W87:W94)</f>
        <v>0</v>
      </c>
      <c r="X95" s="15"/>
      <c r="Y95" s="20">
        <f>SUM(Y87:Y94)</f>
        <v>0</v>
      </c>
      <c r="Z95" s="15"/>
      <c r="AA95" s="20">
        <f>SUM(AA87:AA94)</f>
        <v>0</v>
      </c>
      <c r="AB95" s="15"/>
      <c r="AC95" s="20">
        <f>SUM(AC87:AC94)</f>
        <v>0</v>
      </c>
      <c r="AD95" s="15"/>
      <c r="AE95" s="20">
        <f>SUM(AE87:AE94)</f>
        <v>0</v>
      </c>
      <c r="AF95" s="15"/>
      <c r="AG95" s="20">
        <f>SUM(AG87:AG94)</f>
        <v>0</v>
      </c>
      <c r="AH95" s="15"/>
      <c r="AI95" s="20">
        <f>SUM(AI87:AI94)</f>
        <v>0</v>
      </c>
      <c r="AJ95" s="15"/>
      <c r="AK95" s="20">
        <f>SUM(AK87:AK94)</f>
        <v>0</v>
      </c>
      <c r="AL95" s="20"/>
      <c r="AM95" s="20">
        <f>SUM(AM87:AM94)</f>
        <v>0</v>
      </c>
      <c r="AN95" s="20"/>
      <c r="AO95" s="20">
        <f>SUM(AO87:AO94)</f>
        <v>0</v>
      </c>
      <c r="AP95" s="20"/>
      <c r="AQ95" s="20">
        <f>SUM(AQ87:AQ94)</f>
        <v>208841.18</v>
      </c>
      <c r="AR95" s="20"/>
      <c r="AS95" s="20">
        <f>SUM(AS87:AS94)</f>
        <v>0</v>
      </c>
      <c r="AT95" s="20">
        <f>SUM(AT87:AT94)</f>
        <v>0</v>
      </c>
      <c r="AU95" s="20"/>
      <c r="AV95" s="20">
        <f>SUM(AV87:AV94)</f>
        <v>0</v>
      </c>
      <c r="AW95" s="20"/>
      <c r="AX95" s="20">
        <f>SUM(AX87:AX94)</f>
        <v>0</v>
      </c>
      <c r="AY95" s="20"/>
      <c r="AZ95" s="20">
        <f>SUM(AZ87:AZ94)</f>
        <v>208841.18</v>
      </c>
      <c r="BA95" s="5"/>
      <c r="BB95" s="113">
        <f>SUM(BB87:BB94)</f>
        <v>208841.18</v>
      </c>
      <c r="BC95" s="37"/>
      <c r="BD95" s="113">
        <f>SUM(BD87:BD94)</f>
        <v>0</v>
      </c>
      <c r="BE95" s="37"/>
      <c r="BF95" s="113">
        <f>SUM(BF87:BF94)</f>
        <v>0</v>
      </c>
      <c r="BH95" s="113">
        <f>SUM(BH87:BH94)</f>
        <v>0</v>
      </c>
      <c r="BJ95" s="113">
        <f>SUM(BJ87:BJ94)</f>
        <v>208841.18</v>
      </c>
      <c r="BL95" s="39">
        <f t="shared" si="19"/>
        <v>0</v>
      </c>
      <c r="BM95" s="3"/>
      <c r="BN95" s="3"/>
      <c r="BO95" s="3"/>
    </row>
    <row r="96" spans="1:67" x14ac:dyDescent="0.2">
      <c r="A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5"/>
      <c r="BB96" s="76"/>
      <c r="BC96" s="37"/>
      <c r="BD96" s="76"/>
      <c r="BE96" s="37"/>
      <c r="BL96" s="39">
        <f t="shared" si="19"/>
        <v>0</v>
      </c>
      <c r="BM96" s="3"/>
      <c r="BN96" s="3"/>
      <c r="BO96" s="3"/>
    </row>
    <row r="97" spans="1:67" x14ac:dyDescent="0.2">
      <c r="A97" s="14"/>
      <c r="B97" s="10" t="s">
        <v>321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5"/>
      <c r="BB97" s="76"/>
      <c r="BC97" s="37"/>
      <c r="BD97" s="76"/>
      <c r="BE97" s="37"/>
      <c r="BL97" s="39">
        <f t="shared" si="19"/>
        <v>0</v>
      </c>
      <c r="BM97" s="3"/>
      <c r="BN97" s="3"/>
      <c r="BO97" s="3"/>
    </row>
    <row r="98" spans="1:67" x14ac:dyDescent="0.2">
      <c r="A98" s="14"/>
      <c r="B98" s="3" t="s">
        <v>322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>
        <f>SUM(C98:AY98)</f>
        <v>0</v>
      </c>
      <c r="BA98" s="5"/>
      <c r="BB98" s="76">
        <f>SUMIF($C$10:$AY$10,"=Addition",$C98:$AY98)</f>
        <v>0</v>
      </c>
      <c r="BC98" s="37"/>
      <c r="BD98" s="76">
        <f>SUMIF($C$10:$AY$10,"=Adjustment",$C98:$AY98)</f>
        <v>0</v>
      </c>
      <c r="BE98" s="37"/>
      <c r="BF98" s="76">
        <f>SUMIF($C$10:$AY$10,"=Transfer",$C98:$AY98)</f>
        <v>0</v>
      </c>
      <c r="BH98" s="76">
        <f>SUMIF($C$10:$AY$10,"=N/A",$C98:$AY98)</f>
        <v>0</v>
      </c>
      <c r="BJ98" s="76">
        <f t="shared" ref="BJ98:BJ99" si="26">SUM(BB98:BH98)</f>
        <v>0</v>
      </c>
      <c r="BL98" s="39">
        <f t="shared" si="19"/>
        <v>0</v>
      </c>
      <c r="BM98" s="3"/>
      <c r="BN98" s="3"/>
      <c r="BO98" s="3"/>
    </row>
    <row r="99" spans="1:67" x14ac:dyDescent="0.2">
      <c r="A99" s="14"/>
      <c r="B99" s="3" t="s">
        <v>323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>
        <f>SUM(C99:AY99)</f>
        <v>0</v>
      </c>
      <c r="BA99" s="5"/>
      <c r="BB99" s="76">
        <f>SUMIF($C$10:$AY$10,"=Addition",$C99:$AY99)</f>
        <v>0</v>
      </c>
      <c r="BC99" s="37"/>
      <c r="BD99" s="76">
        <f>SUMIF($C$10:$AY$10,"=Adjustment",$C99:$AY99)</f>
        <v>0</v>
      </c>
      <c r="BE99" s="37"/>
      <c r="BF99" s="76">
        <f>SUMIF($C$10:$AY$10,"=Transfer",$C99:$AY99)</f>
        <v>0</v>
      </c>
      <c r="BH99" s="76">
        <f>SUMIF($C$10:$AY$10,"=N/A",$C99:$AY99)</f>
        <v>0</v>
      </c>
      <c r="BJ99" s="76">
        <f t="shared" si="26"/>
        <v>0</v>
      </c>
      <c r="BL99" s="39">
        <f t="shared" si="19"/>
        <v>0</v>
      </c>
      <c r="BM99" s="3"/>
      <c r="BN99" s="3"/>
      <c r="BO99" s="3"/>
    </row>
    <row r="100" spans="1:67" x14ac:dyDescent="0.2">
      <c r="A100" s="14"/>
      <c r="B100" s="10" t="s">
        <v>324</v>
      </c>
      <c r="C100" s="20">
        <f>SUM(C98:C99)</f>
        <v>0</v>
      </c>
      <c r="D100" s="15"/>
      <c r="E100" s="20">
        <f>SUM(E98:E99)</f>
        <v>0</v>
      </c>
      <c r="F100" s="15"/>
      <c r="G100" s="20">
        <f>SUM(G98:G99)</f>
        <v>0</v>
      </c>
      <c r="H100" s="15"/>
      <c r="I100" s="20">
        <f>SUM(I98:I99)</f>
        <v>0</v>
      </c>
      <c r="J100" s="15"/>
      <c r="K100" s="20">
        <f>SUM(K98:K99)</f>
        <v>0</v>
      </c>
      <c r="L100" s="15"/>
      <c r="M100" s="20">
        <f>SUM(M98:M99)</f>
        <v>0</v>
      </c>
      <c r="N100" s="15"/>
      <c r="O100" s="20">
        <f>SUM(O98:O99)</f>
        <v>0</v>
      </c>
      <c r="P100" s="15"/>
      <c r="Q100" s="20">
        <f>SUM(Q98:Q99)</f>
        <v>0</v>
      </c>
      <c r="R100" s="15"/>
      <c r="S100" s="20">
        <f>SUM(S98:S99)</f>
        <v>0</v>
      </c>
      <c r="T100" s="20"/>
      <c r="U100" s="20">
        <f>SUM(U98:U99)</f>
        <v>0</v>
      </c>
      <c r="V100" s="20"/>
      <c r="W100" s="20">
        <f>SUM(W98:W99)</f>
        <v>0</v>
      </c>
      <c r="X100" s="15"/>
      <c r="Y100" s="20">
        <f>SUM(Y98:Y99)</f>
        <v>0</v>
      </c>
      <c r="Z100" s="15"/>
      <c r="AA100" s="20">
        <f>SUM(AA98:AA99)</f>
        <v>0</v>
      </c>
      <c r="AB100" s="15"/>
      <c r="AC100" s="20">
        <f>SUM(AC98:AC99)</f>
        <v>0</v>
      </c>
      <c r="AD100" s="15"/>
      <c r="AE100" s="20">
        <f>SUM(AE98:AE99)</f>
        <v>0</v>
      </c>
      <c r="AF100" s="15"/>
      <c r="AG100" s="20">
        <f>SUM(AG98:AG99)</f>
        <v>0</v>
      </c>
      <c r="AH100" s="15"/>
      <c r="AI100" s="20">
        <f>SUM(AI98:AI99)</f>
        <v>0</v>
      </c>
      <c r="AJ100" s="15"/>
      <c r="AK100" s="20">
        <f>SUM(AK98:AK99)</f>
        <v>0</v>
      </c>
      <c r="AL100" s="20"/>
      <c r="AM100" s="20">
        <f>SUM(AM98:AM99)</f>
        <v>0</v>
      </c>
      <c r="AN100" s="20"/>
      <c r="AO100" s="20">
        <f>SUM(AO98:AO99)</f>
        <v>0</v>
      </c>
      <c r="AP100" s="20"/>
      <c r="AQ100" s="20">
        <f>SUM(AQ98:AQ99)</f>
        <v>0</v>
      </c>
      <c r="AR100" s="20"/>
      <c r="AS100" s="20">
        <f>SUM(AS98:AS99)</f>
        <v>0</v>
      </c>
      <c r="AT100" s="20">
        <f>SUM(AT98:AT99)</f>
        <v>0</v>
      </c>
      <c r="AU100" s="20"/>
      <c r="AV100" s="20">
        <f>SUM(AV98:AV99)</f>
        <v>0</v>
      </c>
      <c r="AW100" s="20"/>
      <c r="AX100" s="20">
        <f>SUM(AX98:AX99)</f>
        <v>0</v>
      </c>
      <c r="AY100" s="20"/>
      <c r="AZ100" s="20">
        <f>SUM(AZ98:AZ99)</f>
        <v>0</v>
      </c>
      <c r="BA100" s="5"/>
      <c r="BB100" s="113">
        <f>SUM(BB98:BB99)</f>
        <v>0</v>
      </c>
      <c r="BC100" s="37"/>
      <c r="BD100" s="113">
        <f>SUM(BD98:BD99)</f>
        <v>0</v>
      </c>
      <c r="BE100" s="37"/>
      <c r="BF100" s="113">
        <f>SUM(BF98:BF99)</f>
        <v>0</v>
      </c>
      <c r="BH100" s="113">
        <f>SUM(BH98:BH99)</f>
        <v>0</v>
      </c>
      <c r="BJ100" s="113">
        <f>SUM(BJ98:BJ99)</f>
        <v>0</v>
      </c>
      <c r="BL100" s="39">
        <f t="shared" si="19"/>
        <v>0</v>
      </c>
      <c r="BM100" s="3"/>
      <c r="BN100" s="3"/>
      <c r="BO100" s="3"/>
    </row>
    <row r="101" spans="1:67" x14ac:dyDescent="0.2">
      <c r="A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5"/>
      <c r="BB101" s="76"/>
      <c r="BC101" s="37"/>
      <c r="BD101" s="76"/>
      <c r="BE101" s="37"/>
      <c r="BL101" s="39">
        <f t="shared" si="19"/>
        <v>0</v>
      </c>
      <c r="BM101" s="3"/>
      <c r="BN101" s="3"/>
      <c r="BO101" s="3"/>
    </row>
    <row r="102" spans="1:67" x14ac:dyDescent="0.2">
      <c r="A102" s="14"/>
      <c r="B102" s="10" t="s">
        <v>325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5"/>
      <c r="BB102" s="76"/>
      <c r="BC102" s="37"/>
      <c r="BD102" s="76"/>
      <c r="BE102" s="37"/>
      <c r="BL102" s="39">
        <f t="shared" si="19"/>
        <v>0</v>
      </c>
      <c r="BM102" s="3"/>
      <c r="BN102" s="3"/>
      <c r="BO102" s="3"/>
    </row>
    <row r="103" spans="1:67" x14ac:dyDescent="0.2">
      <c r="A103" s="14"/>
      <c r="B103" s="3" t="s">
        <v>326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>
        <f t="shared" ref="AZ103:AZ111" si="27">SUM(C103:AY103)</f>
        <v>0</v>
      </c>
      <c r="BA103" s="5"/>
      <c r="BB103" s="76">
        <f t="shared" ref="BB103:BB112" si="28">SUMIF($C$10:$AY$10,"=Addition",$C103:$AY103)</f>
        <v>0</v>
      </c>
      <c r="BC103" s="37"/>
      <c r="BD103" s="76">
        <f t="shared" ref="BD103:BD111" si="29">SUMIF($C$10:$AY$10,"=Adjustment",$C103:$AY103)</f>
        <v>0</v>
      </c>
      <c r="BE103" s="37"/>
      <c r="BF103" s="76">
        <f t="shared" ref="BF103:BF112" si="30">SUMIF($C$10:$AY$10,"=Transfer",$C103:$AY103)</f>
        <v>0</v>
      </c>
      <c r="BH103" s="76">
        <f t="shared" ref="BH103:BH112" si="31">SUMIF($C$10:$AY$10,"=N/A",$C103:$AY103)</f>
        <v>0</v>
      </c>
      <c r="BJ103" s="76">
        <f t="shared" ref="BJ103:BJ112" si="32">SUM(BB103:BH103)</f>
        <v>0</v>
      </c>
      <c r="BL103" s="39">
        <f t="shared" si="19"/>
        <v>0</v>
      </c>
      <c r="BM103" s="3"/>
      <c r="BN103" s="3"/>
      <c r="BO103" s="3"/>
    </row>
    <row r="104" spans="1:67" x14ac:dyDescent="0.2">
      <c r="A104" s="14"/>
      <c r="B104" s="3" t="s">
        <v>327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>
        <f t="shared" si="27"/>
        <v>0</v>
      </c>
      <c r="BA104" s="5"/>
      <c r="BB104" s="76">
        <f t="shared" si="28"/>
        <v>0</v>
      </c>
      <c r="BC104" s="37"/>
      <c r="BD104" s="76">
        <f t="shared" si="29"/>
        <v>0</v>
      </c>
      <c r="BE104" s="37"/>
      <c r="BF104" s="76">
        <f t="shared" si="30"/>
        <v>0</v>
      </c>
      <c r="BH104" s="76">
        <f t="shared" si="31"/>
        <v>0</v>
      </c>
      <c r="BJ104" s="76">
        <f t="shared" si="32"/>
        <v>0</v>
      </c>
      <c r="BL104" s="39">
        <f t="shared" si="19"/>
        <v>0</v>
      </c>
      <c r="BM104" s="3"/>
      <c r="BN104" s="3"/>
      <c r="BO104" s="3"/>
    </row>
    <row r="105" spans="1:67" x14ac:dyDescent="0.2">
      <c r="A105" s="14"/>
      <c r="B105" s="3" t="s">
        <v>328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>
        <f t="shared" si="27"/>
        <v>0</v>
      </c>
      <c r="BA105" s="5"/>
      <c r="BB105" s="76">
        <f t="shared" si="28"/>
        <v>0</v>
      </c>
      <c r="BC105" s="37"/>
      <c r="BD105" s="76">
        <f t="shared" si="29"/>
        <v>0</v>
      </c>
      <c r="BE105" s="37"/>
      <c r="BF105" s="76">
        <f t="shared" si="30"/>
        <v>0</v>
      </c>
      <c r="BH105" s="76">
        <f t="shared" si="31"/>
        <v>0</v>
      </c>
      <c r="BJ105" s="76">
        <f t="shared" si="32"/>
        <v>0</v>
      </c>
      <c r="BL105" s="39">
        <f t="shared" si="19"/>
        <v>0</v>
      </c>
      <c r="BM105" s="3"/>
      <c r="BN105" s="3"/>
      <c r="BO105" s="3"/>
    </row>
    <row r="106" spans="1:67" x14ac:dyDescent="0.2">
      <c r="A106" s="14"/>
      <c r="B106" s="3" t="s">
        <v>329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>
        <f t="shared" si="27"/>
        <v>0</v>
      </c>
      <c r="BA106" s="5"/>
      <c r="BB106" s="76">
        <f t="shared" si="28"/>
        <v>0</v>
      </c>
      <c r="BC106" s="37"/>
      <c r="BD106" s="76">
        <f t="shared" si="29"/>
        <v>0</v>
      </c>
      <c r="BE106" s="37"/>
      <c r="BF106" s="76">
        <f t="shared" si="30"/>
        <v>0</v>
      </c>
      <c r="BH106" s="76">
        <f t="shared" si="31"/>
        <v>0</v>
      </c>
      <c r="BJ106" s="76">
        <f t="shared" si="32"/>
        <v>0</v>
      </c>
      <c r="BL106" s="39">
        <f t="shared" si="19"/>
        <v>0</v>
      </c>
      <c r="BM106" s="3"/>
      <c r="BN106" s="3"/>
      <c r="BO106" s="3"/>
    </row>
    <row r="107" spans="1:67" x14ac:dyDescent="0.2">
      <c r="A107" s="14"/>
      <c r="B107" s="3" t="s">
        <v>330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>
        <f t="shared" si="27"/>
        <v>0</v>
      </c>
      <c r="BA107" s="5"/>
      <c r="BB107" s="76">
        <f t="shared" si="28"/>
        <v>0</v>
      </c>
      <c r="BC107" s="37"/>
      <c r="BD107" s="76">
        <f t="shared" si="29"/>
        <v>0</v>
      </c>
      <c r="BE107" s="37"/>
      <c r="BF107" s="76">
        <f t="shared" si="30"/>
        <v>0</v>
      </c>
      <c r="BH107" s="76">
        <f t="shared" si="31"/>
        <v>0</v>
      </c>
      <c r="BJ107" s="76">
        <f t="shared" si="32"/>
        <v>0</v>
      </c>
      <c r="BL107" s="39">
        <f t="shared" si="19"/>
        <v>0</v>
      </c>
      <c r="BM107" s="3"/>
      <c r="BN107" s="3"/>
      <c r="BO107" s="3"/>
    </row>
    <row r="108" spans="1:67" x14ac:dyDescent="0.2">
      <c r="A108" s="14"/>
      <c r="B108" s="3" t="s">
        <v>331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>
        <f t="shared" si="27"/>
        <v>0</v>
      </c>
      <c r="BA108" s="5"/>
      <c r="BB108" s="76">
        <f t="shared" si="28"/>
        <v>0</v>
      </c>
      <c r="BC108" s="37"/>
      <c r="BD108" s="76">
        <f t="shared" si="29"/>
        <v>0</v>
      </c>
      <c r="BE108" s="37"/>
      <c r="BF108" s="76">
        <f t="shared" si="30"/>
        <v>0</v>
      </c>
      <c r="BH108" s="76">
        <f t="shared" si="31"/>
        <v>0</v>
      </c>
      <c r="BJ108" s="76">
        <f t="shared" si="32"/>
        <v>0</v>
      </c>
      <c r="BL108" s="39">
        <f t="shared" si="19"/>
        <v>0</v>
      </c>
      <c r="BM108" s="3"/>
      <c r="BN108" s="3"/>
      <c r="BO108" s="3"/>
    </row>
    <row r="109" spans="1:67" x14ac:dyDescent="0.2">
      <c r="A109" s="14"/>
      <c r="B109" s="3" t="s">
        <v>332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>
        <f t="shared" si="27"/>
        <v>0</v>
      </c>
      <c r="BA109" s="5"/>
      <c r="BB109" s="76">
        <f t="shared" si="28"/>
        <v>0</v>
      </c>
      <c r="BC109" s="37"/>
      <c r="BD109" s="76">
        <f t="shared" si="29"/>
        <v>0</v>
      </c>
      <c r="BE109" s="37"/>
      <c r="BF109" s="76">
        <f t="shared" si="30"/>
        <v>0</v>
      </c>
      <c r="BH109" s="76">
        <f t="shared" si="31"/>
        <v>0</v>
      </c>
      <c r="BJ109" s="76">
        <f t="shared" si="32"/>
        <v>0</v>
      </c>
      <c r="BL109" s="39">
        <f t="shared" si="19"/>
        <v>0</v>
      </c>
      <c r="BM109" s="3"/>
      <c r="BN109" s="3"/>
      <c r="BO109" s="3"/>
    </row>
    <row r="110" spans="1:67" outlineLevel="1" x14ac:dyDescent="0.2">
      <c r="A110" s="14"/>
      <c r="B110" s="3" t="s">
        <v>333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>
        <v>0</v>
      </c>
      <c r="AJ110" s="15"/>
      <c r="AK110" s="15"/>
      <c r="AL110" s="15"/>
      <c r="AM110" s="15"/>
      <c r="AN110" s="15"/>
      <c r="AO110" s="15"/>
      <c r="AP110" s="15"/>
      <c r="AQ110" s="15"/>
      <c r="AR110" s="15"/>
      <c r="AS110" s="15">
        <v>-6164.22</v>
      </c>
      <c r="AT110" s="15"/>
      <c r="AU110" s="15"/>
      <c r="AV110" s="15"/>
      <c r="AW110" s="15"/>
      <c r="AX110" s="15"/>
      <c r="AY110" s="15"/>
      <c r="AZ110" s="15">
        <f t="shared" si="27"/>
        <v>-6164.22</v>
      </c>
      <c r="BA110" s="5"/>
      <c r="BB110" s="76">
        <f t="shared" si="28"/>
        <v>0</v>
      </c>
      <c r="BC110" s="37"/>
      <c r="BD110" s="76">
        <f t="shared" si="29"/>
        <v>-6164.22</v>
      </c>
      <c r="BE110" s="37"/>
      <c r="BF110" s="76">
        <f t="shared" si="30"/>
        <v>0</v>
      </c>
      <c r="BH110" s="76">
        <f t="shared" si="31"/>
        <v>0</v>
      </c>
      <c r="BJ110" s="76">
        <f t="shared" si="32"/>
        <v>-6164.22</v>
      </c>
      <c r="BL110" s="39">
        <f t="shared" si="19"/>
        <v>0</v>
      </c>
      <c r="BM110" s="3"/>
      <c r="BN110" s="3"/>
      <c r="BO110" s="3"/>
    </row>
    <row r="111" spans="1:67" outlineLevel="1" x14ac:dyDescent="0.2">
      <c r="A111" s="14"/>
      <c r="B111" s="31" t="s">
        <v>334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>
        <v>0</v>
      </c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>
        <f t="shared" si="27"/>
        <v>0</v>
      </c>
      <c r="BA111" s="5"/>
      <c r="BB111" s="76">
        <f t="shared" si="28"/>
        <v>0</v>
      </c>
      <c r="BC111" s="37"/>
      <c r="BD111" s="76">
        <f t="shared" si="29"/>
        <v>0</v>
      </c>
      <c r="BE111" s="37"/>
      <c r="BF111" s="76">
        <f t="shared" si="30"/>
        <v>0</v>
      </c>
      <c r="BH111" s="76">
        <f t="shared" si="31"/>
        <v>0</v>
      </c>
      <c r="BJ111" s="76">
        <f t="shared" si="32"/>
        <v>0</v>
      </c>
      <c r="BL111" s="39">
        <f t="shared" si="19"/>
        <v>0</v>
      </c>
      <c r="BM111" s="3"/>
      <c r="BN111" s="3"/>
      <c r="BO111" s="3"/>
    </row>
    <row r="112" spans="1:67" x14ac:dyDescent="0.2">
      <c r="A112" s="14"/>
      <c r="B112" s="31" t="s">
        <v>335</v>
      </c>
      <c r="C112" s="15">
        <f>SUM(C110:C111)</f>
        <v>0</v>
      </c>
      <c r="D112" s="15"/>
      <c r="E112" s="15">
        <f>SUM(E110:E111)</f>
        <v>0</v>
      </c>
      <c r="F112" s="15"/>
      <c r="G112" s="15">
        <f>SUM(G110:G111)</f>
        <v>0</v>
      </c>
      <c r="H112" s="15"/>
      <c r="I112" s="15">
        <f>SUM(I110:I111)</f>
        <v>0</v>
      </c>
      <c r="J112" s="15"/>
      <c r="K112" s="15">
        <f>SUM(K110:K111)</f>
        <v>0</v>
      </c>
      <c r="L112" s="15"/>
      <c r="M112" s="15">
        <f>SUM(M110:M111)</f>
        <v>0</v>
      </c>
      <c r="N112" s="15"/>
      <c r="O112" s="15">
        <f>SUM(O110:O111)</f>
        <v>0</v>
      </c>
      <c r="P112" s="15"/>
      <c r="Q112" s="15">
        <f>SUM(Q110:Q111)</f>
        <v>0</v>
      </c>
      <c r="R112" s="15"/>
      <c r="S112" s="15">
        <f>SUM(S110:S111)</f>
        <v>0</v>
      </c>
      <c r="T112" s="15"/>
      <c r="U112" s="15">
        <f>SUM(U110:U111)</f>
        <v>0</v>
      </c>
      <c r="V112" s="15"/>
      <c r="W112" s="15">
        <f>SUM(W110:W111)</f>
        <v>0</v>
      </c>
      <c r="X112" s="15"/>
      <c r="Y112" s="15">
        <f>SUM(Y110:Y111)</f>
        <v>0</v>
      </c>
      <c r="Z112" s="15"/>
      <c r="AA112" s="15">
        <f>SUM(AA110:AA111)</f>
        <v>0</v>
      </c>
      <c r="AB112" s="15"/>
      <c r="AC112" s="15">
        <f>SUM(AC110:AC111)</f>
        <v>0</v>
      </c>
      <c r="AD112" s="15"/>
      <c r="AE112" s="15">
        <f>SUM(AE110:AE111)</f>
        <v>0</v>
      </c>
      <c r="AF112" s="15"/>
      <c r="AG112" s="15">
        <f>SUM(AG110:AG111)</f>
        <v>0</v>
      </c>
      <c r="AH112" s="15"/>
      <c r="AI112" s="15">
        <f>SUM(AI110:AI111)</f>
        <v>0</v>
      </c>
      <c r="AJ112" s="15"/>
      <c r="AK112" s="15">
        <f>SUM(AK110:AK111)</f>
        <v>0</v>
      </c>
      <c r="AL112" s="15"/>
      <c r="AM112" s="15">
        <f>SUM(AM110:AM111)</f>
        <v>0</v>
      </c>
      <c r="AN112" s="15"/>
      <c r="AO112" s="15">
        <f>SUM(AO110:AO111)</f>
        <v>0</v>
      </c>
      <c r="AP112" s="15"/>
      <c r="AQ112" s="15">
        <f>SUM(AQ110:AQ111)</f>
        <v>0</v>
      </c>
      <c r="AR112" s="15"/>
      <c r="AT112" s="15">
        <f>SUM(AT110:AT111)</f>
        <v>0</v>
      </c>
      <c r="AU112" s="15"/>
      <c r="AV112" s="15">
        <f>SUM(AV110:AV111)</f>
        <v>0</v>
      </c>
      <c r="AW112" s="15"/>
      <c r="AX112" s="15">
        <f>SUM(AX110:AX111)</f>
        <v>0</v>
      </c>
      <c r="AY112" s="15"/>
      <c r="AZ112" s="15">
        <f>SUM(AS110:AS111)</f>
        <v>-6164.22</v>
      </c>
      <c r="BA112" s="5"/>
      <c r="BB112" s="76">
        <f t="shared" si="28"/>
        <v>0</v>
      </c>
      <c r="BC112" s="37"/>
      <c r="BD112" s="76">
        <f>+BD110+BD111</f>
        <v>-6164.22</v>
      </c>
      <c r="BE112" s="37"/>
      <c r="BF112" s="76">
        <f t="shared" si="30"/>
        <v>0</v>
      </c>
      <c r="BH112" s="76">
        <f t="shared" si="31"/>
        <v>0</v>
      </c>
      <c r="BJ112" s="76">
        <f t="shared" si="32"/>
        <v>-6164.22</v>
      </c>
      <c r="BL112" s="39">
        <f t="shared" si="19"/>
        <v>0</v>
      </c>
      <c r="BM112" s="3"/>
      <c r="BN112" s="3"/>
      <c r="BO112" s="3"/>
    </row>
    <row r="113" spans="1:67" x14ac:dyDescent="0.2">
      <c r="A113" s="14"/>
      <c r="B113" s="115" t="s">
        <v>336</v>
      </c>
      <c r="C113" s="20">
        <f>C112+SUM(C103:C109)</f>
        <v>0</v>
      </c>
      <c r="D113" s="15"/>
      <c r="E113" s="20">
        <f>E112+SUM(E103:E109)</f>
        <v>0</v>
      </c>
      <c r="F113" s="15"/>
      <c r="G113" s="20">
        <f>G112+SUM(G103:G109)</f>
        <v>0</v>
      </c>
      <c r="H113" s="15"/>
      <c r="I113" s="20">
        <f>I112+SUM(I103:I109)</f>
        <v>0</v>
      </c>
      <c r="J113" s="15"/>
      <c r="K113" s="20">
        <f>K112+SUM(K103:K109)</f>
        <v>0</v>
      </c>
      <c r="L113" s="15"/>
      <c r="M113" s="20">
        <f>M112+SUM(M103:M109)</f>
        <v>0</v>
      </c>
      <c r="N113" s="15"/>
      <c r="O113" s="20">
        <f>O112+SUM(O103:O109)</f>
        <v>0</v>
      </c>
      <c r="P113" s="15"/>
      <c r="Q113" s="20">
        <f>Q112+SUM(Q103:Q109)</f>
        <v>0</v>
      </c>
      <c r="R113" s="15"/>
      <c r="S113" s="20">
        <f>S112+SUM(S103:S109)</f>
        <v>0</v>
      </c>
      <c r="T113" s="20"/>
      <c r="U113" s="20">
        <f>U112+SUM(U103:U109)</f>
        <v>0</v>
      </c>
      <c r="V113" s="20"/>
      <c r="W113" s="20"/>
      <c r="X113" s="15"/>
      <c r="Y113" s="20">
        <f>Y112+SUM(Y103:Y109)</f>
        <v>0</v>
      </c>
      <c r="Z113" s="15"/>
      <c r="AA113" s="20">
        <f>AA112+SUM(AA103:AA109)</f>
        <v>0</v>
      </c>
      <c r="AB113" s="15"/>
      <c r="AC113" s="20">
        <f>AC112+SUM(AC103:AC109)</f>
        <v>0</v>
      </c>
      <c r="AD113" s="15"/>
      <c r="AE113" s="20">
        <f>AE112+SUM(AE103:AE109)</f>
        <v>0</v>
      </c>
      <c r="AF113" s="15"/>
      <c r="AG113" s="20">
        <f>AG112+SUM(AG103:AG109)</f>
        <v>0</v>
      </c>
      <c r="AH113" s="15"/>
      <c r="AI113" s="20">
        <f>AI112+SUM(AI103:AI109)</f>
        <v>0</v>
      </c>
      <c r="AJ113" s="15"/>
      <c r="AK113" s="20">
        <f>AK112+SUM(AK103:AK109)</f>
        <v>0</v>
      </c>
      <c r="AL113" s="20"/>
      <c r="AM113" s="20">
        <f>AM112+SUM(AM103:AM109)</f>
        <v>0</v>
      </c>
      <c r="AN113" s="20"/>
      <c r="AO113" s="20">
        <f>AO112+SUM(AO103:AO109)</f>
        <v>0</v>
      </c>
      <c r="AP113" s="20"/>
      <c r="AQ113" s="20">
        <f>AQ112+SUM(AQ103:AQ109)</f>
        <v>0</v>
      </c>
      <c r="AR113" s="20"/>
      <c r="AT113" s="20">
        <f>AT112+SUM(AT103:AT109)</f>
        <v>0</v>
      </c>
      <c r="AU113" s="20"/>
      <c r="AV113" s="20">
        <f>AV112+SUM(AV103:AV109)</f>
        <v>0</v>
      </c>
      <c r="AW113" s="20"/>
      <c r="AX113" s="20">
        <f>AX112+SUM(AX103:AX109)</f>
        <v>0</v>
      </c>
      <c r="AY113" s="20"/>
      <c r="AZ113" s="20">
        <f>AZ112+SUM(AS103:AS109)</f>
        <v>-6164.22</v>
      </c>
      <c r="BA113" s="5"/>
      <c r="BB113" s="114">
        <f>BB112+SUM(BB103:BB109)</f>
        <v>0</v>
      </c>
      <c r="BC113" s="37"/>
      <c r="BD113" s="114">
        <f>BD112+SUM(BD103:BD109)</f>
        <v>-6164.22</v>
      </c>
      <c r="BE113" s="37"/>
      <c r="BF113" s="114">
        <f>BF112+SUM(BF103:BF109)</f>
        <v>0</v>
      </c>
      <c r="BH113" s="114">
        <f>BH112+SUM(BH103:BH109)</f>
        <v>0</v>
      </c>
      <c r="BJ113" s="114">
        <f>BJ112+SUM(BJ103:BJ109)</f>
        <v>-6164.22</v>
      </c>
      <c r="BL113" s="39">
        <f t="shared" si="19"/>
        <v>0</v>
      </c>
      <c r="BM113" s="3"/>
      <c r="BN113" s="3"/>
      <c r="BO113" s="3"/>
    </row>
    <row r="114" spans="1:67" x14ac:dyDescent="0.2">
      <c r="A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5"/>
      <c r="BB114" s="76"/>
      <c r="BC114" s="37"/>
      <c r="BD114" s="76"/>
      <c r="BE114" s="37"/>
      <c r="BL114" s="39">
        <f t="shared" si="19"/>
        <v>0</v>
      </c>
      <c r="BM114" s="3"/>
      <c r="BN114" s="3"/>
      <c r="BO114" s="3"/>
    </row>
    <row r="115" spans="1:67" x14ac:dyDescent="0.2">
      <c r="A115" s="14"/>
      <c r="B115" s="10" t="s">
        <v>337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5"/>
      <c r="BB115" s="76"/>
      <c r="BC115" s="37"/>
      <c r="BD115" s="76"/>
      <c r="BE115" s="37"/>
      <c r="BL115" s="39">
        <f t="shared" si="19"/>
        <v>0</v>
      </c>
      <c r="BM115" s="3"/>
      <c r="BN115" s="3"/>
      <c r="BO115" s="3"/>
    </row>
    <row r="116" spans="1:67" outlineLevel="1" x14ac:dyDescent="0.2">
      <c r="A116" s="14"/>
      <c r="B116" s="3" t="s">
        <v>338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>
        <v>839535.3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>
        <f>SUM(C116:AY116)</f>
        <v>839535.3</v>
      </c>
      <c r="BA116" s="5"/>
      <c r="BB116" s="76">
        <f t="shared" ref="BB116:BB132" si="33">SUMIF($C$10:$AY$10,"=Addition",$C116:$AY116)</f>
        <v>0</v>
      </c>
      <c r="BC116" s="37"/>
      <c r="BD116" s="76">
        <f t="shared" ref="BD116:BD132" si="34">SUMIF($C$10:$AY$10,"=Adjustment",$C116:$AY116)</f>
        <v>0</v>
      </c>
      <c r="BE116" s="37"/>
      <c r="BF116" s="76">
        <f t="shared" ref="BF116:BF132" si="35">SUMIF($C$10:$AY$10,"=Transfer",$C116:$AY116)</f>
        <v>839535.3</v>
      </c>
      <c r="BH116" s="76">
        <f t="shared" ref="BH116:BH132" si="36">SUMIF($C$10:$AY$10,"=N/A",$C116:$AY116)</f>
        <v>0</v>
      </c>
      <c r="BJ116" s="76">
        <f t="shared" ref="BJ116:BJ132" si="37">SUM(BB116:BH116)</f>
        <v>839535.3</v>
      </c>
      <c r="BK116" s="76"/>
      <c r="BL116" s="39">
        <f t="shared" si="19"/>
        <v>0</v>
      </c>
      <c r="BM116" s="3"/>
      <c r="BN116" s="3"/>
      <c r="BO116" s="3"/>
    </row>
    <row r="117" spans="1:67" outlineLevel="1" x14ac:dyDescent="0.2">
      <c r="A117" s="14"/>
      <c r="B117" s="22" t="s">
        <v>339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>
        <f>SUM(C117:AY117)</f>
        <v>0</v>
      </c>
      <c r="BA117" s="5"/>
      <c r="BB117" s="76">
        <f t="shared" si="33"/>
        <v>0</v>
      </c>
      <c r="BC117" s="37"/>
      <c r="BD117" s="76">
        <f t="shared" si="34"/>
        <v>0</v>
      </c>
      <c r="BE117" s="37"/>
      <c r="BF117" s="76">
        <f t="shared" si="35"/>
        <v>0</v>
      </c>
      <c r="BH117" s="76">
        <f t="shared" si="36"/>
        <v>0</v>
      </c>
      <c r="BJ117" s="76">
        <f t="shared" si="37"/>
        <v>0</v>
      </c>
      <c r="BK117" s="76"/>
      <c r="BL117" s="39">
        <f t="shared" si="19"/>
        <v>0</v>
      </c>
      <c r="BM117" s="3"/>
      <c r="BN117" s="3"/>
      <c r="BO117" s="3"/>
    </row>
    <row r="118" spans="1:67" outlineLevel="1" x14ac:dyDescent="0.2">
      <c r="A118" s="14"/>
      <c r="B118" s="22" t="s">
        <v>340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>
        <f>SUM(C118:AY118)</f>
        <v>0</v>
      </c>
      <c r="BA118" s="5"/>
      <c r="BB118" s="76">
        <f t="shared" si="33"/>
        <v>0</v>
      </c>
      <c r="BC118" s="37"/>
      <c r="BD118" s="76">
        <f t="shared" si="34"/>
        <v>0</v>
      </c>
      <c r="BE118" s="37"/>
      <c r="BF118" s="76">
        <f t="shared" si="35"/>
        <v>0</v>
      </c>
      <c r="BH118" s="76">
        <f t="shared" si="36"/>
        <v>0</v>
      </c>
      <c r="BJ118" s="76">
        <f t="shared" si="37"/>
        <v>0</v>
      </c>
      <c r="BK118" s="76"/>
      <c r="BL118" s="39"/>
      <c r="BM118" s="3"/>
      <c r="BN118" s="3"/>
      <c r="BO118" s="3"/>
    </row>
    <row r="119" spans="1:67" x14ac:dyDescent="0.2">
      <c r="A119" s="14"/>
      <c r="B119" s="22" t="s">
        <v>341</v>
      </c>
      <c r="C119" s="15">
        <f>SUM(C116:C118)</f>
        <v>0</v>
      </c>
      <c r="D119" s="15"/>
      <c r="E119" s="15">
        <f>SUM(E116:E118)</f>
        <v>0</v>
      </c>
      <c r="F119" s="15"/>
      <c r="G119" s="15">
        <f>SUM(G116:G118)</f>
        <v>0</v>
      </c>
      <c r="H119" s="15"/>
      <c r="I119" s="15">
        <f>SUM(I116:I118)</f>
        <v>0</v>
      </c>
      <c r="J119" s="15"/>
      <c r="K119" s="15">
        <f>SUM(K116:K118)</f>
        <v>0</v>
      </c>
      <c r="L119" s="15"/>
      <c r="M119" s="15">
        <f>SUM(M116:M118)</f>
        <v>0</v>
      </c>
      <c r="N119" s="15"/>
      <c r="O119" s="15">
        <f>SUM(O116:O118)</f>
        <v>839535.3</v>
      </c>
      <c r="P119" s="15"/>
      <c r="Q119" s="15">
        <f>SUM(Q116:Q118)</f>
        <v>0</v>
      </c>
      <c r="R119" s="15"/>
      <c r="S119" s="15">
        <f>SUM(S116:S118)</f>
        <v>0</v>
      </c>
      <c r="T119" s="15"/>
      <c r="U119" s="15">
        <f>SUM(U116:U118)</f>
        <v>0</v>
      </c>
      <c r="V119" s="15"/>
      <c r="W119" s="15">
        <f>SUM(W116:W118)</f>
        <v>0</v>
      </c>
      <c r="X119" s="15"/>
      <c r="Y119" s="15">
        <f>SUM(Y116:Y118)</f>
        <v>0</v>
      </c>
      <c r="Z119" s="15"/>
      <c r="AA119" s="15">
        <f>SUM(AA116:AA118)</f>
        <v>0</v>
      </c>
      <c r="AB119" s="15"/>
      <c r="AC119" s="15">
        <f>SUM(AC116:AC118)</f>
        <v>0</v>
      </c>
      <c r="AD119" s="15"/>
      <c r="AE119" s="15">
        <f>SUM(AE116:AE118)</f>
        <v>0</v>
      </c>
      <c r="AF119" s="15"/>
      <c r="AG119" s="15">
        <f>SUM(AG116:AG118)</f>
        <v>0</v>
      </c>
      <c r="AH119" s="15"/>
      <c r="AI119" s="15">
        <f>SUM(AI116:AI118)</f>
        <v>0</v>
      </c>
      <c r="AJ119" s="15"/>
      <c r="AK119" s="15">
        <f>SUM(AK116:AK118)</f>
        <v>0</v>
      </c>
      <c r="AL119" s="15"/>
      <c r="AM119" s="15">
        <f>SUM(AM116:AM118)</f>
        <v>0</v>
      </c>
      <c r="AN119" s="15"/>
      <c r="AO119" s="15">
        <f>SUM(AO116:AO118)</f>
        <v>0</v>
      </c>
      <c r="AP119" s="15"/>
      <c r="AQ119" s="15">
        <f>SUM(AQ116:AQ118)</f>
        <v>0</v>
      </c>
      <c r="AR119" s="15"/>
      <c r="AS119" s="15">
        <f>SUM(AS116:AS118)</f>
        <v>0</v>
      </c>
      <c r="AT119" s="15">
        <f>SUM(AT116:AT118)</f>
        <v>0</v>
      </c>
      <c r="AU119" s="15"/>
      <c r="AV119" s="15">
        <f>SUM(AV116:AV118)</f>
        <v>0</v>
      </c>
      <c r="AW119" s="15"/>
      <c r="AX119" s="15">
        <f>SUM(AX116:AX118)</f>
        <v>0</v>
      </c>
      <c r="AY119" s="15"/>
      <c r="AZ119" s="15">
        <f>SUM(AZ116:AZ118)</f>
        <v>839535.3</v>
      </c>
      <c r="BA119" s="5"/>
      <c r="BB119" s="76">
        <f t="shared" si="33"/>
        <v>0</v>
      </c>
      <c r="BC119" s="37"/>
      <c r="BD119" s="76">
        <f t="shared" si="34"/>
        <v>0</v>
      </c>
      <c r="BE119" s="37"/>
      <c r="BF119" s="76">
        <f t="shared" si="35"/>
        <v>839535.3</v>
      </c>
      <c r="BH119" s="76">
        <f t="shared" si="36"/>
        <v>0</v>
      </c>
      <c r="BJ119" s="76">
        <f t="shared" si="37"/>
        <v>839535.3</v>
      </c>
      <c r="BL119" s="39">
        <f t="shared" si="19"/>
        <v>0</v>
      </c>
      <c r="BM119" s="3"/>
      <c r="BN119" s="3"/>
      <c r="BO119" s="3"/>
    </row>
    <row r="120" spans="1:67" outlineLevel="1" x14ac:dyDescent="0.2">
      <c r="A120" s="14"/>
      <c r="B120" s="3" t="s">
        <v>342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>
        <v>-6706460.1100000003</v>
      </c>
      <c r="N120" s="15"/>
      <c r="O120" s="15">
        <v>2772653.37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>
        <f>SUM(C120:AY120)</f>
        <v>-3933806.74</v>
      </c>
      <c r="BA120" s="5"/>
      <c r="BB120" s="76">
        <f t="shared" si="33"/>
        <v>0</v>
      </c>
      <c r="BC120" s="37"/>
      <c r="BD120" s="76">
        <f t="shared" si="34"/>
        <v>0</v>
      </c>
      <c r="BE120" s="37"/>
      <c r="BF120" s="76">
        <f t="shared" si="35"/>
        <v>-3933806.74</v>
      </c>
      <c r="BH120" s="76">
        <f t="shared" si="36"/>
        <v>0</v>
      </c>
      <c r="BJ120" s="76">
        <f t="shared" si="37"/>
        <v>-3933806.74</v>
      </c>
      <c r="BL120" s="39">
        <f t="shared" si="19"/>
        <v>0</v>
      </c>
      <c r="BM120" s="3"/>
      <c r="BN120" s="3"/>
      <c r="BO120" s="3"/>
    </row>
    <row r="121" spans="1:67" outlineLevel="1" x14ac:dyDescent="0.2">
      <c r="A121" s="14"/>
      <c r="B121" s="3" t="s">
        <v>343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>
        <f>SUM(C121:AY121)</f>
        <v>0</v>
      </c>
      <c r="BA121" s="5"/>
      <c r="BB121" s="76">
        <f t="shared" si="33"/>
        <v>0</v>
      </c>
      <c r="BC121" s="37"/>
      <c r="BD121" s="76">
        <f t="shared" si="34"/>
        <v>0</v>
      </c>
      <c r="BE121" s="37"/>
      <c r="BF121" s="76">
        <f t="shared" si="35"/>
        <v>0</v>
      </c>
      <c r="BH121" s="76">
        <f t="shared" si="36"/>
        <v>0</v>
      </c>
      <c r="BJ121" s="76">
        <f t="shared" si="37"/>
        <v>0</v>
      </c>
      <c r="BL121" s="39">
        <f t="shared" si="19"/>
        <v>0</v>
      </c>
      <c r="BM121" s="3"/>
      <c r="BN121" s="3"/>
      <c r="BO121" s="3"/>
    </row>
    <row r="122" spans="1:67" x14ac:dyDescent="0.2">
      <c r="A122" s="14"/>
      <c r="B122" s="3" t="s">
        <v>344</v>
      </c>
      <c r="C122" s="15">
        <f>SUM(C120:C121)</f>
        <v>0</v>
      </c>
      <c r="D122" s="15"/>
      <c r="E122" s="15">
        <f>SUM(E120:E121)</f>
        <v>0</v>
      </c>
      <c r="F122" s="15"/>
      <c r="G122" s="15">
        <f>SUM(G120:G121)</f>
        <v>0</v>
      </c>
      <c r="H122" s="15"/>
      <c r="I122" s="15">
        <f>SUM(I120:I121)</f>
        <v>0</v>
      </c>
      <c r="J122" s="15"/>
      <c r="K122" s="15">
        <f>SUM(K120:K121)</f>
        <v>0</v>
      </c>
      <c r="L122" s="15"/>
      <c r="M122" s="15">
        <f>SUM(M120:M121)</f>
        <v>-6706460.1100000003</v>
      </c>
      <c r="N122" s="15"/>
      <c r="O122" s="15">
        <f>SUM(O120:O121)</f>
        <v>2772653.37</v>
      </c>
      <c r="P122" s="15"/>
      <c r="Q122" s="15">
        <f>SUM(Q120:Q121)</f>
        <v>0</v>
      </c>
      <c r="R122" s="15"/>
      <c r="S122" s="15">
        <f>SUM(S120:S121)</f>
        <v>0</v>
      </c>
      <c r="T122" s="15"/>
      <c r="U122" s="15">
        <f>SUM(U120:U121)</f>
        <v>0</v>
      </c>
      <c r="V122" s="15"/>
      <c r="W122" s="15">
        <f>SUM(W120:W121)</f>
        <v>0</v>
      </c>
      <c r="X122" s="15"/>
      <c r="Y122" s="15">
        <f>SUM(Y120:Y121)</f>
        <v>0</v>
      </c>
      <c r="Z122" s="15"/>
      <c r="AA122" s="15">
        <f>SUM(AA120:AA121)</f>
        <v>0</v>
      </c>
      <c r="AB122" s="15"/>
      <c r="AC122" s="15">
        <f>SUM(AC120:AC121)</f>
        <v>0</v>
      </c>
      <c r="AD122" s="15"/>
      <c r="AE122" s="15">
        <f>SUM(AE120:AE121)</f>
        <v>0</v>
      </c>
      <c r="AF122" s="15"/>
      <c r="AG122" s="15">
        <f>SUM(AG120:AG121)</f>
        <v>0</v>
      </c>
      <c r="AH122" s="15"/>
      <c r="AI122" s="15">
        <f>SUM(AI120:AI121)</f>
        <v>0</v>
      </c>
      <c r="AJ122" s="15"/>
      <c r="AK122" s="15">
        <f>SUM(AK120:AK121)</f>
        <v>0</v>
      </c>
      <c r="AL122" s="15"/>
      <c r="AM122" s="15">
        <f>SUM(AM120:AM121)</f>
        <v>0</v>
      </c>
      <c r="AN122" s="15"/>
      <c r="AO122" s="15">
        <f>SUM(AO120:AO121)</f>
        <v>0</v>
      </c>
      <c r="AP122" s="15"/>
      <c r="AQ122" s="15">
        <f>SUM(AQ120:AQ121)</f>
        <v>0</v>
      </c>
      <c r="AR122" s="15"/>
      <c r="AS122" s="15">
        <f>SUM(AS120:AS121)</f>
        <v>0</v>
      </c>
      <c r="AT122" s="15">
        <f>SUM(AT120:AT121)</f>
        <v>0</v>
      </c>
      <c r="AU122" s="15"/>
      <c r="AV122" s="15">
        <f>SUM(AV120:AV121)</f>
        <v>0</v>
      </c>
      <c r="AW122" s="15"/>
      <c r="AX122" s="15">
        <f>SUM(AX120:AX121)</f>
        <v>0</v>
      </c>
      <c r="AY122" s="15"/>
      <c r="AZ122" s="15">
        <f>SUM(AZ120:AZ121)</f>
        <v>-3933806.74</v>
      </c>
      <c r="BA122" s="5"/>
      <c r="BB122" s="76">
        <f t="shared" si="33"/>
        <v>0</v>
      </c>
      <c r="BC122" s="37"/>
      <c r="BD122" s="76">
        <f t="shared" si="34"/>
        <v>0</v>
      </c>
      <c r="BE122" s="37"/>
      <c r="BF122" s="76">
        <f t="shared" si="35"/>
        <v>-3933806.74</v>
      </c>
      <c r="BH122" s="76">
        <f t="shared" si="36"/>
        <v>0</v>
      </c>
      <c r="BJ122" s="76">
        <f t="shared" si="37"/>
        <v>-3933806.74</v>
      </c>
      <c r="BL122" s="39">
        <f t="shared" si="19"/>
        <v>0</v>
      </c>
      <c r="BM122" s="3"/>
      <c r="BN122" s="3"/>
      <c r="BO122" s="3"/>
    </row>
    <row r="123" spans="1:67" outlineLevel="1" x14ac:dyDescent="0.2">
      <c r="A123" s="14"/>
      <c r="B123" s="3" t="s">
        <v>345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>
        <v>6706460.1100000003</v>
      </c>
      <c r="N123" s="15"/>
      <c r="O123" s="15"/>
      <c r="P123" s="15"/>
      <c r="Q123" s="15">
        <v>149103.37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>
        <f>SUM(C123:AY123)</f>
        <v>6855563.4800000004</v>
      </c>
      <c r="BA123" s="5"/>
      <c r="BB123" s="76">
        <f t="shared" si="33"/>
        <v>0</v>
      </c>
      <c r="BC123" s="37"/>
      <c r="BD123" s="76">
        <f t="shared" si="34"/>
        <v>0</v>
      </c>
      <c r="BE123" s="37"/>
      <c r="BF123" s="76">
        <f t="shared" si="35"/>
        <v>6855563.4800000004</v>
      </c>
      <c r="BH123" s="76">
        <f t="shared" si="36"/>
        <v>0</v>
      </c>
      <c r="BJ123" s="76">
        <f t="shared" si="37"/>
        <v>6855563.4800000004</v>
      </c>
      <c r="BL123" s="39">
        <f t="shared" si="19"/>
        <v>0</v>
      </c>
      <c r="BM123" s="3"/>
      <c r="BN123" s="3"/>
      <c r="BO123" s="3"/>
    </row>
    <row r="124" spans="1:67" outlineLevel="1" x14ac:dyDescent="0.2">
      <c r="A124" s="14"/>
      <c r="B124" s="3" t="s">
        <v>346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>
        <f>SUM(C124:AY124)</f>
        <v>0</v>
      </c>
      <c r="BA124" s="5"/>
      <c r="BB124" s="76">
        <f t="shared" si="33"/>
        <v>0</v>
      </c>
      <c r="BC124" s="37"/>
      <c r="BD124" s="76">
        <f t="shared" si="34"/>
        <v>0</v>
      </c>
      <c r="BE124" s="37"/>
      <c r="BF124" s="76">
        <f t="shared" si="35"/>
        <v>0</v>
      </c>
      <c r="BH124" s="76">
        <f t="shared" si="36"/>
        <v>0</v>
      </c>
      <c r="BJ124" s="76">
        <f t="shared" si="37"/>
        <v>0</v>
      </c>
      <c r="BL124" s="39">
        <f t="shared" si="19"/>
        <v>0</v>
      </c>
      <c r="BM124" s="3"/>
      <c r="BN124" s="3"/>
      <c r="BO124" s="3"/>
    </row>
    <row r="125" spans="1:67" x14ac:dyDescent="0.2">
      <c r="A125" s="14"/>
      <c r="B125" s="3" t="s">
        <v>347</v>
      </c>
      <c r="C125" s="15">
        <f>SUM(C123:C124)</f>
        <v>0</v>
      </c>
      <c r="D125" s="15"/>
      <c r="E125" s="15">
        <f>SUM(E123:E124)</f>
        <v>0</v>
      </c>
      <c r="F125" s="15"/>
      <c r="G125" s="15">
        <f>SUM(G123:G124)</f>
        <v>0</v>
      </c>
      <c r="H125" s="15"/>
      <c r="I125" s="15">
        <f>SUM(I123:I124)</f>
        <v>0</v>
      </c>
      <c r="J125" s="15"/>
      <c r="K125" s="15">
        <f>SUM(K123:K124)</f>
        <v>0</v>
      </c>
      <c r="L125" s="15"/>
      <c r="M125" s="15">
        <f>SUM(M123:M124)</f>
        <v>6706460.1100000003</v>
      </c>
      <c r="N125" s="15"/>
      <c r="O125" s="15">
        <f>SUM(O123:O124)</f>
        <v>0</v>
      </c>
      <c r="P125" s="15"/>
      <c r="Q125" s="15">
        <f>SUM(Q123:Q124)</f>
        <v>149103.37</v>
      </c>
      <c r="R125" s="15"/>
      <c r="S125" s="15">
        <f>SUM(S123:S124)</f>
        <v>0</v>
      </c>
      <c r="T125" s="15"/>
      <c r="U125" s="15">
        <f>SUM(U123:U124)</f>
        <v>0</v>
      </c>
      <c r="V125" s="15"/>
      <c r="W125" s="15">
        <f>SUM(W123:W124)</f>
        <v>0</v>
      </c>
      <c r="X125" s="15"/>
      <c r="Y125" s="15">
        <f>SUM(Y123:Y124)</f>
        <v>0</v>
      </c>
      <c r="Z125" s="15"/>
      <c r="AA125" s="15">
        <f>SUM(AA123:AA124)</f>
        <v>0</v>
      </c>
      <c r="AB125" s="15"/>
      <c r="AC125" s="15">
        <f>SUM(AC123:AC124)</f>
        <v>0</v>
      </c>
      <c r="AD125" s="15"/>
      <c r="AE125" s="15">
        <f>SUM(AE123:AE124)</f>
        <v>0</v>
      </c>
      <c r="AF125" s="15"/>
      <c r="AG125" s="15">
        <f>SUM(AG123:AG124)</f>
        <v>0</v>
      </c>
      <c r="AH125" s="15"/>
      <c r="AI125" s="15">
        <f>SUM(AI123:AI124)</f>
        <v>0</v>
      </c>
      <c r="AJ125" s="15"/>
      <c r="AK125" s="15">
        <f>SUM(AK123:AK124)</f>
        <v>0</v>
      </c>
      <c r="AL125" s="15"/>
      <c r="AM125" s="15">
        <f>SUM(AM123:AM124)</f>
        <v>0</v>
      </c>
      <c r="AN125" s="15"/>
      <c r="AO125" s="15">
        <f>SUM(AO123:AO124)</f>
        <v>0</v>
      </c>
      <c r="AP125" s="15"/>
      <c r="AQ125" s="15">
        <f>SUM(AQ123:AQ124)</f>
        <v>0</v>
      </c>
      <c r="AR125" s="15"/>
      <c r="AS125" s="15">
        <f>SUM(AS123:AS124)</f>
        <v>0</v>
      </c>
      <c r="AT125" s="15">
        <f>SUM(AT123:AT124)</f>
        <v>0</v>
      </c>
      <c r="AU125" s="15"/>
      <c r="AV125" s="15">
        <f>SUM(AV123:AV124)</f>
        <v>0</v>
      </c>
      <c r="AW125" s="15"/>
      <c r="AX125" s="15">
        <f>SUM(AX123:AX124)</f>
        <v>0</v>
      </c>
      <c r="AY125" s="15"/>
      <c r="AZ125" s="15">
        <f>SUM(AZ123:AZ124)</f>
        <v>6855563.4800000004</v>
      </c>
      <c r="BA125" s="5"/>
      <c r="BB125" s="76">
        <f t="shared" si="33"/>
        <v>0</v>
      </c>
      <c r="BC125" s="37"/>
      <c r="BD125" s="76">
        <f t="shared" si="34"/>
        <v>0</v>
      </c>
      <c r="BE125" s="37"/>
      <c r="BF125" s="76">
        <f t="shared" si="35"/>
        <v>6855563.4800000004</v>
      </c>
      <c r="BH125" s="76">
        <f t="shared" si="36"/>
        <v>0</v>
      </c>
      <c r="BJ125" s="76">
        <f t="shared" si="37"/>
        <v>6855563.4800000004</v>
      </c>
      <c r="BL125" s="39">
        <f t="shared" si="19"/>
        <v>0</v>
      </c>
      <c r="BM125" s="3"/>
      <c r="BN125" s="3"/>
      <c r="BO125" s="3"/>
    </row>
    <row r="126" spans="1:67" x14ac:dyDescent="0.2">
      <c r="A126" s="14"/>
      <c r="B126" s="3" t="s">
        <v>348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>
        <f>SUM(C126:AP126)</f>
        <v>0</v>
      </c>
      <c r="BA126" s="5"/>
      <c r="BB126" s="76">
        <f t="shared" si="33"/>
        <v>0</v>
      </c>
      <c r="BC126" s="37"/>
      <c r="BD126" s="76">
        <f t="shared" si="34"/>
        <v>0</v>
      </c>
      <c r="BE126" s="37"/>
      <c r="BF126" s="76">
        <f t="shared" si="35"/>
        <v>0</v>
      </c>
      <c r="BH126" s="76">
        <f t="shared" si="36"/>
        <v>0</v>
      </c>
      <c r="BJ126" s="76">
        <f t="shared" si="37"/>
        <v>0</v>
      </c>
      <c r="BL126" s="39">
        <f t="shared" si="19"/>
        <v>0</v>
      </c>
      <c r="BM126" s="3"/>
      <c r="BN126" s="3"/>
      <c r="BO126" s="3"/>
    </row>
    <row r="127" spans="1:67" outlineLevel="1" x14ac:dyDescent="0.2">
      <c r="A127" s="14"/>
      <c r="B127" s="3" t="s">
        <v>349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>
        <f>SUM(C127:AY127)</f>
        <v>0</v>
      </c>
      <c r="BA127" s="5"/>
      <c r="BB127" s="76">
        <f t="shared" si="33"/>
        <v>0</v>
      </c>
      <c r="BC127" s="37"/>
      <c r="BD127" s="76">
        <f t="shared" si="34"/>
        <v>0</v>
      </c>
      <c r="BE127" s="37"/>
      <c r="BF127" s="76">
        <f t="shared" si="35"/>
        <v>0</v>
      </c>
      <c r="BH127" s="76">
        <f t="shared" si="36"/>
        <v>0</v>
      </c>
      <c r="BJ127" s="76">
        <f t="shared" si="37"/>
        <v>0</v>
      </c>
      <c r="BL127" s="39">
        <f t="shared" si="19"/>
        <v>0</v>
      </c>
      <c r="BM127" s="3"/>
      <c r="BN127" s="3"/>
      <c r="BO127" s="3"/>
    </row>
    <row r="128" spans="1:67" outlineLevel="1" x14ac:dyDescent="0.2">
      <c r="A128" s="14"/>
      <c r="B128" s="3" t="s">
        <v>350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>
        <f>SUM(C128:AY128)</f>
        <v>0</v>
      </c>
      <c r="BA128" s="5"/>
      <c r="BB128" s="76">
        <f t="shared" si="33"/>
        <v>0</v>
      </c>
      <c r="BC128" s="37"/>
      <c r="BD128" s="76">
        <f t="shared" si="34"/>
        <v>0</v>
      </c>
      <c r="BE128" s="37"/>
      <c r="BF128" s="76">
        <f t="shared" si="35"/>
        <v>0</v>
      </c>
      <c r="BH128" s="76">
        <f t="shared" si="36"/>
        <v>0</v>
      </c>
      <c r="BJ128" s="76">
        <f t="shared" si="37"/>
        <v>0</v>
      </c>
      <c r="BL128" s="39">
        <f t="shared" si="19"/>
        <v>0</v>
      </c>
      <c r="BM128" s="3"/>
      <c r="BN128" s="3"/>
      <c r="BO128" s="3"/>
    </row>
    <row r="129" spans="1:67" x14ac:dyDescent="0.2">
      <c r="A129" s="14"/>
      <c r="B129" s="3" t="s">
        <v>351</v>
      </c>
      <c r="C129" s="15">
        <f>SUM(C127:C128)</f>
        <v>0</v>
      </c>
      <c r="D129" s="15"/>
      <c r="E129" s="15">
        <f>SUM(E127:E128)</f>
        <v>0</v>
      </c>
      <c r="F129" s="15"/>
      <c r="G129" s="15">
        <f>SUM(G127:G128)</f>
        <v>0</v>
      </c>
      <c r="H129" s="15"/>
      <c r="I129" s="15">
        <f>SUM(I127:I128)</f>
        <v>0</v>
      </c>
      <c r="J129" s="15"/>
      <c r="K129" s="15">
        <f>SUM(K127:K128)</f>
        <v>0</v>
      </c>
      <c r="L129" s="15"/>
      <c r="M129" s="15">
        <f>SUM(M127:M128)</f>
        <v>0</v>
      </c>
      <c r="N129" s="15"/>
      <c r="O129" s="15">
        <f>SUM(O127:O128)</f>
        <v>0</v>
      </c>
      <c r="P129" s="15"/>
      <c r="Q129" s="15">
        <f>SUM(Q127:Q128)</f>
        <v>0</v>
      </c>
      <c r="R129" s="15"/>
      <c r="S129" s="15">
        <f>SUM(S127:S128)</f>
        <v>0</v>
      </c>
      <c r="T129" s="15"/>
      <c r="U129" s="15">
        <f>SUM(U127:U128)</f>
        <v>0</v>
      </c>
      <c r="V129" s="15"/>
      <c r="W129" s="15">
        <f>SUM(W127:W128)</f>
        <v>0</v>
      </c>
      <c r="X129" s="15"/>
      <c r="Y129" s="15">
        <f>SUM(Y127:Y128)</f>
        <v>0</v>
      </c>
      <c r="Z129" s="15"/>
      <c r="AA129" s="15">
        <f>SUM(AA127:AA128)</f>
        <v>0</v>
      </c>
      <c r="AB129" s="15"/>
      <c r="AC129" s="15">
        <f>SUM(AC127:AC128)</f>
        <v>0</v>
      </c>
      <c r="AD129" s="15"/>
      <c r="AE129" s="15">
        <f>SUM(AE127:AE128)</f>
        <v>0</v>
      </c>
      <c r="AF129" s="15"/>
      <c r="AG129" s="15">
        <f>SUM(AG127:AG128)</f>
        <v>0</v>
      </c>
      <c r="AH129" s="15"/>
      <c r="AI129" s="15">
        <f>SUM(AI127:AI128)</f>
        <v>0</v>
      </c>
      <c r="AJ129" s="15"/>
      <c r="AK129" s="15">
        <f>SUM(AK127:AK128)</f>
        <v>0</v>
      </c>
      <c r="AL129" s="15"/>
      <c r="AM129" s="15">
        <f>SUM(AM127:AM128)</f>
        <v>0</v>
      </c>
      <c r="AN129" s="15"/>
      <c r="AO129" s="15">
        <f>SUM(AO127:AO128)</f>
        <v>0</v>
      </c>
      <c r="AP129" s="15"/>
      <c r="AQ129" s="15">
        <f>SUM(AQ127:AQ128)</f>
        <v>0</v>
      </c>
      <c r="AR129" s="15"/>
      <c r="AS129" s="15">
        <f>SUM(AS127:AS128)</f>
        <v>0</v>
      </c>
      <c r="AT129" s="15">
        <f>SUM(AT127:AT128)</f>
        <v>0</v>
      </c>
      <c r="AU129" s="15"/>
      <c r="AV129" s="15">
        <f>SUM(AV127:AV128)</f>
        <v>0</v>
      </c>
      <c r="AW129" s="15"/>
      <c r="AX129" s="15">
        <f>SUM(AX127:AX128)</f>
        <v>0</v>
      </c>
      <c r="AY129" s="15"/>
      <c r="AZ129" s="15">
        <f>SUM(AZ127:AZ128)</f>
        <v>0</v>
      </c>
      <c r="BA129" s="5"/>
      <c r="BB129" s="76">
        <f t="shared" si="33"/>
        <v>0</v>
      </c>
      <c r="BC129" s="37"/>
      <c r="BD129" s="76">
        <f t="shared" si="34"/>
        <v>0</v>
      </c>
      <c r="BE129" s="37"/>
      <c r="BF129" s="76">
        <f t="shared" si="35"/>
        <v>0</v>
      </c>
      <c r="BH129" s="76">
        <f t="shared" si="36"/>
        <v>0</v>
      </c>
      <c r="BJ129" s="76">
        <f t="shared" si="37"/>
        <v>0</v>
      </c>
      <c r="BL129" s="39">
        <f t="shared" si="19"/>
        <v>0</v>
      </c>
      <c r="BM129" s="3"/>
      <c r="BN129" s="3"/>
      <c r="BO129" s="3"/>
    </row>
    <row r="130" spans="1:67" x14ac:dyDescent="0.2">
      <c r="A130" s="14"/>
      <c r="B130" s="3" t="s">
        <v>352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v>-149103.37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>
        <f>SUM(C130:AY130)</f>
        <v>-149103.37</v>
      </c>
      <c r="BA130" s="5"/>
      <c r="BB130" s="76">
        <f t="shared" si="33"/>
        <v>0</v>
      </c>
      <c r="BC130" s="37"/>
      <c r="BD130" s="76">
        <f t="shared" si="34"/>
        <v>0</v>
      </c>
      <c r="BE130" s="37"/>
      <c r="BF130" s="76">
        <f t="shared" si="35"/>
        <v>-149103.37</v>
      </c>
      <c r="BH130" s="76">
        <f t="shared" si="36"/>
        <v>0</v>
      </c>
      <c r="BJ130" s="76">
        <f t="shared" si="37"/>
        <v>-149103.37</v>
      </c>
      <c r="BL130" s="39">
        <f t="shared" si="19"/>
        <v>0</v>
      </c>
      <c r="BM130" s="3"/>
      <c r="BN130" s="3"/>
      <c r="BO130" s="3"/>
    </row>
    <row r="131" spans="1:67" x14ac:dyDescent="0.2">
      <c r="A131" s="14"/>
      <c r="B131" s="3" t="s">
        <v>353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>
        <v>-112178944.86</v>
      </c>
      <c r="Z131" s="15"/>
      <c r="AA131" s="15"/>
      <c r="AB131" s="15"/>
      <c r="AC131" s="15"/>
      <c r="AD131" s="15"/>
      <c r="AE131" s="15">
        <v>6206406.7000000002</v>
      </c>
      <c r="AF131" s="15"/>
      <c r="AG131" s="15"/>
      <c r="AH131" s="15"/>
      <c r="AI131" s="15">
        <v>0</v>
      </c>
      <c r="AJ131" s="15"/>
      <c r="AK131" s="15"/>
      <c r="AL131" s="15"/>
      <c r="AM131" s="15"/>
      <c r="AN131" s="15"/>
      <c r="AO131" s="15"/>
      <c r="AP131" s="15"/>
      <c r="AQ131" s="15">
        <f>14417503.93-11513588.8+11111991.28+6164.22</f>
        <v>14022070.629999999</v>
      </c>
      <c r="AR131" s="15"/>
      <c r="AS131" s="15"/>
      <c r="AT131" s="15"/>
      <c r="AU131" s="15"/>
      <c r="AV131" s="15"/>
      <c r="AW131" s="15"/>
      <c r="AX131" s="15"/>
      <c r="AY131" s="15"/>
      <c r="AZ131" s="15">
        <f>SUM(C131:AY131)</f>
        <v>-91950467.530000001</v>
      </c>
      <c r="BA131" s="5"/>
      <c r="BB131" s="76">
        <f t="shared" si="33"/>
        <v>20228477.329999998</v>
      </c>
      <c r="BC131" s="37"/>
      <c r="BD131" s="76">
        <f t="shared" si="34"/>
        <v>0</v>
      </c>
      <c r="BE131" s="37"/>
      <c r="BF131" s="76">
        <f t="shared" si="35"/>
        <v>-112178944.86</v>
      </c>
      <c r="BH131" s="76">
        <f t="shared" si="36"/>
        <v>0</v>
      </c>
      <c r="BJ131" s="76">
        <f t="shared" si="37"/>
        <v>-91950467.530000001</v>
      </c>
      <c r="BL131" s="39">
        <f t="shared" si="19"/>
        <v>0</v>
      </c>
      <c r="BM131" s="3"/>
      <c r="BN131" s="3"/>
      <c r="BO131" s="3"/>
    </row>
    <row r="132" spans="1:67" x14ac:dyDescent="0.2">
      <c r="A132" s="14"/>
      <c r="B132" s="22" t="s">
        <v>354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>
        <v>112178944.86</v>
      </c>
      <c r="Z132" s="15"/>
      <c r="AA132" s="15"/>
      <c r="AB132" s="15"/>
      <c r="AC132" s="15"/>
      <c r="AD132" s="15"/>
      <c r="AE132" s="15"/>
      <c r="AF132" s="15"/>
      <c r="AG132" s="15">
        <v>-30374999.219999999</v>
      </c>
      <c r="AH132" s="15"/>
      <c r="AI132" s="15"/>
      <c r="AJ132" s="15"/>
      <c r="AK132" s="15"/>
      <c r="AL132" s="15"/>
      <c r="AM132" s="15"/>
      <c r="AN132" s="15"/>
      <c r="AO132" s="15"/>
      <c r="AP132" s="15"/>
      <c r="AQ132" s="15">
        <v>104834.71</v>
      </c>
      <c r="AR132" s="15"/>
      <c r="AS132" s="15"/>
      <c r="AT132" s="15"/>
      <c r="AU132" s="15"/>
      <c r="AV132" s="15"/>
      <c r="AW132" s="15"/>
      <c r="AX132" s="15"/>
      <c r="AY132" s="15"/>
      <c r="AZ132" s="15">
        <f>SUM(C132:AY132)</f>
        <v>81908780.349999994</v>
      </c>
      <c r="BA132" s="5"/>
      <c r="BB132" s="76">
        <f t="shared" si="33"/>
        <v>104834.71</v>
      </c>
      <c r="BC132" s="37"/>
      <c r="BD132" s="76">
        <f t="shared" si="34"/>
        <v>-30374999.219999999</v>
      </c>
      <c r="BE132" s="37"/>
      <c r="BF132" s="76">
        <f t="shared" si="35"/>
        <v>112178944.86</v>
      </c>
      <c r="BH132" s="76">
        <f t="shared" si="36"/>
        <v>0</v>
      </c>
      <c r="BJ132" s="76">
        <f t="shared" si="37"/>
        <v>81908780.349999994</v>
      </c>
      <c r="BL132" s="39"/>
      <c r="BM132" s="3"/>
      <c r="BN132" s="3"/>
      <c r="BO132" s="3"/>
    </row>
    <row r="133" spans="1:67" x14ac:dyDescent="0.2">
      <c r="A133" s="14"/>
      <c r="B133" s="10" t="s">
        <v>355</v>
      </c>
      <c r="C133" s="20">
        <f>SUM(C129:C131)+C126+C125+C122+C119</f>
        <v>0</v>
      </c>
      <c r="D133" s="15"/>
      <c r="E133" s="20">
        <f>SUM(E129:E131)+E126+E125+E122+E119</f>
        <v>0</v>
      </c>
      <c r="F133" s="15"/>
      <c r="G133" s="20">
        <f>SUM(G129:G131)+G126+G125+G122+G119</f>
        <v>0</v>
      </c>
      <c r="H133" s="15"/>
      <c r="I133" s="20">
        <f>SUM(I129:I131)+I126+I125+I122+I119</f>
        <v>0</v>
      </c>
      <c r="J133" s="15"/>
      <c r="K133" s="20">
        <f>SUM(K129:K131)+K126+K125+K122+K119</f>
        <v>0</v>
      </c>
      <c r="L133" s="15"/>
      <c r="M133" s="20">
        <f>SUM(M129:M131)+M126+M125+M122+M119</f>
        <v>0</v>
      </c>
      <c r="N133" s="15"/>
      <c r="O133" s="20">
        <f>SUM(O129:O131)+O126+O125+O122+O119</f>
        <v>3612188.67</v>
      </c>
      <c r="P133" s="15"/>
      <c r="Q133" s="20">
        <f>SUM(Q129:Q131)+Q126+Q125+Q122+Q119</f>
        <v>0</v>
      </c>
      <c r="R133" s="15"/>
      <c r="S133" s="20">
        <f>SUM(S129:S131)+S126+S125+S122+S119</f>
        <v>0</v>
      </c>
      <c r="T133" s="20"/>
      <c r="U133" s="20">
        <f>SUM(U129:U131)+U126+U125+U122+U119</f>
        <v>0</v>
      </c>
      <c r="V133" s="20"/>
      <c r="W133" s="20">
        <f>SUM(W129:W131)+W126+W125+W122+W119</f>
        <v>0</v>
      </c>
      <c r="X133" s="15"/>
      <c r="Y133" s="20">
        <f>SUM(Y129:Y132)+Y126+Y125+Y122+Y119</f>
        <v>0</v>
      </c>
      <c r="Z133" s="15"/>
      <c r="AA133" s="20">
        <f>SUM(AA129:AA131)+AA126+AA125+AA122+AA119</f>
        <v>0</v>
      </c>
      <c r="AB133" s="15"/>
      <c r="AC133" s="20">
        <f>SUM(AC129:AC131)+AC126+AC125+AC122+AC119</f>
        <v>0</v>
      </c>
      <c r="AD133" s="15"/>
      <c r="AE133" s="20">
        <f>SUM(AE129:AE131)+AE126+AE125+AE122+AE119</f>
        <v>6206406.7000000002</v>
      </c>
      <c r="AF133" s="15"/>
      <c r="AG133" s="20">
        <f>SUM(AG129:AG131)+AG126+AG125+AG122+AG119+AG132</f>
        <v>-30374999.219999999</v>
      </c>
      <c r="AH133" s="15"/>
      <c r="AI133" s="20">
        <f>SUM(AI129:AI131)+AI126+AI125+AI122+AI119</f>
        <v>0</v>
      </c>
      <c r="AJ133" s="15"/>
      <c r="AK133" s="20">
        <f>SUM(AK129:AK131)+AK126+AK125+AK122+AK119</f>
        <v>0</v>
      </c>
      <c r="AL133" s="20"/>
      <c r="AM133" s="20">
        <f>SUM(AM129:AM131)+AM126+AM125+AM122+AM119</f>
        <v>0</v>
      </c>
      <c r="AN133" s="20"/>
      <c r="AO133" s="20">
        <f>SUM(AO129:AO131)+AO126+AO125+AO122+AO119</f>
        <v>0</v>
      </c>
      <c r="AP133" s="20"/>
      <c r="AQ133" s="20">
        <f>SUM(AQ129:AQ132)+AQ126+AQ125+AQ122+AQ119</f>
        <v>14126905.34</v>
      </c>
      <c r="AR133" s="20"/>
      <c r="AS133" s="20">
        <f>SUM(AS129:AS131)+AS126+AS125+AS122+AS119</f>
        <v>0</v>
      </c>
      <c r="AT133" s="20">
        <f>SUM(AT129:AT131)+AT126+AT125+AT122+AT119</f>
        <v>0</v>
      </c>
      <c r="AU133" s="20"/>
      <c r="AV133" s="20">
        <f>SUM(AV129:AV131)+AV126+AV125+AV122+AV119</f>
        <v>0</v>
      </c>
      <c r="AW133" s="20"/>
      <c r="AX133" s="20">
        <f>SUM(AX129:AX131)+AX126+AX125+AX122+AX119</f>
        <v>0</v>
      </c>
      <c r="AY133" s="20"/>
      <c r="AZ133" s="20">
        <f>SUM(AZ129:AZ132)+AZ126+AZ125+AZ122+AZ119</f>
        <v>-6429498.5100000119</v>
      </c>
      <c r="BA133" s="5"/>
      <c r="BB133" s="114">
        <f>SUM(BB129:BB132)+BB126+BB125+BB122+BB119</f>
        <v>20333312.039999999</v>
      </c>
      <c r="BC133" s="37"/>
      <c r="BD133" s="114">
        <f>SUM(BD129:BD131)+BD126+BD125+BD122+BD119</f>
        <v>0</v>
      </c>
      <c r="BE133" s="37"/>
      <c r="BF133" s="114">
        <f>SUM(BF129:BF132)+BF126+BF125+BF122+BF119</f>
        <v>3612188.6699999953</v>
      </c>
      <c r="BH133" s="114">
        <f>SUM(BH129:BH131)+BH126+BH125+BH122+BH119</f>
        <v>0</v>
      </c>
      <c r="BJ133" s="114">
        <f>SUM(BJ129:BJ132)+BJ126+BJ125+BJ122+BJ119</f>
        <v>-6429498.5100000119</v>
      </c>
      <c r="BL133" s="39">
        <f t="shared" si="19"/>
        <v>0</v>
      </c>
      <c r="BM133" s="3"/>
      <c r="BN133" s="3"/>
      <c r="BO133" s="3"/>
    </row>
    <row r="134" spans="1:67" x14ac:dyDescent="0.2">
      <c r="A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5"/>
      <c r="BB134" s="76"/>
      <c r="BC134" s="37"/>
      <c r="BD134" s="76"/>
      <c r="BE134" s="37"/>
      <c r="BL134" s="39">
        <f t="shared" si="19"/>
        <v>0</v>
      </c>
      <c r="BM134" s="3"/>
      <c r="BN134" s="3"/>
      <c r="BO134" s="3"/>
    </row>
    <row r="135" spans="1:67" x14ac:dyDescent="0.2">
      <c r="A135" s="14"/>
      <c r="B135" s="10" t="s">
        <v>24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5"/>
      <c r="BB135" s="76"/>
      <c r="BC135" s="37"/>
      <c r="BD135" s="76"/>
      <c r="BE135" s="37"/>
      <c r="BL135" s="39">
        <f t="shared" si="19"/>
        <v>0</v>
      </c>
      <c r="BM135" s="3"/>
      <c r="BN135" s="3"/>
      <c r="BO135" s="3"/>
    </row>
    <row r="136" spans="1:67" outlineLevel="1" x14ac:dyDescent="0.2">
      <c r="A136" s="14"/>
      <c r="B136" s="3" t="s">
        <v>356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>
        <f>SUM(C136:AY136)</f>
        <v>0</v>
      </c>
      <c r="BA136" s="5"/>
      <c r="BB136" s="76">
        <f t="shared" ref="BB136:BB150" si="38">SUMIF($C$10:$AY$10,"=Addition",$C136:$AY136)</f>
        <v>0</v>
      </c>
      <c r="BC136" s="37"/>
      <c r="BD136" s="76">
        <f t="shared" ref="BD136:BD150" si="39">SUMIF($C$10:$AY$10,"=Adjustment",$C136:$AY136)</f>
        <v>0</v>
      </c>
      <c r="BE136" s="37"/>
      <c r="BF136" s="76">
        <f t="shared" ref="BF136:BF150" si="40">SUMIF($C$10:$AY$10,"=Transfer",$C136:$AY136)</f>
        <v>0</v>
      </c>
      <c r="BH136" s="76">
        <f t="shared" ref="BH136:BH150" si="41">SUMIF($C$10:$AY$10,"=N/A",$C136:$AY136)</f>
        <v>0</v>
      </c>
      <c r="BJ136" s="76">
        <f t="shared" ref="BJ136:BJ150" si="42">SUM(BB136:BH136)</f>
        <v>0</v>
      </c>
      <c r="BK136" s="76"/>
      <c r="BL136" s="39">
        <f t="shared" si="19"/>
        <v>0</v>
      </c>
      <c r="BM136" s="3"/>
      <c r="BN136" s="3"/>
      <c r="BO136" s="3"/>
    </row>
    <row r="137" spans="1:67" outlineLevel="1" x14ac:dyDescent="0.2">
      <c r="A137" s="14"/>
      <c r="B137" s="3" t="s">
        <v>357</v>
      </c>
      <c r="C137" s="15">
        <v>-3671.69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>
        <f>SUM(C137:AY137)</f>
        <v>-3671.69</v>
      </c>
      <c r="BA137" s="5"/>
      <c r="BB137" s="76">
        <f t="shared" si="38"/>
        <v>0</v>
      </c>
      <c r="BC137" s="37"/>
      <c r="BD137" s="76">
        <f t="shared" si="39"/>
        <v>0</v>
      </c>
      <c r="BE137" s="37"/>
      <c r="BF137" s="76">
        <f t="shared" si="40"/>
        <v>-3671.69</v>
      </c>
      <c r="BH137" s="76">
        <f t="shared" si="41"/>
        <v>0</v>
      </c>
      <c r="BJ137" s="76">
        <f t="shared" si="42"/>
        <v>-3671.69</v>
      </c>
      <c r="BK137" s="76"/>
      <c r="BL137" s="39">
        <f t="shared" si="19"/>
        <v>0</v>
      </c>
      <c r="BM137" s="3"/>
      <c r="BN137" s="3"/>
      <c r="BO137" s="3"/>
    </row>
    <row r="138" spans="1:67" x14ac:dyDescent="0.2">
      <c r="A138" s="14"/>
      <c r="B138" s="3" t="s">
        <v>358</v>
      </c>
      <c r="C138" s="15">
        <f>SUM(C136:C137)</f>
        <v>-3671.69</v>
      </c>
      <c r="D138" s="15"/>
      <c r="E138" s="15">
        <f>SUM(E136:E137)</f>
        <v>0</v>
      </c>
      <c r="F138" s="15"/>
      <c r="G138" s="15">
        <f>SUM(G136:G137)</f>
        <v>0</v>
      </c>
      <c r="H138" s="15"/>
      <c r="I138" s="15">
        <f>SUM(I136:I137)</f>
        <v>0</v>
      </c>
      <c r="J138" s="15"/>
      <c r="K138" s="15">
        <f>SUM(K136:K137)</f>
        <v>0</v>
      </c>
      <c r="L138" s="15"/>
      <c r="M138" s="15">
        <f>SUM(M136:M137)</f>
        <v>0</v>
      </c>
      <c r="N138" s="15"/>
      <c r="O138" s="15">
        <f>SUM(O136:O137)</f>
        <v>0</v>
      </c>
      <c r="P138" s="15"/>
      <c r="Q138" s="15">
        <f>SUM(Q136:Q137)</f>
        <v>0</v>
      </c>
      <c r="R138" s="15"/>
      <c r="S138" s="15">
        <f>SUM(S136:S137)</f>
        <v>0</v>
      </c>
      <c r="T138" s="15"/>
      <c r="U138" s="15">
        <f>SUM(U136:U137)</f>
        <v>0</v>
      </c>
      <c r="V138" s="15"/>
      <c r="W138" s="15">
        <f>SUM(W136:W137)</f>
        <v>0</v>
      </c>
      <c r="X138" s="15"/>
      <c r="Y138" s="15">
        <f>SUM(Y136:Y137)</f>
        <v>0</v>
      </c>
      <c r="Z138" s="15"/>
      <c r="AA138" s="15">
        <f>SUM(AA136:AA137)</f>
        <v>0</v>
      </c>
      <c r="AB138" s="15"/>
      <c r="AC138" s="15">
        <f>SUM(AC136:AC137)</f>
        <v>0</v>
      </c>
      <c r="AD138" s="15"/>
      <c r="AE138" s="15">
        <f>SUM(AE136:AE137)</f>
        <v>0</v>
      </c>
      <c r="AF138" s="15"/>
      <c r="AG138" s="15">
        <f>SUM(AG136:AG137)</f>
        <v>0</v>
      </c>
      <c r="AH138" s="15"/>
      <c r="AI138" s="15">
        <f>SUM(AI136:AI137)</f>
        <v>0</v>
      </c>
      <c r="AJ138" s="15"/>
      <c r="AK138" s="15">
        <f>SUM(AK136:AK137)</f>
        <v>0</v>
      </c>
      <c r="AL138" s="15"/>
      <c r="AM138" s="15">
        <f>SUM(AM136:AM137)</f>
        <v>0</v>
      </c>
      <c r="AN138" s="15"/>
      <c r="AO138" s="15">
        <f>SUM(AO136:AO137)</f>
        <v>0</v>
      </c>
      <c r="AP138" s="15"/>
      <c r="AQ138" s="15">
        <f>SUM(AQ136:AQ137)</f>
        <v>0</v>
      </c>
      <c r="AR138" s="15"/>
      <c r="AS138" s="15">
        <f>SUM(AS136:AS137)</f>
        <v>0</v>
      </c>
      <c r="AT138" s="15">
        <f>SUM(AT136:AT137)</f>
        <v>0</v>
      </c>
      <c r="AU138" s="15"/>
      <c r="AV138" s="15">
        <f>SUM(AV136:AV137)</f>
        <v>0</v>
      </c>
      <c r="AW138" s="15"/>
      <c r="AX138" s="15">
        <f>SUM(AX136:AX137)</f>
        <v>0</v>
      </c>
      <c r="AY138" s="15"/>
      <c r="AZ138" s="15">
        <f>SUM(C138:AP138)</f>
        <v>-3671.69</v>
      </c>
      <c r="BA138" s="5"/>
      <c r="BB138" s="76">
        <f t="shared" si="38"/>
        <v>0</v>
      </c>
      <c r="BC138" s="37"/>
      <c r="BD138" s="76">
        <f t="shared" si="39"/>
        <v>0</v>
      </c>
      <c r="BE138" s="37"/>
      <c r="BF138" s="76">
        <f t="shared" si="40"/>
        <v>-3671.69</v>
      </c>
      <c r="BH138" s="76">
        <f t="shared" si="41"/>
        <v>0</v>
      </c>
      <c r="BJ138" s="76">
        <f t="shared" si="42"/>
        <v>-3671.69</v>
      </c>
      <c r="BL138" s="39">
        <f t="shared" si="19"/>
        <v>0</v>
      </c>
      <c r="BM138" s="3"/>
      <c r="BN138" s="3"/>
      <c r="BO138" s="3"/>
    </row>
    <row r="139" spans="1:67" x14ac:dyDescent="0.2">
      <c r="A139" s="14"/>
      <c r="B139" s="3" t="s">
        <v>359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>
        <f t="shared" ref="AZ139:AZ149" si="43">SUM(C139:AY139)</f>
        <v>0</v>
      </c>
      <c r="BA139" s="5"/>
      <c r="BB139" s="76">
        <f t="shared" si="38"/>
        <v>0</v>
      </c>
      <c r="BC139" s="37"/>
      <c r="BD139" s="76">
        <f t="shared" si="39"/>
        <v>0</v>
      </c>
      <c r="BE139" s="37"/>
      <c r="BF139" s="76">
        <f t="shared" si="40"/>
        <v>0</v>
      </c>
      <c r="BH139" s="76">
        <f t="shared" si="41"/>
        <v>0</v>
      </c>
      <c r="BJ139" s="76">
        <f t="shared" si="42"/>
        <v>0</v>
      </c>
      <c r="BL139" s="39">
        <f t="shared" si="19"/>
        <v>0</v>
      </c>
      <c r="BM139" s="3"/>
      <c r="BN139" s="3"/>
      <c r="BO139" s="3"/>
    </row>
    <row r="140" spans="1:67" outlineLevel="1" x14ac:dyDescent="0.2">
      <c r="A140" s="14"/>
      <c r="B140" s="3" t="s">
        <v>360</v>
      </c>
      <c r="C140" s="15"/>
      <c r="D140" s="15"/>
      <c r="E140" s="15">
        <v>309281.21999999997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>
        <f>721.74+11712.18-49990.76</f>
        <v>-37556.840000000004</v>
      </c>
      <c r="T140" s="15"/>
      <c r="U140" s="15"/>
      <c r="V140" s="15"/>
      <c r="W140" s="15">
        <v>56598.99</v>
      </c>
      <c r="X140" s="15"/>
      <c r="Y140" s="15"/>
      <c r="Z140" s="15"/>
      <c r="AA140" s="15"/>
      <c r="AB140" s="15"/>
      <c r="AC140" s="15">
        <v>80515.649999999994</v>
      </c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>
        <f t="shared" si="43"/>
        <v>408839.0199999999</v>
      </c>
      <c r="BA140" s="5"/>
      <c r="BB140" s="76">
        <f t="shared" si="38"/>
        <v>0</v>
      </c>
      <c r="BC140" s="37"/>
      <c r="BD140" s="76">
        <f t="shared" si="39"/>
        <v>0</v>
      </c>
      <c r="BE140" s="37"/>
      <c r="BF140" s="76">
        <f t="shared" si="40"/>
        <v>408839.0199999999</v>
      </c>
      <c r="BH140" s="76">
        <f t="shared" si="41"/>
        <v>0</v>
      </c>
      <c r="BJ140" s="76">
        <f t="shared" si="42"/>
        <v>408839.0199999999</v>
      </c>
      <c r="BL140" s="39">
        <f t="shared" si="19"/>
        <v>0</v>
      </c>
      <c r="BM140" s="3"/>
      <c r="BN140" s="3"/>
      <c r="BO140" s="3"/>
    </row>
    <row r="141" spans="1:67" outlineLevel="1" x14ac:dyDescent="0.2">
      <c r="A141" s="14"/>
      <c r="B141" s="3" t="s">
        <v>361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>
        <f t="shared" si="43"/>
        <v>0</v>
      </c>
      <c r="BA141" s="5"/>
      <c r="BB141" s="76">
        <f t="shared" si="38"/>
        <v>0</v>
      </c>
      <c r="BC141" s="37"/>
      <c r="BD141" s="76">
        <f t="shared" si="39"/>
        <v>0</v>
      </c>
      <c r="BE141" s="37"/>
      <c r="BF141" s="76">
        <f t="shared" si="40"/>
        <v>0</v>
      </c>
      <c r="BH141" s="76">
        <f t="shared" si="41"/>
        <v>0</v>
      </c>
      <c r="BJ141" s="76">
        <f t="shared" si="42"/>
        <v>0</v>
      </c>
      <c r="BL141" s="39">
        <f t="shared" si="19"/>
        <v>0</v>
      </c>
      <c r="BM141" s="3"/>
      <c r="BN141" s="3"/>
      <c r="BO141" s="3"/>
    </row>
    <row r="142" spans="1:67" x14ac:dyDescent="0.2">
      <c r="A142" s="14"/>
      <c r="B142" s="3" t="s">
        <v>362</v>
      </c>
      <c r="C142" s="15">
        <f>SUM(C140:C141)</f>
        <v>0</v>
      </c>
      <c r="D142" s="15"/>
      <c r="E142" s="15">
        <f>SUM(E140:E141)</f>
        <v>309281.21999999997</v>
      </c>
      <c r="F142" s="15"/>
      <c r="G142" s="15">
        <f>SUM(G140:G141)</f>
        <v>0</v>
      </c>
      <c r="H142" s="15"/>
      <c r="I142" s="15">
        <f>SUM(I140:I141)</f>
        <v>0</v>
      </c>
      <c r="J142" s="15"/>
      <c r="K142" s="15">
        <f>SUM(K140:K141)</f>
        <v>0</v>
      </c>
      <c r="L142" s="15"/>
      <c r="M142" s="15">
        <f>SUM(M140:M141)</f>
        <v>0</v>
      </c>
      <c r="N142" s="15"/>
      <c r="O142" s="15">
        <f>SUM(O140:O141)</f>
        <v>0</v>
      </c>
      <c r="P142" s="15"/>
      <c r="Q142" s="15">
        <f>SUM(Q140:Q141)</f>
        <v>0</v>
      </c>
      <c r="R142" s="15"/>
      <c r="S142" s="15">
        <f>SUM(S140:S141)</f>
        <v>-37556.840000000004</v>
      </c>
      <c r="T142" s="15"/>
      <c r="U142" s="15">
        <f>SUM(U140:U141)</f>
        <v>0</v>
      </c>
      <c r="V142" s="15"/>
      <c r="W142" s="15">
        <f>SUM(W140:W141)</f>
        <v>56598.99</v>
      </c>
      <c r="X142" s="15"/>
      <c r="Y142" s="15">
        <f>SUM(Y140:Y141)</f>
        <v>0</v>
      </c>
      <c r="Z142" s="15"/>
      <c r="AA142" s="15">
        <f>SUM(AA140:AA141)</f>
        <v>0</v>
      </c>
      <c r="AB142" s="15"/>
      <c r="AC142" s="15">
        <f>SUM(AC140:AC141)</f>
        <v>80515.649999999994</v>
      </c>
      <c r="AD142" s="15"/>
      <c r="AE142" s="15">
        <f>SUM(AE140:AE141)</f>
        <v>0</v>
      </c>
      <c r="AF142" s="15"/>
      <c r="AG142" s="15">
        <f>SUM(AG140:AG141)</f>
        <v>0</v>
      </c>
      <c r="AH142" s="15"/>
      <c r="AI142" s="15">
        <f>SUM(AI140:AI141)</f>
        <v>0</v>
      </c>
      <c r="AJ142" s="15"/>
      <c r="AK142" s="15">
        <f>SUM(AK140:AK141)</f>
        <v>0</v>
      </c>
      <c r="AL142" s="15"/>
      <c r="AM142" s="15">
        <f>SUM(AM140:AM141)</f>
        <v>0</v>
      </c>
      <c r="AN142" s="15"/>
      <c r="AO142" s="15">
        <f>SUM(AO140:AO141)</f>
        <v>0</v>
      </c>
      <c r="AP142" s="15"/>
      <c r="AQ142" s="15">
        <f>SUM(AQ140:AQ141)</f>
        <v>0</v>
      </c>
      <c r="AR142" s="15"/>
      <c r="AS142" s="15">
        <f>SUM(AS140:AS141)</f>
        <v>0</v>
      </c>
      <c r="AT142" s="15">
        <f>SUM(AT140:AT141)</f>
        <v>0</v>
      </c>
      <c r="AU142" s="15"/>
      <c r="AV142" s="15">
        <f>SUM(AV140:AV141)</f>
        <v>0</v>
      </c>
      <c r="AW142" s="15"/>
      <c r="AX142" s="15">
        <f>SUM(AX140:AX141)</f>
        <v>0</v>
      </c>
      <c r="AY142" s="15"/>
      <c r="AZ142" s="15">
        <f t="shared" si="43"/>
        <v>408839.0199999999</v>
      </c>
      <c r="BA142" s="5"/>
      <c r="BB142" s="76">
        <f t="shared" si="38"/>
        <v>0</v>
      </c>
      <c r="BC142" s="37"/>
      <c r="BD142" s="76">
        <f t="shared" si="39"/>
        <v>0</v>
      </c>
      <c r="BE142" s="37"/>
      <c r="BF142" s="76">
        <f t="shared" si="40"/>
        <v>408839.0199999999</v>
      </c>
      <c r="BH142" s="76">
        <f t="shared" si="41"/>
        <v>0</v>
      </c>
      <c r="BJ142" s="76">
        <f t="shared" si="42"/>
        <v>408839.0199999999</v>
      </c>
      <c r="BL142" s="39">
        <f t="shared" si="19"/>
        <v>0</v>
      </c>
      <c r="BM142" s="3"/>
      <c r="BN142" s="3"/>
      <c r="BO142" s="3"/>
    </row>
    <row r="143" spans="1:67" x14ac:dyDescent="0.2">
      <c r="A143" s="14"/>
      <c r="B143" s="3" t="s">
        <v>363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>
        <f t="shared" si="43"/>
        <v>0</v>
      </c>
      <c r="BA143" s="5"/>
      <c r="BB143" s="76">
        <f t="shared" si="38"/>
        <v>0</v>
      </c>
      <c r="BC143" s="37"/>
      <c r="BD143" s="76">
        <f t="shared" si="39"/>
        <v>0</v>
      </c>
      <c r="BE143" s="37"/>
      <c r="BF143" s="76">
        <f t="shared" si="40"/>
        <v>0</v>
      </c>
      <c r="BH143" s="76">
        <f t="shared" si="41"/>
        <v>0</v>
      </c>
      <c r="BJ143" s="76">
        <f t="shared" si="42"/>
        <v>0</v>
      </c>
      <c r="BL143" s="39">
        <f t="shared" si="19"/>
        <v>0</v>
      </c>
      <c r="BM143" s="3"/>
      <c r="BN143" s="3"/>
      <c r="BO143" s="3"/>
    </row>
    <row r="144" spans="1:67" x14ac:dyDescent="0.2">
      <c r="A144" s="14"/>
      <c r="B144" s="3" t="s">
        <v>364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>
        <f t="shared" si="43"/>
        <v>0</v>
      </c>
      <c r="BA144" s="5"/>
      <c r="BB144" s="76">
        <f t="shared" si="38"/>
        <v>0</v>
      </c>
      <c r="BC144" s="37"/>
      <c r="BD144" s="76">
        <f t="shared" si="39"/>
        <v>0</v>
      </c>
      <c r="BE144" s="37"/>
      <c r="BF144" s="76">
        <f t="shared" si="40"/>
        <v>0</v>
      </c>
      <c r="BH144" s="76">
        <f t="shared" si="41"/>
        <v>0</v>
      </c>
      <c r="BJ144" s="76">
        <f t="shared" si="42"/>
        <v>0</v>
      </c>
      <c r="BL144" s="39">
        <f t="shared" si="19"/>
        <v>0</v>
      </c>
      <c r="BM144" s="3"/>
      <c r="BN144" s="3"/>
      <c r="BO144" s="3"/>
    </row>
    <row r="145" spans="1:67" x14ac:dyDescent="0.2">
      <c r="A145" s="14"/>
      <c r="B145" s="3" t="s">
        <v>365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>
        <f t="shared" si="43"/>
        <v>0</v>
      </c>
      <c r="BA145" s="5"/>
      <c r="BB145" s="76">
        <f t="shared" si="38"/>
        <v>0</v>
      </c>
      <c r="BC145" s="37"/>
      <c r="BD145" s="76">
        <f t="shared" si="39"/>
        <v>0</v>
      </c>
      <c r="BE145" s="37"/>
      <c r="BF145" s="76">
        <f t="shared" si="40"/>
        <v>0</v>
      </c>
      <c r="BH145" s="76">
        <f t="shared" si="41"/>
        <v>0</v>
      </c>
      <c r="BJ145" s="76">
        <f t="shared" si="42"/>
        <v>0</v>
      </c>
      <c r="BL145" s="39">
        <f t="shared" si="19"/>
        <v>0</v>
      </c>
      <c r="BM145" s="3"/>
      <c r="BN145" s="3"/>
      <c r="BO145" s="3"/>
    </row>
    <row r="146" spans="1:67" x14ac:dyDescent="0.2">
      <c r="A146" s="14"/>
      <c r="B146" s="3" t="s">
        <v>366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>
        <f>-721.74-578380.64-11712.18</f>
        <v>-590814.56000000006</v>
      </c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>
        <f t="shared" si="43"/>
        <v>-590814.56000000006</v>
      </c>
      <c r="BA146" s="5"/>
      <c r="BB146" s="76">
        <f t="shared" si="38"/>
        <v>0</v>
      </c>
      <c r="BC146" s="37"/>
      <c r="BD146" s="76">
        <f t="shared" si="39"/>
        <v>0</v>
      </c>
      <c r="BE146" s="37"/>
      <c r="BF146" s="76">
        <f t="shared" si="40"/>
        <v>-590814.56000000006</v>
      </c>
      <c r="BH146" s="76">
        <f t="shared" si="41"/>
        <v>0</v>
      </c>
      <c r="BJ146" s="76">
        <f t="shared" si="42"/>
        <v>-590814.56000000006</v>
      </c>
      <c r="BL146" s="39">
        <f t="shared" si="19"/>
        <v>0</v>
      </c>
      <c r="BM146" s="3"/>
      <c r="BN146" s="3"/>
      <c r="BO146" s="3"/>
    </row>
    <row r="147" spans="1:67" x14ac:dyDescent="0.2">
      <c r="A147" s="14"/>
      <c r="B147" s="3" t="s">
        <v>367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>
        <f>-25261.52-1599.93-32802.17</f>
        <v>-59663.619999999995</v>
      </c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>
        <f t="shared" si="43"/>
        <v>-59663.619999999995</v>
      </c>
      <c r="BA147" s="5"/>
      <c r="BB147" s="76">
        <f t="shared" si="38"/>
        <v>0</v>
      </c>
      <c r="BC147" s="37"/>
      <c r="BD147" s="76">
        <f t="shared" si="39"/>
        <v>0</v>
      </c>
      <c r="BE147" s="37"/>
      <c r="BF147" s="76">
        <f t="shared" si="40"/>
        <v>-59663.619999999995</v>
      </c>
      <c r="BH147" s="76">
        <f t="shared" si="41"/>
        <v>0</v>
      </c>
      <c r="BJ147" s="76">
        <f t="shared" si="42"/>
        <v>-59663.619999999995</v>
      </c>
      <c r="BL147" s="39">
        <f t="shared" ref="BL147:BL211" si="44">AZ147-BJ147</f>
        <v>0</v>
      </c>
      <c r="BM147" s="3"/>
      <c r="BN147" s="3"/>
      <c r="BO147" s="3"/>
    </row>
    <row r="148" spans="1:67" outlineLevel="1" x14ac:dyDescent="0.2">
      <c r="A148" s="14"/>
      <c r="B148" s="3" t="s">
        <v>368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>
        <v>11980.58</v>
      </c>
      <c r="AR148" s="15"/>
      <c r="AS148" s="15"/>
      <c r="AT148" s="15"/>
      <c r="AU148" s="15"/>
      <c r="AV148" s="15"/>
      <c r="AW148" s="15"/>
      <c r="AX148" s="15"/>
      <c r="AY148" s="15"/>
      <c r="AZ148" s="15">
        <f t="shared" si="43"/>
        <v>11980.58</v>
      </c>
      <c r="BA148" s="5"/>
      <c r="BB148" s="76">
        <f t="shared" si="38"/>
        <v>11980.58</v>
      </c>
      <c r="BC148" s="37"/>
      <c r="BD148" s="76">
        <f t="shared" si="39"/>
        <v>0</v>
      </c>
      <c r="BE148" s="37"/>
      <c r="BF148" s="76">
        <f t="shared" si="40"/>
        <v>0</v>
      </c>
      <c r="BH148" s="76">
        <f t="shared" si="41"/>
        <v>0</v>
      </c>
      <c r="BJ148" s="76">
        <f t="shared" si="42"/>
        <v>11980.58</v>
      </c>
      <c r="BL148" s="39">
        <f t="shared" si="44"/>
        <v>0</v>
      </c>
      <c r="BM148" s="3"/>
      <c r="BN148" s="3"/>
      <c r="BO148" s="3"/>
    </row>
    <row r="149" spans="1:67" outlineLevel="1" x14ac:dyDescent="0.2">
      <c r="A149" s="14"/>
      <c r="B149" s="31" t="s">
        <v>369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>
        <v>-21765.98</v>
      </c>
      <c r="AT149" s="15"/>
      <c r="AU149" s="15"/>
      <c r="AV149" s="15"/>
      <c r="AW149" s="15"/>
      <c r="AX149" s="15"/>
      <c r="AY149" s="15"/>
      <c r="AZ149" s="15">
        <f t="shared" si="43"/>
        <v>-21765.98</v>
      </c>
      <c r="BA149" s="5"/>
      <c r="BB149" s="76">
        <f t="shared" si="38"/>
        <v>0</v>
      </c>
      <c r="BC149" s="37"/>
      <c r="BD149" s="76">
        <f t="shared" si="39"/>
        <v>-21765.98</v>
      </c>
      <c r="BE149" s="37"/>
      <c r="BF149" s="76">
        <f t="shared" si="40"/>
        <v>0</v>
      </c>
      <c r="BH149" s="76">
        <f t="shared" si="41"/>
        <v>0</v>
      </c>
      <c r="BJ149" s="76">
        <f t="shared" si="42"/>
        <v>-21765.98</v>
      </c>
      <c r="BL149" s="39">
        <f t="shared" si="44"/>
        <v>0</v>
      </c>
      <c r="BM149" s="3"/>
      <c r="BN149" s="3"/>
      <c r="BO149" s="3"/>
    </row>
    <row r="150" spans="1:67" x14ac:dyDescent="0.2">
      <c r="A150" s="14"/>
      <c r="B150" s="31" t="s">
        <v>370</v>
      </c>
      <c r="C150" s="15">
        <f>SUM(C148:C149)</f>
        <v>0</v>
      </c>
      <c r="D150" s="15"/>
      <c r="E150" s="15">
        <f>SUM(E148:E149)</f>
        <v>0</v>
      </c>
      <c r="F150" s="15"/>
      <c r="G150" s="15">
        <f>SUM(G148:G149)</f>
        <v>0</v>
      </c>
      <c r="H150" s="15"/>
      <c r="I150" s="15">
        <f>SUM(I148:I149)</f>
        <v>0</v>
      </c>
      <c r="J150" s="15"/>
      <c r="K150" s="15">
        <f>SUM(K148:K149)</f>
        <v>0</v>
      </c>
      <c r="L150" s="15"/>
      <c r="M150" s="15">
        <f>SUM(M148:M149)</f>
        <v>0</v>
      </c>
      <c r="N150" s="15"/>
      <c r="O150" s="15">
        <f>SUM(O148:O149)</f>
        <v>0</v>
      </c>
      <c r="P150" s="15"/>
      <c r="Q150" s="15">
        <f>SUM(Q148:Q149)</f>
        <v>0</v>
      </c>
      <c r="R150" s="15"/>
      <c r="S150" s="15">
        <f>SUM(S148:S149)</f>
        <v>0</v>
      </c>
      <c r="T150" s="15"/>
      <c r="U150" s="15">
        <f>SUM(U148:U149)</f>
        <v>0</v>
      </c>
      <c r="V150" s="15"/>
      <c r="W150" s="15">
        <f>SUM(W148:W149)</f>
        <v>0</v>
      </c>
      <c r="X150" s="15"/>
      <c r="Y150" s="15">
        <f>SUM(Y148:Y149)</f>
        <v>0</v>
      </c>
      <c r="Z150" s="15"/>
      <c r="AA150" s="15">
        <f>SUM(AA148:AA149)</f>
        <v>0</v>
      </c>
      <c r="AB150" s="15"/>
      <c r="AC150" s="15">
        <f>SUM(AC148:AC149)</f>
        <v>0</v>
      </c>
      <c r="AD150" s="15"/>
      <c r="AE150" s="15">
        <f>SUM(AE148:AE149)</f>
        <v>0</v>
      </c>
      <c r="AF150" s="15"/>
      <c r="AG150" s="15">
        <f>SUM(AG148:AG149)</f>
        <v>0</v>
      </c>
      <c r="AH150" s="15"/>
      <c r="AI150" s="15">
        <f>SUM(AI148:AI149)</f>
        <v>0</v>
      </c>
      <c r="AJ150" s="15"/>
      <c r="AK150" s="15">
        <f>SUM(AK148:AK149)</f>
        <v>0</v>
      </c>
      <c r="AL150" s="15"/>
      <c r="AM150" s="15">
        <f>SUM(AM148:AM149)</f>
        <v>0</v>
      </c>
      <c r="AN150" s="15"/>
      <c r="AO150" s="15">
        <f>SUM(AO148:AO149)</f>
        <v>0</v>
      </c>
      <c r="AP150" s="15"/>
      <c r="AQ150" s="15">
        <f>SUM(AQ148:AQ149)</f>
        <v>11980.58</v>
      </c>
      <c r="AR150" s="15"/>
      <c r="AS150" s="15">
        <f>SUM(AS148:AS149)</f>
        <v>-21765.98</v>
      </c>
      <c r="AT150" s="15">
        <f>SUM(AT148:AT149)</f>
        <v>0</v>
      </c>
      <c r="AU150" s="15"/>
      <c r="AV150" s="15">
        <f>SUM(AV148:AV149)</f>
        <v>0</v>
      </c>
      <c r="AW150" s="15"/>
      <c r="AX150" s="15">
        <f>SUM(AX148:AX149)</f>
        <v>0</v>
      </c>
      <c r="AY150" s="15"/>
      <c r="AZ150" s="15">
        <f>SUM(C150:AS150)</f>
        <v>-9785.4</v>
      </c>
      <c r="BA150" s="5"/>
      <c r="BB150" s="76">
        <f t="shared" si="38"/>
        <v>11980.58</v>
      </c>
      <c r="BC150" s="37"/>
      <c r="BD150" s="76">
        <f t="shared" si="39"/>
        <v>-21765.98</v>
      </c>
      <c r="BE150" s="37"/>
      <c r="BF150" s="76">
        <f t="shared" si="40"/>
        <v>0</v>
      </c>
      <c r="BH150" s="76">
        <f t="shared" si="41"/>
        <v>0</v>
      </c>
      <c r="BJ150" s="76">
        <f t="shared" si="42"/>
        <v>-9785.4</v>
      </c>
      <c r="BL150" s="39">
        <f t="shared" si="44"/>
        <v>0</v>
      </c>
      <c r="BM150" s="3"/>
      <c r="BN150" s="3"/>
      <c r="BO150" s="3"/>
    </row>
    <row r="151" spans="1:67" x14ac:dyDescent="0.2">
      <c r="A151" s="14"/>
      <c r="B151" s="115" t="s">
        <v>371</v>
      </c>
      <c r="C151" s="20">
        <f>C150+SUM(C142:C147)+C139+C138</f>
        <v>-3671.69</v>
      </c>
      <c r="D151" s="15"/>
      <c r="E151" s="20">
        <f>E150+SUM(E142:E147)+E139+E138</f>
        <v>309281.21999999997</v>
      </c>
      <c r="F151" s="15"/>
      <c r="G151" s="20">
        <f>G150+SUM(G142:G147)+G139+G138</f>
        <v>0</v>
      </c>
      <c r="H151" s="15"/>
      <c r="I151" s="20">
        <f>I150+SUM(I142:I147)+I139+I138</f>
        <v>0</v>
      </c>
      <c r="J151" s="15"/>
      <c r="K151" s="20">
        <f>K150+SUM(K142:K147)+K139+K138</f>
        <v>0</v>
      </c>
      <c r="L151" s="15"/>
      <c r="M151" s="20">
        <f>M150+SUM(M142:M147)+M139+M138</f>
        <v>0</v>
      </c>
      <c r="N151" s="15"/>
      <c r="O151" s="20">
        <f>O150+SUM(O142:O147)+O139+O138</f>
        <v>0</v>
      </c>
      <c r="P151" s="15"/>
      <c r="Q151" s="20">
        <f>Q150+SUM(Q142:Q147)+Q139+Q138</f>
        <v>0</v>
      </c>
      <c r="R151" s="15"/>
      <c r="S151" s="20">
        <f>S150+SUM(S142:S147)+S139+S138</f>
        <v>-688035.02</v>
      </c>
      <c r="T151" s="20"/>
      <c r="U151" s="20">
        <f>U150+SUM(U142:U147)+U139+U138</f>
        <v>0</v>
      </c>
      <c r="V151" s="20"/>
      <c r="W151" s="20">
        <f>W150+SUM(W142:W147)+W139+W138</f>
        <v>56598.99</v>
      </c>
      <c r="X151" s="15"/>
      <c r="Y151" s="20">
        <f>Y150+SUM(Y142:Y147)+Y139+Y138</f>
        <v>0</v>
      </c>
      <c r="Z151" s="15"/>
      <c r="AA151" s="20">
        <f>AA150+SUM(AA142:AA147)+AA139+AA138</f>
        <v>0</v>
      </c>
      <c r="AB151" s="15"/>
      <c r="AC151" s="20">
        <f>AC150+SUM(AC142:AC147)+AC139+AC138</f>
        <v>80515.649999999994</v>
      </c>
      <c r="AD151" s="15"/>
      <c r="AE151" s="20">
        <f>AE150+SUM(AE142:AE147)+AE139+AE138</f>
        <v>0</v>
      </c>
      <c r="AF151" s="15"/>
      <c r="AG151" s="20">
        <f>AG150+SUM(AG142:AG147)+AG139+AG138</f>
        <v>0</v>
      </c>
      <c r="AH151" s="15"/>
      <c r="AI151" s="20">
        <f>AI150+SUM(AI142:AI147)+AI139+AI138</f>
        <v>0</v>
      </c>
      <c r="AJ151" s="15"/>
      <c r="AK151" s="20">
        <f>AK150+SUM(AK142:AK147)+AK139+AK138</f>
        <v>0</v>
      </c>
      <c r="AL151" s="20"/>
      <c r="AM151" s="20">
        <f>AM150+SUM(AM142:AM147)+AM139+AM138</f>
        <v>0</v>
      </c>
      <c r="AN151" s="20"/>
      <c r="AO151" s="20">
        <f>AO150+SUM(AO142:AO147)+AO139+AO138</f>
        <v>0</v>
      </c>
      <c r="AP151" s="20"/>
      <c r="AQ151" s="20">
        <f>AQ150+SUM(AQ142:AQ147)+AQ139+AQ138</f>
        <v>11980.58</v>
      </c>
      <c r="AR151" s="20"/>
      <c r="AS151" s="20">
        <f>AS150+SUM(AS142:AS147)+AS139+AS138</f>
        <v>-21765.98</v>
      </c>
      <c r="AT151" s="20">
        <f>AT150+SUM(AT142:AT147)+AT139+AT138</f>
        <v>0</v>
      </c>
      <c r="AU151" s="20"/>
      <c r="AV151" s="20">
        <f>AV150+SUM(AV142:AV147)+AV139+AV138</f>
        <v>0</v>
      </c>
      <c r="AW151" s="20"/>
      <c r="AX151" s="20">
        <f>AX150+SUM(AX142:AX147)+AX139+AX138</f>
        <v>0</v>
      </c>
      <c r="AY151" s="20"/>
      <c r="AZ151" s="20">
        <f>AZ150+SUM(AZ142:AZ147)+AZ139+AZ138</f>
        <v>-255096.25000000015</v>
      </c>
      <c r="BA151" s="5"/>
      <c r="BB151" s="114">
        <f>BB150+SUM(BB142:BB147)+BB139+BB138</f>
        <v>11980.58</v>
      </c>
      <c r="BC151" s="37"/>
      <c r="BD151" s="114">
        <f>BD150+SUM(BD142:BD147)+BD139+BD138</f>
        <v>-21765.98</v>
      </c>
      <c r="BE151" s="37"/>
      <c r="BF151" s="114">
        <f>BF150+SUM(BF142:BF147)+BF139+BF138</f>
        <v>-245310.85000000015</v>
      </c>
      <c r="BH151" s="114">
        <f>BH150+SUM(BH142:BH147)+BH139+BH138</f>
        <v>0</v>
      </c>
      <c r="BJ151" s="114">
        <f>BJ150+SUM(BJ142:BJ147)+BJ139+BJ138</f>
        <v>-255096.25000000015</v>
      </c>
      <c r="BL151" s="39">
        <f t="shared" si="44"/>
        <v>0</v>
      </c>
      <c r="BM151" s="3"/>
      <c r="BN151" s="3"/>
      <c r="BO151" s="3"/>
    </row>
    <row r="152" spans="1:67" x14ac:dyDescent="0.2">
      <c r="A152" s="14"/>
      <c r="B152" s="115"/>
      <c r="C152" s="17"/>
      <c r="D152" s="15"/>
      <c r="E152" s="17"/>
      <c r="F152" s="15"/>
      <c r="G152" s="17"/>
      <c r="H152" s="15"/>
      <c r="I152" s="17"/>
      <c r="J152" s="15"/>
      <c r="K152" s="17"/>
      <c r="L152" s="15"/>
      <c r="M152" s="17"/>
      <c r="N152" s="15"/>
      <c r="O152" s="17"/>
      <c r="P152" s="15"/>
      <c r="Q152" s="17"/>
      <c r="R152" s="15"/>
      <c r="S152" s="17"/>
      <c r="T152" s="17"/>
      <c r="U152" s="17"/>
      <c r="V152" s="17"/>
      <c r="W152" s="17"/>
      <c r="X152" s="15"/>
      <c r="Y152" s="17"/>
      <c r="Z152" s="15"/>
      <c r="AA152" s="17"/>
      <c r="AB152" s="15"/>
      <c r="AC152" s="17"/>
      <c r="AD152" s="15"/>
      <c r="AE152" s="17"/>
      <c r="AF152" s="15"/>
      <c r="AG152" s="17"/>
      <c r="AH152" s="15"/>
      <c r="AI152" s="17"/>
      <c r="AJ152" s="15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5"/>
      <c r="BB152" s="76"/>
      <c r="BC152" s="37"/>
      <c r="BD152" s="76"/>
      <c r="BE152" s="37"/>
      <c r="BL152" s="39">
        <f t="shared" si="44"/>
        <v>0</v>
      </c>
      <c r="BM152" s="3"/>
      <c r="BN152" s="3"/>
      <c r="BO152" s="3"/>
    </row>
    <row r="153" spans="1:67" x14ac:dyDescent="0.2">
      <c r="A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5"/>
      <c r="BB153" s="76"/>
      <c r="BC153" s="37"/>
      <c r="BD153" s="76"/>
      <c r="BE153" s="37"/>
      <c r="BL153" s="39">
        <f t="shared" si="44"/>
        <v>0</v>
      </c>
      <c r="BM153" s="3"/>
      <c r="BN153" s="3"/>
      <c r="BO153" s="3"/>
    </row>
    <row r="154" spans="1:67" x14ac:dyDescent="0.2">
      <c r="A154" s="14"/>
      <c r="B154" s="10" t="s">
        <v>372</v>
      </c>
      <c r="C154" s="20">
        <f>C151+C133+C113+C100+C95+C84+C71</f>
        <v>-3671.69</v>
      </c>
      <c r="D154" s="15"/>
      <c r="E154" s="20">
        <f>E151+E133+E113+E100+E95+E84+E71</f>
        <v>0</v>
      </c>
      <c r="F154" s="15"/>
      <c r="G154" s="20">
        <f>G151+G133+G113+G100+G95+G84+G71</f>
        <v>0</v>
      </c>
      <c r="H154" s="15"/>
      <c r="I154" s="20">
        <f>I151+I133+I113+I100+I95+I84+I71</f>
        <v>0</v>
      </c>
      <c r="J154" s="15"/>
      <c r="K154" s="20">
        <f>K151+K133+K113+K100+K95+K84+K71</f>
        <v>0</v>
      </c>
      <c r="L154" s="15"/>
      <c r="M154" s="20">
        <f>M151+M133+M113+M100+M95+M84+M71</f>
        <v>0</v>
      </c>
      <c r="N154" s="15"/>
      <c r="O154" s="20">
        <f>O151+O133+O113+O100+O95+O84+O71</f>
        <v>3612188.67</v>
      </c>
      <c r="P154" s="15"/>
      <c r="Q154" s="20">
        <f>Q151+Q133+Q113+Q100+Q95+Q84+Q71</f>
        <v>0</v>
      </c>
      <c r="R154" s="15"/>
      <c r="S154" s="20">
        <f>S151+S133+S113+S100+S95+S84+S71</f>
        <v>0</v>
      </c>
      <c r="T154" s="20"/>
      <c r="U154" s="20">
        <f>U151+U133+U113+U100+U95+U84+U71</f>
        <v>0</v>
      </c>
      <c r="V154" s="20"/>
      <c r="W154" s="20">
        <f>W151+W133+W113+W100+W95+W84+W71</f>
        <v>0</v>
      </c>
      <c r="X154" s="15"/>
      <c r="Y154" s="20">
        <f>Y151+Y133+Y113+Y100+Y95+Y84+Y71</f>
        <v>0</v>
      </c>
      <c r="Z154" s="15"/>
      <c r="AA154" s="20">
        <f>AA151+AA133+AA113+AA100+AA95+AA84+AA71</f>
        <v>-871644.37</v>
      </c>
      <c r="AB154" s="15"/>
      <c r="AC154" s="20">
        <f>AC151+AC133+AC113+AC100+AC95+AC84+AC71</f>
        <v>0</v>
      </c>
      <c r="AD154" s="15"/>
      <c r="AE154" s="20">
        <f>AE151+AE133+AE113+AE100+AE95+AE84+AE71</f>
        <v>6206406.7000000002</v>
      </c>
      <c r="AF154" s="15"/>
      <c r="AG154" s="20">
        <f>AG151+AG133+AG113+AG100+AG95+AG84+AG71</f>
        <v>-30374999.219999999</v>
      </c>
      <c r="AH154" s="15"/>
      <c r="AI154" s="20">
        <f>AI151+AI133+AI113+AI100+AI95+AI84+AI71</f>
        <v>0</v>
      </c>
      <c r="AJ154" s="15"/>
      <c r="AK154" s="20">
        <f>AK151+AK133+AK113+AK100+AK95+AK84+AK71</f>
        <v>0</v>
      </c>
      <c r="AL154" s="20"/>
      <c r="AM154" s="20">
        <f>AM151+AM133+AM113+AM100+AM95+AM84+AM71</f>
        <v>0</v>
      </c>
      <c r="AN154" s="20"/>
      <c r="AO154" s="20">
        <f>AO151+AO133+AO113+AO100+AO95+AO84+AO71</f>
        <v>0</v>
      </c>
      <c r="AP154" s="20"/>
      <c r="AQ154" s="20">
        <f>AQ151+AQ133+AQ113+AQ100+AQ95+AQ84+AQ71</f>
        <v>14439337.1</v>
      </c>
      <c r="AR154" s="20"/>
      <c r="AS154" s="20">
        <f>AS151+AS133+AZ113+AS100+AS95+AS84+AS71</f>
        <v>-200537.92</v>
      </c>
      <c r="AT154" s="20">
        <f>AT151+AT133+AT113+AT100+AT95+AT84+AT71</f>
        <v>0</v>
      </c>
      <c r="AU154" s="20"/>
      <c r="AV154" s="20">
        <f>AV151+AV133+AV113+AV100+AV95+AV84+AV71</f>
        <v>0</v>
      </c>
      <c r="AW154" s="20"/>
      <c r="AX154" s="20">
        <f>AX151+AX133+AX113+AX100+AX95+AX84+AX71</f>
        <v>0</v>
      </c>
      <c r="AY154" s="20"/>
      <c r="AZ154" s="20">
        <f>AZ151+AZ133+AZ113+AZ100+AZ95+AZ84+AZ71</f>
        <v>-7192920.7300000116</v>
      </c>
      <c r="BA154" s="5"/>
      <c r="BB154" s="114">
        <f>BB151+BB133+BB113+BB100+BB95+BB84+BB71</f>
        <v>20645743.799999997</v>
      </c>
      <c r="BC154" s="37"/>
      <c r="BD154" s="114">
        <f>BD151+BD133+BD113+BD100+BD95+BD84+BD71</f>
        <v>-200537.92</v>
      </c>
      <c r="BE154" s="37"/>
      <c r="BF154" s="114">
        <f>BF151+BF133+BF113+BF100+BF95+BF84+BF71</f>
        <v>2736872.6099999952</v>
      </c>
      <c r="BH154" s="114">
        <f>BH151+BH133+BH113+BH100+BH95+BH84+BH71</f>
        <v>0</v>
      </c>
      <c r="BJ154" s="114">
        <f>BJ151+BJ133+BJ113+BJ100+BJ95+BJ84+BJ71</f>
        <v>-7192920.7300000116</v>
      </c>
      <c r="BL154" s="39">
        <f t="shared" si="44"/>
        <v>0</v>
      </c>
      <c r="BM154" s="3"/>
      <c r="BN154" s="3"/>
      <c r="BO154" s="3"/>
    </row>
    <row r="155" spans="1:67" x14ac:dyDescent="0.2">
      <c r="A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5"/>
      <c r="BB155" s="76"/>
      <c r="BC155" s="37"/>
      <c r="BD155" s="76"/>
      <c r="BE155" s="37"/>
      <c r="BL155" s="39">
        <f t="shared" si="44"/>
        <v>0</v>
      </c>
      <c r="BM155" s="3"/>
      <c r="BN155" s="3"/>
      <c r="BO155" s="3"/>
    </row>
    <row r="156" spans="1:67" x14ac:dyDescent="0.2">
      <c r="A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5"/>
      <c r="BB156" s="76"/>
      <c r="BC156" s="37"/>
      <c r="BD156" s="76"/>
      <c r="BE156" s="37"/>
      <c r="BL156" s="39">
        <f t="shared" si="44"/>
        <v>0</v>
      </c>
      <c r="BM156" s="3"/>
      <c r="BN156" s="3"/>
      <c r="BO156" s="3"/>
    </row>
    <row r="157" spans="1:67" x14ac:dyDescent="0.2">
      <c r="A157" s="9" t="s">
        <v>26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5"/>
      <c r="BB157" s="76"/>
      <c r="BC157" s="37"/>
      <c r="BD157" s="76"/>
      <c r="BE157" s="37"/>
      <c r="BL157" s="39">
        <f t="shared" si="44"/>
        <v>0</v>
      </c>
      <c r="BM157" s="3"/>
      <c r="BN157" s="3"/>
      <c r="BO157" s="3"/>
    </row>
    <row r="158" spans="1:67" x14ac:dyDescent="0.2">
      <c r="A158" s="14"/>
      <c r="B158" s="10" t="s">
        <v>27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5"/>
      <c r="BB158" s="76"/>
      <c r="BC158" s="37"/>
      <c r="BD158" s="76"/>
      <c r="BE158" s="37"/>
      <c r="BL158" s="39">
        <f t="shared" si="44"/>
        <v>0</v>
      </c>
      <c r="BM158" s="3"/>
      <c r="BN158" s="3"/>
      <c r="BO158" s="3"/>
    </row>
    <row r="159" spans="1:67" outlineLevel="1" x14ac:dyDescent="0.2">
      <c r="A159" s="14"/>
      <c r="B159" s="3" t="s">
        <v>373</v>
      </c>
      <c r="C159" s="15">
        <v>0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>
        <f>SUM(C159:AY159)</f>
        <v>0</v>
      </c>
      <c r="BA159" s="5"/>
      <c r="BB159" s="76">
        <f t="shared" ref="BB159:BB177" si="45">SUMIF($C$10:$AY$10,"=Addition",$C159:$AY159)</f>
        <v>0</v>
      </c>
      <c r="BC159" s="37"/>
      <c r="BD159" s="76">
        <f t="shared" ref="BD159:BD177" si="46">SUMIF($C$10:$AY$10,"=Adjustment",$C159:$AY159)</f>
        <v>0</v>
      </c>
      <c r="BE159" s="37"/>
      <c r="BF159" s="76">
        <f t="shared" ref="BF159:BF177" si="47">SUMIF($C$10:$AY$10,"=Transfer",$C159:$AY159)</f>
        <v>0</v>
      </c>
      <c r="BH159" s="76">
        <f t="shared" ref="BH159:BH177" si="48">SUMIF($C$10:$AY$10,"=N/A",$C159:$AY159)</f>
        <v>0</v>
      </c>
      <c r="BJ159" s="76">
        <f t="shared" ref="BJ159:BJ177" si="49">SUM(BB159:BH159)</f>
        <v>0</v>
      </c>
      <c r="BL159" s="39">
        <f t="shared" si="44"/>
        <v>0</v>
      </c>
      <c r="BM159" s="3"/>
      <c r="BN159" s="3"/>
      <c r="BO159" s="3"/>
    </row>
    <row r="160" spans="1:67" outlineLevel="1" x14ac:dyDescent="0.2">
      <c r="A160" s="14"/>
      <c r="B160" s="3" t="s">
        <v>374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>
        <f>SUM(C160:AY160)</f>
        <v>0</v>
      </c>
      <c r="BA160" s="5"/>
      <c r="BB160" s="76">
        <f t="shared" si="45"/>
        <v>0</v>
      </c>
      <c r="BC160" s="37"/>
      <c r="BD160" s="76">
        <f t="shared" si="46"/>
        <v>0</v>
      </c>
      <c r="BE160" s="37"/>
      <c r="BF160" s="76">
        <f t="shared" si="47"/>
        <v>0</v>
      </c>
      <c r="BH160" s="76">
        <f t="shared" si="48"/>
        <v>0</v>
      </c>
      <c r="BJ160" s="76">
        <f t="shared" si="49"/>
        <v>0</v>
      </c>
      <c r="BL160" s="39">
        <f t="shared" si="44"/>
        <v>0</v>
      </c>
      <c r="BM160" s="3"/>
      <c r="BN160" s="3"/>
      <c r="BO160" s="3"/>
    </row>
    <row r="161" spans="1:67" x14ac:dyDescent="0.2">
      <c r="A161" s="14"/>
      <c r="B161" s="22" t="s">
        <v>375</v>
      </c>
      <c r="C161" s="15">
        <f>SUM(C159:C160)</f>
        <v>0</v>
      </c>
      <c r="D161" s="15"/>
      <c r="E161" s="15">
        <f>SUM(E159:E160)</f>
        <v>0</v>
      </c>
      <c r="F161" s="15"/>
      <c r="G161" s="15">
        <f>SUM(G159:G160)</f>
        <v>0</v>
      </c>
      <c r="H161" s="15"/>
      <c r="I161" s="15">
        <f>SUM(I159:I160)</f>
        <v>0</v>
      </c>
      <c r="J161" s="15"/>
      <c r="K161" s="15">
        <f>SUM(K159:K160)</f>
        <v>0</v>
      </c>
      <c r="L161" s="15"/>
      <c r="M161" s="15">
        <f>SUM(M159:M160)</f>
        <v>0</v>
      </c>
      <c r="N161" s="15"/>
      <c r="O161" s="15">
        <f>SUM(O159:O160)</f>
        <v>0</v>
      </c>
      <c r="P161" s="15"/>
      <c r="Q161" s="15">
        <f>SUM(Q159:Q160)</f>
        <v>0</v>
      </c>
      <c r="R161" s="15"/>
      <c r="S161" s="15">
        <f>SUM(S159:S160)</f>
        <v>0</v>
      </c>
      <c r="T161" s="15"/>
      <c r="U161" s="15">
        <f>SUM(U159:U160)</f>
        <v>0</v>
      </c>
      <c r="V161" s="15"/>
      <c r="W161" s="15">
        <f>SUM(W159:W160)</f>
        <v>0</v>
      </c>
      <c r="X161" s="15"/>
      <c r="Y161" s="15">
        <f>SUM(Y159:Y160)</f>
        <v>0</v>
      </c>
      <c r="Z161" s="15"/>
      <c r="AA161" s="15">
        <f>SUM(AA159:AA160)</f>
        <v>0</v>
      </c>
      <c r="AB161" s="15"/>
      <c r="AC161" s="15">
        <f>SUM(AC159:AC160)</f>
        <v>0</v>
      </c>
      <c r="AD161" s="15"/>
      <c r="AE161" s="15">
        <f>SUM(AE159:AE160)</f>
        <v>0</v>
      </c>
      <c r="AF161" s="15"/>
      <c r="AG161" s="15">
        <f>SUM(AG159:AG160)</f>
        <v>0</v>
      </c>
      <c r="AH161" s="15"/>
      <c r="AI161" s="15">
        <f>SUM(AI159:AI160)</f>
        <v>0</v>
      </c>
      <c r="AJ161" s="15"/>
      <c r="AK161" s="15">
        <f>SUM(AK159:AK160)</f>
        <v>0</v>
      </c>
      <c r="AL161" s="15"/>
      <c r="AM161" s="15">
        <f>SUM(AM159:AM160)</f>
        <v>0</v>
      </c>
      <c r="AN161" s="15"/>
      <c r="AO161" s="15">
        <f>SUM(AO159:AO160)</f>
        <v>0</v>
      </c>
      <c r="AP161" s="15"/>
      <c r="AQ161" s="15">
        <f>SUM(AQ159:AQ160)</f>
        <v>0</v>
      </c>
      <c r="AR161" s="15"/>
      <c r="AS161" s="15">
        <f>SUM(AS159:AS160)</f>
        <v>0</v>
      </c>
      <c r="AT161" s="15">
        <f>SUM(AT159:AT160)</f>
        <v>0</v>
      </c>
      <c r="AU161" s="15"/>
      <c r="AV161" s="15">
        <f>SUM(AV159:AV160)</f>
        <v>0</v>
      </c>
      <c r="AW161" s="15"/>
      <c r="AX161" s="15">
        <f>SUM(AX159:AX160)</f>
        <v>0</v>
      </c>
      <c r="AY161" s="15"/>
      <c r="AZ161" s="15">
        <f>SUM(AZ159:AZ160)</f>
        <v>0</v>
      </c>
      <c r="BA161" s="5"/>
      <c r="BB161" s="76">
        <f t="shared" si="45"/>
        <v>0</v>
      </c>
      <c r="BC161" s="37"/>
      <c r="BD161" s="76">
        <f t="shared" si="46"/>
        <v>0</v>
      </c>
      <c r="BE161" s="37"/>
      <c r="BF161" s="76">
        <f t="shared" si="47"/>
        <v>0</v>
      </c>
      <c r="BH161" s="76">
        <f t="shared" si="48"/>
        <v>0</v>
      </c>
      <c r="BJ161" s="76">
        <f t="shared" si="49"/>
        <v>0</v>
      </c>
      <c r="BL161" s="39">
        <f t="shared" si="44"/>
        <v>0</v>
      </c>
      <c r="BM161" s="3"/>
      <c r="BN161" s="3"/>
      <c r="BO161" s="3"/>
    </row>
    <row r="162" spans="1:67" outlineLevel="1" x14ac:dyDescent="0.2">
      <c r="A162" s="14"/>
      <c r="B162" s="3" t="s">
        <v>376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>
        <f>SUM(C162:AY162)</f>
        <v>0</v>
      </c>
      <c r="BA162" s="5"/>
      <c r="BB162" s="76">
        <f t="shared" si="45"/>
        <v>0</v>
      </c>
      <c r="BC162" s="37"/>
      <c r="BD162" s="76">
        <f t="shared" si="46"/>
        <v>0</v>
      </c>
      <c r="BE162" s="37"/>
      <c r="BF162" s="76">
        <f t="shared" si="47"/>
        <v>0</v>
      </c>
      <c r="BH162" s="76">
        <f t="shared" si="48"/>
        <v>0</v>
      </c>
      <c r="BJ162" s="76">
        <f t="shared" si="49"/>
        <v>0</v>
      </c>
      <c r="BL162" s="39">
        <f t="shared" si="44"/>
        <v>0</v>
      </c>
      <c r="BM162" s="3"/>
      <c r="BN162" s="3"/>
      <c r="BO162" s="3"/>
    </row>
    <row r="163" spans="1:67" outlineLevel="1" x14ac:dyDescent="0.2">
      <c r="A163" s="14"/>
      <c r="B163" s="3" t="s">
        <v>377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>
        <v>12074.4</v>
      </c>
      <c r="AU163" s="15"/>
      <c r="AV163" s="15"/>
      <c r="AW163" s="15"/>
      <c r="AX163" s="15"/>
      <c r="AY163" s="15"/>
      <c r="AZ163" s="15">
        <f>SUM(C163:AY163)</f>
        <v>12074.4</v>
      </c>
      <c r="BA163" s="5"/>
      <c r="BB163" s="76">
        <f t="shared" si="45"/>
        <v>0</v>
      </c>
      <c r="BC163" s="37"/>
      <c r="BD163" s="76">
        <f t="shared" si="46"/>
        <v>0</v>
      </c>
      <c r="BE163" s="37"/>
      <c r="BF163" s="76">
        <f t="shared" si="47"/>
        <v>12074.4</v>
      </c>
      <c r="BH163" s="76">
        <f t="shared" si="48"/>
        <v>0</v>
      </c>
      <c r="BJ163" s="76">
        <f t="shared" si="49"/>
        <v>12074.4</v>
      </c>
      <c r="BL163" s="39">
        <f t="shared" si="44"/>
        <v>0</v>
      </c>
      <c r="BM163" s="3"/>
      <c r="BN163" s="3"/>
      <c r="BO163" s="3"/>
    </row>
    <row r="164" spans="1:67" x14ac:dyDescent="0.2">
      <c r="A164" s="14"/>
      <c r="B164" s="3" t="s">
        <v>378</v>
      </c>
      <c r="C164" s="15">
        <f>SUM(C162:C163)</f>
        <v>0</v>
      </c>
      <c r="D164" s="15"/>
      <c r="E164" s="15">
        <f>SUM(E162:E163)</f>
        <v>0</v>
      </c>
      <c r="F164" s="15"/>
      <c r="G164" s="15">
        <f>SUM(G162:G163)</f>
        <v>0</v>
      </c>
      <c r="H164" s="15"/>
      <c r="I164" s="15">
        <f>SUM(I162:I163)</f>
        <v>0</v>
      </c>
      <c r="J164" s="15"/>
      <c r="K164" s="15">
        <f>SUM(K162:K163)</f>
        <v>0</v>
      </c>
      <c r="L164" s="15"/>
      <c r="M164" s="15">
        <f>SUM(M162:M163)</f>
        <v>0</v>
      </c>
      <c r="N164" s="15"/>
      <c r="O164" s="15">
        <f>SUM(O162:O163)</f>
        <v>0</v>
      </c>
      <c r="P164" s="15"/>
      <c r="Q164" s="15">
        <f>SUM(Q162:Q163)</f>
        <v>0</v>
      </c>
      <c r="R164" s="15"/>
      <c r="S164" s="15">
        <f>SUM(S162:S163)</f>
        <v>0</v>
      </c>
      <c r="T164" s="15"/>
      <c r="U164" s="15">
        <f>SUM(U162:U163)</f>
        <v>0</v>
      </c>
      <c r="V164" s="15"/>
      <c r="W164" s="15">
        <f>SUM(W162:W163)</f>
        <v>0</v>
      </c>
      <c r="X164" s="15"/>
      <c r="Y164" s="15">
        <f>SUM(Y162:Y163)</f>
        <v>0</v>
      </c>
      <c r="Z164" s="15"/>
      <c r="AA164" s="15">
        <f>SUM(AA162:AA163)</f>
        <v>0</v>
      </c>
      <c r="AB164" s="15"/>
      <c r="AC164" s="15">
        <f>SUM(AC162:AC163)</f>
        <v>0</v>
      </c>
      <c r="AD164" s="15"/>
      <c r="AE164" s="15">
        <f>SUM(AE162:AE163)</f>
        <v>0</v>
      </c>
      <c r="AF164" s="15"/>
      <c r="AG164" s="15">
        <f>SUM(AG162:AG163)</f>
        <v>0</v>
      </c>
      <c r="AH164" s="15"/>
      <c r="AI164" s="15">
        <f>SUM(AI162:AI163)</f>
        <v>0</v>
      </c>
      <c r="AJ164" s="15"/>
      <c r="AK164" s="15">
        <f>SUM(AK162:AK163)</f>
        <v>0</v>
      </c>
      <c r="AL164" s="15"/>
      <c r="AM164" s="15">
        <f>SUM(AM162:AM163)</f>
        <v>0</v>
      </c>
      <c r="AN164" s="15"/>
      <c r="AO164" s="15">
        <f>SUM(AO162:AO163)</f>
        <v>0</v>
      </c>
      <c r="AP164" s="15"/>
      <c r="AQ164" s="15">
        <f>SUM(AQ162:AQ163)</f>
        <v>0</v>
      </c>
      <c r="AR164" s="15"/>
      <c r="AS164" s="15">
        <f>SUM(AS162:AS163)</f>
        <v>0</v>
      </c>
      <c r="AT164" s="15">
        <f>SUM(AT162:AT163)</f>
        <v>12074.4</v>
      </c>
      <c r="AU164" s="15"/>
      <c r="AV164" s="15">
        <f>SUM(AV162:AV163)</f>
        <v>0</v>
      </c>
      <c r="AW164" s="15"/>
      <c r="AX164" s="15">
        <f>SUM(AX162:AX163)</f>
        <v>0</v>
      </c>
      <c r="AY164" s="15"/>
      <c r="AZ164" s="15">
        <f>SUM(AZ162:AZ163)</f>
        <v>12074.4</v>
      </c>
      <c r="BA164" s="5"/>
      <c r="BB164" s="76">
        <f t="shared" si="45"/>
        <v>0</v>
      </c>
      <c r="BC164" s="37"/>
      <c r="BD164" s="76">
        <f t="shared" si="46"/>
        <v>0</v>
      </c>
      <c r="BE164" s="37"/>
      <c r="BF164" s="76">
        <f t="shared" si="47"/>
        <v>12074.4</v>
      </c>
      <c r="BH164" s="76">
        <f t="shared" si="48"/>
        <v>0</v>
      </c>
      <c r="BJ164" s="76">
        <f t="shared" si="49"/>
        <v>12074.4</v>
      </c>
      <c r="BL164" s="39">
        <f t="shared" si="44"/>
        <v>0</v>
      </c>
      <c r="BM164" s="3"/>
      <c r="BN164" s="3"/>
      <c r="BO164" s="3"/>
    </row>
    <row r="165" spans="1:67" x14ac:dyDescent="0.2">
      <c r="A165" s="14"/>
      <c r="B165" s="3" t="s">
        <v>379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>
        <f t="shared" ref="AZ165:AZ177" si="50">SUM(C165:AY165)</f>
        <v>0</v>
      </c>
      <c r="BA165" s="5"/>
      <c r="BB165" s="76">
        <f t="shared" si="45"/>
        <v>0</v>
      </c>
      <c r="BC165" s="37"/>
      <c r="BD165" s="76">
        <f t="shared" si="46"/>
        <v>0</v>
      </c>
      <c r="BE165" s="37"/>
      <c r="BF165" s="76">
        <f t="shared" si="47"/>
        <v>0</v>
      </c>
      <c r="BH165" s="76">
        <f t="shared" si="48"/>
        <v>0</v>
      </c>
      <c r="BJ165" s="76">
        <f t="shared" si="49"/>
        <v>0</v>
      </c>
      <c r="BL165" s="39">
        <f t="shared" si="44"/>
        <v>0</v>
      </c>
      <c r="BM165" s="3"/>
      <c r="BN165" s="3"/>
      <c r="BO165" s="3"/>
    </row>
    <row r="166" spans="1:67" x14ac:dyDescent="0.2">
      <c r="A166" s="14"/>
      <c r="B166" s="22" t="s">
        <v>380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>
        <f t="shared" si="50"/>
        <v>0</v>
      </c>
      <c r="BA166" s="5"/>
      <c r="BB166" s="76">
        <f t="shared" si="45"/>
        <v>0</v>
      </c>
      <c r="BC166" s="37"/>
      <c r="BD166" s="76">
        <f t="shared" si="46"/>
        <v>0</v>
      </c>
      <c r="BE166" s="37"/>
      <c r="BF166" s="76">
        <f t="shared" si="47"/>
        <v>0</v>
      </c>
      <c r="BH166" s="76">
        <f t="shared" si="48"/>
        <v>0</v>
      </c>
      <c r="BJ166" s="76">
        <f t="shared" si="49"/>
        <v>0</v>
      </c>
      <c r="BL166" s="39">
        <f t="shared" si="44"/>
        <v>0</v>
      </c>
      <c r="BM166" s="3"/>
      <c r="BN166" s="3"/>
      <c r="BO166" s="3"/>
    </row>
    <row r="167" spans="1:67" x14ac:dyDescent="0.2">
      <c r="A167" s="14"/>
      <c r="B167" s="3" t="s">
        <v>381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>
        <f t="shared" si="50"/>
        <v>0</v>
      </c>
      <c r="BA167" s="5"/>
      <c r="BB167" s="76">
        <f t="shared" si="45"/>
        <v>0</v>
      </c>
      <c r="BC167" s="37"/>
      <c r="BD167" s="76">
        <f t="shared" si="46"/>
        <v>0</v>
      </c>
      <c r="BE167" s="37"/>
      <c r="BF167" s="76">
        <f t="shared" si="47"/>
        <v>0</v>
      </c>
      <c r="BH167" s="76">
        <f t="shared" si="48"/>
        <v>0</v>
      </c>
      <c r="BJ167" s="76">
        <f t="shared" si="49"/>
        <v>0</v>
      </c>
      <c r="BL167" s="39">
        <f t="shared" si="44"/>
        <v>0</v>
      </c>
      <c r="BM167" s="3"/>
      <c r="BN167" s="3"/>
      <c r="BO167" s="3"/>
    </row>
    <row r="168" spans="1:67" x14ac:dyDescent="0.2">
      <c r="A168" s="14"/>
      <c r="B168" s="3" t="s">
        <v>382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>
        <f t="shared" si="50"/>
        <v>0</v>
      </c>
      <c r="BA168" s="5"/>
      <c r="BB168" s="76">
        <f t="shared" si="45"/>
        <v>0</v>
      </c>
      <c r="BC168" s="37"/>
      <c r="BD168" s="76">
        <f t="shared" si="46"/>
        <v>0</v>
      </c>
      <c r="BE168" s="37"/>
      <c r="BF168" s="76">
        <f t="shared" si="47"/>
        <v>0</v>
      </c>
      <c r="BH168" s="76">
        <f t="shared" si="48"/>
        <v>0</v>
      </c>
      <c r="BJ168" s="76">
        <f t="shared" si="49"/>
        <v>0</v>
      </c>
      <c r="BL168" s="39">
        <f t="shared" si="44"/>
        <v>0</v>
      </c>
      <c r="BM168" s="3"/>
      <c r="BN168" s="3"/>
      <c r="BO168" s="3"/>
    </row>
    <row r="169" spans="1:67" x14ac:dyDescent="0.2">
      <c r="A169" s="14"/>
      <c r="B169" s="3" t="s">
        <v>383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>
        <f t="shared" si="50"/>
        <v>0</v>
      </c>
      <c r="BA169" s="5"/>
      <c r="BB169" s="76">
        <f t="shared" si="45"/>
        <v>0</v>
      </c>
      <c r="BC169" s="37"/>
      <c r="BD169" s="76">
        <f t="shared" si="46"/>
        <v>0</v>
      </c>
      <c r="BE169" s="37"/>
      <c r="BF169" s="76">
        <f t="shared" si="47"/>
        <v>0</v>
      </c>
      <c r="BH169" s="76">
        <f t="shared" si="48"/>
        <v>0</v>
      </c>
      <c r="BJ169" s="76">
        <f t="shared" si="49"/>
        <v>0</v>
      </c>
      <c r="BL169" s="39">
        <f t="shared" si="44"/>
        <v>0</v>
      </c>
      <c r="BM169" s="3"/>
      <c r="BN169" s="3"/>
      <c r="BO169" s="3"/>
    </row>
    <row r="170" spans="1:67" x14ac:dyDescent="0.2">
      <c r="A170" s="14"/>
      <c r="B170" s="22" t="s">
        <v>384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>
        <f t="shared" si="50"/>
        <v>0</v>
      </c>
      <c r="BA170" s="5"/>
      <c r="BB170" s="76">
        <f t="shared" si="45"/>
        <v>0</v>
      </c>
      <c r="BC170" s="37"/>
      <c r="BD170" s="76">
        <f t="shared" si="46"/>
        <v>0</v>
      </c>
      <c r="BE170" s="37"/>
      <c r="BF170" s="76">
        <f t="shared" si="47"/>
        <v>0</v>
      </c>
      <c r="BH170" s="76">
        <f t="shared" si="48"/>
        <v>0</v>
      </c>
      <c r="BJ170" s="76">
        <f t="shared" si="49"/>
        <v>0</v>
      </c>
      <c r="BL170" s="39">
        <f t="shared" si="44"/>
        <v>0</v>
      </c>
      <c r="BM170" s="3"/>
      <c r="BN170" s="3"/>
      <c r="BO170" s="3"/>
    </row>
    <row r="171" spans="1:67" x14ac:dyDescent="0.2">
      <c r="A171" s="14"/>
      <c r="B171" s="3" t="s">
        <v>385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>
        <f t="shared" si="50"/>
        <v>0</v>
      </c>
      <c r="BA171" s="5"/>
      <c r="BB171" s="76">
        <f t="shared" si="45"/>
        <v>0</v>
      </c>
      <c r="BC171" s="37"/>
      <c r="BD171" s="76">
        <f t="shared" si="46"/>
        <v>0</v>
      </c>
      <c r="BE171" s="37"/>
      <c r="BF171" s="76">
        <f t="shared" si="47"/>
        <v>0</v>
      </c>
      <c r="BH171" s="76">
        <f t="shared" si="48"/>
        <v>0</v>
      </c>
      <c r="BJ171" s="76">
        <f t="shared" si="49"/>
        <v>0</v>
      </c>
      <c r="BL171" s="39">
        <f t="shared" si="44"/>
        <v>0</v>
      </c>
      <c r="BM171" s="3"/>
      <c r="BN171" s="3"/>
      <c r="BO171" s="3"/>
    </row>
    <row r="172" spans="1:67" x14ac:dyDescent="0.2">
      <c r="A172" s="14"/>
      <c r="B172" s="3" t="s">
        <v>386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>
        <f t="shared" si="50"/>
        <v>0</v>
      </c>
      <c r="BA172" s="5"/>
      <c r="BB172" s="76">
        <f t="shared" si="45"/>
        <v>0</v>
      </c>
      <c r="BC172" s="37"/>
      <c r="BD172" s="76">
        <f t="shared" si="46"/>
        <v>0</v>
      </c>
      <c r="BE172" s="37"/>
      <c r="BF172" s="76">
        <f t="shared" si="47"/>
        <v>0</v>
      </c>
      <c r="BH172" s="76">
        <f t="shared" si="48"/>
        <v>0</v>
      </c>
      <c r="BJ172" s="76">
        <f t="shared" si="49"/>
        <v>0</v>
      </c>
      <c r="BL172" s="39">
        <f t="shared" si="44"/>
        <v>0</v>
      </c>
      <c r="BM172" s="3"/>
      <c r="BN172" s="3"/>
      <c r="BO172" s="3"/>
    </row>
    <row r="173" spans="1:67" x14ac:dyDescent="0.2">
      <c r="A173" s="14"/>
      <c r="B173" s="3" t="s">
        <v>387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>
        <f t="shared" si="50"/>
        <v>0</v>
      </c>
      <c r="BA173" s="5"/>
      <c r="BB173" s="76">
        <f t="shared" si="45"/>
        <v>0</v>
      </c>
      <c r="BC173" s="37"/>
      <c r="BD173" s="76">
        <f t="shared" si="46"/>
        <v>0</v>
      </c>
      <c r="BE173" s="37"/>
      <c r="BF173" s="76">
        <f t="shared" si="47"/>
        <v>0</v>
      </c>
      <c r="BH173" s="76">
        <f t="shared" si="48"/>
        <v>0</v>
      </c>
      <c r="BJ173" s="76">
        <f t="shared" si="49"/>
        <v>0</v>
      </c>
      <c r="BL173" s="39">
        <f t="shared" si="44"/>
        <v>0</v>
      </c>
      <c r="BM173" s="3"/>
      <c r="BN173" s="3"/>
      <c r="BO173" s="3"/>
    </row>
    <row r="174" spans="1:67" x14ac:dyDescent="0.2">
      <c r="A174" s="14"/>
      <c r="B174" s="3" t="s">
        <v>388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>
        <f t="shared" si="50"/>
        <v>0</v>
      </c>
      <c r="BA174" s="5"/>
      <c r="BB174" s="76">
        <f t="shared" si="45"/>
        <v>0</v>
      </c>
      <c r="BC174" s="37"/>
      <c r="BD174" s="76">
        <f t="shared" si="46"/>
        <v>0</v>
      </c>
      <c r="BE174" s="37"/>
      <c r="BF174" s="76">
        <f t="shared" si="47"/>
        <v>0</v>
      </c>
      <c r="BH174" s="76">
        <f t="shared" si="48"/>
        <v>0</v>
      </c>
      <c r="BJ174" s="76">
        <f t="shared" si="49"/>
        <v>0</v>
      </c>
      <c r="BL174" s="39">
        <f t="shared" si="44"/>
        <v>0</v>
      </c>
      <c r="BM174" s="3"/>
      <c r="BN174" s="3"/>
      <c r="BO174" s="3"/>
    </row>
    <row r="175" spans="1:67" outlineLevel="1" x14ac:dyDescent="0.2">
      <c r="A175" s="14"/>
      <c r="B175" s="3" t="s">
        <v>389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>
        <v>34428.04</v>
      </c>
      <c r="AR175" s="15"/>
      <c r="AS175" s="15"/>
      <c r="AT175" s="15"/>
      <c r="AU175" s="15"/>
      <c r="AV175" s="15"/>
      <c r="AW175" s="15"/>
      <c r="AX175" s="15"/>
      <c r="AY175" s="15"/>
      <c r="AZ175" s="15">
        <f t="shared" si="50"/>
        <v>34428.04</v>
      </c>
      <c r="BA175" s="5"/>
      <c r="BB175" s="76">
        <f t="shared" si="45"/>
        <v>34428.04</v>
      </c>
      <c r="BC175" s="37"/>
      <c r="BD175" s="76">
        <f t="shared" si="46"/>
        <v>0</v>
      </c>
      <c r="BE175" s="37"/>
      <c r="BF175" s="76">
        <f t="shared" si="47"/>
        <v>0</v>
      </c>
      <c r="BH175" s="76">
        <f t="shared" si="48"/>
        <v>0</v>
      </c>
      <c r="BJ175" s="76">
        <f t="shared" si="49"/>
        <v>34428.04</v>
      </c>
      <c r="BL175" s="39">
        <f t="shared" si="44"/>
        <v>0</v>
      </c>
      <c r="BM175" s="3"/>
      <c r="BN175" s="3"/>
      <c r="BO175" s="3"/>
    </row>
    <row r="176" spans="1:67" outlineLevel="1" x14ac:dyDescent="0.2">
      <c r="A176" s="14"/>
      <c r="B176" s="31" t="s">
        <v>390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>
        <v>0</v>
      </c>
      <c r="AH176" s="15"/>
      <c r="AI176" s="15">
        <v>0</v>
      </c>
      <c r="AJ176" s="15"/>
      <c r="AK176" s="15"/>
      <c r="AL176" s="15"/>
      <c r="AM176" s="15"/>
      <c r="AN176" s="15"/>
      <c r="AO176" s="15"/>
      <c r="AP176" s="15"/>
      <c r="AQ176" s="15">
        <v>1532697.94</v>
      </c>
      <c r="AR176" s="15"/>
      <c r="AS176" s="15"/>
      <c r="AT176" s="15"/>
      <c r="AU176" s="15"/>
      <c r="AV176" s="15"/>
      <c r="AW176" s="15"/>
      <c r="AX176" s="15"/>
      <c r="AY176" s="15"/>
      <c r="AZ176" s="15">
        <f t="shared" si="50"/>
        <v>1532697.94</v>
      </c>
      <c r="BA176" s="5"/>
      <c r="BB176" s="76">
        <f t="shared" si="45"/>
        <v>1532697.94</v>
      </c>
      <c r="BC176" s="37"/>
      <c r="BD176" s="76">
        <f t="shared" si="46"/>
        <v>0</v>
      </c>
      <c r="BE176" s="37"/>
      <c r="BF176" s="76">
        <f t="shared" si="47"/>
        <v>0</v>
      </c>
      <c r="BH176" s="76">
        <f t="shared" si="48"/>
        <v>0</v>
      </c>
      <c r="BJ176" s="76">
        <f t="shared" si="49"/>
        <v>1532697.94</v>
      </c>
      <c r="BL176" s="39">
        <f t="shared" si="44"/>
        <v>0</v>
      </c>
      <c r="BM176" s="3"/>
      <c r="BN176" s="3"/>
      <c r="BO176" s="3"/>
    </row>
    <row r="177" spans="1:67" x14ac:dyDescent="0.2">
      <c r="A177" s="14"/>
      <c r="B177" s="31" t="s">
        <v>391</v>
      </c>
      <c r="C177" s="15">
        <f>SUM(C175:C176)</f>
        <v>0</v>
      </c>
      <c r="D177" s="15"/>
      <c r="E177" s="15">
        <f>SUM(E175:E176)</f>
        <v>0</v>
      </c>
      <c r="F177" s="15"/>
      <c r="G177" s="15">
        <f>SUM(G175:G176)</f>
        <v>0</v>
      </c>
      <c r="H177" s="15"/>
      <c r="I177" s="15">
        <f>SUM(I175:I176)</f>
        <v>0</v>
      </c>
      <c r="J177" s="15"/>
      <c r="K177" s="15">
        <f>SUM(K175:K176)</f>
        <v>0</v>
      </c>
      <c r="L177" s="15"/>
      <c r="M177" s="15">
        <f>SUM(M175:M176)</f>
        <v>0</v>
      </c>
      <c r="N177" s="15"/>
      <c r="O177" s="15">
        <f>SUM(O175:O176)</f>
        <v>0</v>
      </c>
      <c r="P177" s="15"/>
      <c r="Q177" s="15">
        <f>SUM(Q175:Q176)</f>
        <v>0</v>
      </c>
      <c r="R177" s="15"/>
      <c r="S177" s="15">
        <f>SUM(S175:S176)</f>
        <v>0</v>
      </c>
      <c r="T177" s="15"/>
      <c r="U177" s="15">
        <f>SUM(U175:U176)</f>
        <v>0</v>
      </c>
      <c r="V177" s="15"/>
      <c r="W177" s="15">
        <f>SUM(W175:W176)</f>
        <v>0</v>
      </c>
      <c r="X177" s="15"/>
      <c r="Y177" s="15">
        <f>SUM(Y175:Y176)</f>
        <v>0</v>
      </c>
      <c r="Z177" s="15"/>
      <c r="AA177" s="15">
        <f>SUM(AA175:AA176)</f>
        <v>0</v>
      </c>
      <c r="AB177" s="15"/>
      <c r="AC177" s="15">
        <f>SUM(AC175:AC176)</f>
        <v>0</v>
      </c>
      <c r="AD177" s="15"/>
      <c r="AE177" s="15">
        <f>SUM(AE175:AE176)</f>
        <v>0</v>
      </c>
      <c r="AF177" s="15"/>
      <c r="AG177" s="15">
        <f>SUM(AG175:AG176)</f>
        <v>0</v>
      </c>
      <c r="AH177" s="15">
        <f>SUM(AH175:AH176)</f>
        <v>0</v>
      </c>
      <c r="AI177" s="15">
        <f>SUM(AI175:AI176)</f>
        <v>0</v>
      </c>
      <c r="AJ177" s="15"/>
      <c r="AK177" s="15">
        <f>SUM(AK175:AK176)</f>
        <v>0</v>
      </c>
      <c r="AL177" s="15"/>
      <c r="AM177" s="15">
        <f>SUM(AM175:AM176)</f>
        <v>0</v>
      </c>
      <c r="AN177" s="15"/>
      <c r="AO177" s="15">
        <f>SUM(AO175:AO176)</f>
        <v>0</v>
      </c>
      <c r="AP177" s="15"/>
      <c r="AQ177" s="15">
        <f>SUM(AQ175:AQ176)</f>
        <v>1567125.98</v>
      </c>
      <c r="AR177" s="15"/>
      <c r="AS177" s="15">
        <f>SUM(AS175:AS176)</f>
        <v>0</v>
      </c>
      <c r="AT177" s="15">
        <f>SUM(AT175:AT176)</f>
        <v>0</v>
      </c>
      <c r="AU177" s="15"/>
      <c r="AV177" s="15">
        <f>SUM(AV175:AV176)</f>
        <v>0</v>
      </c>
      <c r="AW177" s="15"/>
      <c r="AX177" s="15">
        <f>SUM(AX175:AX176)</f>
        <v>0</v>
      </c>
      <c r="AY177" s="15"/>
      <c r="AZ177" s="15">
        <f t="shared" si="50"/>
        <v>1567125.98</v>
      </c>
      <c r="BA177" s="5"/>
      <c r="BB177" s="76">
        <f t="shared" si="45"/>
        <v>1567125.98</v>
      </c>
      <c r="BC177" s="37"/>
      <c r="BD177" s="76">
        <f t="shared" si="46"/>
        <v>0</v>
      </c>
      <c r="BE177" s="37"/>
      <c r="BF177" s="76">
        <f t="shared" si="47"/>
        <v>0</v>
      </c>
      <c r="BH177" s="76">
        <f t="shared" si="48"/>
        <v>0</v>
      </c>
      <c r="BJ177" s="76">
        <f t="shared" si="49"/>
        <v>1567125.98</v>
      </c>
      <c r="BL177" s="39">
        <f t="shared" si="44"/>
        <v>0</v>
      </c>
      <c r="BM177" s="3"/>
      <c r="BN177" s="3"/>
      <c r="BO177" s="3"/>
    </row>
    <row r="178" spans="1:67" x14ac:dyDescent="0.2">
      <c r="A178" s="14"/>
      <c r="B178" s="115" t="s">
        <v>392</v>
      </c>
      <c r="C178" s="20">
        <f>C177+SUM(C164:C174)+C161</f>
        <v>0</v>
      </c>
      <c r="D178" s="15"/>
      <c r="E178" s="20">
        <f>E177+SUM(E164:E174)+E161</f>
        <v>0</v>
      </c>
      <c r="F178" s="15"/>
      <c r="G178" s="20">
        <f>G177+SUM(G164:G174)+G161</f>
        <v>0</v>
      </c>
      <c r="H178" s="15"/>
      <c r="I178" s="20">
        <f>I177+SUM(I164:I174)+I161</f>
        <v>0</v>
      </c>
      <c r="J178" s="15"/>
      <c r="K178" s="20">
        <f>K177+SUM(K164:K174)+K161</f>
        <v>0</v>
      </c>
      <c r="L178" s="15"/>
      <c r="M178" s="20">
        <f>M177+SUM(M164:M174)+M161</f>
        <v>0</v>
      </c>
      <c r="N178" s="15"/>
      <c r="O178" s="20">
        <f>O177+SUM(O164:O174)+O161</f>
        <v>0</v>
      </c>
      <c r="P178" s="15"/>
      <c r="Q178" s="20">
        <f>Q177+SUM(Q164:Q174)+Q161</f>
        <v>0</v>
      </c>
      <c r="R178" s="15"/>
      <c r="S178" s="20">
        <f>S177+SUM(S164:S174)+S161</f>
        <v>0</v>
      </c>
      <c r="T178" s="20"/>
      <c r="U178" s="20">
        <f>U177+SUM(U164:U174)+U161</f>
        <v>0</v>
      </c>
      <c r="V178" s="20"/>
      <c r="W178" s="20">
        <f>W177+SUM(W164:W174)+W161</f>
        <v>0</v>
      </c>
      <c r="X178" s="15"/>
      <c r="Y178" s="20">
        <f>Y177+SUM(Y164:Y174)+Y161</f>
        <v>0</v>
      </c>
      <c r="Z178" s="15"/>
      <c r="AA178" s="20">
        <f>AA177+SUM(AA164:AA174)+AA161</f>
        <v>0</v>
      </c>
      <c r="AB178" s="15"/>
      <c r="AC178" s="20">
        <f>AC177+SUM(AC164:AC174)+AC161</f>
        <v>0</v>
      </c>
      <c r="AD178" s="15"/>
      <c r="AE178" s="20">
        <f>AE177+SUM(AE164:AE174)+AE161</f>
        <v>0</v>
      </c>
      <c r="AF178" s="15"/>
      <c r="AG178" s="20">
        <f>AG177+SUM(AG164:AG174)+AG161</f>
        <v>0</v>
      </c>
      <c r="AH178" s="15"/>
      <c r="AI178" s="20">
        <f>AI177+SUM(AI164:AI174)+AI161</f>
        <v>0</v>
      </c>
      <c r="AJ178" s="15"/>
      <c r="AK178" s="20">
        <f>AK177+SUM(AK164:AK174)+AK161</f>
        <v>0</v>
      </c>
      <c r="AL178" s="20"/>
      <c r="AM178" s="20">
        <f>AM177+SUM(AM164:AM174)+AM161</f>
        <v>0</v>
      </c>
      <c r="AN178" s="20"/>
      <c r="AO178" s="20">
        <f>AO177+SUM(AO164:AO174)+AO161</f>
        <v>0</v>
      </c>
      <c r="AP178" s="20"/>
      <c r="AQ178" s="20">
        <f>AQ177+SUM(AQ164:AQ174)+AQ161</f>
        <v>1567125.98</v>
      </c>
      <c r="AR178" s="20"/>
      <c r="AS178" s="20">
        <f>AS177+SUM(AS164:AS174)+AS161</f>
        <v>0</v>
      </c>
      <c r="AT178" s="20">
        <f>AT177+SUM(AT164:AT174)+AT161</f>
        <v>12074.4</v>
      </c>
      <c r="AU178" s="20"/>
      <c r="AV178" s="20">
        <f>AV177+SUM(AV164:AV174)+AV161</f>
        <v>0</v>
      </c>
      <c r="AW178" s="20"/>
      <c r="AX178" s="20">
        <f>AX177+SUM(AX164:AX174)+AX161</f>
        <v>0</v>
      </c>
      <c r="AY178" s="20"/>
      <c r="AZ178" s="20">
        <f>AZ177+SUM(AZ164:AZ174)+AZ161</f>
        <v>1579200.38</v>
      </c>
      <c r="BA178" s="5"/>
      <c r="BB178" s="114">
        <f>BB177+SUM(BB164:BB174)+BB161</f>
        <v>1567125.98</v>
      </c>
      <c r="BC178" s="37"/>
      <c r="BD178" s="114">
        <f>BD177+SUM(BD164:BD174)+BD161</f>
        <v>0</v>
      </c>
      <c r="BE178" s="37"/>
      <c r="BF178" s="114">
        <f>BF177+SUM(BF164:BF174)+BF161</f>
        <v>12074.4</v>
      </c>
      <c r="BH178" s="114">
        <f>BH177+SUM(BH164:BH174)+BH161</f>
        <v>0</v>
      </c>
      <c r="BJ178" s="114">
        <f>BJ177+SUM(BJ164:BJ174)+BJ161</f>
        <v>1579200.38</v>
      </c>
      <c r="BL178" s="39">
        <f t="shared" si="44"/>
        <v>0</v>
      </c>
      <c r="BM178" s="3"/>
      <c r="BN178" s="3"/>
      <c r="BO178" s="3"/>
    </row>
    <row r="179" spans="1:67" x14ac:dyDescent="0.2">
      <c r="A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5"/>
      <c r="BB179" s="76"/>
      <c r="BC179" s="37"/>
      <c r="BD179" s="76"/>
      <c r="BE179" s="37"/>
      <c r="BL179" s="39">
        <f t="shared" si="44"/>
        <v>0</v>
      </c>
      <c r="BM179" s="3"/>
      <c r="BN179" s="3"/>
      <c r="BO179" s="3"/>
    </row>
    <row r="180" spans="1:67" x14ac:dyDescent="0.2">
      <c r="A180" s="14"/>
      <c r="B180" s="10" t="s">
        <v>28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5"/>
      <c r="BB180" s="76"/>
      <c r="BC180" s="37"/>
      <c r="BD180" s="76"/>
      <c r="BE180" s="37"/>
      <c r="BL180" s="39">
        <f t="shared" si="44"/>
        <v>0</v>
      </c>
      <c r="BM180" s="3"/>
      <c r="BN180" s="3"/>
      <c r="BO180" s="3"/>
    </row>
    <row r="181" spans="1:67" outlineLevel="1" x14ac:dyDescent="0.2">
      <c r="A181" s="14"/>
      <c r="B181" s="3" t="s">
        <v>393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>
        <v>0</v>
      </c>
      <c r="AL181" s="15"/>
      <c r="AM181" s="15"/>
      <c r="AN181" s="15"/>
      <c r="AO181" s="15"/>
      <c r="AP181" s="15"/>
      <c r="AQ181" s="15"/>
      <c r="AR181" s="15"/>
      <c r="AS181" s="15"/>
      <c r="AT181" s="15">
        <v>0</v>
      </c>
      <c r="AU181" s="15"/>
      <c r="AV181" s="15"/>
      <c r="AW181" s="15"/>
      <c r="AX181" s="15"/>
      <c r="AY181" s="15"/>
      <c r="AZ181" s="15">
        <f>SUM(C181:AY181)</f>
        <v>0</v>
      </c>
      <c r="BA181" s="5"/>
      <c r="BB181" s="76">
        <f t="shared" ref="BB181:BB190" si="51">SUMIF($C$10:$AY$10,"=Addition",$C181:$AY181)</f>
        <v>0</v>
      </c>
      <c r="BC181" s="37"/>
      <c r="BD181" s="76">
        <f t="shared" ref="BD181:BD190" si="52">SUMIF($C$10:$AY$10,"=Adjustment",$C181:$AY181)</f>
        <v>0</v>
      </c>
      <c r="BE181" s="37"/>
      <c r="BF181" s="76">
        <f t="shared" ref="BF181:BF190" si="53">SUMIF($C$10:$AY$10,"=Transfer",$C181:$AY181)</f>
        <v>0</v>
      </c>
      <c r="BH181" s="76">
        <f t="shared" ref="BH181:BH190" si="54">SUMIF($C$10:$AY$10,"=N/A",$C181:$AY181)</f>
        <v>0</v>
      </c>
      <c r="BJ181" s="76">
        <f t="shared" ref="BJ181:BJ190" si="55">SUM(BB181:BH181)</f>
        <v>0</v>
      </c>
      <c r="BL181" s="39"/>
      <c r="BM181" s="3"/>
      <c r="BN181" s="3"/>
      <c r="BO181" s="3"/>
    </row>
    <row r="182" spans="1:67" outlineLevel="1" x14ac:dyDescent="0.2">
      <c r="A182" s="14"/>
      <c r="B182" s="3" t="s">
        <v>394</v>
      </c>
      <c r="C182" s="15"/>
      <c r="D182" s="15"/>
      <c r="E182" s="15"/>
      <c r="F182" s="15"/>
      <c r="G182" s="15"/>
      <c r="H182" s="15"/>
      <c r="I182" s="15"/>
      <c r="J182" s="15"/>
      <c r="K182" s="15">
        <v>0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>
        <v>0</v>
      </c>
      <c r="AL182" s="15"/>
      <c r="AM182" s="15"/>
      <c r="AN182" s="15"/>
      <c r="AO182" s="15"/>
      <c r="AP182" s="15"/>
      <c r="AQ182" s="15"/>
      <c r="AR182" s="15"/>
      <c r="AS182" s="15"/>
      <c r="AT182" s="15">
        <v>0</v>
      </c>
      <c r="AU182" s="15"/>
      <c r="AV182" s="15"/>
      <c r="AW182" s="15"/>
      <c r="AX182" s="15"/>
      <c r="AY182" s="15"/>
      <c r="AZ182" s="15">
        <f>SUM(C182:AY182)</f>
        <v>0</v>
      </c>
      <c r="BA182" s="5"/>
      <c r="BB182" s="76">
        <f t="shared" si="51"/>
        <v>0</v>
      </c>
      <c r="BC182" s="37"/>
      <c r="BD182" s="76">
        <f t="shared" si="52"/>
        <v>0</v>
      </c>
      <c r="BE182" s="37"/>
      <c r="BF182" s="76">
        <f t="shared" si="53"/>
        <v>0</v>
      </c>
      <c r="BH182" s="76">
        <f t="shared" si="54"/>
        <v>0</v>
      </c>
      <c r="BJ182" s="76">
        <f t="shared" si="55"/>
        <v>0</v>
      </c>
      <c r="BL182" s="39">
        <f t="shared" si="44"/>
        <v>0</v>
      </c>
      <c r="BM182" s="3"/>
      <c r="BN182" s="3"/>
      <c r="BO182" s="3"/>
    </row>
    <row r="183" spans="1:67" outlineLevel="1" x14ac:dyDescent="0.2">
      <c r="A183" s="14"/>
      <c r="B183" s="3" t="s">
        <v>395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>
        <f>SUM(C183:AY183)</f>
        <v>0</v>
      </c>
      <c r="BA183" s="5"/>
      <c r="BB183" s="76">
        <f t="shared" si="51"/>
        <v>0</v>
      </c>
      <c r="BC183" s="37"/>
      <c r="BD183" s="76">
        <f t="shared" si="52"/>
        <v>0</v>
      </c>
      <c r="BE183" s="37"/>
      <c r="BF183" s="76">
        <f t="shared" si="53"/>
        <v>0</v>
      </c>
      <c r="BH183" s="76">
        <f t="shared" si="54"/>
        <v>0</v>
      </c>
      <c r="BJ183" s="76">
        <f t="shared" si="55"/>
        <v>0</v>
      </c>
      <c r="BL183" s="39">
        <f t="shared" si="44"/>
        <v>0</v>
      </c>
      <c r="BM183" s="3"/>
      <c r="BN183" s="3"/>
      <c r="BO183" s="3"/>
    </row>
    <row r="184" spans="1:67" x14ac:dyDescent="0.2">
      <c r="A184" s="14"/>
      <c r="B184" s="3" t="s">
        <v>396</v>
      </c>
      <c r="C184" s="15">
        <f>SUM(C181:C183)</f>
        <v>0</v>
      </c>
      <c r="D184" s="15"/>
      <c r="E184" s="15">
        <f>SUM(E181:E183)</f>
        <v>0</v>
      </c>
      <c r="F184" s="15"/>
      <c r="G184" s="15">
        <f>SUM(G181:G183)</f>
        <v>0</v>
      </c>
      <c r="H184" s="15"/>
      <c r="I184" s="15">
        <f>SUM(I181:I183)</f>
        <v>0</v>
      </c>
      <c r="J184" s="15"/>
      <c r="K184" s="15">
        <f>SUM(K181:K183)</f>
        <v>0</v>
      </c>
      <c r="L184" s="15"/>
      <c r="M184" s="15">
        <f>SUM(M181:M183)</f>
        <v>0</v>
      </c>
      <c r="N184" s="15"/>
      <c r="O184" s="15">
        <f>SUM(O181:O183)</f>
        <v>0</v>
      </c>
      <c r="P184" s="15"/>
      <c r="Q184" s="15">
        <f>SUM(Q181:Q183)</f>
        <v>0</v>
      </c>
      <c r="R184" s="15"/>
      <c r="S184" s="15">
        <f>SUM(S181:S183)</f>
        <v>0</v>
      </c>
      <c r="T184" s="15"/>
      <c r="U184" s="15">
        <f>SUM(U181:U183)</f>
        <v>0</v>
      </c>
      <c r="V184" s="15"/>
      <c r="W184" s="15">
        <f>SUM(W181:W183)</f>
        <v>0</v>
      </c>
      <c r="X184" s="15"/>
      <c r="Y184" s="15">
        <f>SUM(Y181:Y183)</f>
        <v>0</v>
      </c>
      <c r="Z184" s="15"/>
      <c r="AA184" s="15">
        <f>SUM(AA181:AA183)</f>
        <v>0</v>
      </c>
      <c r="AB184" s="15"/>
      <c r="AC184" s="15">
        <f>SUM(AC181:AC183)</f>
        <v>0</v>
      </c>
      <c r="AD184" s="15"/>
      <c r="AE184" s="15">
        <f>SUM(AE181:AE183)</f>
        <v>0</v>
      </c>
      <c r="AF184" s="15"/>
      <c r="AG184" s="15">
        <f>SUM(AG181:AG183)</f>
        <v>0</v>
      </c>
      <c r="AH184" s="15"/>
      <c r="AI184" s="15">
        <f>SUM(AI181:AI183)</f>
        <v>0</v>
      </c>
      <c r="AJ184" s="15"/>
      <c r="AK184" s="15">
        <f>SUM(AK181:AK183)</f>
        <v>0</v>
      </c>
      <c r="AL184" s="15"/>
      <c r="AM184" s="15">
        <f>SUM(AM181:AM183)</f>
        <v>0</v>
      </c>
      <c r="AN184" s="15"/>
      <c r="AO184" s="15">
        <f>SUM(AO181:AO183)</f>
        <v>0</v>
      </c>
      <c r="AP184" s="15"/>
      <c r="AQ184" s="15">
        <f>SUM(AQ181:AQ183)</f>
        <v>0</v>
      </c>
      <c r="AR184" s="15"/>
      <c r="AS184" s="15">
        <f>SUM(AS181:AS183)</f>
        <v>0</v>
      </c>
      <c r="AT184" s="15">
        <f>SUM(AT181:AT183)</f>
        <v>0</v>
      </c>
      <c r="AU184" s="15"/>
      <c r="AV184" s="15">
        <f>SUM(AV181:AV183)</f>
        <v>0</v>
      </c>
      <c r="AW184" s="15"/>
      <c r="AX184" s="15">
        <f>SUM(AX181:AX183)</f>
        <v>0</v>
      </c>
      <c r="AY184" s="15"/>
      <c r="AZ184" s="15">
        <f>SUM(AZ181:AZ183)</f>
        <v>0</v>
      </c>
      <c r="BA184" s="5"/>
      <c r="BB184" s="76">
        <f t="shared" si="51"/>
        <v>0</v>
      </c>
      <c r="BC184" s="37"/>
      <c r="BD184" s="76">
        <f t="shared" si="52"/>
        <v>0</v>
      </c>
      <c r="BE184" s="37"/>
      <c r="BF184" s="76">
        <f t="shared" si="53"/>
        <v>0</v>
      </c>
      <c r="BH184" s="76">
        <f t="shared" si="54"/>
        <v>0</v>
      </c>
      <c r="BJ184" s="76">
        <f t="shared" si="55"/>
        <v>0</v>
      </c>
      <c r="BL184" s="39">
        <f t="shared" si="44"/>
        <v>0</v>
      </c>
      <c r="BM184" s="3"/>
      <c r="BN184" s="3"/>
      <c r="BO184" s="3"/>
    </row>
    <row r="185" spans="1:67" x14ac:dyDescent="0.2">
      <c r="A185" s="14"/>
      <c r="B185" s="3" t="s">
        <v>397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>
        <v>3657</v>
      </c>
      <c r="X185" s="15"/>
      <c r="Y185" s="15"/>
      <c r="Z185" s="15"/>
      <c r="AA185" s="15"/>
      <c r="AB185" s="15"/>
      <c r="AC185" s="15">
        <v>3085.3</v>
      </c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>
        <f>SUM(C185:AY185)</f>
        <v>6742.3</v>
      </c>
      <c r="BA185" s="5"/>
      <c r="BB185" s="76">
        <f t="shared" si="51"/>
        <v>0</v>
      </c>
      <c r="BC185" s="37"/>
      <c r="BD185" s="76">
        <f t="shared" si="52"/>
        <v>0</v>
      </c>
      <c r="BE185" s="37"/>
      <c r="BF185" s="76">
        <f t="shared" si="53"/>
        <v>6742.3</v>
      </c>
      <c r="BH185" s="76">
        <f t="shared" si="54"/>
        <v>0</v>
      </c>
      <c r="BJ185" s="76">
        <f t="shared" si="55"/>
        <v>6742.3</v>
      </c>
      <c r="BL185" s="39">
        <f t="shared" si="44"/>
        <v>0</v>
      </c>
      <c r="BM185" s="3"/>
      <c r="BN185" s="3"/>
      <c r="BO185" s="3"/>
    </row>
    <row r="186" spans="1:67" x14ac:dyDescent="0.2">
      <c r="A186" s="14"/>
      <c r="B186" s="3" t="s">
        <v>398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>
        <f>SUM(C186:AY186)</f>
        <v>0</v>
      </c>
      <c r="BA186" s="5"/>
      <c r="BB186" s="76">
        <f t="shared" si="51"/>
        <v>0</v>
      </c>
      <c r="BC186" s="37"/>
      <c r="BD186" s="76">
        <f t="shared" si="52"/>
        <v>0</v>
      </c>
      <c r="BE186" s="37"/>
      <c r="BF186" s="76">
        <f t="shared" si="53"/>
        <v>0</v>
      </c>
      <c r="BH186" s="76">
        <f t="shared" si="54"/>
        <v>0</v>
      </c>
      <c r="BJ186" s="76">
        <f t="shared" si="55"/>
        <v>0</v>
      </c>
      <c r="BL186" s="39">
        <f t="shared" si="44"/>
        <v>0</v>
      </c>
      <c r="BM186" s="3"/>
      <c r="BN186" s="3"/>
      <c r="BO186" s="3"/>
    </row>
    <row r="187" spans="1:67" outlineLevel="1" x14ac:dyDescent="0.2">
      <c r="A187" s="14"/>
      <c r="B187" s="3" t="s">
        <v>399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>
        <v>-3085.3</v>
      </c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>
        <f>SUM(C187:AY187)</f>
        <v>-3085.3</v>
      </c>
      <c r="BA187" s="5"/>
      <c r="BB187" s="76">
        <f t="shared" si="51"/>
        <v>0</v>
      </c>
      <c r="BC187" s="37"/>
      <c r="BD187" s="76">
        <f t="shared" si="52"/>
        <v>0</v>
      </c>
      <c r="BE187" s="37"/>
      <c r="BF187" s="76">
        <f t="shared" si="53"/>
        <v>-3085.3</v>
      </c>
      <c r="BH187" s="76">
        <f t="shared" si="54"/>
        <v>0</v>
      </c>
      <c r="BJ187" s="76">
        <f t="shared" si="55"/>
        <v>-3085.3</v>
      </c>
      <c r="BL187" s="39">
        <f t="shared" si="44"/>
        <v>0</v>
      </c>
      <c r="BM187" s="3"/>
      <c r="BN187" s="3"/>
      <c r="BO187" s="3"/>
    </row>
    <row r="188" spans="1:67" outlineLevel="1" x14ac:dyDescent="0.2">
      <c r="A188" s="14"/>
      <c r="B188" s="31" t="s">
        <v>400</v>
      </c>
      <c r="C188" s="15"/>
      <c r="D188" s="15"/>
      <c r="E188" s="15"/>
      <c r="F188" s="15"/>
      <c r="G188" s="15"/>
      <c r="H188" s="15"/>
      <c r="I188" s="15"/>
      <c r="J188" s="15"/>
      <c r="K188" s="15">
        <v>0</v>
      </c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>
        <f>SUM(C188:AY188)</f>
        <v>0</v>
      </c>
      <c r="BA188" s="5"/>
      <c r="BB188" s="76">
        <f t="shared" si="51"/>
        <v>0</v>
      </c>
      <c r="BC188" s="37"/>
      <c r="BD188" s="76">
        <f t="shared" si="52"/>
        <v>0</v>
      </c>
      <c r="BE188" s="37"/>
      <c r="BF188" s="76">
        <f t="shared" si="53"/>
        <v>0</v>
      </c>
      <c r="BH188" s="76">
        <f t="shared" si="54"/>
        <v>0</v>
      </c>
      <c r="BJ188" s="76">
        <f t="shared" si="55"/>
        <v>0</v>
      </c>
      <c r="BL188" s="39">
        <f t="shared" si="44"/>
        <v>0</v>
      </c>
      <c r="BM188" s="3"/>
      <c r="BN188" s="3"/>
      <c r="BO188" s="3"/>
    </row>
    <row r="189" spans="1:67" x14ac:dyDescent="0.2">
      <c r="A189" s="14"/>
      <c r="B189" s="31" t="s">
        <v>401</v>
      </c>
      <c r="C189" s="15">
        <f>SUM(C187:C188)</f>
        <v>0</v>
      </c>
      <c r="D189" s="15"/>
      <c r="E189" s="15">
        <f>SUM(E187:E188)</f>
        <v>0</v>
      </c>
      <c r="F189" s="15"/>
      <c r="G189" s="15">
        <f>SUM(G187:G188)</f>
        <v>0</v>
      </c>
      <c r="H189" s="15"/>
      <c r="I189" s="15">
        <f>SUM(I187:I188)</f>
        <v>0</v>
      </c>
      <c r="J189" s="15"/>
      <c r="K189" s="15">
        <f>SUM(K187:K188)</f>
        <v>0</v>
      </c>
      <c r="L189" s="15"/>
      <c r="M189" s="15">
        <f>SUM(M187:M188)</f>
        <v>0</v>
      </c>
      <c r="N189" s="15"/>
      <c r="O189" s="15">
        <f>SUM(O187:O188)</f>
        <v>0</v>
      </c>
      <c r="P189" s="15"/>
      <c r="Q189" s="15">
        <f>SUM(Q187:Q188)</f>
        <v>0</v>
      </c>
      <c r="R189" s="15"/>
      <c r="S189" s="15">
        <f>SUM(S187:S188)</f>
        <v>0</v>
      </c>
      <c r="T189" s="15"/>
      <c r="U189" s="15">
        <f>SUM(U187:U188)</f>
        <v>0</v>
      </c>
      <c r="V189" s="15"/>
      <c r="W189" s="15">
        <f>SUM(W187:W188)</f>
        <v>0</v>
      </c>
      <c r="X189" s="15"/>
      <c r="Y189" s="15">
        <f>SUM(Y187:Y188)</f>
        <v>0</v>
      </c>
      <c r="Z189" s="15"/>
      <c r="AA189" s="15">
        <f>SUM(AA187:AA188)</f>
        <v>0</v>
      </c>
      <c r="AB189" s="15"/>
      <c r="AC189" s="15">
        <f>SUM(AC187:AC188)</f>
        <v>-3085.3</v>
      </c>
      <c r="AD189" s="15"/>
      <c r="AE189" s="15">
        <f>SUM(AE187:AE188)</f>
        <v>0</v>
      </c>
      <c r="AF189" s="15"/>
      <c r="AG189" s="15">
        <f>SUM(AG187:AG188)</f>
        <v>0</v>
      </c>
      <c r="AH189" s="15"/>
      <c r="AI189" s="15">
        <f>SUM(AI187:AI188)</f>
        <v>0</v>
      </c>
      <c r="AJ189" s="15"/>
      <c r="AK189" s="15">
        <f>SUM(AK187:AK188)</f>
        <v>0</v>
      </c>
      <c r="AL189" s="15"/>
      <c r="AM189" s="15">
        <f>SUM(AM187:AM188)</f>
        <v>0</v>
      </c>
      <c r="AN189" s="15"/>
      <c r="AO189" s="15">
        <f>SUM(AO187:AO188)</f>
        <v>0</v>
      </c>
      <c r="AP189" s="15"/>
      <c r="AQ189" s="15">
        <f>SUM(AQ187:AQ188)</f>
        <v>0</v>
      </c>
      <c r="AR189" s="15"/>
      <c r="AS189" s="15">
        <f>SUM(AS187:AS188)</f>
        <v>0</v>
      </c>
      <c r="AT189" s="15">
        <f>SUM(AT187:AT188)</f>
        <v>0</v>
      </c>
      <c r="AU189" s="15"/>
      <c r="AV189" s="15">
        <f>SUM(AV187:AV188)</f>
        <v>0</v>
      </c>
      <c r="AW189" s="15"/>
      <c r="AX189" s="15">
        <f>SUM(AX187:AX188)</f>
        <v>0</v>
      </c>
      <c r="AY189" s="15"/>
      <c r="AZ189" s="15">
        <f>SUM(C189:AP189)</f>
        <v>-3085.3</v>
      </c>
      <c r="BA189" s="5"/>
      <c r="BB189" s="76">
        <f t="shared" si="51"/>
        <v>0</v>
      </c>
      <c r="BC189" s="37"/>
      <c r="BD189" s="76">
        <f t="shared" si="52"/>
        <v>0</v>
      </c>
      <c r="BE189" s="37"/>
      <c r="BF189" s="76">
        <f t="shared" si="53"/>
        <v>-3085.3</v>
      </c>
      <c r="BH189" s="76">
        <f t="shared" si="54"/>
        <v>0</v>
      </c>
      <c r="BJ189" s="76">
        <f t="shared" si="55"/>
        <v>-3085.3</v>
      </c>
      <c r="BL189" s="39">
        <f t="shared" si="44"/>
        <v>0</v>
      </c>
      <c r="BM189" s="3"/>
      <c r="BN189" s="3"/>
      <c r="BO189" s="3"/>
    </row>
    <row r="190" spans="1:67" x14ac:dyDescent="0.2">
      <c r="A190" s="14"/>
      <c r="B190" s="22" t="s">
        <v>402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>
        <f>SUM(C190:AY190)</f>
        <v>0</v>
      </c>
      <c r="BA190" s="5"/>
      <c r="BB190" s="76">
        <f t="shared" si="51"/>
        <v>0</v>
      </c>
      <c r="BC190" s="37"/>
      <c r="BD190" s="76">
        <f t="shared" si="52"/>
        <v>0</v>
      </c>
      <c r="BE190" s="37"/>
      <c r="BF190" s="76">
        <f t="shared" si="53"/>
        <v>0</v>
      </c>
      <c r="BH190" s="76">
        <f t="shared" si="54"/>
        <v>0</v>
      </c>
      <c r="BJ190" s="76">
        <f t="shared" si="55"/>
        <v>0</v>
      </c>
      <c r="BL190" s="39">
        <f t="shared" si="44"/>
        <v>0</v>
      </c>
      <c r="BM190" s="3"/>
      <c r="BN190" s="3"/>
      <c r="BO190" s="3"/>
    </row>
    <row r="191" spans="1:67" x14ac:dyDescent="0.2">
      <c r="A191" s="14"/>
      <c r="B191" s="10" t="s">
        <v>403</v>
      </c>
      <c r="C191" s="20">
        <f>C190+C189+C186+C185+C184</f>
        <v>0</v>
      </c>
      <c r="D191" s="15"/>
      <c r="E191" s="20">
        <f>E190+E189+E186+E185+E184</f>
        <v>0</v>
      </c>
      <c r="F191" s="15"/>
      <c r="G191" s="20">
        <f>G190+G189+G186+G185+G184</f>
        <v>0</v>
      </c>
      <c r="H191" s="15"/>
      <c r="I191" s="20">
        <f>I190+I189+I186+I185+I184</f>
        <v>0</v>
      </c>
      <c r="J191" s="15"/>
      <c r="K191" s="20">
        <f>K190+K189+K186+K185+K184</f>
        <v>0</v>
      </c>
      <c r="L191" s="15"/>
      <c r="M191" s="20">
        <f>M190+M189+M186+M185+M184</f>
        <v>0</v>
      </c>
      <c r="N191" s="15"/>
      <c r="O191" s="20">
        <f>O190+O189+O186+O185+O184</f>
        <v>0</v>
      </c>
      <c r="P191" s="15"/>
      <c r="Q191" s="20">
        <f>Q190+Q189+Q186+Q185+Q184</f>
        <v>0</v>
      </c>
      <c r="R191" s="15"/>
      <c r="S191" s="20">
        <f>S190+S189+S186+S185+S184</f>
        <v>0</v>
      </c>
      <c r="T191" s="20"/>
      <c r="U191" s="20">
        <f>U190+U189+U186+U185+U184</f>
        <v>0</v>
      </c>
      <c r="V191" s="20"/>
      <c r="W191" s="20">
        <f>W190+W189+W186+W185+W184</f>
        <v>3657</v>
      </c>
      <c r="X191" s="15"/>
      <c r="Y191" s="20">
        <f>Y190+Y189+Y186+Y185+Y184</f>
        <v>0</v>
      </c>
      <c r="Z191" s="15"/>
      <c r="AA191" s="20">
        <f>AA190+AA189+AA186+AA185+AA184</f>
        <v>0</v>
      </c>
      <c r="AB191" s="15"/>
      <c r="AC191" s="20">
        <f>AC190+AC189+AC186+AC185+AC184</f>
        <v>0</v>
      </c>
      <c r="AD191" s="15"/>
      <c r="AE191" s="20">
        <f>AE190+AE189+AE186+AE185+AE184</f>
        <v>0</v>
      </c>
      <c r="AF191" s="15"/>
      <c r="AG191" s="20">
        <f>AG190+AG189+AG186+AG185+AG184</f>
        <v>0</v>
      </c>
      <c r="AH191" s="15"/>
      <c r="AI191" s="20">
        <f>AI190+AI189+AI186+AI185+AI184</f>
        <v>0</v>
      </c>
      <c r="AJ191" s="15"/>
      <c r="AK191" s="20">
        <f>AK190+AK189+AK186+AK185+AK184</f>
        <v>0</v>
      </c>
      <c r="AL191" s="20"/>
      <c r="AM191" s="20">
        <f>AM190+AM189+AM186+AM185+AM184</f>
        <v>0</v>
      </c>
      <c r="AN191" s="20"/>
      <c r="AO191" s="20">
        <f>AO190+AO189+AO186+AO185+AO184</f>
        <v>0</v>
      </c>
      <c r="AP191" s="20"/>
      <c r="AQ191" s="20">
        <f>AQ190+AQ189+AQ186+AQ185+AQ184</f>
        <v>0</v>
      </c>
      <c r="AR191" s="20"/>
      <c r="AS191" s="20">
        <f>AS190+AS189+AS186+AS185+AS184</f>
        <v>0</v>
      </c>
      <c r="AT191" s="20">
        <f>AT190+AT189+AT186+AT185+AT184</f>
        <v>0</v>
      </c>
      <c r="AU191" s="20"/>
      <c r="AV191" s="20">
        <f>AV190+AV189+AV186+AV185+AV184</f>
        <v>0</v>
      </c>
      <c r="AW191" s="20"/>
      <c r="AX191" s="20">
        <f>AX190+AX189+AX186+AX185+AX184</f>
        <v>0</v>
      </c>
      <c r="AY191" s="20"/>
      <c r="AZ191" s="20">
        <f>AZ190+AZ189+AZ186+AZ185+AZ184</f>
        <v>3657</v>
      </c>
      <c r="BA191" s="5"/>
      <c r="BB191" s="114">
        <f>BB190+BB189+BB186+BB185+BB184</f>
        <v>0</v>
      </c>
      <c r="BC191" s="37"/>
      <c r="BD191" s="114">
        <f>BD190+BD189+BD186+BD185+BD184</f>
        <v>0</v>
      </c>
      <c r="BE191" s="37"/>
      <c r="BF191" s="114">
        <f>BF190+BF189+BF186+BF185+BF184</f>
        <v>3657</v>
      </c>
      <c r="BH191" s="114">
        <f>BH190+BH189+BH186+BH185+BH184</f>
        <v>0</v>
      </c>
      <c r="BJ191" s="76">
        <f>SUM(BB191:BH191)</f>
        <v>3657</v>
      </c>
      <c r="BL191" s="39">
        <f t="shared" si="44"/>
        <v>0</v>
      </c>
      <c r="BM191" s="3"/>
      <c r="BN191" s="3"/>
      <c r="BO191" s="3"/>
    </row>
    <row r="192" spans="1:67" x14ac:dyDescent="0.2">
      <c r="A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5"/>
      <c r="BB192" s="76"/>
      <c r="BC192" s="37"/>
      <c r="BD192" s="76"/>
      <c r="BE192" s="37"/>
      <c r="BL192" s="39">
        <f t="shared" si="44"/>
        <v>0</v>
      </c>
      <c r="BM192" s="3"/>
      <c r="BN192" s="3"/>
      <c r="BO192" s="3"/>
    </row>
    <row r="193" spans="1:67" x14ac:dyDescent="0.2">
      <c r="A193" s="14"/>
      <c r="B193" s="10" t="s">
        <v>29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5"/>
      <c r="BB193" s="76"/>
      <c r="BC193" s="37"/>
      <c r="BD193" s="76"/>
      <c r="BE193" s="37"/>
      <c r="BL193" s="39">
        <f t="shared" si="44"/>
        <v>0</v>
      </c>
      <c r="BM193" s="3"/>
      <c r="BN193" s="3"/>
      <c r="BO193" s="3"/>
    </row>
    <row r="194" spans="1:67" x14ac:dyDescent="0.2">
      <c r="A194" s="14"/>
      <c r="B194" s="3" t="s">
        <v>404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>
        <f>SUM(C194:AY194)</f>
        <v>0</v>
      </c>
      <c r="BA194" s="5"/>
      <c r="BB194" s="76">
        <f>SUMIF($C$10:$AY$10,"=Addition",$C194:$AY194)</f>
        <v>0</v>
      </c>
      <c r="BC194" s="37"/>
      <c r="BD194" s="76">
        <f>SUMIF($C$10:$AY$10,"=Adjustment",$C194:$AY194)</f>
        <v>0</v>
      </c>
      <c r="BE194" s="37"/>
      <c r="BF194" s="76">
        <f>SUMIF($C$10:$AY$10,"=Transfer",$C194:$AY194)</f>
        <v>0</v>
      </c>
      <c r="BH194" s="76">
        <f>SUMIF($C$10:$AY$10,"=N/A",$C194:$AY194)</f>
        <v>0</v>
      </c>
      <c r="BJ194" s="76">
        <f t="shared" ref="BJ194" si="56">SUM(BB194:BH194)</f>
        <v>0</v>
      </c>
      <c r="BL194" s="39">
        <f t="shared" si="44"/>
        <v>0</v>
      </c>
      <c r="BM194" s="3"/>
      <c r="BN194" s="3"/>
      <c r="BO194" s="3"/>
    </row>
    <row r="195" spans="1:67" x14ac:dyDescent="0.2">
      <c r="A195" s="14"/>
      <c r="B195" s="10" t="s">
        <v>405</v>
      </c>
      <c r="C195" s="20">
        <f>SUM(C194)</f>
        <v>0</v>
      </c>
      <c r="D195" s="15"/>
      <c r="E195" s="20">
        <f>SUM(E194)</f>
        <v>0</v>
      </c>
      <c r="F195" s="15"/>
      <c r="G195" s="20">
        <f>SUM(G194)</f>
        <v>0</v>
      </c>
      <c r="H195" s="15"/>
      <c r="I195" s="20">
        <f>SUM(I194)</f>
        <v>0</v>
      </c>
      <c r="J195" s="15"/>
      <c r="K195" s="20">
        <f>SUM(K194)</f>
        <v>0</v>
      </c>
      <c r="L195" s="15"/>
      <c r="M195" s="20">
        <f>SUM(M194)</f>
        <v>0</v>
      </c>
      <c r="N195" s="15"/>
      <c r="O195" s="20">
        <f>SUM(O194)</f>
        <v>0</v>
      </c>
      <c r="P195" s="15"/>
      <c r="Q195" s="20">
        <f>SUM(Q194)</f>
        <v>0</v>
      </c>
      <c r="R195" s="15"/>
      <c r="S195" s="20">
        <f>SUM(S194)</f>
        <v>0</v>
      </c>
      <c r="T195" s="20"/>
      <c r="U195" s="20">
        <f>SUM(U194)</f>
        <v>0</v>
      </c>
      <c r="V195" s="20"/>
      <c r="W195" s="20">
        <f>SUM(W194)</f>
        <v>0</v>
      </c>
      <c r="X195" s="15"/>
      <c r="Y195" s="20">
        <f>SUM(Y194)</f>
        <v>0</v>
      </c>
      <c r="Z195" s="15"/>
      <c r="AA195" s="20">
        <f>SUM(AA194)</f>
        <v>0</v>
      </c>
      <c r="AB195" s="15"/>
      <c r="AC195" s="20">
        <f>SUM(AC194)</f>
        <v>0</v>
      </c>
      <c r="AD195" s="15"/>
      <c r="AE195" s="20">
        <f>SUM(AE194)</f>
        <v>0</v>
      </c>
      <c r="AF195" s="15"/>
      <c r="AG195" s="20">
        <f>SUM(AG194)</f>
        <v>0</v>
      </c>
      <c r="AH195" s="15"/>
      <c r="AI195" s="20">
        <f>SUM(AI194)</f>
        <v>0</v>
      </c>
      <c r="AJ195" s="15"/>
      <c r="AK195" s="20">
        <f>SUM(AK194)</f>
        <v>0</v>
      </c>
      <c r="AL195" s="20"/>
      <c r="AM195" s="20">
        <f>SUM(AM194)</f>
        <v>0</v>
      </c>
      <c r="AN195" s="20"/>
      <c r="AO195" s="20">
        <f>SUM(AO194)</f>
        <v>0</v>
      </c>
      <c r="AP195" s="20"/>
      <c r="AQ195" s="20">
        <f>SUM(AQ194)</f>
        <v>0</v>
      </c>
      <c r="AR195" s="20"/>
      <c r="AS195" s="20">
        <f>SUM(AS194)</f>
        <v>0</v>
      </c>
      <c r="AT195" s="20">
        <f>SUM(AT194)</f>
        <v>0</v>
      </c>
      <c r="AU195" s="20"/>
      <c r="AV195" s="20">
        <f>SUM(AV194)</f>
        <v>0</v>
      </c>
      <c r="AW195" s="20"/>
      <c r="AX195" s="20">
        <f>SUM(AX194)</f>
        <v>0</v>
      </c>
      <c r="AY195" s="20"/>
      <c r="AZ195" s="20">
        <f>SUM(AZ194)</f>
        <v>0</v>
      </c>
      <c r="BA195" s="5"/>
      <c r="BB195" s="114">
        <f>SUM(BB194)</f>
        <v>0</v>
      </c>
      <c r="BC195" s="37"/>
      <c r="BD195" s="114">
        <f>SUM(BD194)</f>
        <v>0</v>
      </c>
      <c r="BE195" s="37"/>
      <c r="BF195" s="114">
        <f>SUM(BF194)</f>
        <v>0</v>
      </c>
      <c r="BH195" s="114">
        <f>SUM(BH194)</f>
        <v>0</v>
      </c>
      <c r="BJ195" s="114">
        <f>SUM(BJ194)</f>
        <v>0</v>
      </c>
      <c r="BL195" s="39">
        <f t="shared" si="44"/>
        <v>0</v>
      </c>
      <c r="BM195" s="3"/>
      <c r="BN195" s="3"/>
      <c r="BO195" s="3"/>
    </row>
    <row r="196" spans="1:67" x14ac:dyDescent="0.2">
      <c r="A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5"/>
      <c r="BB196" s="76"/>
      <c r="BC196" s="37"/>
      <c r="BD196" s="76"/>
      <c r="BE196" s="37"/>
      <c r="BL196" s="39">
        <f t="shared" si="44"/>
        <v>0</v>
      </c>
      <c r="BM196" s="3"/>
      <c r="BN196" s="3"/>
      <c r="BO196" s="3"/>
    </row>
    <row r="197" spans="1:67" x14ac:dyDescent="0.2">
      <c r="A197" s="14"/>
      <c r="B197" s="10" t="s">
        <v>30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5"/>
      <c r="BB197" s="76"/>
      <c r="BC197" s="37"/>
      <c r="BD197" s="76"/>
      <c r="BE197" s="37"/>
      <c r="BL197" s="39">
        <f t="shared" si="44"/>
        <v>0</v>
      </c>
      <c r="BM197" s="3"/>
      <c r="BN197" s="3"/>
      <c r="BO197" s="3"/>
    </row>
    <row r="198" spans="1:67" outlineLevel="1" x14ac:dyDescent="0.2">
      <c r="A198" s="14"/>
      <c r="B198" s="3" t="s">
        <v>406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>
        <f>SUM(C198:AY198)</f>
        <v>0</v>
      </c>
      <c r="BA198" s="5"/>
      <c r="BB198" s="76">
        <f t="shared" ref="BB198:BB219" si="57">SUMIF($C$10:$AY$10,"=Addition",$C198:$AY198)</f>
        <v>0</v>
      </c>
      <c r="BC198" s="37"/>
      <c r="BD198" s="76">
        <f t="shared" ref="BD198:BD219" si="58">SUMIF($C$10:$AY$10,"=Adjustment",$C198:$AY198)</f>
        <v>0</v>
      </c>
      <c r="BE198" s="37"/>
      <c r="BF198" s="76">
        <f t="shared" ref="BF198:BF219" si="59">SUMIF($C$10:$AY$10,"=Transfer",$C198:$AY198)</f>
        <v>0</v>
      </c>
      <c r="BH198" s="76">
        <f t="shared" ref="BH198:BH219" si="60">SUMIF($C$10:$AY$10,"=N/A",$C198:$AY198)</f>
        <v>0</v>
      </c>
      <c r="BJ198" s="76">
        <f t="shared" ref="BJ198:BJ219" si="61">SUM(BB198:BH198)</f>
        <v>0</v>
      </c>
      <c r="BL198" s="39">
        <f t="shared" si="44"/>
        <v>0</v>
      </c>
      <c r="BM198" s="3"/>
      <c r="BN198" s="3"/>
      <c r="BO198" s="3"/>
    </row>
    <row r="199" spans="1:67" outlineLevel="1" x14ac:dyDescent="0.2">
      <c r="A199" s="14"/>
      <c r="B199" s="3" t="s">
        <v>407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>
        <v>-3657</v>
      </c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>
        <f>SUM(C199:AY199)</f>
        <v>-3657</v>
      </c>
      <c r="BA199" s="5"/>
      <c r="BB199" s="76">
        <f t="shared" si="57"/>
        <v>0</v>
      </c>
      <c r="BC199" s="37"/>
      <c r="BD199" s="76">
        <f t="shared" si="58"/>
        <v>0</v>
      </c>
      <c r="BE199" s="37"/>
      <c r="BF199" s="76">
        <f t="shared" si="59"/>
        <v>-3657</v>
      </c>
      <c r="BH199" s="76">
        <f t="shared" si="60"/>
        <v>0</v>
      </c>
      <c r="BJ199" s="76">
        <f t="shared" si="61"/>
        <v>-3657</v>
      </c>
      <c r="BL199" s="39">
        <f t="shared" si="44"/>
        <v>0</v>
      </c>
      <c r="BM199" s="3"/>
      <c r="BN199" s="3"/>
      <c r="BO199" s="3"/>
    </row>
    <row r="200" spans="1:67" x14ac:dyDescent="0.2">
      <c r="A200" s="14"/>
      <c r="B200" s="22" t="s">
        <v>408</v>
      </c>
      <c r="C200" s="15">
        <f>SUM(C198:C199)</f>
        <v>0</v>
      </c>
      <c r="D200" s="15"/>
      <c r="E200" s="15">
        <f>SUM(E198:E199)</f>
        <v>0</v>
      </c>
      <c r="F200" s="15"/>
      <c r="G200" s="15">
        <f>SUM(G198:G199)</f>
        <v>0</v>
      </c>
      <c r="H200" s="15"/>
      <c r="I200" s="15">
        <f>SUM(I198:I199)</f>
        <v>0</v>
      </c>
      <c r="J200" s="15"/>
      <c r="K200" s="15">
        <f>SUM(K198:K199)</f>
        <v>0</v>
      </c>
      <c r="L200" s="15"/>
      <c r="M200" s="15">
        <f>SUM(M198:M199)</f>
        <v>0</v>
      </c>
      <c r="N200" s="15"/>
      <c r="O200" s="15">
        <f>SUM(O198:O199)</f>
        <v>0</v>
      </c>
      <c r="P200" s="15"/>
      <c r="Q200" s="15">
        <f>SUM(Q198:Q199)</f>
        <v>0</v>
      </c>
      <c r="R200" s="15"/>
      <c r="S200" s="15">
        <f>SUM(S198:S199)</f>
        <v>0</v>
      </c>
      <c r="T200" s="15"/>
      <c r="U200" s="15">
        <f>SUM(U198:U199)</f>
        <v>0</v>
      </c>
      <c r="V200" s="15"/>
      <c r="W200" s="15">
        <f>SUM(W198:W199)</f>
        <v>-3657</v>
      </c>
      <c r="X200" s="15"/>
      <c r="Y200" s="15">
        <f>SUM(Y198:Y199)</f>
        <v>0</v>
      </c>
      <c r="Z200" s="15"/>
      <c r="AA200" s="15">
        <f>SUM(AA198:AA199)</f>
        <v>0</v>
      </c>
      <c r="AB200" s="15"/>
      <c r="AC200" s="15">
        <f>SUM(AC198:AC199)</f>
        <v>0</v>
      </c>
      <c r="AD200" s="15"/>
      <c r="AE200" s="15">
        <f>SUM(AE198:AE199)</f>
        <v>0</v>
      </c>
      <c r="AF200" s="15"/>
      <c r="AG200" s="15">
        <f>SUM(AG198:AG199)</f>
        <v>0</v>
      </c>
      <c r="AH200" s="15"/>
      <c r="AI200" s="15">
        <f>SUM(AI198:AI199)</f>
        <v>0</v>
      </c>
      <c r="AJ200" s="15"/>
      <c r="AK200" s="15">
        <f>SUM(AK198:AK199)</f>
        <v>0</v>
      </c>
      <c r="AL200" s="15"/>
      <c r="AM200" s="15">
        <f>SUM(AM198:AM199)</f>
        <v>0</v>
      </c>
      <c r="AN200" s="15"/>
      <c r="AO200" s="15">
        <f>SUM(AO198:AO199)</f>
        <v>0</v>
      </c>
      <c r="AP200" s="15"/>
      <c r="AQ200" s="15">
        <f>SUM(AQ198:AQ199)</f>
        <v>0</v>
      </c>
      <c r="AR200" s="15"/>
      <c r="AS200" s="15">
        <f>SUM(AS198:AS199)</f>
        <v>0</v>
      </c>
      <c r="AT200" s="15">
        <f>SUM(AT198:AT199)</f>
        <v>0</v>
      </c>
      <c r="AU200" s="15"/>
      <c r="AV200" s="15">
        <f>SUM(AV198:AV199)</f>
        <v>0</v>
      </c>
      <c r="AW200" s="15"/>
      <c r="AX200" s="15">
        <f>SUM(AX198:AX199)</f>
        <v>0</v>
      </c>
      <c r="AY200" s="15"/>
      <c r="AZ200" s="15">
        <f>SUM(C200:AP200)</f>
        <v>-3657</v>
      </c>
      <c r="BA200" s="5"/>
      <c r="BB200" s="76">
        <f t="shared" si="57"/>
        <v>0</v>
      </c>
      <c r="BC200" s="37"/>
      <c r="BD200" s="76">
        <f t="shared" si="58"/>
        <v>0</v>
      </c>
      <c r="BE200" s="37"/>
      <c r="BF200" s="76">
        <f t="shared" si="59"/>
        <v>-3657</v>
      </c>
      <c r="BH200" s="76">
        <f t="shared" si="60"/>
        <v>0</v>
      </c>
      <c r="BJ200" s="76">
        <f t="shared" si="61"/>
        <v>-3657</v>
      </c>
      <c r="BL200" s="39">
        <f t="shared" si="44"/>
        <v>0</v>
      </c>
      <c r="BM200" s="3"/>
      <c r="BN200" s="3"/>
      <c r="BO200" s="3"/>
    </row>
    <row r="201" spans="1:67" outlineLevel="1" x14ac:dyDescent="0.2">
      <c r="A201" s="14"/>
      <c r="B201" s="3" t="s">
        <v>409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>
        <f>SUM(C201:AY201)</f>
        <v>0</v>
      </c>
      <c r="BA201" s="5"/>
      <c r="BB201" s="76">
        <f t="shared" si="57"/>
        <v>0</v>
      </c>
      <c r="BC201" s="37"/>
      <c r="BD201" s="76">
        <f t="shared" si="58"/>
        <v>0</v>
      </c>
      <c r="BE201" s="37"/>
      <c r="BF201" s="76">
        <f t="shared" si="59"/>
        <v>0</v>
      </c>
      <c r="BH201" s="76">
        <f t="shared" si="60"/>
        <v>0</v>
      </c>
      <c r="BJ201" s="76">
        <f t="shared" si="61"/>
        <v>0</v>
      </c>
      <c r="BL201" s="39">
        <f t="shared" si="44"/>
        <v>0</v>
      </c>
      <c r="BM201" s="3"/>
      <c r="BN201" s="3"/>
      <c r="BO201" s="3"/>
    </row>
    <row r="202" spans="1:67" outlineLevel="1" x14ac:dyDescent="0.2">
      <c r="A202" s="14"/>
      <c r="B202" s="3" t="s">
        <v>410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>
        <f>SUM(C202:AY202)</f>
        <v>0</v>
      </c>
      <c r="BA202" s="5"/>
      <c r="BB202" s="76">
        <f t="shared" si="57"/>
        <v>0</v>
      </c>
      <c r="BC202" s="37"/>
      <c r="BD202" s="76">
        <f t="shared" si="58"/>
        <v>0</v>
      </c>
      <c r="BE202" s="37"/>
      <c r="BF202" s="76">
        <f t="shared" si="59"/>
        <v>0</v>
      </c>
      <c r="BH202" s="76">
        <f t="shared" si="60"/>
        <v>0</v>
      </c>
      <c r="BJ202" s="76">
        <f t="shared" si="61"/>
        <v>0</v>
      </c>
      <c r="BL202" s="39">
        <f t="shared" si="44"/>
        <v>0</v>
      </c>
      <c r="BM202" s="3"/>
      <c r="BN202" s="3"/>
      <c r="BO202" s="3"/>
    </row>
    <row r="203" spans="1:67" outlineLevel="1" x14ac:dyDescent="0.2">
      <c r="A203" s="14"/>
      <c r="B203" s="3" t="s">
        <v>411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>
        <f>SUM(C203:AY203)</f>
        <v>0</v>
      </c>
      <c r="BA203" s="5"/>
      <c r="BB203" s="76">
        <f t="shared" si="57"/>
        <v>0</v>
      </c>
      <c r="BC203" s="37"/>
      <c r="BD203" s="76">
        <f t="shared" si="58"/>
        <v>0</v>
      </c>
      <c r="BE203" s="37"/>
      <c r="BF203" s="76">
        <f t="shared" si="59"/>
        <v>0</v>
      </c>
      <c r="BH203" s="76">
        <f t="shared" si="60"/>
        <v>0</v>
      </c>
      <c r="BJ203" s="76">
        <f t="shared" si="61"/>
        <v>0</v>
      </c>
      <c r="BL203" s="39">
        <f t="shared" si="44"/>
        <v>0</v>
      </c>
      <c r="BM203" s="3"/>
      <c r="BN203" s="3"/>
      <c r="BO203" s="3"/>
    </row>
    <row r="204" spans="1:67" x14ac:dyDescent="0.2">
      <c r="A204" s="14"/>
      <c r="B204" s="3" t="s">
        <v>412</v>
      </c>
      <c r="C204" s="15">
        <f>SUM(C201:C203)</f>
        <v>0</v>
      </c>
      <c r="D204" s="15"/>
      <c r="E204" s="15">
        <f>SUM(E201:E203)</f>
        <v>0</v>
      </c>
      <c r="F204" s="15"/>
      <c r="G204" s="15">
        <f>SUM(G201:G203)</f>
        <v>0</v>
      </c>
      <c r="H204" s="15"/>
      <c r="I204" s="15">
        <f>SUM(I201:I203)</f>
        <v>0</v>
      </c>
      <c r="J204" s="15"/>
      <c r="K204" s="15">
        <f>SUM(K201:K203)</f>
        <v>0</v>
      </c>
      <c r="L204" s="15"/>
      <c r="M204" s="15">
        <f>SUM(M201:M203)</f>
        <v>0</v>
      </c>
      <c r="N204" s="15"/>
      <c r="O204" s="15">
        <f>SUM(O201:O203)</f>
        <v>0</v>
      </c>
      <c r="P204" s="15"/>
      <c r="Q204" s="15">
        <f>SUM(Q201:Q203)</f>
        <v>0</v>
      </c>
      <c r="R204" s="15"/>
      <c r="S204" s="15">
        <f>SUM(S201:S203)</f>
        <v>0</v>
      </c>
      <c r="T204" s="15"/>
      <c r="U204" s="15">
        <f>SUM(U201:U203)</f>
        <v>0</v>
      </c>
      <c r="V204" s="15"/>
      <c r="W204" s="15">
        <f>SUM(W201:W203)</f>
        <v>0</v>
      </c>
      <c r="X204" s="15"/>
      <c r="Y204" s="15">
        <f>SUM(Y201:Y203)</f>
        <v>0</v>
      </c>
      <c r="Z204" s="15"/>
      <c r="AA204" s="15">
        <f>SUM(AA201:AA203)</f>
        <v>0</v>
      </c>
      <c r="AB204" s="15"/>
      <c r="AC204" s="15">
        <f>SUM(AC201:AC203)</f>
        <v>0</v>
      </c>
      <c r="AD204" s="15"/>
      <c r="AE204" s="15">
        <f>SUM(AE201:AE203)</f>
        <v>0</v>
      </c>
      <c r="AF204" s="15"/>
      <c r="AG204" s="15">
        <f>SUM(AG201:AG203)</f>
        <v>0</v>
      </c>
      <c r="AH204" s="15"/>
      <c r="AI204" s="15">
        <f>SUM(AI201:AI203)</f>
        <v>0</v>
      </c>
      <c r="AJ204" s="15"/>
      <c r="AK204" s="15">
        <f>SUM(AK201:AK203)</f>
        <v>0</v>
      </c>
      <c r="AL204" s="15"/>
      <c r="AM204" s="15">
        <f>SUM(AM201:AM203)</f>
        <v>0</v>
      </c>
      <c r="AN204" s="15"/>
      <c r="AO204" s="15">
        <f>SUM(AO201:AO203)</f>
        <v>0</v>
      </c>
      <c r="AP204" s="15"/>
      <c r="AQ204" s="15">
        <f>SUM(AQ201:AQ203)</f>
        <v>0</v>
      </c>
      <c r="AR204" s="15"/>
      <c r="AS204" s="15">
        <f>SUM(AS201:AS203)</f>
        <v>0</v>
      </c>
      <c r="AT204" s="15">
        <f>SUM(AT201:AT203)</f>
        <v>0</v>
      </c>
      <c r="AU204" s="15"/>
      <c r="AV204" s="15">
        <f>SUM(AV201:AV203)</f>
        <v>0</v>
      </c>
      <c r="AW204" s="15"/>
      <c r="AX204" s="15">
        <f>SUM(AX201:AX203)</f>
        <v>0</v>
      </c>
      <c r="AY204" s="15"/>
      <c r="AZ204" s="15">
        <f>SUM(C204:AP204)</f>
        <v>0</v>
      </c>
      <c r="BA204" s="5"/>
      <c r="BB204" s="76">
        <f t="shared" si="57"/>
        <v>0</v>
      </c>
      <c r="BC204" s="37"/>
      <c r="BD204" s="76">
        <f t="shared" si="58"/>
        <v>0</v>
      </c>
      <c r="BE204" s="37"/>
      <c r="BF204" s="76">
        <f t="shared" si="59"/>
        <v>0</v>
      </c>
      <c r="BH204" s="76">
        <f t="shared" si="60"/>
        <v>0</v>
      </c>
      <c r="BJ204" s="76">
        <f t="shared" si="61"/>
        <v>0</v>
      </c>
      <c r="BL204" s="39">
        <f t="shared" si="44"/>
        <v>0</v>
      </c>
      <c r="BM204" s="3"/>
      <c r="BN204" s="3"/>
      <c r="BO204" s="3"/>
    </row>
    <row r="205" spans="1:67" outlineLevel="1" x14ac:dyDescent="0.2">
      <c r="A205" s="14"/>
      <c r="B205" s="3" t="s">
        <v>413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>
        <f>SUM(C205:AY205)</f>
        <v>0</v>
      </c>
      <c r="BA205" s="5"/>
      <c r="BB205" s="76">
        <f t="shared" si="57"/>
        <v>0</v>
      </c>
      <c r="BC205" s="37"/>
      <c r="BD205" s="76">
        <f t="shared" si="58"/>
        <v>0</v>
      </c>
      <c r="BE205" s="37"/>
      <c r="BF205" s="76">
        <f t="shared" si="59"/>
        <v>0</v>
      </c>
      <c r="BH205" s="76">
        <f t="shared" si="60"/>
        <v>0</v>
      </c>
      <c r="BJ205" s="76">
        <f t="shared" si="61"/>
        <v>0</v>
      </c>
      <c r="BL205" s="39">
        <f t="shared" si="44"/>
        <v>0</v>
      </c>
      <c r="BM205" s="3"/>
      <c r="BN205" s="3"/>
      <c r="BO205" s="3"/>
    </row>
    <row r="206" spans="1:67" outlineLevel="1" x14ac:dyDescent="0.2">
      <c r="A206" s="14"/>
      <c r="B206" s="3" t="s">
        <v>414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>
        <f>SUM(C206:AY206)</f>
        <v>0</v>
      </c>
      <c r="BA206" s="5"/>
      <c r="BB206" s="76">
        <f t="shared" si="57"/>
        <v>0</v>
      </c>
      <c r="BC206" s="37"/>
      <c r="BD206" s="76">
        <f t="shared" si="58"/>
        <v>0</v>
      </c>
      <c r="BE206" s="37"/>
      <c r="BF206" s="76">
        <f t="shared" si="59"/>
        <v>0</v>
      </c>
      <c r="BH206" s="76">
        <f t="shared" si="60"/>
        <v>0</v>
      </c>
      <c r="BJ206" s="76">
        <f t="shared" si="61"/>
        <v>0</v>
      </c>
      <c r="BL206" s="39">
        <f t="shared" si="44"/>
        <v>0</v>
      </c>
      <c r="BM206" s="3"/>
      <c r="BN206" s="3"/>
      <c r="BO206" s="3"/>
    </row>
    <row r="207" spans="1:67" s="31" customFormat="1" outlineLevel="1" x14ac:dyDescent="0.2">
      <c r="A207" s="112"/>
      <c r="B207" s="3" t="s">
        <v>415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>
        <v>0</v>
      </c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5">
        <f>SUM(C207:AY207)</f>
        <v>0</v>
      </c>
      <c r="BA207" s="116"/>
      <c r="BB207" s="76">
        <f t="shared" si="57"/>
        <v>0</v>
      </c>
      <c r="BC207" s="37"/>
      <c r="BD207" s="76">
        <f t="shared" si="58"/>
        <v>0</v>
      </c>
      <c r="BE207" s="37"/>
      <c r="BF207" s="76">
        <f t="shared" si="59"/>
        <v>0</v>
      </c>
      <c r="BG207" s="37"/>
      <c r="BH207" s="76">
        <f t="shared" si="60"/>
        <v>0</v>
      </c>
      <c r="BI207" s="37"/>
      <c r="BJ207" s="76">
        <f t="shared" si="61"/>
        <v>0</v>
      </c>
      <c r="BK207" s="37"/>
      <c r="BL207" s="39">
        <f t="shared" si="44"/>
        <v>0</v>
      </c>
    </row>
    <row r="208" spans="1:67" s="31" customFormat="1" x14ac:dyDescent="0.2">
      <c r="A208" s="112"/>
      <c r="B208" s="3" t="s">
        <v>416</v>
      </c>
      <c r="C208" s="17">
        <f>SUM(C205:C207)</f>
        <v>0</v>
      </c>
      <c r="D208" s="17"/>
      <c r="E208" s="17">
        <f>SUM(E205:E207)</f>
        <v>0</v>
      </c>
      <c r="F208" s="17"/>
      <c r="G208" s="17">
        <f>SUM(G205:G207)</f>
        <v>0</v>
      </c>
      <c r="H208" s="17"/>
      <c r="I208" s="17">
        <f>SUM(I205:I207)</f>
        <v>0</v>
      </c>
      <c r="J208" s="17"/>
      <c r="K208" s="17">
        <f>SUM(K205:K207)</f>
        <v>0</v>
      </c>
      <c r="L208" s="17"/>
      <c r="M208" s="17">
        <f>SUM(M205:M207)</f>
        <v>0</v>
      </c>
      <c r="N208" s="17"/>
      <c r="O208" s="17">
        <f>SUM(O205:O207)</f>
        <v>0</v>
      </c>
      <c r="P208" s="17"/>
      <c r="Q208" s="17">
        <f>SUM(Q205:Q207)</f>
        <v>0</v>
      </c>
      <c r="R208" s="17"/>
      <c r="S208" s="17">
        <f>SUM(S205:S207)</f>
        <v>0</v>
      </c>
      <c r="T208" s="17"/>
      <c r="U208" s="17">
        <f>SUM(U205:U207)</f>
        <v>0</v>
      </c>
      <c r="V208" s="17"/>
      <c r="W208" s="17">
        <f>SUM(W205:W207)</f>
        <v>0</v>
      </c>
      <c r="X208" s="17"/>
      <c r="Y208" s="17">
        <f>SUM(Y205:Y207)</f>
        <v>0</v>
      </c>
      <c r="Z208" s="17"/>
      <c r="AA208" s="17">
        <f>SUM(AA205:AA207)</f>
        <v>0</v>
      </c>
      <c r="AB208" s="17"/>
      <c r="AC208" s="17">
        <f>SUM(AC205:AC207)</f>
        <v>0</v>
      </c>
      <c r="AD208" s="17"/>
      <c r="AE208" s="17">
        <f>SUM(AE205:AE207)</f>
        <v>0</v>
      </c>
      <c r="AF208" s="17"/>
      <c r="AG208" s="17">
        <f>SUM(AG205:AG207)</f>
        <v>0</v>
      </c>
      <c r="AH208" s="17"/>
      <c r="AI208" s="17">
        <f>SUM(AI205:AI207)</f>
        <v>0</v>
      </c>
      <c r="AJ208" s="17"/>
      <c r="AK208" s="17">
        <f>SUM(AK205:AK207)</f>
        <v>0</v>
      </c>
      <c r="AL208" s="17"/>
      <c r="AM208" s="17">
        <f>SUM(AM205:AM207)</f>
        <v>0</v>
      </c>
      <c r="AN208" s="17"/>
      <c r="AO208" s="17">
        <f>SUM(AO205:AO207)</f>
        <v>0</v>
      </c>
      <c r="AP208" s="17"/>
      <c r="AQ208" s="17">
        <f>SUM(AQ205:AQ207)</f>
        <v>0</v>
      </c>
      <c r="AR208" s="17"/>
      <c r="AS208" s="17">
        <f>SUM(AS205:AS207)</f>
        <v>0</v>
      </c>
      <c r="AT208" s="17">
        <f>SUM(AT205:AT207)</f>
        <v>0</v>
      </c>
      <c r="AU208" s="17"/>
      <c r="AV208" s="17">
        <f>SUM(AV205:AV207)</f>
        <v>0</v>
      </c>
      <c r="AW208" s="17"/>
      <c r="AX208" s="17">
        <f>SUM(AX205:AX207)</f>
        <v>0</v>
      </c>
      <c r="AY208" s="17"/>
      <c r="AZ208" s="15">
        <f>SUM(C208:AP208)</f>
        <v>0</v>
      </c>
      <c r="BA208" s="116"/>
      <c r="BB208" s="76">
        <f t="shared" si="57"/>
        <v>0</v>
      </c>
      <c r="BC208" s="37"/>
      <c r="BD208" s="76">
        <f t="shared" si="58"/>
        <v>0</v>
      </c>
      <c r="BE208" s="37"/>
      <c r="BF208" s="76">
        <f t="shared" si="59"/>
        <v>0</v>
      </c>
      <c r="BG208" s="37"/>
      <c r="BH208" s="76">
        <f t="shared" si="60"/>
        <v>0</v>
      </c>
      <c r="BI208" s="37"/>
      <c r="BJ208" s="76">
        <f t="shared" si="61"/>
        <v>0</v>
      </c>
      <c r="BK208" s="37"/>
      <c r="BL208" s="39">
        <f t="shared" si="44"/>
        <v>0</v>
      </c>
    </row>
    <row r="209" spans="1:64" s="31" customFormat="1" x14ac:dyDescent="0.2">
      <c r="A209" s="112"/>
      <c r="B209" s="3" t="s">
        <v>417</v>
      </c>
      <c r="F209" s="17"/>
      <c r="H209" s="17"/>
      <c r="J209" s="17"/>
      <c r="L209" s="17"/>
      <c r="N209" s="17"/>
      <c r="P209" s="17"/>
      <c r="R209" s="17"/>
      <c r="X209" s="17"/>
      <c r="Z209" s="17"/>
      <c r="AB209" s="17"/>
      <c r="AD209" s="17"/>
      <c r="AF209" s="17"/>
      <c r="AH209" s="17"/>
      <c r="AJ209" s="17"/>
      <c r="AZ209" s="15">
        <f t="shared" ref="AZ209:AZ218" si="62">SUM(C209:AY209)</f>
        <v>0</v>
      </c>
      <c r="BA209" s="17"/>
      <c r="BB209" s="76">
        <f t="shared" si="57"/>
        <v>0</v>
      </c>
      <c r="BC209" s="37"/>
      <c r="BD209" s="76">
        <f t="shared" si="58"/>
        <v>0</v>
      </c>
      <c r="BE209" s="37"/>
      <c r="BF209" s="76">
        <f t="shared" si="59"/>
        <v>0</v>
      </c>
      <c r="BG209" s="37"/>
      <c r="BH209" s="76">
        <f t="shared" si="60"/>
        <v>0</v>
      </c>
      <c r="BI209" s="37"/>
      <c r="BJ209" s="76">
        <f t="shared" si="61"/>
        <v>0</v>
      </c>
      <c r="BK209" s="37"/>
      <c r="BL209" s="39">
        <f t="shared" si="44"/>
        <v>0</v>
      </c>
    </row>
    <row r="210" spans="1:64" s="31" customFormat="1" x14ac:dyDescent="0.2">
      <c r="A210" s="112"/>
      <c r="B210" s="3" t="s">
        <v>418</v>
      </c>
      <c r="F210" s="17"/>
      <c r="H210" s="17"/>
      <c r="J210" s="17"/>
      <c r="L210" s="17"/>
      <c r="N210" s="17"/>
      <c r="P210" s="17"/>
      <c r="R210" s="17"/>
      <c r="X210" s="17"/>
      <c r="Z210" s="17"/>
      <c r="AB210" s="17"/>
      <c r="AD210" s="17"/>
      <c r="AF210" s="17"/>
      <c r="AH210" s="17"/>
      <c r="AJ210" s="17"/>
      <c r="AZ210" s="15">
        <f t="shared" si="62"/>
        <v>0</v>
      </c>
      <c r="BA210" s="17"/>
      <c r="BB210" s="76">
        <f t="shared" si="57"/>
        <v>0</v>
      </c>
      <c r="BC210" s="37"/>
      <c r="BD210" s="76">
        <f t="shared" si="58"/>
        <v>0</v>
      </c>
      <c r="BE210" s="37"/>
      <c r="BF210" s="76">
        <f t="shared" si="59"/>
        <v>0</v>
      </c>
      <c r="BG210" s="37"/>
      <c r="BH210" s="76">
        <f t="shared" si="60"/>
        <v>0</v>
      </c>
      <c r="BI210" s="37"/>
      <c r="BJ210" s="76">
        <f t="shared" si="61"/>
        <v>0</v>
      </c>
      <c r="BK210" s="37"/>
      <c r="BL210" s="39">
        <f t="shared" si="44"/>
        <v>0</v>
      </c>
    </row>
    <row r="211" spans="1:64" s="31" customFormat="1" x14ac:dyDescent="0.2">
      <c r="A211" s="112"/>
      <c r="B211" s="3" t="s">
        <v>419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5">
        <f t="shared" si="62"/>
        <v>0</v>
      </c>
      <c r="BA211" s="116"/>
      <c r="BB211" s="76">
        <f t="shared" si="57"/>
        <v>0</v>
      </c>
      <c r="BC211" s="37"/>
      <c r="BD211" s="76">
        <f t="shared" si="58"/>
        <v>0</v>
      </c>
      <c r="BE211" s="37"/>
      <c r="BF211" s="76">
        <f t="shared" si="59"/>
        <v>0</v>
      </c>
      <c r="BG211" s="37"/>
      <c r="BH211" s="76">
        <f t="shared" si="60"/>
        <v>0</v>
      </c>
      <c r="BI211" s="37"/>
      <c r="BJ211" s="76">
        <f t="shared" si="61"/>
        <v>0</v>
      </c>
      <c r="BK211" s="37"/>
      <c r="BL211" s="39">
        <f t="shared" si="44"/>
        <v>0</v>
      </c>
    </row>
    <row r="212" spans="1:64" s="31" customFormat="1" x14ac:dyDescent="0.2">
      <c r="A212" s="112"/>
      <c r="B212" s="3" t="s">
        <v>420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5">
        <f t="shared" si="62"/>
        <v>0</v>
      </c>
      <c r="BA212" s="116"/>
      <c r="BB212" s="76">
        <f t="shared" si="57"/>
        <v>0</v>
      </c>
      <c r="BC212" s="37"/>
      <c r="BD212" s="76">
        <f t="shared" si="58"/>
        <v>0</v>
      </c>
      <c r="BE212" s="37"/>
      <c r="BF212" s="76">
        <f t="shared" si="59"/>
        <v>0</v>
      </c>
      <c r="BG212" s="37"/>
      <c r="BH212" s="76">
        <f t="shared" si="60"/>
        <v>0</v>
      </c>
      <c r="BI212" s="37"/>
      <c r="BJ212" s="76">
        <f t="shared" si="61"/>
        <v>0</v>
      </c>
      <c r="BK212" s="37"/>
      <c r="BL212" s="39">
        <f t="shared" ref="BL212:BL279" si="63">AZ212-BJ212</f>
        <v>0</v>
      </c>
    </row>
    <row r="213" spans="1:64" s="31" customFormat="1" x14ac:dyDescent="0.2">
      <c r="A213" s="112"/>
      <c r="B213" s="3" t="s">
        <v>421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>
        <v>0</v>
      </c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5">
        <f t="shared" si="62"/>
        <v>0</v>
      </c>
      <c r="BA213" s="116"/>
      <c r="BB213" s="76">
        <f t="shared" si="57"/>
        <v>0</v>
      </c>
      <c r="BC213" s="37"/>
      <c r="BD213" s="76">
        <f t="shared" si="58"/>
        <v>0</v>
      </c>
      <c r="BE213" s="37"/>
      <c r="BF213" s="76">
        <f t="shared" si="59"/>
        <v>0</v>
      </c>
      <c r="BG213" s="37"/>
      <c r="BH213" s="76">
        <f t="shared" si="60"/>
        <v>0</v>
      </c>
      <c r="BI213" s="37"/>
      <c r="BJ213" s="76">
        <f t="shared" si="61"/>
        <v>0</v>
      </c>
      <c r="BK213" s="37"/>
      <c r="BL213" s="39">
        <f t="shared" si="63"/>
        <v>0</v>
      </c>
    </row>
    <row r="214" spans="1:64" s="31" customFormat="1" x14ac:dyDescent="0.2">
      <c r="A214" s="112"/>
      <c r="B214" s="3" t="s">
        <v>422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5">
        <f t="shared" si="62"/>
        <v>0</v>
      </c>
      <c r="BA214" s="116"/>
      <c r="BB214" s="76">
        <f t="shared" si="57"/>
        <v>0</v>
      </c>
      <c r="BC214" s="37"/>
      <c r="BD214" s="76">
        <f t="shared" si="58"/>
        <v>0</v>
      </c>
      <c r="BE214" s="37"/>
      <c r="BF214" s="76">
        <f t="shared" si="59"/>
        <v>0</v>
      </c>
      <c r="BG214" s="37"/>
      <c r="BH214" s="76">
        <f t="shared" si="60"/>
        <v>0</v>
      </c>
      <c r="BI214" s="37"/>
      <c r="BJ214" s="76">
        <f t="shared" si="61"/>
        <v>0</v>
      </c>
      <c r="BK214" s="37"/>
      <c r="BL214" s="39">
        <f t="shared" si="63"/>
        <v>0</v>
      </c>
    </row>
    <row r="215" spans="1:64" s="31" customFormat="1" x14ac:dyDescent="0.2">
      <c r="A215" s="112"/>
      <c r="B215" s="3" t="s">
        <v>423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5">
        <f t="shared" si="62"/>
        <v>0</v>
      </c>
      <c r="BA215" s="116"/>
      <c r="BB215" s="76">
        <f t="shared" si="57"/>
        <v>0</v>
      </c>
      <c r="BC215" s="37"/>
      <c r="BD215" s="76">
        <f t="shared" si="58"/>
        <v>0</v>
      </c>
      <c r="BE215" s="37"/>
      <c r="BF215" s="76">
        <f t="shared" si="59"/>
        <v>0</v>
      </c>
      <c r="BG215" s="37"/>
      <c r="BH215" s="76">
        <f t="shared" si="60"/>
        <v>0</v>
      </c>
      <c r="BI215" s="37"/>
      <c r="BJ215" s="76">
        <f t="shared" si="61"/>
        <v>0</v>
      </c>
      <c r="BK215" s="37"/>
      <c r="BL215" s="39">
        <f t="shared" si="63"/>
        <v>0</v>
      </c>
    </row>
    <row r="216" spans="1:64" s="31" customFormat="1" x14ac:dyDescent="0.2">
      <c r="A216" s="112"/>
      <c r="B216" s="3" t="s">
        <v>424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>
        <v>0</v>
      </c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>
        <v>2817.36</v>
      </c>
      <c r="AW216" s="17"/>
      <c r="AX216" s="17"/>
      <c r="AY216" s="17"/>
      <c r="AZ216" s="15">
        <f t="shared" si="62"/>
        <v>2817.36</v>
      </c>
      <c r="BA216" s="116"/>
      <c r="BB216" s="76">
        <f t="shared" si="57"/>
        <v>0</v>
      </c>
      <c r="BC216" s="37"/>
      <c r="BD216" s="76">
        <f t="shared" si="58"/>
        <v>0</v>
      </c>
      <c r="BE216" s="37"/>
      <c r="BF216" s="76">
        <f t="shared" si="59"/>
        <v>2817.36</v>
      </c>
      <c r="BG216" s="37"/>
      <c r="BH216" s="76">
        <f t="shared" si="60"/>
        <v>0</v>
      </c>
      <c r="BI216" s="37"/>
      <c r="BJ216" s="76">
        <f t="shared" si="61"/>
        <v>2817.36</v>
      </c>
      <c r="BK216" s="37"/>
      <c r="BL216" s="39">
        <f t="shared" si="63"/>
        <v>0</v>
      </c>
    </row>
    <row r="217" spans="1:64" s="31" customFormat="1" outlineLevel="1" x14ac:dyDescent="0.2">
      <c r="A217" s="112"/>
      <c r="B217" s="3" t="s">
        <v>425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>
        <v>23165.32</v>
      </c>
      <c r="AR217" s="17"/>
      <c r="AS217" s="17">
        <v>-84069.32</v>
      </c>
      <c r="AT217" s="17"/>
      <c r="AU217" s="17"/>
      <c r="AV217" s="17"/>
      <c r="AW217" s="17"/>
      <c r="AX217" s="17"/>
      <c r="AY217" s="17"/>
      <c r="AZ217" s="15">
        <f t="shared" si="62"/>
        <v>-60904.000000000007</v>
      </c>
      <c r="BA217" s="116"/>
      <c r="BB217" s="76">
        <f t="shared" si="57"/>
        <v>23165.32</v>
      </c>
      <c r="BC217" s="37"/>
      <c r="BD217" s="76">
        <f t="shared" si="58"/>
        <v>-84069.32</v>
      </c>
      <c r="BE217" s="37"/>
      <c r="BF217" s="76">
        <f t="shared" si="59"/>
        <v>0</v>
      </c>
      <c r="BG217" s="37"/>
      <c r="BH217" s="76">
        <f t="shared" si="60"/>
        <v>0</v>
      </c>
      <c r="BI217" s="37"/>
      <c r="BJ217" s="76">
        <f t="shared" si="61"/>
        <v>-60904.000000000007</v>
      </c>
      <c r="BK217" s="37"/>
      <c r="BL217" s="39">
        <f t="shared" si="63"/>
        <v>0</v>
      </c>
    </row>
    <row r="218" spans="1:64" s="31" customFormat="1" outlineLevel="1" x14ac:dyDescent="0.2">
      <c r="A218" s="112"/>
      <c r="B218" s="31" t="s">
        <v>426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>
        <v>0</v>
      </c>
      <c r="AH218" s="17"/>
      <c r="AI218" s="17">
        <v>0</v>
      </c>
      <c r="AJ218" s="17"/>
      <c r="AK218" s="17"/>
      <c r="AL218" s="17"/>
      <c r="AM218" s="17"/>
      <c r="AN218" s="17"/>
      <c r="AO218" s="17"/>
      <c r="AP218" s="17"/>
      <c r="AQ218" s="17">
        <v>808505.9</v>
      </c>
      <c r="AR218" s="17"/>
      <c r="AS218" s="17"/>
      <c r="AT218" s="17"/>
      <c r="AU218" s="17"/>
      <c r="AV218" s="17"/>
      <c r="AW218" s="17"/>
      <c r="AX218" s="17"/>
      <c r="AY218" s="17"/>
      <c r="AZ218" s="15">
        <f t="shared" si="62"/>
        <v>808505.9</v>
      </c>
      <c r="BA218" s="116"/>
      <c r="BB218" s="76">
        <f t="shared" si="57"/>
        <v>808505.9</v>
      </c>
      <c r="BC218" s="37"/>
      <c r="BD218" s="76">
        <f t="shared" si="58"/>
        <v>0</v>
      </c>
      <c r="BE218" s="37"/>
      <c r="BF218" s="76">
        <f t="shared" si="59"/>
        <v>0</v>
      </c>
      <c r="BG218" s="37"/>
      <c r="BH218" s="76">
        <f t="shared" si="60"/>
        <v>0</v>
      </c>
      <c r="BI218" s="37"/>
      <c r="BJ218" s="76">
        <f t="shared" si="61"/>
        <v>808505.9</v>
      </c>
      <c r="BK218" s="37"/>
      <c r="BL218" s="39">
        <f t="shared" si="63"/>
        <v>0</v>
      </c>
    </row>
    <row r="219" spans="1:64" s="31" customFormat="1" x14ac:dyDescent="0.2">
      <c r="A219" s="112"/>
      <c r="B219" s="31" t="s">
        <v>427</v>
      </c>
      <c r="C219" s="38">
        <f>SUM(C217:C218)</f>
        <v>0</v>
      </c>
      <c r="E219" s="38">
        <f>SUM(E217:E218)</f>
        <v>0</v>
      </c>
      <c r="F219" s="17"/>
      <c r="G219" s="38">
        <f>SUM(G217:G218)</f>
        <v>0</v>
      </c>
      <c r="H219" s="17"/>
      <c r="I219" s="38">
        <f>SUM(I217:I218)</f>
        <v>0</v>
      </c>
      <c r="J219" s="17"/>
      <c r="K219" s="38">
        <f>SUM(K217:K218)</f>
        <v>0</v>
      </c>
      <c r="L219" s="17"/>
      <c r="M219" s="38">
        <f>SUM(M217:M218)</f>
        <v>0</v>
      </c>
      <c r="N219" s="17"/>
      <c r="O219" s="38">
        <f>SUM(O217:O218)</f>
        <v>0</v>
      </c>
      <c r="P219" s="17"/>
      <c r="Q219" s="38">
        <f>SUM(Q217:Q218)</f>
        <v>0</v>
      </c>
      <c r="R219" s="17"/>
      <c r="S219" s="38">
        <f>SUM(S217:S218)</f>
        <v>0</v>
      </c>
      <c r="T219" s="38"/>
      <c r="U219" s="38">
        <f>SUM(U217:U218)</f>
        <v>0</v>
      </c>
      <c r="V219" s="38"/>
      <c r="W219" s="38">
        <f>SUM(W217:W218)</f>
        <v>0</v>
      </c>
      <c r="X219" s="17"/>
      <c r="Y219" s="38">
        <f>SUM(Y217:Y218)</f>
        <v>0</v>
      </c>
      <c r="Z219" s="17"/>
      <c r="AA219" s="38">
        <f>SUM(AA217:AA218)</f>
        <v>0</v>
      </c>
      <c r="AB219" s="17"/>
      <c r="AC219" s="38">
        <f>SUM(AC217:AC218)</f>
        <v>0</v>
      </c>
      <c r="AD219" s="17"/>
      <c r="AE219" s="38">
        <f>SUM(AE217:AE218)</f>
        <v>0</v>
      </c>
      <c r="AF219" s="17"/>
      <c r="AG219" s="38">
        <f>SUM(AG217:AG218)</f>
        <v>0</v>
      </c>
      <c r="AH219" s="17"/>
      <c r="AI219" s="38">
        <v>0</v>
      </c>
      <c r="AJ219" s="17"/>
      <c r="AK219" s="38">
        <f>SUM(AK217:AK218)</f>
        <v>0</v>
      </c>
      <c r="AL219" s="38"/>
      <c r="AM219" s="38">
        <f>SUM(AM217:AM218)</f>
        <v>0</v>
      </c>
      <c r="AN219" s="38"/>
      <c r="AO219" s="38">
        <f>SUM(AO217:AO218)</f>
        <v>0</v>
      </c>
      <c r="AP219" s="38"/>
      <c r="AQ219" s="38">
        <f>SUM(AQ217:AQ218)</f>
        <v>831671.22</v>
      </c>
      <c r="AR219" s="38"/>
      <c r="AS219" s="38">
        <f>SUM(AS217:AS218)</f>
        <v>-84069.32</v>
      </c>
      <c r="AT219" s="38">
        <f>SUM(AT217:AT218)</f>
        <v>0</v>
      </c>
      <c r="AU219" s="38"/>
      <c r="AV219" s="38">
        <f>SUM(AV217:AV218)</f>
        <v>0</v>
      </c>
      <c r="AW219" s="38"/>
      <c r="AX219" s="38">
        <f>SUM(AX217:AX218)</f>
        <v>0</v>
      </c>
      <c r="AY219" s="38"/>
      <c r="AZ219" s="15">
        <f>SUM(C219:AS219)</f>
        <v>747601.89999999991</v>
      </c>
      <c r="BA219" s="17"/>
      <c r="BB219" s="76">
        <f t="shared" si="57"/>
        <v>831671.22</v>
      </c>
      <c r="BC219" s="37"/>
      <c r="BD219" s="76">
        <f t="shared" si="58"/>
        <v>-84069.32</v>
      </c>
      <c r="BE219" s="37"/>
      <c r="BF219" s="76">
        <f t="shared" si="59"/>
        <v>0</v>
      </c>
      <c r="BG219" s="37"/>
      <c r="BH219" s="76">
        <f t="shared" si="60"/>
        <v>0</v>
      </c>
      <c r="BI219" s="37"/>
      <c r="BJ219" s="76">
        <f t="shared" si="61"/>
        <v>747601.89999999991</v>
      </c>
      <c r="BK219" s="37"/>
      <c r="BL219" s="39">
        <f t="shared" si="63"/>
        <v>0</v>
      </c>
    </row>
    <row r="220" spans="1:64" s="31" customFormat="1" x14ac:dyDescent="0.2">
      <c r="A220" s="112"/>
      <c r="B220" s="115" t="s">
        <v>428</v>
      </c>
      <c r="C220" s="117">
        <f>C219+SUM(C208:C216)+C204+C200:C200</f>
        <v>0</v>
      </c>
      <c r="E220" s="117">
        <f>E219+SUM(E208:E216)+E204+E200:E200</f>
        <v>0</v>
      </c>
      <c r="F220" s="17"/>
      <c r="G220" s="117">
        <f>G219+SUM(G208:G216)+G204+G200:G200</f>
        <v>0</v>
      </c>
      <c r="H220" s="17"/>
      <c r="I220" s="117">
        <f>I219+SUM(I208:I216)+I204+I200:I200</f>
        <v>0</v>
      </c>
      <c r="J220" s="17"/>
      <c r="K220" s="117">
        <f>K219+SUM(K208:K216)+K204+K200:K200</f>
        <v>0</v>
      </c>
      <c r="L220" s="17"/>
      <c r="M220" s="117">
        <f>M219+SUM(M208:M216)+M204+M200:M200</f>
        <v>0</v>
      </c>
      <c r="N220" s="17"/>
      <c r="O220" s="117">
        <f>O219+SUM(O208:O216)+O204+O200:O200</f>
        <v>0</v>
      </c>
      <c r="P220" s="17"/>
      <c r="Q220" s="117">
        <f>Q219+SUM(Q208:Q216)+Q204+Q200:Q200</f>
        <v>0</v>
      </c>
      <c r="R220" s="17"/>
      <c r="S220" s="117">
        <f>S219+SUM(S208:S216)+S204+S200:S200</f>
        <v>0</v>
      </c>
      <c r="T220" s="117"/>
      <c r="U220" s="117">
        <f>U219+SUM(U208:U216)+U204+U200:U200</f>
        <v>0</v>
      </c>
      <c r="V220" s="117"/>
      <c r="W220" s="117">
        <f>W219+SUM(W208:W216)+W204+W200:W200</f>
        <v>-3657</v>
      </c>
      <c r="X220" s="17"/>
      <c r="Y220" s="117">
        <f>Y219+SUM(Y208:Y216)+Y204+Y200:Y200</f>
        <v>0</v>
      </c>
      <c r="Z220" s="17"/>
      <c r="AA220" s="117">
        <f>AA219+SUM(AA208:AA216)+AA204+AA200:AA200</f>
        <v>0</v>
      </c>
      <c r="AB220" s="17"/>
      <c r="AC220" s="117">
        <f>AC219+SUM(AC208:AC216)+AC204+AC200:AC200</f>
        <v>0</v>
      </c>
      <c r="AD220" s="17"/>
      <c r="AE220" s="117">
        <f>AE219+SUM(AE208:AE216)+AE204+AE200:AE200</f>
        <v>0</v>
      </c>
      <c r="AF220" s="17"/>
      <c r="AG220" s="117">
        <f>AG219+SUM(AG208:AG216)+AG204+AG200:AG200</f>
        <v>0</v>
      </c>
      <c r="AH220" s="17"/>
      <c r="AI220" s="117">
        <f>AI219+SUM(AI208:AI216)+AI204+AI200:AI200</f>
        <v>0</v>
      </c>
      <c r="AJ220" s="17"/>
      <c r="AK220" s="117">
        <f>AK219+SUM(AK208:AK216)+AK204+AK200:AK200</f>
        <v>0</v>
      </c>
      <c r="AL220" s="117"/>
      <c r="AM220" s="117">
        <f>AM219+SUM(AM208:AM216)+AM204+AM200:AM200</f>
        <v>0</v>
      </c>
      <c r="AN220" s="117"/>
      <c r="AO220" s="117">
        <f>AO219+SUM(AO208:AO216)+AO204+AO200:AO200</f>
        <v>0</v>
      </c>
      <c r="AP220" s="117"/>
      <c r="AQ220" s="117">
        <f>AQ219+SUM(AQ208:AQ216)+AQ204+AQ200:AQ200</f>
        <v>831671.22</v>
      </c>
      <c r="AR220" s="117"/>
      <c r="AS220" s="117">
        <f>AS219+SUM(AS208:AS216)+AS204+AS200:AS200</f>
        <v>-84069.32</v>
      </c>
      <c r="AT220" s="117">
        <f>AT219+SUM(AT208:AT216)+AT204+AT200:AT200</f>
        <v>0</v>
      </c>
      <c r="AU220" s="117"/>
      <c r="AV220" s="117">
        <f>AV219+SUM(AV208:AV216)+AV204+AV200:AV200</f>
        <v>2817.36</v>
      </c>
      <c r="AW220" s="117"/>
      <c r="AX220" s="117">
        <f>AX219+SUM(AX208:AX216)+AX204+AX200:AX200</f>
        <v>0</v>
      </c>
      <c r="AY220" s="117"/>
      <c r="AZ220" s="117">
        <f>AZ219+SUM(AZ208:AZ216)+AZ204+AZ200:AZ200</f>
        <v>746762.25999999989</v>
      </c>
      <c r="BA220" s="17"/>
      <c r="BB220" s="118">
        <f>BB219+SUM(BB208:BB216)+BB204+BB200:BB200</f>
        <v>831671.22</v>
      </c>
      <c r="BC220" s="86"/>
      <c r="BD220" s="118">
        <f>BD219+SUM(BD208:BD216)+BD204+BD200:BD200</f>
        <v>-84069.32</v>
      </c>
      <c r="BE220" s="86"/>
      <c r="BF220" s="118">
        <f>BF219+SUM(BF208:BF216)+BF204+BF200:BF200</f>
        <v>-839.63999999999987</v>
      </c>
      <c r="BG220" s="86"/>
      <c r="BH220" s="118">
        <f>BH219+SUM(BH208:BH216)+BH204+BH200:BH200</f>
        <v>0</v>
      </c>
      <c r="BI220" s="86"/>
      <c r="BJ220" s="118">
        <f>BJ219+SUM(BJ208:BJ216)+BJ204+BJ200:BJ200</f>
        <v>746762.25999999989</v>
      </c>
      <c r="BK220" s="86"/>
      <c r="BL220" s="39">
        <f t="shared" si="63"/>
        <v>0</v>
      </c>
    </row>
    <row r="221" spans="1:64" s="31" customFormat="1" x14ac:dyDescent="0.2">
      <c r="A221" s="112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16"/>
      <c r="BB221" s="32"/>
      <c r="BC221" s="86"/>
      <c r="BD221" s="32"/>
      <c r="BE221" s="86"/>
      <c r="BF221" s="86"/>
      <c r="BG221" s="86"/>
      <c r="BH221" s="86"/>
      <c r="BI221" s="86"/>
      <c r="BJ221" s="86"/>
      <c r="BK221" s="86"/>
      <c r="BL221" s="39">
        <f t="shared" si="63"/>
        <v>0</v>
      </c>
    </row>
    <row r="222" spans="1:64" s="31" customFormat="1" x14ac:dyDescent="0.2">
      <c r="A222" s="112"/>
      <c r="B222" s="10" t="s">
        <v>31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16"/>
      <c r="BB222" s="32"/>
      <c r="BC222" s="86"/>
      <c r="BD222" s="32"/>
      <c r="BE222" s="86"/>
      <c r="BF222" s="86"/>
      <c r="BG222" s="86"/>
      <c r="BH222" s="86"/>
      <c r="BI222" s="86"/>
      <c r="BJ222" s="86"/>
      <c r="BK222" s="86"/>
      <c r="BL222" s="39">
        <f t="shared" si="63"/>
        <v>0</v>
      </c>
    </row>
    <row r="223" spans="1:64" s="31" customFormat="1" x14ac:dyDescent="0.2">
      <c r="A223" s="112"/>
      <c r="B223" s="3" t="s">
        <v>429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5">
        <f>SUM(C223:AY223)</f>
        <v>0</v>
      </c>
      <c r="BA223" s="116"/>
      <c r="BB223" s="76">
        <f>SUMIF($C$10:$AY$10,"=Addition",$C223:$AY223)</f>
        <v>0</v>
      </c>
      <c r="BC223" s="37"/>
      <c r="BD223" s="76">
        <f>SUMIF($C$10:$AY$10,"=Adjustment",$C223:$AY223)</f>
        <v>0</v>
      </c>
      <c r="BE223" s="37"/>
      <c r="BF223" s="76">
        <f>SUMIF($C$10:$AY$10,"=Transfer",$C223:$AY223)</f>
        <v>0</v>
      </c>
      <c r="BG223" s="37"/>
      <c r="BH223" s="76">
        <f>SUMIF($C$10:$AY$10,"=N/A",$C223:$AY223)</f>
        <v>0</v>
      </c>
      <c r="BI223" s="37"/>
      <c r="BJ223" s="76">
        <f t="shared" ref="BJ223:BJ225" si="64">SUM(BB223:BH223)</f>
        <v>0</v>
      </c>
      <c r="BK223" s="37"/>
      <c r="BL223" s="39">
        <f t="shared" si="63"/>
        <v>0</v>
      </c>
    </row>
    <row r="224" spans="1:64" s="31" customFormat="1" x14ac:dyDescent="0.2">
      <c r="A224" s="112"/>
      <c r="B224" s="3" t="s">
        <v>430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5">
        <f>SUM(C224:AY224)</f>
        <v>0</v>
      </c>
      <c r="BA224" s="116"/>
      <c r="BB224" s="76">
        <f>SUMIF($C$10:$AY$10,"=Addition",$C224:$AY224)</f>
        <v>0</v>
      </c>
      <c r="BC224" s="37"/>
      <c r="BD224" s="76">
        <f>SUMIF($C$10:$AY$10,"=Adjustment",$C224:$AY224)</f>
        <v>0</v>
      </c>
      <c r="BE224" s="37"/>
      <c r="BF224" s="76">
        <f>SUMIF($C$10:$AY$10,"=Transfer",$C224:$AY224)</f>
        <v>0</v>
      </c>
      <c r="BG224" s="37"/>
      <c r="BH224" s="76">
        <f>SUMIF($C$10:$AY$10,"=N/A",$C224:$AY224)</f>
        <v>0</v>
      </c>
      <c r="BI224" s="37"/>
      <c r="BJ224" s="76">
        <f t="shared" si="64"/>
        <v>0</v>
      </c>
      <c r="BK224" s="37"/>
      <c r="BL224" s="39">
        <f t="shared" si="63"/>
        <v>0</v>
      </c>
    </row>
    <row r="225" spans="1:67" s="31" customFormat="1" x14ac:dyDescent="0.2">
      <c r="A225" s="112"/>
      <c r="B225" s="22" t="s">
        <v>431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>
        <v>0</v>
      </c>
      <c r="X225" s="17"/>
      <c r="Y225" s="17">
        <v>0</v>
      </c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>
        <v>-1269</v>
      </c>
      <c r="AT225" s="17"/>
      <c r="AU225" s="17"/>
      <c r="AV225" s="17"/>
      <c r="AW225" s="17"/>
      <c r="AX225" s="17"/>
      <c r="AY225" s="17"/>
      <c r="AZ225" s="15">
        <f>SUM(C225:AY225)</f>
        <v>-1269</v>
      </c>
      <c r="BA225" s="116"/>
      <c r="BB225" s="76">
        <f>SUMIF($C$10:$AY$10,"=Addition",$C225:$AY225)</f>
        <v>0</v>
      </c>
      <c r="BC225" s="37"/>
      <c r="BD225" s="76">
        <f>SUMIF($C$10:$AY$10,"=Adjustment",$C225:$AY225)</f>
        <v>-1269</v>
      </c>
      <c r="BE225" s="37"/>
      <c r="BF225" s="76">
        <f>SUMIF($C$10:$AY$10,"=Transfer",$C225:$AY225)</f>
        <v>0</v>
      </c>
      <c r="BG225" s="37"/>
      <c r="BH225" s="76">
        <f>SUMIF($C$10:$AY$10,"=N/A",$C225:$AY225)</f>
        <v>0</v>
      </c>
      <c r="BI225" s="37"/>
      <c r="BJ225" s="76">
        <f t="shared" si="64"/>
        <v>-1269</v>
      </c>
      <c r="BK225" s="37"/>
      <c r="BL225" s="39">
        <f t="shared" si="63"/>
        <v>0</v>
      </c>
    </row>
    <row r="226" spans="1:67" s="31" customFormat="1" x14ac:dyDescent="0.2">
      <c r="A226" s="112"/>
      <c r="B226" s="119" t="s">
        <v>432</v>
      </c>
      <c r="C226" s="20">
        <f>SUM(C223:C225)</f>
        <v>0</v>
      </c>
      <c r="D226" s="17"/>
      <c r="E226" s="20">
        <f>SUM(E223:E225)</f>
        <v>0</v>
      </c>
      <c r="F226" s="17"/>
      <c r="G226" s="20">
        <f>SUM(G223:G225)</f>
        <v>0</v>
      </c>
      <c r="H226" s="17"/>
      <c r="I226" s="20">
        <f>SUM(I223:I225)</f>
        <v>0</v>
      </c>
      <c r="J226" s="17"/>
      <c r="K226" s="20">
        <f>SUM(K223:K225)</f>
        <v>0</v>
      </c>
      <c r="L226" s="17"/>
      <c r="M226" s="20">
        <f>SUM(M223:M225)</f>
        <v>0</v>
      </c>
      <c r="N226" s="17"/>
      <c r="O226" s="20">
        <f>SUM(O223:O225)</f>
        <v>0</v>
      </c>
      <c r="P226" s="17"/>
      <c r="Q226" s="20">
        <f>SUM(Q223:Q225)</f>
        <v>0</v>
      </c>
      <c r="R226" s="17"/>
      <c r="S226" s="20">
        <f>SUM(S223:S225)</f>
        <v>0</v>
      </c>
      <c r="T226" s="20"/>
      <c r="U226" s="20">
        <f>SUM(U223:U225)</f>
        <v>0</v>
      </c>
      <c r="V226" s="20"/>
      <c r="W226" s="20">
        <f>SUM(W223:W225)</f>
        <v>0</v>
      </c>
      <c r="X226" s="17"/>
      <c r="Y226" s="20">
        <f>SUM(Y223:Y225)</f>
        <v>0</v>
      </c>
      <c r="Z226" s="17"/>
      <c r="AA226" s="20">
        <f>SUM(AA223:AA225)</f>
        <v>0</v>
      </c>
      <c r="AB226" s="17"/>
      <c r="AC226" s="20">
        <f>SUM(AC223:AC225)</f>
        <v>0</v>
      </c>
      <c r="AD226" s="17"/>
      <c r="AE226" s="20">
        <f>SUM(AE223:AE225)</f>
        <v>0</v>
      </c>
      <c r="AF226" s="17"/>
      <c r="AG226" s="20">
        <f>SUM(AG223:AG225)</f>
        <v>0</v>
      </c>
      <c r="AH226" s="17"/>
      <c r="AI226" s="20">
        <f>SUM(AI223:AI225)</f>
        <v>0</v>
      </c>
      <c r="AJ226" s="17"/>
      <c r="AK226" s="20">
        <f>SUM(AK223:AK225)</f>
        <v>0</v>
      </c>
      <c r="AL226" s="20"/>
      <c r="AM226" s="20">
        <f>SUM(AM223:AM225)</f>
        <v>0</v>
      </c>
      <c r="AN226" s="20"/>
      <c r="AO226" s="20">
        <f>SUM(AO223:AO225)</f>
        <v>0</v>
      </c>
      <c r="AP226" s="20"/>
      <c r="AQ226" s="20">
        <f>SUM(AQ223:AQ225)</f>
        <v>0</v>
      </c>
      <c r="AR226" s="20"/>
      <c r="AS226" s="20">
        <f>SUM(AS223:AS225)</f>
        <v>-1269</v>
      </c>
      <c r="AT226" s="20">
        <f>SUM(AT223:AT225)</f>
        <v>0</v>
      </c>
      <c r="AU226" s="20"/>
      <c r="AV226" s="20">
        <f>SUM(AV223:AV225)</f>
        <v>0</v>
      </c>
      <c r="AW226" s="20"/>
      <c r="AX226" s="20">
        <f>SUM(AX223:AX225)</f>
        <v>0</v>
      </c>
      <c r="AY226" s="20"/>
      <c r="AZ226" s="20">
        <f>SUM(AZ223:AZ225)</f>
        <v>-1269</v>
      </c>
      <c r="BA226" s="116"/>
      <c r="BB226" s="114">
        <f>SUM(BB223:BB225)</f>
        <v>0</v>
      </c>
      <c r="BC226" s="86"/>
      <c r="BD226" s="114">
        <f>SUM(BD223:BD225)</f>
        <v>-1269</v>
      </c>
      <c r="BE226" s="86"/>
      <c r="BF226" s="114">
        <f>SUM(BF223:BF225)</f>
        <v>0</v>
      </c>
      <c r="BG226" s="86"/>
      <c r="BH226" s="114">
        <f>SUM(BH223:BH225)</f>
        <v>0</v>
      </c>
      <c r="BI226" s="86"/>
      <c r="BJ226" s="114">
        <f>SUM(BJ223:BJ225)</f>
        <v>-1269</v>
      </c>
      <c r="BK226" s="86"/>
      <c r="BL226" s="39">
        <f t="shared" si="63"/>
        <v>0</v>
      </c>
    </row>
    <row r="227" spans="1:67" s="31" customFormat="1" x14ac:dyDescent="0.2">
      <c r="A227" s="112"/>
      <c r="B227" s="120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16"/>
      <c r="BB227" s="32"/>
      <c r="BC227" s="86"/>
      <c r="BD227" s="32"/>
      <c r="BE227" s="86"/>
      <c r="BF227" s="86"/>
      <c r="BG227" s="86"/>
      <c r="BH227" s="86"/>
      <c r="BI227" s="86"/>
      <c r="BJ227" s="86"/>
      <c r="BK227" s="86"/>
      <c r="BL227" s="39">
        <f t="shared" si="63"/>
        <v>0</v>
      </c>
    </row>
    <row r="228" spans="1:67" s="31" customFormat="1" x14ac:dyDescent="0.2">
      <c r="A228" s="112"/>
      <c r="B228" s="120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16"/>
      <c r="BB228" s="76"/>
      <c r="BC228" s="37"/>
      <c r="BD228" s="76"/>
      <c r="BE228" s="37"/>
      <c r="BF228" s="76"/>
      <c r="BG228" s="37"/>
      <c r="BH228" s="76"/>
      <c r="BI228" s="37"/>
      <c r="BJ228" s="76"/>
      <c r="BK228" s="37"/>
      <c r="BL228" s="39">
        <f t="shared" si="63"/>
        <v>0</v>
      </c>
    </row>
    <row r="229" spans="1:67" s="31" customFormat="1" x14ac:dyDescent="0.2">
      <c r="A229" s="112"/>
      <c r="B229" s="119" t="s">
        <v>433</v>
      </c>
      <c r="C229" s="20">
        <f>C226+C220+C195+C191+C178</f>
        <v>0</v>
      </c>
      <c r="D229" s="17"/>
      <c r="E229" s="20">
        <f>E226+E220+E195+E191+E178</f>
        <v>0</v>
      </c>
      <c r="F229" s="17"/>
      <c r="G229" s="20">
        <f>G226+G220+G195+G191+G178</f>
        <v>0</v>
      </c>
      <c r="H229" s="17"/>
      <c r="I229" s="20">
        <f>I226+I220+I195+I191+I178</f>
        <v>0</v>
      </c>
      <c r="J229" s="17"/>
      <c r="K229" s="20">
        <f>K226+K220+K195+K191+K178</f>
        <v>0</v>
      </c>
      <c r="L229" s="17"/>
      <c r="M229" s="20">
        <f>M226+M220+M195+M191+M178</f>
        <v>0</v>
      </c>
      <c r="N229" s="17"/>
      <c r="O229" s="20">
        <f>O226+O220+O195+O191+O178</f>
        <v>0</v>
      </c>
      <c r="P229" s="17"/>
      <c r="Q229" s="20">
        <f>Q226+Q220+Q195+Q191+Q178</f>
        <v>0</v>
      </c>
      <c r="R229" s="17"/>
      <c r="S229" s="20">
        <f>S226+S220+S195+S191+S178</f>
        <v>0</v>
      </c>
      <c r="T229" s="20"/>
      <c r="U229" s="20">
        <f>U226+U220+U195+U191+U178</f>
        <v>0</v>
      </c>
      <c r="V229" s="20"/>
      <c r="W229" s="20">
        <f>W226+W220+W195+W191+W178</f>
        <v>0</v>
      </c>
      <c r="X229" s="17"/>
      <c r="Y229" s="20">
        <f>Y226+Y220+Y195+Y191+Y178</f>
        <v>0</v>
      </c>
      <c r="Z229" s="17"/>
      <c r="AA229" s="20">
        <f>AA226+AA220+AA195+AA191+AA178</f>
        <v>0</v>
      </c>
      <c r="AB229" s="17"/>
      <c r="AC229" s="20">
        <f>AC226+AC220+AC195+AC191+AC178</f>
        <v>0</v>
      </c>
      <c r="AD229" s="17"/>
      <c r="AE229" s="20">
        <f>AE226+AE220+AE195+AE191+AE178</f>
        <v>0</v>
      </c>
      <c r="AF229" s="17"/>
      <c r="AG229" s="20">
        <f>AG226+AG220+AG195+AG191+AG178</f>
        <v>0</v>
      </c>
      <c r="AH229" s="17"/>
      <c r="AI229" s="20">
        <f>AI226+AI220+AI195+AI191+AI178</f>
        <v>0</v>
      </c>
      <c r="AJ229" s="17"/>
      <c r="AK229" s="20">
        <f>AK226+AK220+AK195+AK191+AK178</f>
        <v>0</v>
      </c>
      <c r="AL229" s="20"/>
      <c r="AM229" s="20">
        <f>AM226+AM220+AM195+AM191+AM178</f>
        <v>0</v>
      </c>
      <c r="AN229" s="20"/>
      <c r="AO229" s="20">
        <f>AO226+AO220+AO195+AO191+AO178</f>
        <v>0</v>
      </c>
      <c r="AP229" s="20"/>
      <c r="AQ229" s="20">
        <f>AQ226+AQ220+AQ195+AQ191+AQ178</f>
        <v>2398797.2000000002</v>
      </c>
      <c r="AR229" s="20"/>
      <c r="AS229" s="20">
        <f>AS226+AS220+AS195+AS191+AS178</f>
        <v>-85338.32</v>
      </c>
      <c r="AT229" s="20">
        <f>AT226+AT220+AT195+AT191+AT178</f>
        <v>12074.4</v>
      </c>
      <c r="AU229" s="20"/>
      <c r="AV229" s="20">
        <f>AV226+AV220+AV195+AV191+AV178</f>
        <v>2817.36</v>
      </c>
      <c r="AW229" s="20"/>
      <c r="AX229" s="20">
        <f>AX226+AX220+AX195+AX191+AX178</f>
        <v>0</v>
      </c>
      <c r="AY229" s="20"/>
      <c r="AZ229" s="20">
        <f>AZ226+AZ220+AZ195+AZ191+AZ178</f>
        <v>2328350.6399999997</v>
      </c>
      <c r="BA229" s="116"/>
      <c r="BB229" s="114">
        <f>BB226+BB220+BB195+BB191+BB178</f>
        <v>2398797.2000000002</v>
      </c>
      <c r="BC229" s="86"/>
      <c r="BD229" s="114">
        <f>BD226+BD220+BD195+BD191+BD178</f>
        <v>-85338.32</v>
      </c>
      <c r="BE229" s="86"/>
      <c r="BF229" s="114">
        <f>BF226+BF220+BF195+BF191+BF178</f>
        <v>14891.76</v>
      </c>
      <c r="BG229" s="86"/>
      <c r="BH229" s="114">
        <f>BH226+BH220+BH195+BH191+BH178</f>
        <v>0</v>
      </c>
      <c r="BI229" s="86"/>
      <c r="BJ229" s="114">
        <f>BJ226+BJ220+BJ195+BJ191+BJ178</f>
        <v>2328350.6399999997</v>
      </c>
      <c r="BK229" s="86"/>
      <c r="BL229" s="39">
        <f t="shared" si="63"/>
        <v>0</v>
      </c>
    </row>
    <row r="230" spans="1:67" s="31" customFormat="1" x14ac:dyDescent="0.2">
      <c r="A230" s="112"/>
      <c r="B230" s="120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16"/>
      <c r="BB230" s="32"/>
      <c r="BC230" s="86"/>
      <c r="BD230" s="32"/>
      <c r="BE230" s="86"/>
      <c r="BF230" s="86"/>
      <c r="BG230" s="86"/>
      <c r="BH230" s="86"/>
      <c r="BI230" s="86"/>
      <c r="BJ230" s="86"/>
      <c r="BK230" s="86"/>
      <c r="BL230" s="39">
        <f t="shared" si="63"/>
        <v>0</v>
      </c>
    </row>
    <row r="231" spans="1:67" x14ac:dyDescent="0.2">
      <c r="A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5"/>
      <c r="BB231" s="76"/>
      <c r="BC231" s="37"/>
      <c r="BD231" s="76"/>
      <c r="BE231" s="37"/>
      <c r="BL231" s="39">
        <f t="shared" si="63"/>
        <v>0</v>
      </c>
      <c r="BM231" s="3"/>
      <c r="BN231" s="3"/>
      <c r="BO231" s="3"/>
    </row>
    <row r="232" spans="1:67" x14ac:dyDescent="0.2">
      <c r="A232" s="14"/>
      <c r="B232" s="10" t="s">
        <v>33</v>
      </c>
      <c r="C232" s="91">
        <f>C229+C154+C45</f>
        <v>-3671.69</v>
      </c>
      <c r="D232" s="17"/>
      <c r="E232" s="91">
        <f>E229+E154+E45</f>
        <v>0</v>
      </c>
      <c r="F232" s="15"/>
      <c r="G232" s="91">
        <f>G229+G154+G45</f>
        <v>0</v>
      </c>
      <c r="H232" s="17"/>
      <c r="I232" s="91">
        <f>I229+I154+I45</f>
        <v>0</v>
      </c>
      <c r="J232" s="17"/>
      <c r="K232" s="91">
        <f>K229+K154+K45</f>
        <v>0</v>
      </c>
      <c r="L232" s="17"/>
      <c r="M232" s="91">
        <f>M229+M154+M45</f>
        <v>0</v>
      </c>
      <c r="N232" s="17"/>
      <c r="O232" s="91">
        <f>O229+O154+O45</f>
        <v>3612188.67</v>
      </c>
      <c r="P232" s="15"/>
      <c r="Q232" s="91">
        <f>Q229+Q154+Q45</f>
        <v>0</v>
      </c>
      <c r="R232" s="15"/>
      <c r="S232" s="91">
        <f>S229+S154+S45</f>
        <v>0</v>
      </c>
      <c r="T232" s="91"/>
      <c r="U232" s="91">
        <f>U229+U154+U45</f>
        <v>0</v>
      </c>
      <c r="V232" s="91"/>
      <c r="W232" s="91">
        <f>W229+W154+W45</f>
        <v>0</v>
      </c>
      <c r="X232" s="15"/>
      <c r="Y232" s="91">
        <f>Y229+Y154+Y45</f>
        <v>0</v>
      </c>
      <c r="Z232" s="15"/>
      <c r="AA232" s="91">
        <f>AA229+AA154+AA45</f>
        <v>-871644.37</v>
      </c>
      <c r="AB232" s="15"/>
      <c r="AC232" s="91">
        <f>AC229+AC154+AC45</f>
        <v>0</v>
      </c>
      <c r="AD232" s="15"/>
      <c r="AE232" s="91">
        <f>AE229+AE154+AE45</f>
        <v>6206406.7000000002</v>
      </c>
      <c r="AF232" s="15"/>
      <c r="AG232" s="91">
        <f>AG229+AG154+AG45</f>
        <v>-30374999.219999999</v>
      </c>
      <c r="AH232" s="15"/>
      <c r="AI232" s="91">
        <f>AI229+AI154+AI45</f>
        <v>0</v>
      </c>
      <c r="AJ232" s="15"/>
      <c r="AK232" s="91">
        <f>AK229+AK154+AK45</f>
        <v>0</v>
      </c>
      <c r="AL232" s="91"/>
      <c r="AM232" s="91">
        <f>AM229+AM154+AM45</f>
        <v>0</v>
      </c>
      <c r="AN232" s="91"/>
      <c r="AO232" s="91">
        <f>AO229+AO154+AO45</f>
        <v>0</v>
      </c>
      <c r="AP232" s="91"/>
      <c r="AQ232" s="91">
        <f>AQ229+AQ154+AQ45</f>
        <v>16838134.300000001</v>
      </c>
      <c r="AR232" s="91"/>
      <c r="AS232" s="91">
        <f>AS229+AS154+AS45</f>
        <v>-285876.24</v>
      </c>
      <c r="AT232" s="91">
        <f>AT229+AT154+AT45</f>
        <v>0</v>
      </c>
      <c r="AU232" s="91"/>
      <c r="AV232" s="91">
        <f>AV229+AV154+AV45</f>
        <v>0</v>
      </c>
      <c r="AW232" s="91"/>
      <c r="AX232" s="91">
        <f>AX229+AX154+AX45</f>
        <v>0</v>
      </c>
      <c r="AY232" s="91"/>
      <c r="AZ232" s="91">
        <f>AZ229+AZ154+AZ45</f>
        <v>-4879461.8500000117</v>
      </c>
      <c r="BA232" s="5"/>
      <c r="BB232" s="91">
        <f>BB229+BB154+BB45</f>
        <v>23044540.999999996</v>
      </c>
      <c r="BC232" s="37"/>
      <c r="BD232" s="91">
        <f>BD229+BD154+BD45</f>
        <v>-285876.24</v>
      </c>
      <c r="BE232" s="37"/>
      <c r="BF232" s="91">
        <f>BF229+BF154+BF45</f>
        <v>2736872.6099999952</v>
      </c>
      <c r="BH232" s="91">
        <f>BH229+BH154+BH45</f>
        <v>0</v>
      </c>
      <c r="BJ232" s="91">
        <f>BJ229+BJ154+BJ45</f>
        <v>-4879461.8500000117</v>
      </c>
      <c r="BL232" s="39">
        <f>AZ232-BJ232</f>
        <v>0</v>
      </c>
      <c r="BM232" s="3"/>
      <c r="BN232" s="3"/>
      <c r="BO232" s="3"/>
    </row>
    <row r="233" spans="1:67" x14ac:dyDescent="0.2">
      <c r="A233" s="14"/>
      <c r="B233" s="10"/>
      <c r="C233" s="10"/>
      <c r="D233" s="10"/>
      <c r="E233" s="10"/>
      <c r="F233" s="17"/>
      <c r="G233" s="10"/>
      <c r="H233" s="15"/>
      <c r="I233" s="10"/>
      <c r="J233" s="15"/>
      <c r="K233" s="10"/>
      <c r="L233" s="15"/>
      <c r="M233" s="10"/>
      <c r="N233" s="15"/>
      <c r="O233" s="10"/>
      <c r="P233" s="17"/>
      <c r="Q233" s="10"/>
      <c r="R233" s="17"/>
      <c r="S233" s="10"/>
      <c r="T233" s="10"/>
      <c r="U233" s="10"/>
      <c r="V233" s="10"/>
      <c r="W233" s="10"/>
      <c r="X233" s="17"/>
      <c r="Y233" s="10"/>
      <c r="Z233" s="17"/>
      <c r="AA233" s="10"/>
      <c r="AB233" s="17"/>
      <c r="AC233" s="10"/>
      <c r="AD233" s="17"/>
      <c r="AE233" s="10"/>
      <c r="AF233" s="17"/>
      <c r="AG233" s="10"/>
      <c r="AH233" s="17"/>
      <c r="AI233" s="10"/>
      <c r="AJ233" s="17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5"/>
      <c r="BA233" s="17"/>
      <c r="BB233" s="76"/>
      <c r="BC233" s="37"/>
      <c r="BD233" s="76"/>
      <c r="BE233" s="37"/>
      <c r="BL233" s="39">
        <f t="shared" si="63"/>
        <v>0</v>
      </c>
      <c r="BM233" s="3"/>
      <c r="BN233" s="3"/>
      <c r="BO233" s="3"/>
    </row>
    <row r="234" spans="1:67" x14ac:dyDescent="0.2">
      <c r="A234" s="14"/>
      <c r="B234" s="10"/>
      <c r="F234" s="15"/>
      <c r="H234" s="15"/>
      <c r="J234" s="15"/>
      <c r="L234" s="15"/>
      <c r="N234" s="15"/>
      <c r="P234" s="15"/>
      <c r="R234" s="15"/>
      <c r="X234" s="15"/>
      <c r="Z234" s="15"/>
      <c r="AB234" s="15"/>
      <c r="AD234" s="15"/>
      <c r="AF234" s="15"/>
      <c r="AH234" s="15"/>
      <c r="AJ234" s="15"/>
      <c r="AZ234" s="15"/>
      <c r="BA234" s="15"/>
      <c r="BB234" s="76"/>
      <c r="BC234" s="37"/>
      <c r="BD234" s="76"/>
      <c r="BE234" s="37"/>
      <c r="BL234" s="39">
        <f t="shared" si="63"/>
        <v>0</v>
      </c>
      <c r="BM234" s="3"/>
      <c r="BN234" s="3"/>
      <c r="BO234" s="3"/>
    </row>
    <row r="235" spans="1:67" x14ac:dyDescent="0.2">
      <c r="A235" s="14">
        <v>102</v>
      </c>
      <c r="B235" s="10" t="s">
        <v>434</v>
      </c>
      <c r="F235" s="15"/>
      <c r="H235" s="15"/>
      <c r="J235" s="15"/>
      <c r="L235" s="15"/>
      <c r="N235" s="15"/>
      <c r="P235" s="15"/>
      <c r="R235" s="15"/>
      <c r="X235" s="15"/>
      <c r="Z235" s="15"/>
      <c r="AB235" s="15"/>
      <c r="AD235" s="15"/>
      <c r="AF235" s="15"/>
      <c r="AH235" s="15"/>
      <c r="AJ235" s="15"/>
      <c r="AZ235" s="15"/>
      <c r="BA235" s="15"/>
      <c r="BB235" s="76"/>
      <c r="BC235" s="37"/>
      <c r="BD235" s="76"/>
      <c r="BE235" s="37"/>
      <c r="BL235" s="39">
        <f t="shared" si="63"/>
        <v>0</v>
      </c>
      <c r="BM235" s="3"/>
      <c r="BN235" s="3"/>
      <c r="BO235" s="3"/>
    </row>
    <row r="236" spans="1:67" x14ac:dyDescent="0.2">
      <c r="A236" s="14"/>
      <c r="B236" s="10" t="s">
        <v>17</v>
      </c>
      <c r="F236" s="15"/>
      <c r="H236" s="15"/>
      <c r="J236" s="15"/>
      <c r="L236" s="15"/>
      <c r="N236" s="15"/>
      <c r="P236" s="15"/>
      <c r="R236" s="15"/>
      <c r="X236" s="15"/>
      <c r="Z236" s="15"/>
      <c r="AB236" s="15"/>
      <c r="AD236" s="15"/>
      <c r="AF236" s="15"/>
      <c r="AH236" s="15"/>
      <c r="AJ236" s="15"/>
      <c r="AZ236" s="15"/>
      <c r="BA236" s="15"/>
      <c r="BB236" s="76"/>
      <c r="BC236" s="37"/>
      <c r="BD236" s="76"/>
      <c r="BE236" s="37"/>
      <c r="BL236" s="39">
        <f t="shared" si="63"/>
        <v>0</v>
      </c>
      <c r="BM236" s="3"/>
      <c r="BN236" s="3"/>
      <c r="BO236" s="3"/>
    </row>
    <row r="237" spans="1:67" x14ac:dyDescent="0.2">
      <c r="A237" s="14"/>
      <c r="B237" s="3" t="s">
        <v>23</v>
      </c>
      <c r="C237" s="16">
        <v>0</v>
      </c>
      <c r="D237" s="17"/>
      <c r="E237" s="16">
        <v>0</v>
      </c>
      <c r="F237" s="15"/>
      <c r="G237" s="16">
        <v>0</v>
      </c>
      <c r="H237" s="17"/>
      <c r="I237" s="16">
        <v>0</v>
      </c>
      <c r="J237" s="17"/>
      <c r="K237" s="16">
        <v>0</v>
      </c>
      <c r="L237" s="17"/>
      <c r="M237" s="16">
        <v>0</v>
      </c>
      <c r="N237" s="17"/>
      <c r="O237" s="16">
        <v>0</v>
      </c>
      <c r="P237" s="15"/>
      <c r="Q237" s="16">
        <v>0</v>
      </c>
      <c r="R237" s="15"/>
      <c r="S237" s="16">
        <v>0</v>
      </c>
      <c r="T237" s="16"/>
      <c r="U237" s="16">
        <v>0</v>
      </c>
      <c r="V237" s="16"/>
      <c r="W237" s="16">
        <v>0</v>
      </c>
      <c r="X237" s="15"/>
      <c r="Y237" s="16">
        <v>0</v>
      </c>
      <c r="Z237" s="15"/>
      <c r="AA237" s="16">
        <v>0</v>
      </c>
      <c r="AB237" s="15"/>
      <c r="AC237" s="16">
        <v>0</v>
      </c>
      <c r="AD237" s="15"/>
      <c r="AE237" s="16">
        <v>0</v>
      </c>
      <c r="AF237" s="15"/>
      <c r="AG237" s="16">
        <v>0</v>
      </c>
      <c r="AH237" s="15"/>
      <c r="AI237" s="16">
        <v>0</v>
      </c>
      <c r="AJ237" s="15"/>
      <c r="AK237" s="16">
        <v>0</v>
      </c>
      <c r="AL237" s="16"/>
      <c r="AM237" s="16">
        <v>-76448.429999999993</v>
      </c>
      <c r="AN237" s="16"/>
      <c r="AO237" s="16">
        <v>0</v>
      </c>
      <c r="AP237" s="16"/>
      <c r="AQ237" s="16">
        <v>0</v>
      </c>
      <c r="AR237" s="16"/>
      <c r="AS237" s="16">
        <v>0</v>
      </c>
      <c r="AT237" s="16">
        <v>0</v>
      </c>
      <c r="AU237" s="16"/>
      <c r="AV237" s="16"/>
      <c r="AW237" s="16"/>
      <c r="AX237" s="16">
        <v>0</v>
      </c>
      <c r="AY237" s="16"/>
      <c r="AZ237" s="15">
        <f>SUM(C237:AY237)</f>
        <v>-76448.429999999993</v>
      </c>
      <c r="BA237" s="5"/>
      <c r="BB237" s="76">
        <f>SUMIF($C$10:$AY$10,"=Addition",$C237:$AY237)</f>
        <v>0</v>
      </c>
      <c r="BC237" s="37"/>
      <c r="BD237" s="76">
        <f>SUMIF($C$10:$AY$10,"=Adjustment",$C237:$AY237)</f>
        <v>-76448.429999999993</v>
      </c>
      <c r="BE237" s="37"/>
      <c r="BF237" s="76">
        <f>SUMIF($C$10:$AY$10,"=Transfer",$C237:$AY237)</f>
        <v>0</v>
      </c>
      <c r="BH237" s="76">
        <f>SUMIF($C$10:$AY$10,"=N/A",$C237:$AY237)</f>
        <v>0</v>
      </c>
      <c r="BJ237" s="76">
        <f t="shared" ref="BJ237" si="65">SUM(BB237:BH237)</f>
        <v>-76448.429999999993</v>
      </c>
      <c r="BL237" s="39">
        <f t="shared" si="63"/>
        <v>0</v>
      </c>
      <c r="BM237" s="3"/>
      <c r="BN237" s="3"/>
      <c r="BO237" s="3"/>
    </row>
    <row r="238" spans="1:67" x14ac:dyDescent="0.2">
      <c r="A238" s="14"/>
      <c r="B238" s="19"/>
      <c r="C238" s="17">
        <f>SUM(C237)</f>
        <v>0</v>
      </c>
      <c r="D238" s="17"/>
      <c r="E238" s="17">
        <f>SUM(E237)</f>
        <v>0</v>
      </c>
      <c r="F238" s="17"/>
      <c r="G238" s="17">
        <f>SUM(G237)</f>
        <v>0</v>
      </c>
      <c r="H238" s="17"/>
      <c r="I238" s="17">
        <f>SUM(I237)</f>
        <v>0</v>
      </c>
      <c r="J238" s="17"/>
      <c r="K238" s="17">
        <f>SUM(K237)</f>
        <v>0</v>
      </c>
      <c r="L238" s="17"/>
      <c r="M238" s="17">
        <f>SUM(M237)</f>
        <v>0</v>
      </c>
      <c r="N238" s="17"/>
      <c r="O238" s="17">
        <f>SUM(O237)</f>
        <v>0</v>
      </c>
      <c r="P238" s="17"/>
      <c r="Q238" s="17">
        <f>SUM(Q237)</f>
        <v>0</v>
      </c>
      <c r="R238" s="17"/>
      <c r="S238" s="17">
        <f>SUM(S237)</f>
        <v>0</v>
      </c>
      <c r="T238" s="17"/>
      <c r="U238" s="17">
        <f>SUM(U237)</f>
        <v>0</v>
      </c>
      <c r="V238" s="17"/>
      <c r="W238" s="17">
        <f>SUM(W237)</f>
        <v>0</v>
      </c>
      <c r="X238" s="17"/>
      <c r="Y238" s="17">
        <f>SUM(Y237)</f>
        <v>0</v>
      </c>
      <c r="Z238" s="17"/>
      <c r="AA238" s="17">
        <f>SUM(AA237)</f>
        <v>0</v>
      </c>
      <c r="AB238" s="17"/>
      <c r="AC238" s="17">
        <f>SUM(AC237)</f>
        <v>0</v>
      </c>
      <c r="AD238" s="17"/>
      <c r="AE238" s="17">
        <f>SUM(AE237)</f>
        <v>0</v>
      </c>
      <c r="AF238" s="17"/>
      <c r="AG238" s="17">
        <f>SUM(AG237)</f>
        <v>0</v>
      </c>
      <c r="AH238" s="17"/>
      <c r="AI238" s="17">
        <f>SUM(AI237)</f>
        <v>0</v>
      </c>
      <c r="AJ238" s="17"/>
      <c r="AK238" s="17">
        <f>SUM(AK237)</f>
        <v>0</v>
      </c>
      <c r="AL238" s="17"/>
      <c r="AM238" s="17">
        <f>SUM(AM237)</f>
        <v>-76448.429999999993</v>
      </c>
      <c r="AN238" s="17"/>
      <c r="AO238" s="17">
        <f>SUM(AO237)</f>
        <v>0</v>
      </c>
      <c r="AP238" s="17"/>
      <c r="AQ238" s="17">
        <f>SUM(AQ237)</f>
        <v>0</v>
      </c>
      <c r="AR238" s="17"/>
      <c r="AS238" s="17">
        <f>SUM(AS237)</f>
        <v>0</v>
      </c>
      <c r="AT238" s="17">
        <f>SUM(AT237)</f>
        <v>0</v>
      </c>
      <c r="AU238" s="17"/>
      <c r="AV238" s="17">
        <f>SUM(AV237)</f>
        <v>0</v>
      </c>
      <c r="AW238" s="17"/>
      <c r="AX238" s="17">
        <f>SUM(AX237)</f>
        <v>0</v>
      </c>
      <c r="AY238" s="17"/>
      <c r="AZ238" s="20">
        <f>SUM(AZ237)</f>
        <v>-76448.429999999993</v>
      </c>
      <c r="BA238" s="5"/>
      <c r="BB238" s="114">
        <f>SUM(BB237)</f>
        <v>0</v>
      </c>
      <c r="BC238" s="37"/>
      <c r="BD238" s="114">
        <f>SUM(BD237)</f>
        <v>-76448.429999999993</v>
      </c>
      <c r="BE238" s="37"/>
      <c r="BF238" s="114">
        <f>SUM(BF237)</f>
        <v>0</v>
      </c>
      <c r="BH238" s="114">
        <f>SUM(BH237)</f>
        <v>0</v>
      </c>
      <c r="BJ238" s="114">
        <f>SUM(BJ237)</f>
        <v>-76448.429999999993</v>
      </c>
      <c r="BL238" s="39">
        <f t="shared" si="63"/>
        <v>0</v>
      </c>
      <c r="BM238" s="3"/>
      <c r="BN238" s="3"/>
      <c r="BO238" s="3"/>
    </row>
    <row r="239" spans="1:67" x14ac:dyDescent="0.2">
      <c r="A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5"/>
      <c r="BB239" s="76"/>
      <c r="BC239" s="37"/>
      <c r="BD239" s="76"/>
      <c r="BE239" s="37"/>
      <c r="BL239" s="39">
        <f t="shared" si="63"/>
        <v>0</v>
      </c>
      <c r="BM239" s="3"/>
      <c r="BN239" s="3"/>
      <c r="BO239" s="3"/>
    </row>
    <row r="240" spans="1:67" x14ac:dyDescent="0.2">
      <c r="B240" s="10" t="s">
        <v>13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5"/>
      <c r="BB240" s="76"/>
      <c r="BC240" s="37"/>
      <c r="BD240" s="76"/>
      <c r="BE240" s="37"/>
      <c r="BL240" s="39"/>
      <c r="BM240" s="3"/>
      <c r="BN240" s="3"/>
      <c r="BO240" s="3"/>
    </row>
    <row r="241" spans="1:67" x14ac:dyDescent="0.2">
      <c r="A241" s="10"/>
      <c r="B241" s="22" t="s">
        <v>14</v>
      </c>
      <c r="C241" s="16">
        <v>0</v>
      </c>
      <c r="D241" s="17"/>
      <c r="E241" s="16">
        <v>0</v>
      </c>
      <c r="F241" s="15"/>
      <c r="G241" s="16">
        <v>0</v>
      </c>
      <c r="H241" s="17"/>
      <c r="I241" s="16">
        <v>0</v>
      </c>
      <c r="J241" s="17"/>
      <c r="K241" s="16">
        <v>0</v>
      </c>
      <c r="L241" s="17"/>
      <c r="M241" s="16">
        <v>0</v>
      </c>
      <c r="N241" s="17"/>
      <c r="O241" s="16">
        <v>0</v>
      </c>
      <c r="P241" s="15"/>
      <c r="Q241" s="16">
        <v>0</v>
      </c>
      <c r="R241" s="15"/>
      <c r="S241" s="16">
        <v>0</v>
      </c>
      <c r="T241" s="16"/>
      <c r="U241" s="16">
        <v>0</v>
      </c>
      <c r="V241" s="16"/>
      <c r="W241" s="16">
        <v>0</v>
      </c>
      <c r="X241" s="15"/>
      <c r="Y241" s="16">
        <v>0</v>
      </c>
      <c r="Z241" s="15"/>
      <c r="AA241" s="16">
        <v>0</v>
      </c>
      <c r="AB241" s="15"/>
      <c r="AC241" s="16">
        <v>0</v>
      </c>
      <c r="AD241" s="15"/>
      <c r="AE241" s="16">
        <v>0</v>
      </c>
      <c r="AF241" s="15"/>
      <c r="AG241" s="16">
        <v>0</v>
      </c>
      <c r="AH241" s="15"/>
      <c r="AI241" s="16">
        <v>0</v>
      </c>
      <c r="AJ241" s="15"/>
      <c r="AK241" s="16">
        <v>0</v>
      </c>
      <c r="AL241" s="16"/>
      <c r="AM241" s="16">
        <v>0</v>
      </c>
      <c r="AN241" s="16"/>
      <c r="AO241" s="16">
        <v>0</v>
      </c>
      <c r="AP241" s="16"/>
      <c r="AQ241" s="16">
        <v>0</v>
      </c>
      <c r="AR241" s="16"/>
      <c r="AS241" s="16">
        <v>0</v>
      </c>
      <c r="AT241" s="16">
        <v>0</v>
      </c>
      <c r="AU241" s="16"/>
      <c r="AV241" s="16">
        <v>0</v>
      </c>
      <c r="AW241" s="16"/>
      <c r="AX241" s="16">
        <v>0</v>
      </c>
      <c r="AY241" s="16"/>
      <c r="AZ241" s="15">
        <f>SUM(C241:AY241)</f>
        <v>0</v>
      </c>
      <c r="BA241" s="5"/>
      <c r="BB241" s="76">
        <f>SUMIF($C$10:$AY$10,"=Addition",$C241:$AY241)</f>
        <v>0</v>
      </c>
      <c r="BC241" s="37"/>
      <c r="BD241" s="76">
        <f>SUMIF($C$10:$AY$10,"=Adjustment",$C241:$AY241)</f>
        <v>0</v>
      </c>
      <c r="BE241" s="37"/>
      <c r="BF241" s="76">
        <f>SUMIF($C$10:$AY$10,"=Transfer",$C241:$AY241)</f>
        <v>0</v>
      </c>
      <c r="BH241" s="76">
        <f>SUMIF($C$10:$AY$10,"=N/A",$C241:$AY241)</f>
        <v>0</v>
      </c>
      <c r="BJ241" s="76">
        <f t="shared" ref="BJ241" si="66">SUM(BB241:BH241)</f>
        <v>0</v>
      </c>
      <c r="BL241" s="39"/>
      <c r="BM241" s="3"/>
      <c r="BN241" s="3"/>
      <c r="BO241" s="3"/>
    </row>
    <row r="242" spans="1:67" x14ac:dyDescent="0.2">
      <c r="A242" s="14"/>
      <c r="C242" s="17">
        <f>SUM(C241)</f>
        <v>0</v>
      </c>
      <c r="D242" s="17"/>
      <c r="E242" s="17">
        <f>SUM(E241)</f>
        <v>0</v>
      </c>
      <c r="F242" s="17"/>
      <c r="G242" s="17">
        <f>SUM(G241)</f>
        <v>0</v>
      </c>
      <c r="H242" s="17"/>
      <c r="I242" s="17">
        <f>SUM(I241)</f>
        <v>0</v>
      </c>
      <c r="J242" s="17"/>
      <c r="K242" s="17">
        <f>SUM(K241)</f>
        <v>0</v>
      </c>
      <c r="L242" s="17"/>
      <c r="M242" s="17">
        <f>SUM(M241)</f>
        <v>0</v>
      </c>
      <c r="N242" s="17"/>
      <c r="O242" s="17">
        <f>SUM(O241)</f>
        <v>0</v>
      </c>
      <c r="P242" s="17"/>
      <c r="Q242" s="17">
        <f>SUM(Q241)</f>
        <v>0</v>
      </c>
      <c r="R242" s="17"/>
      <c r="S242" s="17">
        <f>SUM(S241)</f>
        <v>0</v>
      </c>
      <c r="T242" s="17"/>
      <c r="U242" s="17">
        <f>SUM(U241)</f>
        <v>0</v>
      </c>
      <c r="V242" s="17"/>
      <c r="W242" s="17">
        <f>SUM(W241)</f>
        <v>0</v>
      </c>
      <c r="X242" s="17"/>
      <c r="Y242" s="17">
        <f>SUM(Y241)</f>
        <v>0</v>
      </c>
      <c r="Z242" s="17"/>
      <c r="AA242" s="17">
        <f>SUM(AA241)</f>
        <v>0</v>
      </c>
      <c r="AB242" s="17"/>
      <c r="AC242" s="17">
        <f>SUM(AC241)</f>
        <v>0</v>
      </c>
      <c r="AD242" s="17"/>
      <c r="AE242" s="17">
        <f>SUM(AE241)</f>
        <v>0</v>
      </c>
      <c r="AF242" s="17"/>
      <c r="AG242" s="17">
        <f>SUM(AG241)</f>
        <v>0</v>
      </c>
      <c r="AH242" s="17"/>
      <c r="AI242" s="17">
        <f>SUM(AI241)</f>
        <v>0</v>
      </c>
      <c r="AJ242" s="17"/>
      <c r="AK242" s="17">
        <f>SUM(AK241)</f>
        <v>0</v>
      </c>
      <c r="AL242" s="17"/>
      <c r="AM242" s="17">
        <f>SUM(AM241)</f>
        <v>0</v>
      </c>
      <c r="AN242" s="17"/>
      <c r="AO242" s="17">
        <f>SUM(AO241)</f>
        <v>0</v>
      </c>
      <c r="AP242" s="17"/>
      <c r="AQ242" s="17">
        <f>SUM(AQ241)</f>
        <v>0</v>
      </c>
      <c r="AR242" s="17"/>
      <c r="AS242" s="17">
        <f>SUM(AS241)</f>
        <v>0</v>
      </c>
      <c r="AT242" s="17">
        <f>SUM(AT241)</f>
        <v>0</v>
      </c>
      <c r="AU242" s="17"/>
      <c r="AV242" s="17">
        <f>SUM(AV241)</f>
        <v>0</v>
      </c>
      <c r="AW242" s="17"/>
      <c r="AX242" s="17">
        <f>SUM(AX241)</f>
        <v>0</v>
      </c>
      <c r="AY242" s="17"/>
      <c r="AZ242" s="20">
        <f>SUM(AZ241)</f>
        <v>0</v>
      </c>
      <c r="BA242" s="5"/>
      <c r="BB242" s="114">
        <f>SUM(BB241)</f>
        <v>0</v>
      </c>
      <c r="BC242" s="37"/>
      <c r="BD242" s="114">
        <f>SUM(BD241)</f>
        <v>0</v>
      </c>
      <c r="BE242" s="37"/>
      <c r="BF242" s="114">
        <f>SUM(BF241)</f>
        <v>0</v>
      </c>
      <c r="BH242" s="114">
        <f>SUM(BH241)</f>
        <v>0</v>
      </c>
      <c r="BJ242" s="114">
        <f>SUM(BJ241)</f>
        <v>0</v>
      </c>
      <c r="BL242" s="39"/>
      <c r="BM242" s="3"/>
      <c r="BN242" s="3"/>
      <c r="BO242" s="3"/>
    </row>
    <row r="243" spans="1:67" x14ac:dyDescent="0.2">
      <c r="A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5"/>
      <c r="BB243" s="76"/>
      <c r="BC243" s="37"/>
      <c r="BD243" s="76"/>
      <c r="BE243" s="37"/>
      <c r="BL243" s="39"/>
      <c r="BM243" s="3"/>
      <c r="BN243" s="3"/>
      <c r="BO243" s="3"/>
    </row>
    <row r="244" spans="1:67" x14ac:dyDescent="0.2">
      <c r="A244" s="14"/>
      <c r="B244" s="10" t="s">
        <v>38</v>
      </c>
      <c r="C244" s="21">
        <f>C238</f>
        <v>0</v>
      </c>
      <c r="D244" s="17"/>
      <c r="E244" s="21">
        <f>E238</f>
        <v>0</v>
      </c>
      <c r="F244" s="15"/>
      <c r="G244" s="21">
        <f>G238</f>
        <v>0</v>
      </c>
      <c r="H244" s="17"/>
      <c r="I244" s="21">
        <f>I238</f>
        <v>0</v>
      </c>
      <c r="J244" s="17"/>
      <c r="K244" s="21">
        <f>K238</f>
        <v>0</v>
      </c>
      <c r="L244" s="17"/>
      <c r="M244" s="21">
        <f>M238</f>
        <v>0</v>
      </c>
      <c r="N244" s="17"/>
      <c r="O244" s="21">
        <f>O238+O242</f>
        <v>0</v>
      </c>
      <c r="P244" s="15"/>
      <c r="Q244" s="21">
        <f>Q238+Q242</f>
        <v>0</v>
      </c>
      <c r="R244" s="15"/>
      <c r="S244" s="21">
        <f>S238+S242</f>
        <v>0</v>
      </c>
      <c r="T244" s="21"/>
      <c r="U244" s="21">
        <f>U238+U242</f>
        <v>0</v>
      </c>
      <c r="V244" s="21"/>
      <c r="W244" s="21">
        <f>W238</f>
        <v>0</v>
      </c>
      <c r="X244" s="15"/>
      <c r="Y244" s="21">
        <f>Y238</f>
        <v>0</v>
      </c>
      <c r="Z244" s="15"/>
      <c r="AA244" s="21">
        <f>AA238</f>
        <v>0</v>
      </c>
      <c r="AB244" s="15"/>
      <c r="AC244" s="21">
        <f>AC238</f>
        <v>0</v>
      </c>
      <c r="AD244" s="15"/>
      <c r="AE244" s="21">
        <f>AE238</f>
        <v>0</v>
      </c>
      <c r="AF244" s="15"/>
      <c r="AG244" s="21">
        <f>AG238</f>
        <v>0</v>
      </c>
      <c r="AH244" s="15"/>
      <c r="AI244" s="21">
        <f>AI238</f>
        <v>0</v>
      </c>
      <c r="AJ244" s="15"/>
      <c r="AK244" s="21">
        <f>AK238</f>
        <v>0</v>
      </c>
      <c r="AL244" s="21"/>
      <c r="AM244" s="21">
        <f>AM238</f>
        <v>-76448.429999999993</v>
      </c>
      <c r="AN244" s="21"/>
      <c r="AO244" s="21">
        <f>AO238</f>
        <v>0</v>
      </c>
      <c r="AP244" s="21"/>
      <c r="AQ244" s="21">
        <f>AQ238</f>
        <v>0</v>
      </c>
      <c r="AR244" s="21"/>
      <c r="AS244" s="21">
        <f>AS238</f>
        <v>0</v>
      </c>
      <c r="AT244" s="21">
        <f>AT238</f>
        <v>0</v>
      </c>
      <c r="AU244" s="21"/>
      <c r="AV244" s="21">
        <f>AV238</f>
        <v>0</v>
      </c>
      <c r="AW244" s="21"/>
      <c r="AX244" s="21">
        <f>AX238</f>
        <v>0</v>
      </c>
      <c r="AY244" s="21"/>
      <c r="AZ244" s="21">
        <f>AZ238</f>
        <v>-76448.429999999993</v>
      </c>
      <c r="BA244" s="5"/>
      <c r="BB244" s="91">
        <f>BB238</f>
        <v>0</v>
      </c>
      <c r="BC244" s="37"/>
      <c r="BD244" s="91">
        <f>BD238</f>
        <v>-76448.429999999993</v>
      </c>
      <c r="BE244" s="37"/>
      <c r="BF244" s="91">
        <f>BF238</f>
        <v>0</v>
      </c>
      <c r="BH244" s="91">
        <f>BH238</f>
        <v>0</v>
      </c>
      <c r="BJ244" s="91">
        <f>BJ238</f>
        <v>-76448.429999999993</v>
      </c>
      <c r="BL244" s="39">
        <f t="shared" si="63"/>
        <v>0</v>
      </c>
      <c r="BM244" s="3"/>
      <c r="BN244" s="3"/>
      <c r="BO244" s="3"/>
    </row>
    <row r="245" spans="1:67" x14ac:dyDescent="0.2">
      <c r="A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5"/>
      <c r="BB245" s="76"/>
      <c r="BC245" s="37"/>
      <c r="BD245" s="76"/>
      <c r="BE245" s="37"/>
      <c r="BL245" s="39">
        <f t="shared" si="63"/>
        <v>0</v>
      </c>
      <c r="BM245" s="3"/>
      <c r="BN245" s="3"/>
      <c r="BO245" s="3"/>
    </row>
    <row r="246" spans="1:67" x14ac:dyDescent="0.2">
      <c r="A246" s="14"/>
      <c r="B246" s="10"/>
      <c r="F246" s="15"/>
      <c r="H246" s="15"/>
      <c r="J246" s="15"/>
      <c r="L246" s="15"/>
      <c r="N246" s="15"/>
      <c r="P246" s="15"/>
      <c r="R246" s="15"/>
      <c r="X246" s="15"/>
      <c r="Z246" s="15"/>
      <c r="AB246" s="15"/>
      <c r="AD246" s="15"/>
      <c r="AF246" s="15"/>
      <c r="AH246" s="15"/>
      <c r="AJ246" s="15"/>
      <c r="AZ246" s="15"/>
      <c r="BA246" s="15"/>
      <c r="BB246" s="76"/>
      <c r="BC246" s="37"/>
      <c r="BD246" s="76"/>
      <c r="BE246" s="37"/>
      <c r="BL246" s="39">
        <f t="shared" si="63"/>
        <v>0</v>
      </c>
      <c r="BM246" s="3"/>
      <c r="BN246" s="3"/>
      <c r="BO246" s="3"/>
    </row>
    <row r="247" spans="1:67" x14ac:dyDescent="0.2">
      <c r="A247" s="14">
        <v>105</v>
      </c>
      <c r="B247" s="10" t="s">
        <v>40</v>
      </c>
      <c r="F247" s="15"/>
      <c r="H247" s="15"/>
      <c r="J247" s="15"/>
      <c r="L247" s="15"/>
      <c r="N247" s="15"/>
      <c r="P247" s="15"/>
      <c r="R247" s="15"/>
      <c r="X247" s="15"/>
      <c r="Z247" s="15"/>
      <c r="AB247" s="15"/>
      <c r="AD247" s="15"/>
      <c r="AF247" s="15"/>
      <c r="AH247" s="15"/>
      <c r="AJ247" s="15"/>
      <c r="AZ247" s="15"/>
      <c r="BA247" s="15"/>
      <c r="BB247" s="76"/>
      <c r="BC247" s="37"/>
      <c r="BD247" s="76"/>
      <c r="BE247" s="37"/>
      <c r="BL247" s="39">
        <f t="shared" si="63"/>
        <v>0</v>
      </c>
      <c r="BM247" s="3"/>
      <c r="BN247" s="3"/>
      <c r="BO247" s="3"/>
    </row>
    <row r="248" spans="1:67" x14ac:dyDescent="0.2">
      <c r="A248" s="14"/>
      <c r="B248" s="10" t="s">
        <v>41</v>
      </c>
      <c r="F248" s="15"/>
      <c r="H248" s="15"/>
      <c r="J248" s="15"/>
      <c r="L248" s="15"/>
      <c r="N248" s="15"/>
      <c r="P248" s="15"/>
      <c r="R248" s="15"/>
      <c r="X248" s="15"/>
      <c r="Z248" s="15"/>
      <c r="AB248" s="15"/>
      <c r="AD248" s="15"/>
      <c r="AF248" s="15"/>
      <c r="AH248" s="15"/>
      <c r="AJ248" s="15"/>
      <c r="AZ248" s="15"/>
      <c r="BA248" s="15"/>
      <c r="BB248" s="76"/>
      <c r="BC248" s="37"/>
      <c r="BD248" s="76"/>
      <c r="BE248" s="37"/>
      <c r="BL248" s="39">
        <f t="shared" si="63"/>
        <v>0</v>
      </c>
      <c r="BM248" s="3"/>
      <c r="BN248" s="3"/>
      <c r="BO248" s="3"/>
    </row>
    <row r="249" spans="1:67" x14ac:dyDescent="0.2">
      <c r="A249" s="14"/>
      <c r="B249" s="3" t="s">
        <v>18</v>
      </c>
      <c r="C249" s="15">
        <v>0</v>
      </c>
      <c r="D249" s="15"/>
      <c r="E249" s="15">
        <v>0</v>
      </c>
      <c r="F249" s="15"/>
      <c r="G249" s="15">
        <v>0</v>
      </c>
      <c r="H249" s="15"/>
      <c r="I249" s="15">
        <v>0</v>
      </c>
      <c r="J249" s="15"/>
      <c r="K249" s="15">
        <v>0</v>
      </c>
      <c r="L249" s="15"/>
      <c r="M249" s="15">
        <v>0</v>
      </c>
      <c r="N249" s="15"/>
      <c r="O249" s="15">
        <v>0</v>
      </c>
      <c r="P249" s="15"/>
      <c r="Q249" s="15">
        <v>0</v>
      </c>
      <c r="R249" s="15"/>
      <c r="S249" s="15">
        <v>0</v>
      </c>
      <c r="T249" s="15"/>
      <c r="U249" s="15">
        <v>0</v>
      </c>
      <c r="V249" s="15"/>
      <c r="W249" s="15">
        <v>0</v>
      </c>
      <c r="X249" s="15"/>
      <c r="Y249" s="15">
        <v>0</v>
      </c>
      <c r="Z249" s="15"/>
      <c r="AA249" s="15">
        <v>871644.37</v>
      </c>
      <c r="AB249" s="15"/>
      <c r="AC249" s="15">
        <v>0</v>
      </c>
      <c r="AD249" s="15"/>
      <c r="AE249" s="15">
        <v>0</v>
      </c>
      <c r="AF249" s="15"/>
      <c r="AG249" s="15">
        <v>0</v>
      </c>
      <c r="AH249" s="15"/>
      <c r="AI249" s="15">
        <v>0</v>
      </c>
      <c r="AJ249" s="15"/>
      <c r="AK249" s="15">
        <v>0</v>
      </c>
      <c r="AL249" s="15"/>
      <c r="AM249" s="15">
        <v>0</v>
      </c>
      <c r="AN249" s="15"/>
      <c r="AO249" s="15">
        <v>0</v>
      </c>
      <c r="AP249" s="15"/>
      <c r="AQ249" s="15">
        <v>0</v>
      </c>
      <c r="AR249" s="15"/>
      <c r="AS249" s="15">
        <v>0</v>
      </c>
      <c r="AT249" s="15">
        <v>0</v>
      </c>
      <c r="AU249" s="15"/>
      <c r="AV249" s="15">
        <v>0</v>
      </c>
      <c r="AW249" s="15"/>
      <c r="AX249" s="15">
        <v>0</v>
      </c>
      <c r="AY249" s="15"/>
      <c r="AZ249" s="15">
        <f>SUM(C249:AY249)</f>
        <v>871644.37</v>
      </c>
      <c r="BA249" s="5"/>
      <c r="BB249" s="76">
        <f>SUMIF($C$10:$AY$10,"=Addition",$C249:$AY249)</f>
        <v>0</v>
      </c>
      <c r="BC249" s="37"/>
      <c r="BD249" s="76">
        <f>SUMIF($C$10:$AY$10,"=Adjustment",$C249:$AY249)</f>
        <v>0</v>
      </c>
      <c r="BE249" s="37"/>
      <c r="BF249" s="76">
        <f>SUMIF($C$10:$AY$10,"=Transfer",$C249:$AY249)</f>
        <v>871644.37</v>
      </c>
      <c r="BH249" s="76">
        <f>SUMIF($C$10:$AY$10,"=N/A",$C249:$AY249)</f>
        <v>0</v>
      </c>
      <c r="BJ249" s="76">
        <f t="shared" ref="BJ249:BJ250" si="67">SUM(BB249:BH249)</f>
        <v>871644.37</v>
      </c>
      <c r="BL249" s="39">
        <f t="shared" si="63"/>
        <v>0</v>
      </c>
      <c r="BM249" s="3"/>
      <c r="BN249" s="3"/>
      <c r="BO249" s="3"/>
    </row>
    <row r="250" spans="1:67" x14ac:dyDescent="0.2">
      <c r="A250" s="14"/>
      <c r="B250" s="3" t="s">
        <v>23</v>
      </c>
      <c r="C250" s="16">
        <v>0</v>
      </c>
      <c r="D250" s="17"/>
      <c r="E250" s="16">
        <v>0</v>
      </c>
      <c r="F250" s="17"/>
      <c r="G250" s="16">
        <v>0</v>
      </c>
      <c r="H250" s="17"/>
      <c r="I250" s="16">
        <v>0</v>
      </c>
      <c r="J250" s="17"/>
      <c r="K250" s="16">
        <v>0</v>
      </c>
      <c r="L250" s="17"/>
      <c r="M250" s="16">
        <v>0</v>
      </c>
      <c r="N250" s="17"/>
      <c r="O250" s="16">
        <v>-3612188.67</v>
      </c>
      <c r="P250" s="17"/>
      <c r="Q250" s="16">
        <v>0</v>
      </c>
      <c r="R250" s="17"/>
      <c r="S250" s="16">
        <v>0</v>
      </c>
      <c r="T250" s="16"/>
      <c r="U250" s="16">
        <v>0</v>
      </c>
      <c r="V250" s="16"/>
      <c r="W250" s="16">
        <v>0</v>
      </c>
      <c r="X250" s="17"/>
      <c r="Y250" s="16">
        <v>0</v>
      </c>
      <c r="Z250" s="17"/>
      <c r="AA250" s="16">
        <v>0</v>
      </c>
      <c r="AB250" s="17"/>
      <c r="AC250" s="16">
        <v>0</v>
      </c>
      <c r="AD250" s="17"/>
      <c r="AE250" s="16">
        <v>0</v>
      </c>
      <c r="AF250" s="17"/>
      <c r="AG250" s="16">
        <v>0</v>
      </c>
      <c r="AH250" s="17"/>
      <c r="AI250" s="16">
        <v>0</v>
      </c>
      <c r="AJ250" s="17"/>
      <c r="AK250" s="16">
        <v>0</v>
      </c>
      <c r="AL250" s="16"/>
      <c r="AM250" s="16">
        <v>0</v>
      </c>
      <c r="AN250" s="16"/>
      <c r="AO250" s="16">
        <v>0</v>
      </c>
      <c r="AP250" s="16"/>
      <c r="AQ250" s="16">
        <v>0</v>
      </c>
      <c r="AR250" s="16"/>
      <c r="AS250" s="16">
        <v>0</v>
      </c>
      <c r="AT250" s="16">
        <v>0</v>
      </c>
      <c r="AU250" s="16"/>
      <c r="AV250" s="16">
        <v>0</v>
      </c>
      <c r="AW250" s="16"/>
      <c r="AX250" s="16">
        <v>0</v>
      </c>
      <c r="AY250" s="16"/>
      <c r="AZ250" s="15">
        <f>SUM(C250:AY250)</f>
        <v>-3612188.67</v>
      </c>
      <c r="BA250" s="5"/>
      <c r="BB250" s="76">
        <f>SUMIF($C$10:$AY$10,"=Addition",$C250:$AY250)</f>
        <v>0</v>
      </c>
      <c r="BC250" s="37"/>
      <c r="BD250" s="76">
        <f>SUMIF($C$10:$AY$10,"=Adjustment",$C250:$AY250)</f>
        <v>0</v>
      </c>
      <c r="BE250" s="37"/>
      <c r="BF250" s="76">
        <f>SUMIF($C$10:$AY$10,"=Transfer",$C250:$AY250)</f>
        <v>-3612188.67</v>
      </c>
      <c r="BH250" s="76">
        <f>SUMIF($C$10:$AY$10,"=N/A",$C250:$AY250)</f>
        <v>0</v>
      </c>
      <c r="BJ250" s="76">
        <f t="shared" si="67"/>
        <v>-3612188.67</v>
      </c>
      <c r="BL250" s="39">
        <f t="shared" si="63"/>
        <v>0</v>
      </c>
      <c r="BM250" s="3"/>
      <c r="BN250" s="3"/>
      <c r="BO250" s="3"/>
    </row>
    <row r="251" spans="1:67" x14ac:dyDescent="0.2">
      <c r="A251" s="14"/>
      <c r="B251" s="19"/>
      <c r="C251" s="17">
        <f>SUM(C249:C250)</f>
        <v>0</v>
      </c>
      <c r="D251" s="17"/>
      <c r="E251" s="17">
        <f>SUM(E249:E250)</f>
        <v>0</v>
      </c>
      <c r="F251" s="17"/>
      <c r="G251" s="17">
        <f>SUM(G249:G250)</f>
        <v>0</v>
      </c>
      <c r="H251" s="17"/>
      <c r="I251" s="17">
        <f>SUM(I249:I250)</f>
        <v>0</v>
      </c>
      <c r="J251" s="17"/>
      <c r="K251" s="17">
        <f>SUM(K249:K250)</f>
        <v>0</v>
      </c>
      <c r="L251" s="17"/>
      <c r="M251" s="17">
        <f>SUM(M249:M250)</f>
        <v>0</v>
      </c>
      <c r="N251" s="17"/>
      <c r="O251" s="17">
        <f>SUM(O249:O250)</f>
        <v>-3612188.67</v>
      </c>
      <c r="P251" s="17"/>
      <c r="Q251" s="17">
        <f>SUM(Q249:Q250)</f>
        <v>0</v>
      </c>
      <c r="R251" s="17"/>
      <c r="S251" s="17">
        <f>SUM(S249:S250)</f>
        <v>0</v>
      </c>
      <c r="T251" s="17"/>
      <c r="U251" s="17">
        <f>SUM(U249:U250)</f>
        <v>0</v>
      </c>
      <c r="V251" s="17"/>
      <c r="W251" s="17">
        <f>SUM(W249:W250)</f>
        <v>0</v>
      </c>
      <c r="X251" s="17"/>
      <c r="Y251" s="17">
        <f>SUM(Y249:Y250)</f>
        <v>0</v>
      </c>
      <c r="Z251" s="17"/>
      <c r="AA251" s="17">
        <f>SUM(AA249:AA250)</f>
        <v>871644.37</v>
      </c>
      <c r="AB251" s="17"/>
      <c r="AC251" s="17">
        <f>SUM(AC249:AC250)</f>
        <v>0</v>
      </c>
      <c r="AD251" s="17"/>
      <c r="AE251" s="17">
        <f>SUM(AE249:AE250)</f>
        <v>0</v>
      </c>
      <c r="AF251" s="17"/>
      <c r="AG251" s="17">
        <f>SUM(AG249:AG250)</f>
        <v>0</v>
      </c>
      <c r="AH251" s="17"/>
      <c r="AI251" s="17">
        <f>SUM(AI249:AI250)</f>
        <v>0</v>
      </c>
      <c r="AJ251" s="17"/>
      <c r="AK251" s="17">
        <f>SUM(AK249:AK250)</f>
        <v>0</v>
      </c>
      <c r="AL251" s="17"/>
      <c r="AM251" s="17">
        <f>SUM(AM249:AM250)</f>
        <v>0</v>
      </c>
      <c r="AN251" s="17"/>
      <c r="AO251" s="17">
        <f>SUM(AO249:AO250)</f>
        <v>0</v>
      </c>
      <c r="AP251" s="17"/>
      <c r="AQ251" s="17">
        <f>SUM(AQ249:AQ250)</f>
        <v>0</v>
      </c>
      <c r="AR251" s="17"/>
      <c r="AS251" s="17">
        <f>SUM(AS249:AS250)</f>
        <v>0</v>
      </c>
      <c r="AT251" s="17">
        <f>SUM(AT249:AT250)</f>
        <v>0</v>
      </c>
      <c r="AU251" s="17"/>
      <c r="AV251" s="17">
        <f>SUM(AV249:AV250)</f>
        <v>0</v>
      </c>
      <c r="AW251" s="17"/>
      <c r="AX251" s="17">
        <f>SUM(AX249:AX250)</f>
        <v>0</v>
      </c>
      <c r="AY251" s="17"/>
      <c r="AZ251" s="17">
        <f>SUM(AZ249:AZ250)</f>
        <v>-2740544.3</v>
      </c>
      <c r="BA251" s="5"/>
      <c r="BB251" s="114">
        <f>SUM(BB249:BB250)</f>
        <v>0</v>
      </c>
      <c r="BC251" s="37"/>
      <c r="BD251" s="114">
        <f>SUM(BD249:BD250)</f>
        <v>0</v>
      </c>
      <c r="BE251" s="37"/>
      <c r="BF251" s="114">
        <f>SUM(BF249:BF250)</f>
        <v>-2740544.3</v>
      </c>
      <c r="BH251" s="114">
        <f>SUM(BH249:BH250)</f>
        <v>0</v>
      </c>
      <c r="BJ251" s="114">
        <f>SUM(BJ249:BJ250)</f>
        <v>-2740544.3</v>
      </c>
      <c r="BL251" s="39">
        <f t="shared" si="63"/>
        <v>0</v>
      </c>
      <c r="BM251" s="3"/>
      <c r="BN251" s="3"/>
      <c r="BO251" s="3"/>
    </row>
    <row r="252" spans="1:67" x14ac:dyDescent="0.2">
      <c r="A252" s="1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5"/>
      <c r="BB252" s="76"/>
      <c r="BC252" s="37"/>
      <c r="BD252" s="76"/>
      <c r="BE252" s="37"/>
      <c r="BL252" s="39">
        <f t="shared" si="63"/>
        <v>0</v>
      </c>
      <c r="BM252" s="3"/>
      <c r="BN252" s="3"/>
      <c r="BO252" s="3"/>
    </row>
    <row r="253" spans="1:67" x14ac:dyDescent="0.2">
      <c r="A253" s="14"/>
      <c r="B253" s="10" t="s">
        <v>180</v>
      </c>
      <c r="C253" s="21">
        <f>C251</f>
        <v>0</v>
      </c>
      <c r="D253" s="17"/>
      <c r="E253" s="21">
        <f>E251</f>
        <v>0</v>
      </c>
      <c r="F253" s="15"/>
      <c r="G253" s="21">
        <f>G251</f>
        <v>0</v>
      </c>
      <c r="H253" s="17"/>
      <c r="I253" s="21">
        <f>I251</f>
        <v>0</v>
      </c>
      <c r="J253" s="17"/>
      <c r="K253" s="21">
        <f>K251</f>
        <v>0</v>
      </c>
      <c r="L253" s="17"/>
      <c r="M253" s="21">
        <f>M251</f>
        <v>0</v>
      </c>
      <c r="N253" s="17"/>
      <c r="O253" s="21">
        <f>O251</f>
        <v>-3612188.67</v>
      </c>
      <c r="P253" s="15"/>
      <c r="Q253" s="21">
        <f>Q251</f>
        <v>0</v>
      </c>
      <c r="R253" s="15"/>
      <c r="S253" s="21">
        <f>S251</f>
        <v>0</v>
      </c>
      <c r="T253" s="21"/>
      <c r="U253" s="21">
        <f>U251</f>
        <v>0</v>
      </c>
      <c r="V253" s="21"/>
      <c r="W253" s="21">
        <f>W251</f>
        <v>0</v>
      </c>
      <c r="X253" s="15"/>
      <c r="Y253" s="21">
        <f>Y251</f>
        <v>0</v>
      </c>
      <c r="Z253" s="15"/>
      <c r="AA253" s="21">
        <f>AA251</f>
        <v>871644.37</v>
      </c>
      <c r="AB253" s="15"/>
      <c r="AC253" s="21">
        <f>AC251</f>
        <v>0</v>
      </c>
      <c r="AD253" s="15"/>
      <c r="AE253" s="21">
        <f>AE251</f>
        <v>0</v>
      </c>
      <c r="AF253" s="15"/>
      <c r="AG253" s="21">
        <f>AG251</f>
        <v>0</v>
      </c>
      <c r="AH253" s="15"/>
      <c r="AI253" s="21">
        <f>AI251</f>
        <v>0</v>
      </c>
      <c r="AJ253" s="15"/>
      <c r="AK253" s="21">
        <f>AK251</f>
        <v>0</v>
      </c>
      <c r="AL253" s="21"/>
      <c r="AM253" s="21">
        <f>AM251</f>
        <v>0</v>
      </c>
      <c r="AN253" s="21"/>
      <c r="AO253" s="21">
        <f>AO251</f>
        <v>0</v>
      </c>
      <c r="AP253" s="21"/>
      <c r="AQ253" s="21">
        <f>AQ251</f>
        <v>0</v>
      </c>
      <c r="AR253" s="21"/>
      <c r="AS253" s="21">
        <f>AS251</f>
        <v>0</v>
      </c>
      <c r="AT253" s="21">
        <f>AT251</f>
        <v>0</v>
      </c>
      <c r="AU253" s="21"/>
      <c r="AV253" s="21">
        <f>AV251</f>
        <v>0</v>
      </c>
      <c r="AW253" s="21"/>
      <c r="AX253" s="21">
        <f>AX251</f>
        <v>0</v>
      </c>
      <c r="AY253" s="21"/>
      <c r="AZ253" s="21">
        <f>AZ251</f>
        <v>-2740544.3</v>
      </c>
      <c r="BA253" s="5"/>
      <c r="BB253" s="91">
        <f>BB251</f>
        <v>0</v>
      </c>
      <c r="BC253" s="37"/>
      <c r="BD253" s="91">
        <f>BD251</f>
        <v>0</v>
      </c>
      <c r="BE253" s="37"/>
      <c r="BF253" s="91">
        <f>BF251</f>
        <v>-2740544.3</v>
      </c>
      <c r="BH253" s="91">
        <f>BH251</f>
        <v>0</v>
      </c>
      <c r="BJ253" s="91">
        <f>BJ251</f>
        <v>-2740544.3</v>
      </c>
      <c r="BL253" s="39">
        <f t="shared" si="63"/>
        <v>0</v>
      </c>
      <c r="BM253" s="3"/>
      <c r="BN253" s="3"/>
      <c r="BO253" s="3"/>
    </row>
    <row r="254" spans="1:67" x14ac:dyDescent="0.2">
      <c r="A254" s="14"/>
      <c r="B254" s="10"/>
      <c r="F254" s="15"/>
      <c r="H254" s="15"/>
      <c r="J254" s="15"/>
      <c r="L254" s="15"/>
      <c r="N254" s="15"/>
      <c r="P254" s="15"/>
      <c r="R254" s="15"/>
      <c r="X254" s="15"/>
      <c r="Z254" s="15"/>
      <c r="AB254" s="15"/>
      <c r="AD254" s="15"/>
      <c r="AF254" s="15"/>
      <c r="AH254" s="15"/>
      <c r="AJ254" s="15"/>
      <c r="AZ254" s="15"/>
      <c r="BA254" s="15"/>
      <c r="BB254" s="76"/>
      <c r="BC254" s="37"/>
      <c r="BD254" s="76"/>
      <c r="BE254" s="37"/>
      <c r="BL254" s="39">
        <f t="shared" si="63"/>
        <v>0</v>
      </c>
      <c r="BM254" s="3"/>
      <c r="BN254" s="3"/>
      <c r="BO254" s="3"/>
    </row>
    <row r="255" spans="1:67" x14ac:dyDescent="0.2">
      <c r="A255" s="14"/>
      <c r="B255" s="10" t="s">
        <v>42</v>
      </c>
      <c r="F255" s="15"/>
      <c r="H255" s="15"/>
      <c r="J255" s="15"/>
      <c r="L255" s="15"/>
      <c r="N255" s="15"/>
      <c r="P255" s="15"/>
      <c r="R255" s="15"/>
      <c r="X255" s="15"/>
      <c r="Z255" s="15"/>
      <c r="AB255" s="15"/>
      <c r="AD255" s="15"/>
      <c r="AF255" s="15"/>
      <c r="AH255" s="15"/>
      <c r="AJ255" s="15"/>
      <c r="AZ255" s="15"/>
      <c r="BA255" s="15"/>
      <c r="BB255" s="76"/>
      <c r="BC255" s="37"/>
      <c r="BD255" s="76"/>
      <c r="BE255" s="37"/>
      <c r="BL255" s="39">
        <f t="shared" si="63"/>
        <v>0</v>
      </c>
      <c r="BM255" s="3"/>
      <c r="BN255" s="3"/>
      <c r="BO255" s="3"/>
    </row>
    <row r="256" spans="1:67" x14ac:dyDescent="0.2">
      <c r="A256" s="14"/>
      <c r="B256" s="3" t="s">
        <v>18</v>
      </c>
      <c r="C256" s="15">
        <v>0</v>
      </c>
      <c r="D256" s="15"/>
      <c r="E256" s="15">
        <v>0</v>
      </c>
      <c r="F256" s="15"/>
      <c r="G256" s="15">
        <v>0</v>
      </c>
      <c r="H256" s="15"/>
      <c r="I256" s="15">
        <v>0</v>
      </c>
      <c r="J256" s="15"/>
      <c r="K256" s="15">
        <v>0</v>
      </c>
      <c r="L256" s="15"/>
      <c r="M256" s="15">
        <v>0</v>
      </c>
      <c r="N256" s="15"/>
      <c r="O256" s="15">
        <v>0</v>
      </c>
      <c r="P256" s="15"/>
      <c r="Q256" s="15">
        <v>0</v>
      </c>
      <c r="R256" s="15"/>
      <c r="S256" s="15">
        <v>0</v>
      </c>
      <c r="T256" s="15"/>
      <c r="U256" s="15">
        <v>0</v>
      </c>
      <c r="V256" s="15"/>
      <c r="W256" s="15">
        <v>0</v>
      </c>
      <c r="X256" s="15"/>
      <c r="Y256" s="15">
        <v>0</v>
      </c>
      <c r="Z256" s="15"/>
      <c r="AA256" s="15">
        <v>0</v>
      </c>
      <c r="AB256" s="15"/>
      <c r="AC256" s="15">
        <v>0</v>
      </c>
      <c r="AD256" s="15"/>
      <c r="AE256" s="15">
        <v>0</v>
      </c>
      <c r="AF256" s="15"/>
      <c r="AG256" s="15">
        <v>0</v>
      </c>
      <c r="AH256" s="15"/>
      <c r="AI256" s="15">
        <v>0</v>
      </c>
      <c r="AJ256" s="15"/>
      <c r="AK256" s="15">
        <v>0</v>
      </c>
      <c r="AL256" s="15"/>
      <c r="AM256" s="15">
        <v>0</v>
      </c>
      <c r="AN256" s="15"/>
      <c r="AO256" s="15">
        <v>0</v>
      </c>
      <c r="AP256" s="15"/>
      <c r="AQ256" s="15">
        <v>0</v>
      </c>
      <c r="AR256" s="15"/>
      <c r="AS256" s="15">
        <v>0</v>
      </c>
      <c r="AT256" s="15">
        <v>0</v>
      </c>
      <c r="AU256" s="15"/>
      <c r="AV256" s="15">
        <v>0</v>
      </c>
      <c r="AW256" s="15"/>
      <c r="AX256" s="15">
        <v>0</v>
      </c>
      <c r="AY256" s="15"/>
      <c r="AZ256" s="15">
        <f>SUM(C256:AY256)</f>
        <v>0</v>
      </c>
      <c r="BA256" s="5"/>
      <c r="BB256" s="76">
        <f>SUMIF($C$10:$AY$10,"=Addition",$C256:$AY256)</f>
        <v>0</v>
      </c>
      <c r="BC256" s="37"/>
      <c r="BD256" s="76">
        <f>SUMIF($C$10:$AY$10,"=Adjustment",$C256:$AY256)</f>
        <v>0</v>
      </c>
      <c r="BE256" s="37"/>
      <c r="BF256" s="76">
        <f>SUMIF($C$10:$AY$10,"=Transfer",$C256:$AY256)</f>
        <v>0</v>
      </c>
      <c r="BH256" s="76">
        <f>SUMIF($C$10:$AY$10,"=N/A",$C256:$AY256)</f>
        <v>0</v>
      </c>
      <c r="BJ256" s="76">
        <f t="shared" ref="BJ256:BJ257" si="68">SUM(BB256:BH256)</f>
        <v>0</v>
      </c>
      <c r="BL256" s="39">
        <f t="shared" si="63"/>
        <v>0</v>
      </c>
      <c r="BM256" s="3"/>
      <c r="BN256" s="3"/>
      <c r="BO256" s="3"/>
    </row>
    <row r="257" spans="1:67" x14ac:dyDescent="0.2">
      <c r="A257" s="14"/>
      <c r="B257" s="3" t="s">
        <v>23</v>
      </c>
      <c r="C257" s="16">
        <v>0</v>
      </c>
      <c r="D257" s="17"/>
      <c r="E257" s="16">
        <v>0</v>
      </c>
      <c r="F257" s="17"/>
      <c r="G257" s="16">
        <v>0</v>
      </c>
      <c r="H257" s="17"/>
      <c r="I257" s="16">
        <v>0</v>
      </c>
      <c r="J257" s="17"/>
      <c r="K257" s="16">
        <v>0</v>
      </c>
      <c r="L257" s="17"/>
      <c r="M257" s="16">
        <v>0</v>
      </c>
      <c r="N257" s="17"/>
      <c r="O257" s="16">
        <v>0</v>
      </c>
      <c r="P257" s="17"/>
      <c r="Q257" s="16">
        <v>0</v>
      </c>
      <c r="R257" s="17"/>
      <c r="S257" s="16">
        <v>0</v>
      </c>
      <c r="T257" s="16"/>
      <c r="U257" s="16">
        <v>0</v>
      </c>
      <c r="V257" s="16"/>
      <c r="W257" s="16">
        <v>0</v>
      </c>
      <c r="X257" s="17"/>
      <c r="Y257" s="16">
        <v>0</v>
      </c>
      <c r="Z257" s="17"/>
      <c r="AA257" s="16">
        <v>0</v>
      </c>
      <c r="AB257" s="17"/>
      <c r="AC257" s="16">
        <v>0</v>
      </c>
      <c r="AD257" s="17"/>
      <c r="AE257" s="16">
        <v>0</v>
      </c>
      <c r="AF257" s="17"/>
      <c r="AG257" s="16">
        <v>0</v>
      </c>
      <c r="AH257" s="17"/>
      <c r="AI257" s="16">
        <v>0</v>
      </c>
      <c r="AJ257" s="17"/>
      <c r="AK257" s="16">
        <v>0</v>
      </c>
      <c r="AL257" s="16"/>
      <c r="AM257" s="16">
        <v>0</v>
      </c>
      <c r="AN257" s="16"/>
      <c r="AO257" s="16">
        <v>0</v>
      </c>
      <c r="AP257" s="16"/>
      <c r="AQ257" s="16">
        <v>0</v>
      </c>
      <c r="AR257" s="16"/>
      <c r="AS257" s="16">
        <v>0</v>
      </c>
      <c r="AT257" s="16">
        <v>0</v>
      </c>
      <c r="AU257" s="16"/>
      <c r="AV257" s="16">
        <v>0</v>
      </c>
      <c r="AW257" s="16"/>
      <c r="AX257" s="16">
        <v>0</v>
      </c>
      <c r="AY257" s="16"/>
      <c r="AZ257" s="15">
        <f>SUM(C257:AY257)</f>
        <v>0</v>
      </c>
      <c r="BA257" s="5"/>
      <c r="BB257" s="76">
        <f>SUMIF($C$10:$AY$10,"=Addition",$C257:$AY257)</f>
        <v>0</v>
      </c>
      <c r="BC257" s="37"/>
      <c r="BD257" s="76">
        <f>SUMIF($C$10:$AY$10,"=Adjustment",$C257:$AY257)</f>
        <v>0</v>
      </c>
      <c r="BE257" s="37"/>
      <c r="BF257" s="76">
        <f>SUMIF($C$10:$AY$10,"=Transfer",$C257:$AY257)</f>
        <v>0</v>
      </c>
      <c r="BH257" s="76">
        <f>SUMIF($C$10:$AY$10,"=N/A",$C257:$AY257)</f>
        <v>0</v>
      </c>
      <c r="BJ257" s="76">
        <f t="shared" si="68"/>
        <v>0</v>
      </c>
      <c r="BL257" s="39">
        <f t="shared" si="63"/>
        <v>0</v>
      </c>
      <c r="BM257" s="3"/>
      <c r="BN257" s="3"/>
      <c r="BO257" s="3"/>
    </row>
    <row r="258" spans="1:67" x14ac:dyDescent="0.2">
      <c r="A258" s="14"/>
      <c r="B258" s="19"/>
      <c r="C258" s="17">
        <f>SUM(C256:C257)</f>
        <v>0</v>
      </c>
      <c r="D258" s="17"/>
      <c r="E258" s="17">
        <f>SUM(E256:E257)</f>
        <v>0</v>
      </c>
      <c r="F258" s="17"/>
      <c r="G258" s="17">
        <f>SUM(G256:G257)</f>
        <v>0</v>
      </c>
      <c r="H258" s="17"/>
      <c r="I258" s="17">
        <f>SUM(I256:I257)</f>
        <v>0</v>
      </c>
      <c r="J258" s="17"/>
      <c r="K258" s="17">
        <f>SUM(K256:K257)</f>
        <v>0</v>
      </c>
      <c r="L258" s="17"/>
      <c r="M258" s="17">
        <f>SUM(M256:M257)</f>
        <v>0</v>
      </c>
      <c r="N258" s="17"/>
      <c r="O258" s="17">
        <f>SUM(O256:O257)</f>
        <v>0</v>
      </c>
      <c r="P258" s="17"/>
      <c r="Q258" s="17">
        <f>SUM(Q256:Q257)</f>
        <v>0</v>
      </c>
      <c r="R258" s="17"/>
      <c r="S258" s="17">
        <f>SUM(S256:S257)</f>
        <v>0</v>
      </c>
      <c r="T258" s="17"/>
      <c r="U258" s="17">
        <f>SUM(U256:U257)</f>
        <v>0</v>
      </c>
      <c r="V258" s="17"/>
      <c r="W258" s="17">
        <f>SUM(W256:W257)</f>
        <v>0</v>
      </c>
      <c r="X258" s="17"/>
      <c r="Y258" s="17">
        <f>SUM(Y256:Y257)</f>
        <v>0</v>
      </c>
      <c r="Z258" s="17"/>
      <c r="AA258" s="17">
        <f>SUM(AA256:AA257)</f>
        <v>0</v>
      </c>
      <c r="AB258" s="17"/>
      <c r="AC258" s="17">
        <f>SUM(AC256:AC257)</f>
        <v>0</v>
      </c>
      <c r="AD258" s="17"/>
      <c r="AE258" s="17">
        <f>SUM(AE256:AE257)</f>
        <v>0</v>
      </c>
      <c r="AF258" s="17"/>
      <c r="AG258" s="17">
        <f>SUM(AG256:AG257)</f>
        <v>0</v>
      </c>
      <c r="AH258" s="17"/>
      <c r="AI258" s="17">
        <f>SUM(AI256:AI257)</f>
        <v>0</v>
      </c>
      <c r="AJ258" s="17"/>
      <c r="AK258" s="17">
        <f>SUM(AK256:AK257)</f>
        <v>0</v>
      </c>
      <c r="AL258" s="17"/>
      <c r="AM258" s="17">
        <f>SUM(AM256:AM257)</f>
        <v>0</v>
      </c>
      <c r="AN258" s="17"/>
      <c r="AO258" s="17">
        <f>SUM(AO256:AO257)</f>
        <v>0</v>
      </c>
      <c r="AP258" s="17"/>
      <c r="AQ258" s="17">
        <f>SUM(AQ256:AQ257)</f>
        <v>0</v>
      </c>
      <c r="AR258" s="17"/>
      <c r="AS258" s="17">
        <f>SUM(AS256:AS257)</f>
        <v>0</v>
      </c>
      <c r="AT258" s="17">
        <f>SUM(AT256:AT257)</f>
        <v>0</v>
      </c>
      <c r="AU258" s="17"/>
      <c r="AV258" s="17">
        <f>SUM(AV256:AV257)</f>
        <v>0</v>
      </c>
      <c r="AW258" s="17"/>
      <c r="AX258" s="17">
        <f>SUM(AX256:AX257)</f>
        <v>0</v>
      </c>
      <c r="AY258" s="17"/>
      <c r="AZ258" s="20">
        <f>SUM(AZ256:AZ257)</f>
        <v>0</v>
      </c>
      <c r="BA258" s="5"/>
      <c r="BB258" s="114">
        <f>SUM(BB256:BB257)</f>
        <v>0</v>
      </c>
      <c r="BC258" s="37"/>
      <c r="BD258" s="114">
        <f>SUM(BD256:BD257)</f>
        <v>0</v>
      </c>
      <c r="BE258" s="37"/>
      <c r="BF258" s="114">
        <f>SUM(BF256:BF257)</f>
        <v>0</v>
      </c>
      <c r="BH258" s="114">
        <f>SUM(BH256:BH257)</f>
        <v>0</v>
      </c>
      <c r="BJ258" s="114">
        <f>SUM(BJ256:BJ257)</f>
        <v>0</v>
      </c>
      <c r="BL258" s="39">
        <f t="shared" si="63"/>
        <v>0</v>
      </c>
      <c r="BM258" s="3"/>
      <c r="BN258" s="3"/>
      <c r="BO258" s="3"/>
    </row>
    <row r="259" spans="1:67" x14ac:dyDescent="0.2">
      <c r="A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5"/>
      <c r="BB259" s="76"/>
      <c r="BC259" s="37"/>
      <c r="BD259" s="76"/>
      <c r="BE259" s="37"/>
      <c r="BL259" s="39">
        <f t="shared" si="63"/>
        <v>0</v>
      </c>
      <c r="BM259" s="3"/>
      <c r="BN259" s="3"/>
      <c r="BO259" s="3"/>
    </row>
    <row r="260" spans="1:67" x14ac:dyDescent="0.2">
      <c r="A260" s="14"/>
      <c r="B260" s="10" t="s">
        <v>435</v>
      </c>
      <c r="C260" s="21">
        <f>C258</f>
        <v>0</v>
      </c>
      <c r="D260" s="17"/>
      <c r="E260" s="21">
        <f>E258</f>
        <v>0</v>
      </c>
      <c r="F260" s="15"/>
      <c r="G260" s="21">
        <f>G258</f>
        <v>0</v>
      </c>
      <c r="H260" s="17"/>
      <c r="I260" s="21">
        <f>I258</f>
        <v>0</v>
      </c>
      <c r="J260" s="17"/>
      <c r="K260" s="21">
        <f>K258</f>
        <v>0</v>
      </c>
      <c r="L260" s="17"/>
      <c r="M260" s="21">
        <f>M258</f>
        <v>0</v>
      </c>
      <c r="N260" s="17"/>
      <c r="O260" s="21">
        <f>O258</f>
        <v>0</v>
      </c>
      <c r="P260" s="15"/>
      <c r="Q260" s="21">
        <f>Q258</f>
        <v>0</v>
      </c>
      <c r="R260" s="15"/>
      <c r="S260" s="21">
        <f>S258</f>
        <v>0</v>
      </c>
      <c r="T260" s="21"/>
      <c r="U260" s="21">
        <f>U258</f>
        <v>0</v>
      </c>
      <c r="V260" s="21"/>
      <c r="W260" s="21">
        <f>W258</f>
        <v>0</v>
      </c>
      <c r="X260" s="15"/>
      <c r="Y260" s="21">
        <f>Y258</f>
        <v>0</v>
      </c>
      <c r="Z260" s="15"/>
      <c r="AA260" s="21">
        <f>AA258</f>
        <v>0</v>
      </c>
      <c r="AB260" s="15"/>
      <c r="AC260" s="21">
        <f>AC258</f>
        <v>0</v>
      </c>
      <c r="AD260" s="15"/>
      <c r="AE260" s="21">
        <f>AE258</f>
        <v>0</v>
      </c>
      <c r="AF260" s="15"/>
      <c r="AG260" s="21">
        <f>AG258</f>
        <v>0</v>
      </c>
      <c r="AH260" s="15"/>
      <c r="AI260" s="21">
        <f>AI258</f>
        <v>0</v>
      </c>
      <c r="AJ260" s="15"/>
      <c r="AK260" s="21">
        <f>AK258</f>
        <v>0</v>
      </c>
      <c r="AL260" s="21"/>
      <c r="AM260" s="21">
        <f>AM258</f>
        <v>0</v>
      </c>
      <c r="AN260" s="21"/>
      <c r="AO260" s="21">
        <f>AO258</f>
        <v>0</v>
      </c>
      <c r="AP260" s="21"/>
      <c r="AQ260" s="21">
        <f>AQ258</f>
        <v>0</v>
      </c>
      <c r="AR260" s="21"/>
      <c r="AS260" s="21">
        <f>AS258</f>
        <v>0</v>
      </c>
      <c r="AT260" s="21">
        <f>AT258</f>
        <v>0</v>
      </c>
      <c r="AU260" s="21"/>
      <c r="AV260" s="21">
        <f>AV258</f>
        <v>0</v>
      </c>
      <c r="AW260" s="21"/>
      <c r="AX260" s="21">
        <f>AX258</f>
        <v>0</v>
      </c>
      <c r="AY260" s="21"/>
      <c r="AZ260" s="21">
        <f>AZ258</f>
        <v>0</v>
      </c>
      <c r="BA260" s="5"/>
      <c r="BB260" s="91">
        <f>BB258</f>
        <v>0</v>
      </c>
      <c r="BC260" s="37"/>
      <c r="BD260" s="91">
        <f>BD258</f>
        <v>0</v>
      </c>
      <c r="BE260" s="37"/>
      <c r="BF260" s="91">
        <f>BF258</f>
        <v>0</v>
      </c>
      <c r="BH260" s="91">
        <f>BH258</f>
        <v>0</v>
      </c>
      <c r="BJ260" s="91">
        <f>BJ258</f>
        <v>0</v>
      </c>
      <c r="BL260" s="39">
        <f t="shared" si="63"/>
        <v>0</v>
      </c>
      <c r="BM260" s="3"/>
      <c r="BN260" s="3"/>
      <c r="BO260" s="3"/>
    </row>
    <row r="261" spans="1:67" x14ac:dyDescent="0.2">
      <c r="A261" s="14"/>
      <c r="B261" s="10"/>
      <c r="F261" s="15"/>
      <c r="H261" s="15"/>
      <c r="J261" s="15"/>
      <c r="L261" s="15"/>
      <c r="N261" s="15"/>
      <c r="P261" s="15"/>
      <c r="R261" s="15"/>
      <c r="X261" s="15"/>
      <c r="Z261" s="15"/>
      <c r="AB261" s="15"/>
      <c r="AD261" s="15"/>
      <c r="AF261" s="15"/>
      <c r="AH261" s="15"/>
      <c r="AJ261" s="15"/>
      <c r="AZ261" s="15"/>
      <c r="BA261" s="15"/>
      <c r="BB261" s="76"/>
      <c r="BC261" s="37"/>
      <c r="BD261" s="76"/>
      <c r="BE261" s="37"/>
      <c r="BL261" s="39">
        <f t="shared" si="63"/>
        <v>0</v>
      </c>
      <c r="BM261" s="3"/>
      <c r="BN261" s="3"/>
      <c r="BO261" s="3"/>
    </row>
    <row r="262" spans="1:67" x14ac:dyDescent="0.2">
      <c r="A262" s="14"/>
      <c r="B262" s="10"/>
      <c r="F262" s="15"/>
      <c r="H262" s="15"/>
      <c r="J262" s="15"/>
      <c r="L262" s="15"/>
      <c r="N262" s="15"/>
      <c r="P262" s="15"/>
      <c r="R262" s="15"/>
      <c r="X262" s="15"/>
      <c r="Z262" s="15"/>
      <c r="AB262" s="15"/>
      <c r="AD262" s="15"/>
      <c r="AF262" s="15"/>
      <c r="AH262" s="15"/>
      <c r="AJ262" s="15"/>
      <c r="AZ262" s="15"/>
      <c r="BA262" s="15"/>
      <c r="BB262" s="76"/>
      <c r="BC262" s="37"/>
      <c r="BD262" s="76"/>
      <c r="BE262" s="37"/>
      <c r="BL262" s="39">
        <f t="shared" si="63"/>
        <v>0</v>
      </c>
      <c r="BM262" s="3"/>
      <c r="BN262" s="3"/>
      <c r="BO262" s="3"/>
    </row>
    <row r="263" spans="1:67" x14ac:dyDescent="0.2">
      <c r="A263" s="14">
        <v>106</v>
      </c>
      <c r="B263" s="10"/>
      <c r="F263" s="15"/>
      <c r="H263" s="15"/>
      <c r="J263" s="15"/>
      <c r="L263" s="15"/>
      <c r="N263" s="15"/>
      <c r="P263" s="15"/>
      <c r="R263" s="15"/>
      <c r="X263" s="15"/>
      <c r="Z263" s="15"/>
      <c r="AB263" s="15"/>
      <c r="AD263" s="15"/>
      <c r="AF263" s="15"/>
      <c r="AH263" s="15"/>
      <c r="AJ263" s="15"/>
      <c r="AZ263" s="15"/>
      <c r="BA263" s="15"/>
      <c r="BB263" s="76"/>
      <c r="BC263" s="37"/>
      <c r="BD263" s="76"/>
      <c r="BE263" s="37"/>
      <c r="BL263" s="39">
        <f t="shared" si="63"/>
        <v>0</v>
      </c>
      <c r="BM263" s="3"/>
      <c r="BN263" s="3"/>
      <c r="BO263" s="3"/>
    </row>
    <row r="264" spans="1:67" x14ac:dyDescent="0.2">
      <c r="A264" s="14"/>
      <c r="B264" s="10" t="s">
        <v>45</v>
      </c>
      <c r="F264" s="15"/>
      <c r="H264" s="15"/>
      <c r="J264" s="15"/>
      <c r="L264" s="15"/>
      <c r="N264" s="15"/>
      <c r="P264" s="15"/>
      <c r="R264" s="15"/>
      <c r="X264" s="15"/>
      <c r="Z264" s="15"/>
      <c r="AB264" s="15"/>
      <c r="AD264" s="15"/>
      <c r="AF264" s="15"/>
      <c r="AH264" s="15"/>
      <c r="AJ264" s="15"/>
      <c r="AZ264" s="15"/>
      <c r="BA264" s="15"/>
      <c r="BB264" s="76"/>
      <c r="BC264" s="37"/>
      <c r="BD264" s="76"/>
      <c r="BE264" s="37"/>
      <c r="BL264" s="39">
        <f t="shared" si="63"/>
        <v>0</v>
      </c>
      <c r="BM264" s="3"/>
      <c r="BN264" s="3"/>
      <c r="BO264" s="3"/>
    </row>
    <row r="265" spans="1:67" x14ac:dyDescent="0.2">
      <c r="A265" s="14"/>
      <c r="B265" s="10"/>
      <c r="F265" s="15"/>
      <c r="H265" s="15"/>
      <c r="J265" s="15"/>
      <c r="L265" s="15"/>
      <c r="N265" s="15"/>
      <c r="P265" s="15"/>
      <c r="R265" s="15"/>
      <c r="X265" s="15"/>
      <c r="Z265" s="15"/>
      <c r="AB265" s="15"/>
      <c r="AD265" s="15"/>
      <c r="AF265" s="15"/>
      <c r="AH265" s="15"/>
      <c r="AJ265" s="15"/>
      <c r="AZ265" s="15"/>
      <c r="BA265" s="15"/>
      <c r="BB265" s="76"/>
      <c r="BC265" s="37"/>
      <c r="BD265" s="76"/>
      <c r="BE265" s="37"/>
      <c r="BL265" s="39">
        <f t="shared" si="63"/>
        <v>0</v>
      </c>
      <c r="BM265" s="3"/>
      <c r="BN265" s="3"/>
      <c r="BO265" s="3"/>
    </row>
    <row r="266" spans="1:67" x14ac:dyDescent="0.2">
      <c r="A266" s="9" t="s">
        <v>13</v>
      </c>
      <c r="B266" s="10"/>
      <c r="BB266" s="76"/>
      <c r="BC266" s="37"/>
      <c r="BD266" s="76"/>
      <c r="BE266" s="37"/>
      <c r="BL266" s="39">
        <f t="shared" si="63"/>
        <v>0</v>
      </c>
      <c r="BM266" s="3"/>
      <c r="BN266" s="3"/>
      <c r="BO266" s="3"/>
    </row>
    <row r="267" spans="1:67" x14ac:dyDescent="0.2">
      <c r="A267" s="14"/>
      <c r="B267" s="3" t="s">
        <v>245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>
        <f t="shared" ref="AZ267:AZ296" si="69">SUM(C267:AY267)</f>
        <v>0</v>
      </c>
      <c r="BB267" s="76">
        <f t="shared" ref="BB267:BB296" si="70">SUMIF($C$10:$AY$10,"=Addition",$C267:$AY267)</f>
        <v>0</v>
      </c>
      <c r="BC267" s="37"/>
      <c r="BD267" s="76">
        <f t="shared" ref="BD267:BD296" si="71">SUMIF($C$10:$AY$10,"=Adjustment",$C267:$AY267)</f>
        <v>0</v>
      </c>
      <c r="BE267" s="37"/>
      <c r="BF267" s="76">
        <f t="shared" ref="BF267:BF296" si="72">SUMIF($C$10:$AY$10,"=Transfer",$C267:$AY267)</f>
        <v>0</v>
      </c>
      <c r="BH267" s="76">
        <f t="shared" ref="BH267:BH296" si="73">SUMIF($C$10:$AY$10,"=N/A",$C267:$AY267)</f>
        <v>0</v>
      </c>
      <c r="BJ267" s="76">
        <f t="shared" ref="BJ267:BJ296" si="74">SUM(BB267:BH267)</f>
        <v>0</v>
      </c>
      <c r="BL267" s="39">
        <f t="shared" si="63"/>
        <v>0</v>
      </c>
      <c r="BM267" s="3"/>
      <c r="BN267" s="3"/>
      <c r="BO267" s="3"/>
    </row>
    <row r="268" spans="1:67" x14ac:dyDescent="0.2">
      <c r="A268" s="14"/>
      <c r="B268" s="3" t="s">
        <v>246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>
        <f t="shared" si="69"/>
        <v>0</v>
      </c>
      <c r="BB268" s="76">
        <f t="shared" si="70"/>
        <v>0</v>
      </c>
      <c r="BC268" s="37"/>
      <c r="BD268" s="76">
        <f t="shared" si="71"/>
        <v>0</v>
      </c>
      <c r="BE268" s="37"/>
      <c r="BF268" s="76">
        <f t="shared" si="72"/>
        <v>0</v>
      </c>
      <c r="BH268" s="76">
        <f t="shared" si="73"/>
        <v>0</v>
      </c>
      <c r="BJ268" s="76">
        <f t="shared" si="74"/>
        <v>0</v>
      </c>
      <c r="BL268" s="39">
        <f t="shared" si="63"/>
        <v>0</v>
      </c>
      <c r="BM268" s="3"/>
      <c r="BN268" s="3"/>
      <c r="BO268" s="3"/>
    </row>
    <row r="269" spans="1:67" x14ac:dyDescent="0.2">
      <c r="A269" s="14"/>
      <c r="B269" s="3" t="s">
        <v>247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>
        <f t="shared" si="69"/>
        <v>0</v>
      </c>
      <c r="BB269" s="76">
        <f t="shared" si="70"/>
        <v>0</v>
      </c>
      <c r="BC269" s="37"/>
      <c r="BD269" s="76">
        <f t="shared" si="71"/>
        <v>0</v>
      </c>
      <c r="BE269" s="37"/>
      <c r="BF269" s="76">
        <f t="shared" si="72"/>
        <v>0</v>
      </c>
      <c r="BH269" s="76">
        <f t="shared" si="73"/>
        <v>0</v>
      </c>
      <c r="BJ269" s="76">
        <f t="shared" si="74"/>
        <v>0</v>
      </c>
      <c r="BL269" s="39">
        <f t="shared" si="63"/>
        <v>0</v>
      </c>
      <c r="BM269" s="3"/>
      <c r="BN269" s="3"/>
      <c r="BO269" s="3"/>
    </row>
    <row r="270" spans="1:67" x14ac:dyDescent="0.2">
      <c r="A270" s="14"/>
      <c r="B270" s="3" t="s">
        <v>248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>
        <f t="shared" si="69"/>
        <v>0</v>
      </c>
      <c r="BB270" s="76">
        <f t="shared" si="70"/>
        <v>0</v>
      </c>
      <c r="BC270" s="37"/>
      <c r="BD270" s="76">
        <f t="shared" si="71"/>
        <v>0</v>
      </c>
      <c r="BE270" s="37"/>
      <c r="BF270" s="76">
        <f t="shared" si="72"/>
        <v>0</v>
      </c>
      <c r="BH270" s="76">
        <f t="shared" si="73"/>
        <v>0</v>
      </c>
      <c r="BJ270" s="76">
        <f t="shared" si="74"/>
        <v>0</v>
      </c>
      <c r="BL270" s="39">
        <f t="shared" si="63"/>
        <v>0</v>
      </c>
      <c r="BM270" s="3"/>
      <c r="BN270" s="3"/>
      <c r="BO270" s="3"/>
    </row>
    <row r="271" spans="1:67" x14ac:dyDescent="0.2">
      <c r="A271" s="14"/>
      <c r="B271" s="3" t="s">
        <v>249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>
        <f t="shared" si="69"/>
        <v>0</v>
      </c>
      <c r="BB271" s="76">
        <f t="shared" si="70"/>
        <v>0</v>
      </c>
      <c r="BC271" s="37"/>
      <c r="BD271" s="76">
        <f t="shared" si="71"/>
        <v>0</v>
      </c>
      <c r="BE271" s="37"/>
      <c r="BF271" s="76">
        <f t="shared" si="72"/>
        <v>0</v>
      </c>
      <c r="BH271" s="76">
        <f t="shared" si="73"/>
        <v>0</v>
      </c>
      <c r="BJ271" s="76">
        <f t="shared" si="74"/>
        <v>0</v>
      </c>
      <c r="BL271" s="39">
        <f t="shared" si="63"/>
        <v>0</v>
      </c>
      <c r="BM271" s="3"/>
      <c r="BN271" s="3"/>
      <c r="BO271" s="3"/>
    </row>
    <row r="272" spans="1:67" x14ac:dyDescent="0.2">
      <c r="A272" s="14"/>
      <c r="B272" s="3" t="s">
        <v>250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>
        <f t="shared" si="69"/>
        <v>0</v>
      </c>
      <c r="BB272" s="76">
        <f t="shared" si="70"/>
        <v>0</v>
      </c>
      <c r="BC272" s="37"/>
      <c r="BD272" s="76">
        <f t="shared" si="71"/>
        <v>0</v>
      </c>
      <c r="BE272" s="37"/>
      <c r="BF272" s="76">
        <f t="shared" si="72"/>
        <v>0</v>
      </c>
      <c r="BH272" s="76">
        <f t="shared" si="73"/>
        <v>0</v>
      </c>
      <c r="BJ272" s="76">
        <f t="shared" si="74"/>
        <v>0</v>
      </c>
      <c r="BL272" s="39">
        <f t="shared" si="63"/>
        <v>0</v>
      </c>
      <c r="BM272" s="3"/>
      <c r="BN272" s="3"/>
      <c r="BO272" s="3"/>
    </row>
    <row r="273" spans="1:67" x14ac:dyDescent="0.2">
      <c r="A273" s="14"/>
      <c r="B273" s="3" t="s">
        <v>251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>
        <f t="shared" si="69"/>
        <v>0</v>
      </c>
      <c r="BB273" s="76">
        <f t="shared" si="70"/>
        <v>0</v>
      </c>
      <c r="BC273" s="37"/>
      <c r="BD273" s="76">
        <f t="shared" si="71"/>
        <v>0</v>
      </c>
      <c r="BE273" s="37"/>
      <c r="BF273" s="76">
        <f t="shared" si="72"/>
        <v>0</v>
      </c>
      <c r="BH273" s="76">
        <f t="shared" si="73"/>
        <v>0</v>
      </c>
      <c r="BJ273" s="76">
        <f t="shared" si="74"/>
        <v>0</v>
      </c>
      <c r="BL273" s="39">
        <f t="shared" si="63"/>
        <v>0</v>
      </c>
      <c r="BM273" s="3"/>
      <c r="BN273" s="3"/>
      <c r="BO273" s="3"/>
    </row>
    <row r="274" spans="1:67" x14ac:dyDescent="0.2">
      <c r="A274" s="14"/>
      <c r="B274" s="3" t="s">
        <v>252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>
        <f t="shared" si="69"/>
        <v>0</v>
      </c>
      <c r="BB274" s="76">
        <f t="shared" si="70"/>
        <v>0</v>
      </c>
      <c r="BC274" s="37"/>
      <c r="BD274" s="76">
        <f t="shared" si="71"/>
        <v>0</v>
      </c>
      <c r="BE274" s="37"/>
      <c r="BF274" s="76">
        <f t="shared" si="72"/>
        <v>0</v>
      </c>
      <c r="BH274" s="76">
        <f t="shared" si="73"/>
        <v>0</v>
      </c>
      <c r="BJ274" s="76">
        <f t="shared" si="74"/>
        <v>0</v>
      </c>
      <c r="BL274" s="39">
        <f t="shared" si="63"/>
        <v>0</v>
      </c>
      <c r="BM274" s="3"/>
      <c r="BN274" s="3"/>
      <c r="BO274" s="3"/>
    </row>
    <row r="275" spans="1:67" x14ac:dyDescent="0.2">
      <c r="A275" s="14"/>
      <c r="B275" s="3" t="s">
        <v>253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>
        <f t="shared" si="69"/>
        <v>0</v>
      </c>
      <c r="BB275" s="76">
        <f t="shared" si="70"/>
        <v>0</v>
      </c>
      <c r="BC275" s="37"/>
      <c r="BD275" s="76">
        <f t="shared" si="71"/>
        <v>0</v>
      </c>
      <c r="BE275" s="37"/>
      <c r="BF275" s="76">
        <f t="shared" si="72"/>
        <v>0</v>
      </c>
      <c r="BH275" s="76">
        <f t="shared" si="73"/>
        <v>0</v>
      </c>
      <c r="BJ275" s="76">
        <f t="shared" si="74"/>
        <v>0</v>
      </c>
      <c r="BL275" s="39">
        <f t="shared" si="63"/>
        <v>0</v>
      </c>
      <c r="BM275" s="3"/>
      <c r="BN275" s="3"/>
      <c r="BO275" s="3"/>
    </row>
    <row r="276" spans="1:67" x14ac:dyDescent="0.2">
      <c r="A276" s="14"/>
      <c r="B276" s="3" t="s">
        <v>254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>
        <f t="shared" si="69"/>
        <v>0</v>
      </c>
      <c r="BB276" s="76">
        <f t="shared" si="70"/>
        <v>0</v>
      </c>
      <c r="BC276" s="37"/>
      <c r="BD276" s="76">
        <f t="shared" si="71"/>
        <v>0</v>
      </c>
      <c r="BE276" s="37"/>
      <c r="BF276" s="76">
        <f t="shared" si="72"/>
        <v>0</v>
      </c>
      <c r="BH276" s="76">
        <f t="shared" si="73"/>
        <v>0</v>
      </c>
      <c r="BJ276" s="76">
        <f t="shared" si="74"/>
        <v>0</v>
      </c>
      <c r="BL276" s="39">
        <f t="shared" si="63"/>
        <v>0</v>
      </c>
      <c r="BM276" s="3"/>
      <c r="BN276" s="3"/>
      <c r="BO276" s="3"/>
    </row>
    <row r="277" spans="1:67" x14ac:dyDescent="0.2">
      <c r="A277" s="14"/>
      <c r="B277" s="3" t="s">
        <v>255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>
        <f t="shared" si="69"/>
        <v>0</v>
      </c>
      <c r="BB277" s="76">
        <f t="shared" si="70"/>
        <v>0</v>
      </c>
      <c r="BC277" s="37"/>
      <c r="BD277" s="76">
        <f t="shared" si="71"/>
        <v>0</v>
      </c>
      <c r="BE277" s="37"/>
      <c r="BF277" s="76">
        <f t="shared" si="72"/>
        <v>0</v>
      </c>
      <c r="BH277" s="76">
        <f t="shared" si="73"/>
        <v>0</v>
      </c>
      <c r="BJ277" s="76">
        <f t="shared" si="74"/>
        <v>0</v>
      </c>
      <c r="BL277" s="39">
        <f t="shared" si="63"/>
        <v>0</v>
      </c>
      <c r="BM277" s="3"/>
      <c r="BN277" s="3"/>
      <c r="BO277" s="3"/>
    </row>
    <row r="278" spans="1:67" x14ac:dyDescent="0.2">
      <c r="A278" s="14"/>
      <c r="B278" s="22" t="s">
        <v>256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>
        <f t="shared" si="69"/>
        <v>0</v>
      </c>
      <c r="BB278" s="76">
        <f t="shared" si="70"/>
        <v>0</v>
      </c>
      <c r="BC278" s="37"/>
      <c r="BD278" s="76">
        <f t="shared" si="71"/>
        <v>0</v>
      </c>
      <c r="BE278" s="37"/>
      <c r="BF278" s="76">
        <f t="shared" si="72"/>
        <v>0</v>
      </c>
      <c r="BH278" s="76">
        <f t="shared" si="73"/>
        <v>0</v>
      </c>
      <c r="BJ278" s="76">
        <f t="shared" si="74"/>
        <v>0</v>
      </c>
      <c r="BL278" s="39">
        <f t="shared" si="63"/>
        <v>0</v>
      </c>
      <c r="BM278" s="3"/>
      <c r="BN278" s="3"/>
      <c r="BO278" s="3"/>
    </row>
    <row r="279" spans="1:67" x14ac:dyDescent="0.2">
      <c r="A279" s="14"/>
      <c r="B279" s="3" t="s">
        <v>257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>
        <f t="shared" si="69"/>
        <v>0</v>
      </c>
      <c r="BB279" s="76">
        <f t="shared" si="70"/>
        <v>0</v>
      </c>
      <c r="BC279" s="37"/>
      <c r="BD279" s="76">
        <f t="shared" si="71"/>
        <v>0</v>
      </c>
      <c r="BE279" s="37"/>
      <c r="BF279" s="76">
        <f t="shared" si="72"/>
        <v>0</v>
      </c>
      <c r="BH279" s="76">
        <f t="shared" si="73"/>
        <v>0</v>
      </c>
      <c r="BJ279" s="76">
        <f t="shared" si="74"/>
        <v>0</v>
      </c>
      <c r="BL279" s="39">
        <f t="shared" si="63"/>
        <v>0</v>
      </c>
      <c r="BM279" s="3"/>
      <c r="BN279" s="3"/>
      <c r="BO279" s="3"/>
    </row>
    <row r="280" spans="1:67" x14ac:dyDescent="0.2">
      <c r="A280" s="14"/>
      <c r="B280" s="3" t="s">
        <v>258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>
        <f t="shared" si="69"/>
        <v>0</v>
      </c>
      <c r="BB280" s="76">
        <f t="shared" si="70"/>
        <v>0</v>
      </c>
      <c r="BC280" s="37"/>
      <c r="BD280" s="76">
        <f t="shared" si="71"/>
        <v>0</v>
      </c>
      <c r="BE280" s="37"/>
      <c r="BF280" s="76">
        <f t="shared" si="72"/>
        <v>0</v>
      </c>
      <c r="BH280" s="76">
        <f t="shared" si="73"/>
        <v>0</v>
      </c>
      <c r="BJ280" s="76">
        <f t="shared" si="74"/>
        <v>0</v>
      </c>
      <c r="BL280" s="39">
        <f t="shared" ref="BL280:BL343" si="75">AZ280-BJ280</f>
        <v>0</v>
      </c>
      <c r="BM280" s="3"/>
      <c r="BN280" s="3"/>
      <c r="BO280" s="3"/>
    </row>
    <row r="281" spans="1:67" x14ac:dyDescent="0.2">
      <c r="A281" s="14"/>
      <c r="B281" s="3" t="s">
        <v>259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>
        <f t="shared" si="69"/>
        <v>0</v>
      </c>
      <c r="BB281" s="76">
        <f t="shared" si="70"/>
        <v>0</v>
      </c>
      <c r="BC281" s="37"/>
      <c r="BD281" s="76">
        <f t="shared" si="71"/>
        <v>0</v>
      </c>
      <c r="BE281" s="37"/>
      <c r="BF281" s="76">
        <f t="shared" si="72"/>
        <v>0</v>
      </c>
      <c r="BH281" s="76">
        <f t="shared" si="73"/>
        <v>0</v>
      </c>
      <c r="BJ281" s="76">
        <f t="shared" si="74"/>
        <v>0</v>
      </c>
      <c r="BL281" s="39">
        <f t="shared" si="75"/>
        <v>0</v>
      </c>
      <c r="BM281" s="3"/>
      <c r="BN281" s="3"/>
      <c r="BO281" s="3"/>
    </row>
    <row r="282" spans="1:67" x14ac:dyDescent="0.2">
      <c r="A282" s="14"/>
      <c r="B282" s="3" t="s">
        <v>260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>
        <f t="shared" si="69"/>
        <v>0</v>
      </c>
      <c r="BB282" s="76">
        <f t="shared" si="70"/>
        <v>0</v>
      </c>
      <c r="BC282" s="37"/>
      <c r="BD282" s="76">
        <f t="shared" si="71"/>
        <v>0</v>
      </c>
      <c r="BE282" s="37"/>
      <c r="BF282" s="76">
        <f t="shared" si="72"/>
        <v>0</v>
      </c>
      <c r="BH282" s="76">
        <f t="shared" si="73"/>
        <v>0</v>
      </c>
      <c r="BJ282" s="76">
        <f t="shared" si="74"/>
        <v>0</v>
      </c>
      <c r="BL282" s="39">
        <f t="shared" si="75"/>
        <v>0</v>
      </c>
      <c r="BM282" s="3"/>
      <c r="BN282" s="3"/>
      <c r="BO282" s="3"/>
    </row>
    <row r="283" spans="1:67" x14ac:dyDescent="0.2">
      <c r="A283" s="14"/>
      <c r="B283" s="3" t="s">
        <v>261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>
        <f t="shared" si="69"/>
        <v>0</v>
      </c>
      <c r="BB283" s="76">
        <f t="shared" si="70"/>
        <v>0</v>
      </c>
      <c r="BC283" s="37"/>
      <c r="BD283" s="76">
        <f t="shared" si="71"/>
        <v>0</v>
      </c>
      <c r="BE283" s="37"/>
      <c r="BF283" s="76">
        <f t="shared" si="72"/>
        <v>0</v>
      </c>
      <c r="BH283" s="76">
        <f t="shared" si="73"/>
        <v>0</v>
      </c>
      <c r="BJ283" s="76">
        <f t="shared" si="74"/>
        <v>0</v>
      </c>
      <c r="BL283" s="39">
        <f t="shared" si="75"/>
        <v>0</v>
      </c>
      <c r="BM283" s="3"/>
      <c r="BN283" s="3"/>
      <c r="BO283" s="3"/>
    </row>
    <row r="284" spans="1:67" x14ac:dyDescent="0.2">
      <c r="A284" s="14"/>
      <c r="B284" s="3" t="s">
        <v>262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>
        <f t="shared" si="69"/>
        <v>0</v>
      </c>
      <c r="BB284" s="76">
        <f t="shared" si="70"/>
        <v>0</v>
      </c>
      <c r="BC284" s="37"/>
      <c r="BD284" s="76">
        <f t="shared" si="71"/>
        <v>0</v>
      </c>
      <c r="BE284" s="37"/>
      <c r="BF284" s="76">
        <f t="shared" si="72"/>
        <v>0</v>
      </c>
      <c r="BH284" s="76">
        <f t="shared" si="73"/>
        <v>0</v>
      </c>
      <c r="BJ284" s="76">
        <f t="shared" si="74"/>
        <v>0</v>
      </c>
      <c r="BL284" s="39">
        <f t="shared" si="75"/>
        <v>0</v>
      </c>
      <c r="BM284" s="3"/>
      <c r="BN284" s="3"/>
      <c r="BO284" s="3"/>
    </row>
    <row r="285" spans="1:67" x14ac:dyDescent="0.2">
      <c r="A285" s="14"/>
      <c r="B285" s="3" t="s">
        <v>263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>
        <f t="shared" si="69"/>
        <v>0</v>
      </c>
      <c r="BB285" s="76">
        <f t="shared" si="70"/>
        <v>0</v>
      </c>
      <c r="BC285" s="37"/>
      <c r="BD285" s="76">
        <f t="shared" si="71"/>
        <v>0</v>
      </c>
      <c r="BE285" s="37"/>
      <c r="BF285" s="76">
        <f t="shared" si="72"/>
        <v>0</v>
      </c>
      <c r="BH285" s="76">
        <f t="shared" si="73"/>
        <v>0</v>
      </c>
      <c r="BJ285" s="76">
        <f t="shared" si="74"/>
        <v>0</v>
      </c>
      <c r="BL285" s="39">
        <f t="shared" si="75"/>
        <v>0</v>
      </c>
      <c r="BM285" s="3"/>
      <c r="BN285" s="3"/>
      <c r="BO285" s="3"/>
    </row>
    <row r="286" spans="1:67" x14ac:dyDescent="0.2">
      <c r="A286" s="14"/>
      <c r="B286" s="3" t="s">
        <v>264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>
        <f t="shared" si="69"/>
        <v>0</v>
      </c>
      <c r="BB286" s="76">
        <f t="shared" si="70"/>
        <v>0</v>
      </c>
      <c r="BC286" s="37"/>
      <c r="BD286" s="76">
        <f t="shared" si="71"/>
        <v>0</v>
      </c>
      <c r="BE286" s="37"/>
      <c r="BF286" s="76">
        <f t="shared" si="72"/>
        <v>0</v>
      </c>
      <c r="BH286" s="76">
        <f t="shared" si="73"/>
        <v>0</v>
      </c>
      <c r="BJ286" s="76">
        <f t="shared" si="74"/>
        <v>0</v>
      </c>
      <c r="BL286" s="39">
        <f t="shared" si="75"/>
        <v>0</v>
      </c>
      <c r="BM286" s="3"/>
      <c r="BN286" s="3"/>
      <c r="BO286" s="3"/>
    </row>
    <row r="287" spans="1:67" x14ac:dyDescent="0.2">
      <c r="A287" s="14"/>
      <c r="B287" s="3" t="s">
        <v>265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>
        <f t="shared" si="69"/>
        <v>0</v>
      </c>
      <c r="BB287" s="76">
        <f t="shared" si="70"/>
        <v>0</v>
      </c>
      <c r="BC287" s="37"/>
      <c r="BD287" s="76">
        <f t="shared" si="71"/>
        <v>0</v>
      </c>
      <c r="BE287" s="37"/>
      <c r="BF287" s="76">
        <f t="shared" si="72"/>
        <v>0</v>
      </c>
      <c r="BH287" s="76">
        <f t="shared" si="73"/>
        <v>0</v>
      </c>
      <c r="BJ287" s="76">
        <f t="shared" si="74"/>
        <v>0</v>
      </c>
      <c r="BL287" s="39">
        <f t="shared" si="75"/>
        <v>0</v>
      </c>
      <c r="BM287" s="3"/>
      <c r="BN287" s="3"/>
      <c r="BO287" s="3"/>
    </row>
    <row r="288" spans="1:67" x14ac:dyDescent="0.2">
      <c r="A288" s="14"/>
      <c r="B288" s="3" t="s">
        <v>436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>
        <f t="shared" si="69"/>
        <v>0</v>
      </c>
      <c r="BB288" s="76">
        <f t="shared" si="70"/>
        <v>0</v>
      </c>
      <c r="BC288" s="37"/>
      <c r="BD288" s="76">
        <f t="shared" si="71"/>
        <v>0</v>
      </c>
      <c r="BE288" s="37"/>
      <c r="BF288" s="76">
        <f t="shared" si="72"/>
        <v>0</v>
      </c>
      <c r="BH288" s="76">
        <f t="shared" si="73"/>
        <v>0</v>
      </c>
      <c r="BJ288" s="76">
        <f t="shared" si="74"/>
        <v>0</v>
      </c>
      <c r="BL288" s="39">
        <f t="shared" si="75"/>
        <v>0</v>
      </c>
      <c r="BM288" s="3"/>
      <c r="BN288" s="3"/>
      <c r="BO288" s="3"/>
    </row>
    <row r="289" spans="1:67" x14ac:dyDescent="0.2">
      <c r="A289" s="14"/>
      <c r="B289" s="3" t="s">
        <v>437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>
        <f t="shared" si="69"/>
        <v>0</v>
      </c>
      <c r="BB289" s="76">
        <f t="shared" si="70"/>
        <v>0</v>
      </c>
      <c r="BC289" s="37"/>
      <c r="BD289" s="76">
        <f t="shared" si="71"/>
        <v>0</v>
      </c>
      <c r="BE289" s="37"/>
      <c r="BF289" s="76">
        <f t="shared" si="72"/>
        <v>0</v>
      </c>
      <c r="BH289" s="76">
        <f t="shared" si="73"/>
        <v>0</v>
      </c>
      <c r="BJ289" s="76">
        <f t="shared" si="74"/>
        <v>0</v>
      </c>
      <c r="BL289" s="39">
        <f t="shared" si="75"/>
        <v>0</v>
      </c>
      <c r="BM289" s="3"/>
      <c r="BN289" s="3"/>
      <c r="BO289" s="3"/>
    </row>
    <row r="290" spans="1:67" x14ac:dyDescent="0.2">
      <c r="A290" s="14"/>
      <c r="B290" s="3" t="s">
        <v>268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>
        <f t="shared" si="69"/>
        <v>0</v>
      </c>
      <c r="BB290" s="76">
        <f t="shared" si="70"/>
        <v>0</v>
      </c>
      <c r="BC290" s="37"/>
      <c r="BD290" s="76">
        <f t="shared" si="71"/>
        <v>0</v>
      </c>
      <c r="BE290" s="37"/>
      <c r="BF290" s="76">
        <f t="shared" si="72"/>
        <v>0</v>
      </c>
      <c r="BH290" s="76">
        <f t="shared" si="73"/>
        <v>0</v>
      </c>
      <c r="BJ290" s="76">
        <f t="shared" si="74"/>
        <v>0</v>
      </c>
      <c r="BL290" s="39">
        <f t="shared" si="75"/>
        <v>0</v>
      </c>
      <c r="BM290" s="3"/>
      <c r="BN290" s="3"/>
      <c r="BO290" s="3"/>
    </row>
    <row r="291" spans="1:67" x14ac:dyDescent="0.2">
      <c r="A291" s="14"/>
      <c r="B291" s="3" t="s">
        <v>269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>
        <f t="shared" si="69"/>
        <v>0</v>
      </c>
      <c r="BB291" s="76">
        <f t="shared" si="70"/>
        <v>0</v>
      </c>
      <c r="BC291" s="37"/>
      <c r="BD291" s="76">
        <f t="shared" si="71"/>
        <v>0</v>
      </c>
      <c r="BE291" s="37"/>
      <c r="BF291" s="76">
        <f t="shared" si="72"/>
        <v>0</v>
      </c>
      <c r="BH291" s="76">
        <f t="shared" si="73"/>
        <v>0</v>
      </c>
      <c r="BJ291" s="76">
        <f t="shared" si="74"/>
        <v>0</v>
      </c>
      <c r="BL291" s="39">
        <f t="shared" si="75"/>
        <v>0</v>
      </c>
      <c r="BM291" s="3"/>
      <c r="BN291" s="3"/>
      <c r="BO291" s="3"/>
    </row>
    <row r="292" spans="1:67" x14ac:dyDescent="0.2">
      <c r="A292" s="14"/>
      <c r="B292" s="3" t="s">
        <v>270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>
        <f t="shared" si="69"/>
        <v>0</v>
      </c>
      <c r="BB292" s="76">
        <f t="shared" si="70"/>
        <v>0</v>
      </c>
      <c r="BC292" s="37"/>
      <c r="BD292" s="76">
        <f t="shared" si="71"/>
        <v>0</v>
      </c>
      <c r="BE292" s="37"/>
      <c r="BF292" s="76">
        <f t="shared" si="72"/>
        <v>0</v>
      </c>
      <c r="BH292" s="76">
        <f t="shared" si="73"/>
        <v>0</v>
      </c>
      <c r="BJ292" s="76">
        <f t="shared" si="74"/>
        <v>0</v>
      </c>
      <c r="BL292" s="39">
        <f t="shared" si="75"/>
        <v>0</v>
      </c>
      <c r="BM292" s="3"/>
      <c r="BN292" s="3"/>
      <c r="BO292" s="3"/>
    </row>
    <row r="293" spans="1:67" x14ac:dyDescent="0.2">
      <c r="A293" s="14"/>
      <c r="B293" s="3" t="s">
        <v>271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>
        <f t="shared" si="69"/>
        <v>0</v>
      </c>
      <c r="BB293" s="76">
        <f t="shared" si="70"/>
        <v>0</v>
      </c>
      <c r="BC293" s="37"/>
      <c r="BD293" s="76">
        <f t="shared" si="71"/>
        <v>0</v>
      </c>
      <c r="BE293" s="37"/>
      <c r="BF293" s="76">
        <f t="shared" si="72"/>
        <v>0</v>
      </c>
      <c r="BH293" s="76">
        <f t="shared" si="73"/>
        <v>0</v>
      </c>
      <c r="BJ293" s="76">
        <f t="shared" si="74"/>
        <v>0</v>
      </c>
      <c r="BL293" s="39">
        <f t="shared" si="75"/>
        <v>0</v>
      </c>
      <c r="BM293" s="3"/>
      <c r="BN293" s="3"/>
      <c r="BO293" s="3"/>
    </row>
    <row r="294" spans="1:67" x14ac:dyDescent="0.2">
      <c r="A294" s="14"/>
      <c r="B294" s="3" t="s">
        <v>272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>
        <f t="shared" si="69"/>
        <v>0</v>
      </c>
      <c r="BB294" s="76">
        <f t="shared" si="70"/>
        <v>0</v>
      </c>
      <c r="BC294" s="37"/>
      <c r="BD294" s="76">
        <f t="shared" si="71"/>
        <v>0</v>
      </c>
      <c r="BE294" s="37"/>
      <c r="BF294" s="76">
        <f t="shared" si="72"/>
        <v>0</v>
      </c>
      <c r="BH294" s="76">
        <f t="shared" si="73"/>
        <v>0</v>
      </c>
      <c r="BJ294" s="76">
        <f t="shared" si="74"/>
        <v>0</v>
      </c>
      <c r="BL294" s="39">
        <f t="shared" si="75"/>
        <v>0</v>
      </c>
      <c r="BM294" s="3"/>
      <c r="BN294" s="3"/>
      <c r="BO294" s="3"/>
    </row>
    <row r="295" spans="1:67" x14ac:dyDescent="0.2">
      <c r="A295" s="14"/>
      <c r="B295" s="3" t="s">
        <v>273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>
        <f t="shared" si="69"/>
        <v>0</v>
      </c>
      <c r="BB295" s="76">
        <f t="shared" si="70"/>
        <v>0</v>
      </c>
      <c r="BC295" s="37"/>
      <c r="BD295" s="76">
        <f t="shared" si="71"/>
        <v>0</v>
      </c>
      <c r="BE295" s="37"/>
      <c r="BF295" s="76">
        <f t="shared" si="72"/>
        <v>0</v>
      </c>
      <c r="BH295" s="76">
        <f t="shared" si="73"/>
        <v>0</v>
      </c>
      <c r="BJ295" s="76">
        <f t="shared" si="74"/>
        <v>0</v>
      </c>
      <c r="BL295" s="39">
        <f t="shared" si="75"/>
        <v>0</v>
      </c>
      <c r="BM295" s="3"/>
      <c r="BN295" s="3"/>
      <c r="BO295" s="3"/>
    </row>
    <row r="296" spans="1:67" x14ac:dyDescent="0.2">
      <c r="A296" s="14"/>
      <c r="B296" s="3" t="s">
        <v>274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>
        <f t="shared" si="69"/>
        <v>0</v>
      </c>
      <c r="BB296" s="76">
        <f t="shared" si="70"/>
        <v>0</v>
      </c>
      <c r="BC296" s="37"/>
      <c r="BD296" s="76">
        <f t="shared" si="71"/>
        <v>0</v>
      </c>
      <c r="BE296" s="37"/>
      <c r="BF296" s="76">
        <f t="shared" si="72"/>
        <v>0</v>
      </c>
      <c r="BH296" s="76">
        <f t="shared" si="73"/>
        <v>0</v>
      </c>
      <c r="BJ296" s="76">
        <f t="shared" si="74"/>
        <v>0</v>
      </c>
      <c r="BL296" s="39">
        <f t="shared" si="75"/>
        <v>0</v>
      </c>
      <c r="BM296" s="3"/>
      <c r="BN296" s="3"/>
      <c r="BO296" s="3"/>
    </row>
    <row r="297" spans="1:67" x14ac:dyDescent="0.2">
      <c r="A297" s="14"/>
      <c r="B297" s="10" t="s">
        <v>438</v>
      </c>
      <c r="C297" s="20">
        <f>SUM(C267:C296)</f>
        <v>0</v>
      </c>
      <c r="E297" s="20">
        <f>SUM(E267:E296)</f>
        <v>0</v>
      </c>
      <c r="G297" s="20">
        <f>SUM(G267:G296)</f>
        <v>0</v>
      </c>
      <c r="I297" s="20">
        <f>SUM(I267:I296)</f>
        <v>0</v>
      </c>
      <c r="K297" s="20">
        <f>SUM(K267:K296)</f>
        <v>0</v>
      </c>
      <c r="M297" s="20">
        <f>SUM(M267:M296)</f>
        <v>0</v>
      </c>
      <c r="O297" s="20">
        <f>SUM(O267:O296)</f>
        <v>0</v>
      </c>
      <c r="Q297" s="20">
        <f>SUM(Q267:Q296)</f>
        <v>0</v>
      </c>
      <c r="S297" s="20">
        <f>SUM(S267:S296)</f>
        <v>0</v>
      </c>
      <c r="T297" s="20"/>
      <c r="U297" s="20">
        <f>SUM(U267:U296)</f>
        <v>0</v>
      </c>
      <c r="V297" s="20"/>
      <c r="W297" s="20">
        <f>SUM(W267:W296)</f>
        <v>0</v>
      </c>
      <c r="Y297" s="20">
        <f>SUM(Y267:Y296)</f>
        <v>0</v>
      </c>
      <c r="AA297" s="20">
        <f>SUM(AA267:AA296)</f>
        <v>0</v>
      </c>
      <c r="AC297" s="20">
        <f>SUM(AC267:AC296)</f>
        <v>0</v>
      </c>
      <c r="AE297" s="20">
        <f>SUM(AE267:AE296)</f>
        <v>0</v>
      </c>
      <c r="AG297" s="20">
        <f>SUM(AG267:AG296)</f>
        <v>0</v>
      </c>
      <c r="AI297" s="20">
        <f>SUM(AI267:AI296)</f>
        <v>0</v>
      </c>
      <c r="AK297" s="20">
        <f>SUM(AK267:AK296)</f>
        <v>0</v>
      </c>
      <c r="AL297" s="20"/>
      <c r="AM297" s="20">
        <f>SUM(AM267:AM296)</f>
        <v>0</v>
      </c>
      <c r="AN297" s="20"/>
      <c r="AO297" s="20">
        <f>SUM(AO267:AO296)</f>
        <v>0</v>
      </c>
      <c r="AP297" s="20"/>
      <c r="AQ297" s="20">
        <f>SUM(AQ267:AQ296)</f>
        <v>0</v>
      </c>
      <c r="AR297" s="20"/>
      <c r="AS297" s="20">
        <f>SUM(AS267:AS296)</f>
        <v>0</v>
      </c>
      <c r="AT297" s="20">
        <f>SUM(AT267:AT296)</f>
        <v>0</v>
      </c>
      <c r="AU297" s="20"/>
      <c r="AV297" s="20">
        <f>SUM(AV267:AV296)</f>
        <v>0</v>
      </c>
      <c r="AW297" s="20"/>
      <c r="AX297" s="20">
        <f>SUM(AX267:AX296)</f>
        <v>0</v>
      </c>
      <c r="AY297" s="20"/>
      <c r="AZ297" s="20">
        <f>SUM(AZ267:AZ296)</f>
        <v>0</v>
      </c>
      <c r="BB297" s="114">
        <f>SUM(BB267:BB296)</f>
        <v>0</v>
      </c>
      <c r="BC297" s="37"/>
      <c r="BD297" s="114">
        <f>SUM(BD267:BD296)</f>
        <v>0</v>
      </c>
      <c r="BE297" s="37"/>
      <c r="BF297" s="114">
        <f>SUM(BF267:BF296)</f>
        <v>0</v>
      </c>
      <c r="BH297" s="114">
        <f>SUM(BH267:BH296)</f>
        <v>0</v>
      </c>
      <c r="BJ297" s="114">
        <f>SUM(BJ267:BJ296)</f>
        <v>0</v>
      </c>
      <c r="BL297" s="39">
        <f t="shared" si="75"/>
        <v>0</v>
      </c>
      <c r="BM297" s="3"/>
      <c r="BN297" s="3"/>
      <c r="BO297" s="3"/>
    </row>
    <row r="298" spans="1:67" x14ac:dyDescent="0.2">
      <c r="A298" s="14"/>
      <c r="B298" s="10"/>
      <c r="BB298" s="76"/>
      <c r="BC298" s="37"/>
      <c r="BD298" s="76"/>
      <c r="BE298" s="37"/>
      <c r="BL298" s="39">
        <f t="shared" si="75"/>
        <v>0</v>
      </c>
      <c r="BM298" s="3"/>
      <c r="BN298" s="3"/>
      <c r="BO298" s="3"/>
    </row>
    <row r="299" spans="1:67" x14ac:dyDescent="0.2">
      <c r="A299" s="14"/>
      <c r="B299" s="10"/>
      <c r="BB299" s="76"/>
      <c r="BC299" s="37"/>
      <c r="BD299" s="76"/>
      <c r="BE299" s="37"/>
      <c r="BL299" s="39">
        <f t="shared" si="75"/>
        <v>0</v>
      </c>
      <c r="BM299" s="3"/>
      <c r="BN299" s="3"/>
      <c r="BO299" s="3"/>
    </row>
    <row r="300" spans="1:67" x14ac:dyDescent="0.2">
      <c r="A300" s="9" t="s">
        <v>17</v>
      </c>
      <c r="B300" s="10"/>
      <c r="BB300" s="76"/>
      <c r="BC300" s="37"/>
      <c r="BD300" s="76"/>
      <c r="BE300" s="37"/>
      <c r="BL300" s="39">
        <f t="shared" si="75"/>
        <v>0</v>
      </c>
      <c r="BM300" s="3"/>
      <c r="BN300" s="3"/>
      <c r="BO300" s="3"/>
    </row>
    <row r="301" spans="1:67" x14ac:dyDescent="0.2">
      <c r="A301" s="14"/>
      <c r="B301" s="10" t="s">
        <v>276</v>
      </c>
      <c r="BB301" s="76"/>
      <c r="BC301" s="37"/>
      <c r="BD301" s="76"/>
      <c r="BE301" s="37"/>
      <c r="BL301" s="39">
        <f t="shared" si="75"/>
        <v>0</v>
      </c>
      <c r="BM301" s="3"/>
      <c r="BN301" s="3"/>
      <c r="BO301" s="3"/>
    </row>
    <row r="302" spans="1:67" outlineLevel="1" x14ac:dyDescent="0.2">
      <c r="A302" s="14"/>
      <c r="B302" s="22" t="s">
        <v>277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>
        <f>SUM(C302:AY302)</f>
        <v>0</v>
      </c>
      <c r="BA302" s="5"/>
      <c r="BB302" s="76">
        <f t="shared" ref="BB302:BB322" si="76">SUMIF($C$10:$AY$10,"=Addition",$C302:$AY302)</f>
        <v>0</v>
      </c>
      <c r="BC302" s="37"/>
      <c r="BD302" s="76">
        <f t="shared" ref="BD302:BD322" si="77">SUMIF($C$10:$AY$10,"=Adjustment",$C302:$AY302)</f>
        <v>0</v>
      </c>
      <c r="BE302" s="37"/>
      <c r="BF302" s="76">
        <f t="shared" ref="BF302:BF322" si="78">SUMIF($C$10:$AY$10,"=Transfer",$C302:$AY302)</f>
        <v>0</v>
      </c>
      <c r="BH302" s="76">
        <f t="shared" ref="BH302:BH322" si="79">SUMIF($C$10:$AY$10,"=N/A",$C302:$AY302)</f>
        <v>0</v>
      </c>
      <c r="BJ302" s="76">
        <f t="shared" ref="BJ302:BJ322" si="80">SUM(BB302:BH302)</f>
        <v>0</v>
      </c>
      <c r="BL302" s="39">
        <f t="shared" si="75"/>
        <v>0</v>
      </c>
      <c r="BM302" s="3"/>
      <c r="BN302" s="3"/>
      <c r="BO302" s="3"/>
    </row>
    <row r="303" spans="1:67" outlineLevel="1" x14ac:dyDescent="0.2">
      <c r="A303" s="14"/>
      <c r="B303" s="3" t="s">
        <v>278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>
        <f>SUM(C303:AY303)</f>
        <v>0</v>
      </c>
      <c r="BA303" s="5"/>
      <c r="BB303" s="76">
        <f t="shared" si="76"/>
        <v>0</v>
      </c>
      <c r="BC303" s="37"/>
      <c r="BD303" s="76">
        <f t="shared" si="77"/>
        <v>0</v>
      </c>
      <c r="BE303" s="37"/>
      <c r="BF303" s="76">
        <f t="shared" si="78"/>
        <v>0</v>
      </c>
      <c r="BH303" s="76">
        <f t="shared" si="79"/>
        <v>0</v>
      </c>
      <c r="BJ303" s="76">
        <f t="shared" si="80"/>
        <v>0</v>
      </c>
      <c r="BL303" s="39">
        <f t="shared" si="75"/>
        <v>0</v>
      </c>
      <c r="BM303" s="3"/>
      <c r="BN303" s="3"/>
      <c r="BO303" s="3"/>
    </row>
    <row r="304" spans="1:67" x14ac:dyDescent="0.2">
      <c r="A304" s="14"/>
      <c r="B304" s="22" t="s">
        <v>279</v>
      </c>
      <c r="C304" s="15">
        <f>SUM(C302:C303)</f>
        <v>0</v>
      </c>
      <c r="D304" s="15"/>
      <c r="E304" s="15">
        <f>SUM(E302:E303)</f>
        <v>0</v>
      </c>
      <c r="F304" s="15"/>
      <c r="G304" s="15">
        <f>SUM(G302:G303)</f>
        <v>0</v>
      </c>
      <c r="H304" s="15"/>
      <c r="I304" s="15">
        <f>SUM(I302:I303)</f>
        <v>0</v>
      </c>
      <c r="J304" s="15"/>
      <c r="K304" s="15">
        <f>SUM(K302:K303)</f>
        <v>0</v>
      </c>
      <c r="L304" s="15"/>
      <c r="M304" s="15">
        <f>SUM(M302:M303)</f>
        <v>0</v>
      </c>
      <c r="N304" s="15"/>
      <c r="O304" s="15">
        <f>SUM(O302:O303)</f>
        <v>0</v>
      </c>
      <c r="P304" s="15"/>
      <c r="Q304" s="15">
        <f>SUM(Q302:Q303)</f>
        <v>0</v>
      </c>
      <c r="R304" s="15"/>
      <c r="S304" s="15">
        <f>SUM(S302:S303)</f>
        <v>0</v>
      </c>
      <c r="T304" s="15"/>
      <c r="U304" s="15">
        <f>SUM(U302:U303)</f>
        <v>0</v>
      </c>
      <c r="V304" s="15"/>
      <c r="W304" s="15">
        <f>SUM(W302:W303)</f>
        <v>0</v>
      </c>
      <c r="X304" s="15"/>
      <c r="Y304" s="15">
        <f>SUM(Y302:Y303)</f>
        <v>0</v>
      </c>
      <c r="Z304" s="15"/>
      <c r="AA304" s="15">
        <f>SUM(AA302:AA303)</f>
        <v>0</v>
      </c>
      <c r="AB304" s="15"/>
      <c r="AC304" s="15">
        <f>SUM(AC302:AC303)</f>
        <v>0</v>
      </c>
      <c r="AD304" s="15"/>
      <c r="AE304" s="15">
        <f>SUM(AE302:AE303)</f>
        <v>0</v>
      </c>
      <c r="AF304" s="15"/>
      <c r="AG304" s="15">
        <f>SUM(AG302:AG303)</f>
        <v>0</v>
      </c>
      <c r="AH304" s="15"/>
      <c r="AI304" s="15">
        <f>SUM(AI302:AI303)</f>
        <v>0</v>
      </c>
      <c r="AJ304" s="15"/>
      <c r="AK304" s="15">
        <f>SUM(AK302:AK303)</f>
        <v>0</v>
      </c>
      <c r="AL304" s="15"/>
      <c r="AM304" s="15">
        <f>SUM(AM302:AM303)</f>
        <v>0</v>
      </c>
      <c r="AN304" s="15"/>
      <c r="AO304" s="15">
        <f>SUM(AO302:AO303)</f>
        <v>0</v>
      </c>
      <c r="AP304" s="15"/>
      <c r="AQ304" s="15">
        <f>SUM(AQ302:AQ303)</f>
        <v>0</v>
      </c>
      <c r="AR304" s="15"/>
      <c r="AS304" s="15">
        <f>SUM(AS302:AS303)</f>
        <v>0</v>
      </c>
      <c r="AT304" s="15">
        <f>SUM(AT302:AT303)</f>
        <v>0</v>
      </c>
      <c r="AU304" s="15"/>
      <c r="AV304" s="15">
        <f>SUM(AV302:AV303)</f>
        <v>0</v>
      </c>
      <c r="AW304" s="15"/>
      <c r="AX304" s="15">
        <f>SUM(AX302:AX303)</f>
        <v>0</v>
      </c>
      <c r="AY304" s="15"/>
      <c r="AZ304" s="15">
        <f>SUM(C304:AP304)</f>
        <v>0</v>
      </c>
      <c r="BA304" s="5"/>
      <c r="BB304" s="76">
        <f t="shared" si="76"/>
        <v>0</v>
      </c>
      <c r="BC304" s="37"/>
      <c r="BD304" s="76">
        <f t="shared" si="77"/>
        <v>0</v>
      </c>
      <c r="BE304" s="37"/>
      <c r="BF304" s="76">
        <f t="shared" si="78"/>
        <v>0</v>
      </c>
      <c r="BH304" s="76">
        <f t="shared" si="79"/>
        <v>0</v>
      </c>
      <c r="BJ304" s="76">
        <f t="shared" si="80"/>
        <v>0</v>
      </c>
      <c r="BL304" s="39">
        <f t="shared" si="75"/>
        <v>0</v>
      </c>
      <c r="BM304" s="3"/>
      <c r="BN304" s="3"/>
      <c r="BO304" s="3"/>
    </row>
    <row r="305" spans="1:67" x14ac:dyDescent="0.2">
      <c r="A305" s="14"/>
      <c r="B305" s="3" t="s">
        <v>280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>
        <f t="shared" ref="AZ305:AZ313" si="81">SUM(C305:AY305)</f>
        <v>0</v>
      </c>
      <c r="BA305" s="5"/>
      <c r="BB305" s="76">
        <f t="shared" si="76"/>
        <v>0</v>
      </c>
      <c r="BC305" s="37"/>
      <c r="BD305" s="76">
        <f t="shared" si="77"/>
        <v>0</v>
      </c>
      <c r="BE305" s="37"/>
      <c r="BF305" s="76">
        <f t="shared" si="78"/>
        <v>0</v>
      </c>
      <c r="BH305" s="76">
        <f t="shared" si="79"/>
        <v>0</v>
      </c>
      <c r="BJ305" s="76">
        <f t="shared" si="80"/>
        <v>0</v>
      </c>
      <c r="BL305" s="39">
        <f t="shared" si="75"/>
        <v>0</v>
      </c>
      <c r="BM305" s="3"/>
      <c r="BN305" s="3"/>
      <c r="BO305" s="3"/>
    </row>
    <row r="306" spans="1:67" x14ac:dyDescent="0.2">
      <c r="A306" s="14"/>
      <c r="B306" s="3" t="s">
        <v>281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>
        <f t="shared" si="81"/>
        <v>0</v>
      </c>
      <c r="BA306" s="5"/>
      <c r="BB306" s="76">
        <f t="shared" si="76"/>
        <v>0</v>
      </c>
      <c r="BC306" s="37"/>
      <c r="BD306" s="76">
        <f t="shared" si="77"/>
        <v>0</v>
      </c>
      <c r="BE306" s="37"/>
      <c r="BF306" s="76">
        <f t="shared" si="78"/>
        <v>0</v>
      </c>
      <c r="BH306" s="76">
        <f t="shared" si="79"/>
        <v>0</v>
      </c>
      <c r="BJ306" s="76">
        <f t="shared" si="80"/>
        <v>0</v>
      </c>
      <c r="BL306" s="39">
        <f t="shared" si="75"/>
        <v>0</v>
      </c>
      <c r="BM306" s="3"/>
      <c r="BN306" s="3"/>
      <c r="BO306" s="3"/>
    </row>
    <row r="307" spans="1:67" x14ac:dyDescent="0.2">
      <c r="A307" s="14"/>
      <c r="B307" s="3" t="s">
        <v>282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>
        <f t="shared" si="81"/>
        <v>0</v>
      </c>
      <c r="BA307" s="5"/>
      <c r="BB307" s="76">
        <f t="shared" si="76"/>
        <v>0</v>
      </c>
      <c r="BC307" s="37"/>
      <c r="BD307" s="76">
        <f t="shared" si="77"/>
        <v>0</v>
      </c>
      <c r="BE307" s="37"/>
      <c r="BF307" s="76">
        <f t="shared" si="78"/>
        <v>0</v>
      </c>
      <c r="BH307" s="76">
        <f t="shared" si="79"/>
        <v>0</v>
      </c>
      <c r="BJ307" s="76">
        <f t="shared" si="80"/>
        <v>0</v>
      </c>
      <c r="BL307" s="39">
        <f t="shared" si="75"/>
        <v>0</v>
      </c>
      <c r="BM307" s="3"/>
      <c r="BN307" s="3"/>
      <c r="BO307" s="3"/>
    </row>
    <row r="308" spans="1:67" x14ac:dyDescent="0.2">
      <c r="A308" s="14"/>
      <c r="B308" s="3" t="s">
        <v>283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>
        <f t="shared" si="81"/>
        <v>0</v>
      </c>
      <c r="BA308" s="5"/>
      <c r="BB308" s="76">
        <f t="shared" si="76"/>
        <v>0</v>
      </c>
      <c r="BC308" s="37"/>
      <c r="BD308" s="76">
        <f t="shared" si="77"/>
        <v>0</v>
      </c>
      <c r="BE308" s="37"/>
      <c r="BF308" s="76">
        <f t="shared" si="78"/>
        <v>0</v>
      </c>
      <c r="BH308" s="76">
        <f t="shared" si="79"/>
        <v>0</v>
      </c>
      <c r="BJ308" s="76">
        <f t="shared" si="80"/>
        <v>0</v>
      </c>
      <c r="BL308" s="39">
        <f t="shared" si="75"/>
        <v>0</v>
      </c>
      <c r="BM308" s="3"/>
      <c r="BN308" s="3"/>
      <c r="BO308" s="3"/>
    </row>
    <row r="309" spans="1:67" x14ac:dyDescent="0.2">
      <c r="A309" s="14"/>
      <c r="B309" s="3" t="s">
        <v>284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>
        <f t="shared" si="81"/>
        <v>0</v>
      </c>
      <c r="BA309" s="5"/>
      <c r="BB309" s="76">
        <f t="shared" si="76"/>
        <v>0</v>
      </c>
      <c r="BC309" s="37"/>
      <c r="BD309" s="76">
        <f t="shared" si="77"/>
        <v>0</v>
      </c>
      <c r="BE309" s="37"/>
      <c r="BF309" s="76">
        <f t="shared" si="78"/>
        <v>0</v>
      </c>
      <c r="BH309" s="76">
        <f t="shared" si="79"/>
        <v>0</v>
      </c>
      <c r="BJ309" s="76">
        <f t="shared" si="80"/>
        <v>0</v>
      </c>
      <c r="BL309" s="39">
        <f t="shared" si="75"/>
        <v>0</v>
      </c>
      <c r="BM309" s="3"/>
      <c r="BN309" s="3"/>
      <c r="BO309" s="3"/>
    </row>
    <row r="310" spans="1:67" x14ac:dyDescent="0.2">
      <c r="A310" s="14"/>
      <c r="B310" s="3" t="s">
        <v>285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>
        <f t="shared" si="81"/>
        <v>0</v>
      </c>
      <c r="BA310" s="5"/>
      <c r="BB310" s="76">
        <f t="shared" si="76"/>
        <v>0</v>
      </c>
      <c r="BC310" s="37"/>
      <c r="BD310" s="76">
        <f t="shared" si="77"/>
        <v>0</v>
      </c>
      <c r="BE310" s="37"/>
      <c r="BF310" s="76">
        <f t="shared" si="78"/>
        <v>0</v>
      </c>
      <c r="BH310" s="76">
        <f t="shared" si="79"/>
        <v>0</v>
      </c>
      <c r="BJ310" s="76">
        <f t="shared" si="80"/>
        <v>0</v>
      </c>
      <c r="BL310" s="39">
        <f t="shared" si="75"/>
        <v>0</v>
      </c>
      <c r="BM310" s="3"/>
      <c r="BN310" s="3"/>
      <c r="BO310" s="3"/>
    </row>
    <row r="311" spans="1:67" x14ac:dyDescent="0.2">
      <c r="A311" s="14"/>
      <c r="B311" s="3" t="s">
        <v>286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>
        <f t="shared" si="81"/>
        <v>0</v>
      </c>
      <c r="BA311" s="5"/>
      <c r="BB311" s="76">
        <f t="shared" si="76"/>
        <v>0</v>
      </c>
      <c r="BC311" s="37"/>
      <c r="BD311" s="76">
        <f t="shared" si="77"/>
        <v>0</v>
      </c>
      <c r="BE311" s="37"/>
      <c r="BF311" s="76">
        <f t="shared" si="78"/>
        <v>0</v>
      </c>
      <c r="BH311" s="76">
        <f t="shared" si="79"/>
        <v>0</v>
      </c>
      <c r="BJ311" s="76">
        <f t="shared" si="80"/>
        <v>0</v>
      </c>
      <c r="BL311" s="39">
        <f t="shared" si="75"/>
        <v>0</v>
      </c>
      <c r="BM311" s="3"/>
      <c r="BN311" s="3"/>
      <c r="BO311" s="3"/>
    </row>
    <row r="312" spans="1:67" outlineLevel="1" x14ac:dyDescent="0.2">
      <c r="A312" s="14"/>
      <c r="B312" s="3" t="s">
        <v>287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>
        <f t="shared" si="81"/>
        <v>0</v>
      </c>
      <c r="BA312" s="5"/>
      <c r="BB312" s="76">
        <f t="shared" si="76"/>
        <v>0</v>
      </c>
      <c r="BC312" s="37"/>
      <c r="BD312" s="76">
        <f t="shared" si="77"/>
        <v>0</v>
      </c>
      <c r="BE312" s="37"/>
      <c r="BF312" s="76">
        <f t="shared" si="78"/>
        <v>0</v>
      </c>
      <c r="BH312" s="76">
        <f t="shared" si="79"/>
        <v>0</v>
      </c>
      <c r="BJ312" s="76">
        <f t="shared" si="80"/>
        <v>0</v>
      </c>
      <c r="BL312" s="39">
        <f t="shared" si="75"/>
        <v>0</v>
      </c>
      <c r="BM312" s="3"/>
      <c r="BN312" s="3"/>
      <c r="BO312" s="3"/>
    </row>
    <row r="313" spans="1:67" outlineLevel="1" x14ac:dyDescent="0.2">
      <c r="A313" s="14"/>
      <c r="B313" s="3" t="s">
        <v>288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>
        <f t="shared" si="81"/>
        <v>0</v>
      </c>
      <c r="BA313" s="5"/>
      <c r="BB313" s="76">
        <f t="shared" si="76"/>
        <v>0</v>
      </c>
      <c r="BC313" s="37"/>
      <c r="BD313" s="76">
        <f t="shared" si="77"/>
        <v>0</v>
      </c>
      <c r="BE313" s="37"/>
      <c r="BF313" s="76">
        <f t="shared" si="78"/>
        <v>0</v>
      </c>
      <c r="BH313" s="76">
        <f t="shared" si="79"/>
        <v>0</v>
      </c>
      <c r="BJ313" s="76">
        <f t="shared" si="80"/>
        <v>0</v>
      </c>
      <c r="BL313" s="39">
        <f t="shared" si="75"/>
        <v>0</v>
      </c>
      <c r="BM313" s="3"/>
      <c r="BN313" s="3"/>
      <c r="BO313" s="3"/>
    </row>
    <row r="314" spans="1:67" x14ac:dyDescent="0.2">
      <c r="A314" s="14"/>
      <c r="B314" s="3" t="s">
        <v>289</v>
      </c>
      <c r="C314" s="15">
        <f>SUM(C312:C313)</f>
        <v>0</v>
      </c>
      <c r="D314" s="15"/>
      <c r="E314" s="15">
        <f>SUM(E312:E313)</f>
        <v>0</v>
      </c>
      <c r="F314" s="15"/>
      <c r="G314" s="15">
        <f>SUM(G312:G313)</f>
        <v>0</v>
      </c>
      <c r="H314" s="15"/>
      <c r="I314" s="15">
        <f>SUM(I312:I313)</f>
        <v>0</v>
      </c>
      <c r="J314" s="15"/>
      <c r="K314" s="15">
        <f>SUM(K312:K313)</f>
        <v>0</v>
      </c>
      <c r="L314" s="15"/>
      <c r="M314" s="15">
        <f>SUM(M312:M313)</f>
        <v>0</v>
      </c>
      <c r="N314" s="15"/>
      <c r="O314" s="15">
        <f>SUM(O312:O313)</f>
        <v>0</v>
      </c>
      <c r="P314" s="15"/>
      <c r="Q314" s="15">
        <f>SUM(Q312:Q313)</f>
        <v>0</v>
      </c>
      <c r="R314" s="15"/>
      <c r="S314" s="15">
        <f>SUM(S312:S313)</f>
        <v>0</v>
      </c>
      <c r="T314" s="15"/>
      <c r="U314" s="15">
        <f>SUM(U312:U313)</f>
        <v>0</v>
      </c>
      <c r="V314" s="15"/>
      <c r="W314" s="15">
        <f>SUM(W312:W313)</f>
        <v>0</v>
      </c>
      <c r="X314" s="15"/>
      <c r="Y314" s="15">
        <f>SUM(Y312:Y313)</f>
        <v>0</v>
      </c>
      <c r="Z314" s="15"/>
      <c r="AA314" s="15">
        <f>SUM(AA312:AA313)</f>
        <v>0</v>
      </c>
      <c r="AB314" s="15"/>
      <c r="AC314" s="15">
        <f>SUM(AC312:AC313)</f>
        <v>0</v>
      </c>
      <c r="AD314" s="15"/>
      <c r="AE314" s="15">
        <f>SUM(AE312:AE313)</f>
        <v>0</v>
      </c>
      <c r="AF314" s="15"/>
      <c r="AG314" s="15">
        <f>SUM(AG312:AG313)</f>
        <v>0</v>
      </c>
      <c r="AH314" s="15"/>
      <c r="AI314" s="15">
        <f>SUM(AI312:AI313)</f>
        <v>0</v>
      </c>
      <c r="AJ314" s="15"/>
      <c r="AK314" s="15">
        <f>SUM(AK312:AK313)</f>
        <v>0</v>
      </c>
      <c r="AL314" s="15"/>
      <c r="AM314" s="15">
        <f>SUM(AM312:AM313)</f>
        <v>0</v>
      </c>
      <c r="AN314" s="15"/>
      <c r="AO314" s="15">
        <f>SUM(AO312:AO313)</f>
        <v>0</v>
      </c>
      <c r="AP314" s="15"/>
      <c r="AQ314" s="15">
        <f>SUM(AQ312:AQ313)</f>
        <v>0</v>
      </c>
      <c r="AR314" s="15"/>
      <c r="AS314" s="15">
        <f>SUM(AS312:AS313)</f>
        <v>0</v>
      </c>
      <c r="AT314" s="15">
        <f>SUM(AT312:AT313)</f>
        <v>0</v>
      </c>
      <c r="AU314" s="15"/>
      <c r="AV314" s="15">
        <f>SUM(AV312:AV313)</f>
        <v>0</v>
      </c>
      <c r="AW314" s="15"/>
      <c r="AX314" s="15">
        <f>SUM(AX312:AX313)</f>
        <v>0</v>
      </c>
      <c r="AY314" s="15"/>
      <c r="AZ314" s="15">
        <f>SUM(AZ312:AZ313)</f>
        <v>0</v>
      </c>
      <c r="BA314" s="5"/>
      <c r="BB314" s="76">
        <f t="shared" si="76"/>
        <v>0</v>
      </c>
      <c r="BC314" s="37"/>
      <c r="BD314" s="76">
        <f t="shared" si="77"/>
        <v>0</v>
      </c>
      <c r="BE314" s="37"/>
      <c r="BF314" s="76">
        <f t="shared" si="78"/>
        <v>0</v>
      </c>
      <c r="BH314" s="76">
        <f t="shared" si="79"/>
        <v>0</v>
      </c>
      <c r="BJ314" s="76">
        <f t="shared" si="80"/>
        <v>0</v>
      </c>
      <c r="BL314" s="39">
        <f t="shared" si="75"/>
        <v>0</v>
      </c>
      <c r="BM314" s="3"/>
      <c r="BN314" s="3"/>
      <c r="BO314" s="3"/>
    </row>
    <row r="315" spans="1:67" x14ac:dyDescent="0.2">
      <c r="A315" s="14"/>
      <c r="B315" s="3" t="s">
        <v>290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>
        <f>SUM(C315:AY315)</f>
        <v>0</v>
      </c>
      <c r="BA315" s="5"/>
      <c r="BB315" s="76">
        <f t="shared" si="76"/>
        <v>0</v>
      </c>
      <c r="BC315" s="37"/>
      <c r="BD315" s="76">
        <f t="shared" si="77"/>
        <v>0</v>
      </c>
      <c r="BE315" s="37"/>
      <c r="BF315" s="76">
        <f t="shared" si="78"/>
        <v>0</v>
      </c>
      <c r="BH315" s="76">
        <f t="shared" si="79"/>
        <v>0</v>
      </c>
      <c r="BJ315" s="76">
        <f t="shared" si="80"/>
        <v>0</v>
      </c>
      <c r="BL315" s="39">
        <f t="shared" si="75"/>
        <v>0</v>
      </c>
      <c r="BM315" s="3"/>
      <c r="BN315" s="3"/>
      <c r="BO315" s="3"/>
    </row>
    <row r="316" spans="1:67" outlineLevel="1" x14ac:dyDescent="0.2">
      <c r="A316" s="14"/>
      <c r="B316" s="3" t="s">
        <v>291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>
        <f>SUM(C316:AY316)</f>
        <v>0</v>
      </c>
      <c r="BA316" s="5"/>
      <c r="BB316" s="76">
        <f t="shared" si="76"/>
        <v>0</v>
      </c>
      <c r="BC316" s="37"/>
      <c r="BD316" s="76">
        <f t="shared" si="77"/>
        <v>0</v>
      </c>
      <c r="BE316" s="37"/>
      <c r="BF316" s="76">
        <f t="shared" si="78"/>
        <v>0</v>
      </c>
      <c r="BH316" s="76">
        <f t="shared" si="79"/>
        <v>0</v>
      </c>
      <c r="BJ316" s="76">
        <f t="shared" si="80"/>
        <v>0</v>
      </c>
      <c r="BL316" s="39">
        <f t="shared" si="75"/>
        <v>0</v>
      </c>
      <c r="BM316" s="3"/>
      <c r="BN316" s="3"/>
      <c r="BO316" s="3"/>
    </row>
    <row r="317" spans="1:67" outlineLevel="1" x14ac:dyDescent="0.2">
      <c r="A317" s="14"/>
      <c r="B317" s="3" t="s">
        <v>292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>
        <f>SUM(C317:AY317)</f>
        <v>0</v>
      </c>
      <c r="BA317" s="5"/>
      <c r="BB317" s="76">
        <f t="shared" si="76"/>
        <v>0</v>
      </c>
      <c r="BC317" s="37"/>
      <c r="BD317" s="76">
        <f t="shared" si="77"/>
        <v>0</v>
      </c>
      <c r="BE317" s="37"/>
      <c r="BF317" s="76">
        <f t="shared" si="78"/>
        <v>0</v>
      </c>
      <c r="BH317" s="76">
        <f t="shared" si="79"/>
        <v>0</v>
      </c>
      <c r="BJ317" s="76">
        <f t="shared" si="80"/>
        <v>0</v>
      </c>
      <c r="BL317" s="39">
        <f t="shared" si="75"/>
        <v>0</v>
      </c>
      <c r="BM317" s="3"/>
      <c r="BN317" s="3"/>
      <c r="BO317" s="3"/>
    </row>
    <row r="318" spans="1:67" outlineLevel="1" x14ac:dyDescent="0.2">
      <c r="A318" s="14"/>
      <c r="B318" s="3" t="s">
        <v>293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>
        <f>SUM(C318:AY318)</f>
        <v>0</v>
      </c>
      <c r="BA318" s="5"/>
      <c r="BB318" s="76">
        <f t="shared" si="76"/>
        <v>0</v>
      </c>
      <c r="BC318" s="37"/>
      <c r="BD318" s="76">
        <f t="shared" si="77"/>
        <v>0</v>
      </c>
      <c r="BE318" s="37"/>
      <c r="BF318" s="76">
        <f t="shared" si="78"/>
        <v>0</v>
      </c>
      <c r="BH318" s="76">
        <f t="shared" si="79"/>
        <v>0</v>
      </c>
      <c r="BJ318" s="76">
        <f t="shared" si="80"/>
        <v>0</v>
      </c>
      <c r="BL318" s="39">
        <f t="shared" si="75"/>
        <v>0</v>
      </c>
      <c r="BM318" s="3"/>
      <c r="BN318" s="3"/>
      <c r="BO318" s="3"/>
    </row>
    <row r="319" spans="1:67" x14ac:dyDescent="0.2">
      <c r="A319" s="14"/>
      <c r="B319" s="3" t="s">
        <v>294</v>
      </c>
      <c r="C319" s="15">
        <f>SUM(C316:C318)</f>
        <v>0</v>
      </c>
      <c r="D319" s="15"/>
      <c r="E319" s="109">
        <f>SUM(E316:E318)</f>
        <v>0</v>
      </c>
      <c r="F319" s="15"/>
      <c r="G319" s="109">
        <f>SUM(G316:G318)</f>
        <v>0</v>
      </c>
      <c r="H319" s="15"/>
      <c r="I319" s="109">
        <f>SUM(I316:I318)</f>
        <v>0</v>
      </c>
      <c r="J319" s="15"/>
      <c r="K319" s="109">
        <f>SUM(K316:K318)</f>
        <v>0</v>
      </c>
      <c r="L319" s="15"/>
      <c r="M319" s="109">
        <f>SUM(M316:M318)</f>
        <v>0</v>
      </c>
      <c r="N319" s="15"/>
      <c r="O319" s="109">
        <f>SUM(O316:O318)</f>
        <v>0</v>
      </c>
      <c r="P319" s="15"/>
      <c r="Q319" s="109">
        <f>SUM(Q316:Q318)</f>
        <v>0</v>
      </c>
      <c r="R319" s="15"/>
      <c r="S319" s="109">
        <f>SUM(S316:S318)</f>
        <v>0</v>
      </c>
      <c r="T319" s="109"/>
      <c r="U319" s="109">
        <f>SUM(U316:U318)</f>
        <v>0</v>
      </c>
      <c r="V319" s="109"/>
      <c r="W319" s="109">
        <f>SUM(W316:W318)</f>
        <v>0</v>
      </c>
      <c r="X319" s="15"/>
      <c r="Y319" s="109">
        <f>SUM(Y316:Y318)</f>
        <v>0</v>
      </c>
      <c r="Z319" s="15"/>
      <c r="AA319" s="109">
        <f>SUM(AA316:AA318)</f>
        <v>0</v>
      </c>
      <c r="AB319" s="15"/>
      <c r="AC319" s="109">
        <f>SUM(AC316:AC318)</f>
        <v>0</v>
      </c>
      <c r="AD319" s="15"/>
      <c r="AE319" s="109">
        <f>SUM(AE316:AE318)</f>
        <v>0</v>
      </c>
      <c r="AF319" s="15"/>
      <c r="AG319" s="109">
        <f>SUM(AG316:AG318)</f>
        <v>0</v>
      </c>
      <c r="AH319" s="15"/>
      <c r="AI319" s="109">
        <f>SUM(AI316:AI318)</f>
        <v>0</v>
      </c>
      <c r="AJ319" s="15"/>
      <c r="AK319" s="109">
        <f>SUM(AK316:AK318)</f>
        <v>0</v>
      </c>
      <c r="AL319" s="109"/>
      <c r="AM319" s="109">
        <f>SUM(AM316:AM318)</f>
        <v>0</v>
      </c>
      <c r="AN319" s="109"/>
      <c r="AO319" s="109">
        <f>SUM(AO316:AO318)</f>
        <v>0</v>
      </c>
      <c r="AP319" s="109"/>
      <c r="AQ319" s="109">
        <f>SUM(AQ316:AQ318)</f>
        <v>0</v>
      </c>
      <c r="AR319" s="109"/>
      <c r="AS319" s="109">
        <f>SUM(AS316:AS318)</f>
        <v>0</v>
      </c>
      <c r="AT319" s="109">
        <f>SUM(AT316:AT318)</f>
        <v>0</v>
      </c>
      <c r="AU319" s="109"/>
      <c r="AV319" s="109">
        <f>SUM(AV316:AV318)</f>
        <v>0</v>
      </c>
      <c r="AW319" s="109"/>
      <c r="AX319" s="109">
        <f>SUM(AX316:AX318)</f>
        <v>0</v>
      </c>
      <c r="AY319" s="109"/>
      <c r="AZ319" s="15">
        <f>SUM(AZ316:AZ318)</f>
        <v>0</v>
      </c>
      <c r="BA319" s="5"/>
      <c r="BB319" s="76">
        <f t="shared" si="76"/>
        <v>0</v>
      </c>
      <c r="BC319" s="37"/>
      <c r="BD319" s="76">
        <f t="shared" si="77"/>
        <v>0</v>
      </c>
      <c r="BE319" s="37"/>
      <c r="BF319" s="76">
        <f t="shared" si="78"/>
        <v>0</v>
      </c>
      <c r="BH319" s="76">
        <f t="shared" si="79"/>
        <v>0</v>
      </c>
      <c r="BJ319" s="76">
        <f t="shared" si="80"/>
        <v>0</v>
      </c>
      <c r="BL319" s="39">
        <f t="shared" si="75"/>
        <v>0</v>
      </c>
      <c r="BM319" s="3"/>
      <c r="BN319" s="3"/>
      <c r="BO319" s="3"/>
    </row>
    <row r="320" spans="1:67" outlineLevel="1" x14ac:dyDescent="0.2">
      <c r="A320" s="14"/>
      <c r="B320" s="3" t="s">
        <v>295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>
        <f>SUM(C320:AY320)</f>
        <v>0</v>
      </c>
      <c r="BA320" s="5"/>
      <c r="BB320" s="76">
        <f t="shared" si="76"/>
        <v>0</v>
      </c>
      <c r="BC320" s="37"/>
      <c r="BD320" s="76">
        <f t="shared" si="77"/>
        <v>0</v>
      </c>
      <c r="BE320" s="37"/>
      <c r="BF320" s="76">
        <f t="shared" si="78"/>
        <v>0</v>
      </c>
      <c r="BH320" s="76">
        <f t="shared" si="79"/>
        <v>0</v>
      </c>
      <c r="BJ320" s="76">
        <f t="shared" si="80"/>
        <v>0</v>
      </c>
      <c r="BL320" s="39">
        <f t="shared" si="75"/>
        <v>0</v>
      </c>
      <c r="BM320" s="3"/>
      <c r="BN320" s="3"/>
      <c r="BO320" s="3"/>
    </row>
    <row r="321" spans="1:67" outlineLevel="1" x14ac:dyDescent="0.2">
      <c r="A321" s="14"/>
      <c r="B321" s="124" t="s">
        <v>296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>
        <f>SUM(C321:AY321)</f>
        <v>0</v>
      </c>
      <c r="BA321" s="5"/>
      <c r="BB321" s="76">
        <f t="shared" si="76"/>
        <v>0</v>
      </c>
      <c r="BC321" s="37"/>
      <c r="BD321" s="76">
        <f t="shared" si="77"/>
        <v>0</v>
      </c>
      <c r="BE321" s="37"/>
      <c r="BF321" s="76">
        <f t="shared" si="78"/>
        <v>0</v>
      </c>
      <c r="BH321" s="76">
        <f t="shared" si="79"/>
        <v>0</v>
      </c>
      <c r="BJ321" s="76">
        <f t="shared" si="80"/>
        <v>0</v>
      </c>
      <c r="BL321" s="39">
        <f t="shared" si="75"/>
        <v>0</v>
      </c>
      <c r="BM321" s="3"/>
      <c r="BN321" s="3"/>
      <c r="BO321" s="3"/>
    </row>
    <row r="322" spans="1:67" x14ac:dyDescent="0.2">
      <c r="A322" s="14"/>
      <c r="B322" s="124" t="s">
        <v>297</v>
      </c>
      <c r="C322" s="15">
        <f>SUM(C320:C321)</f>
        <v>0</v>
      </c>
      <c r="D322" s="15"/>
      <c r="E322" s="15">
        <f>SUM(E320:E321)</f>
        <v>0</v>
      </c>
      <c r="F322" s="15"/>
      <c r="G322" s="15">
        <f>SUM(G320:G321)</f>
        <v>0</v>
      </c>
      <c r="H322" s="15"/>
      <c r="I322" s="15">
        <f>SUM(I320:I321)</f>
        <v>0</v>
      </c>
      <c r="J322" s="15"/>
      <c r="K322" s="15">
        <f>SUM(K320:K321)</f>
        <v>0</v>
      </c>
      <c r="L322" s="15"/>
      <c r="M322" s="15">
        <f>SUM(M320:M321)</f>
        <v>0</v>
      </c>
      <c r="N322" s="15"/>
      <c r="O322" s="15">
        <f>SUM(O320:O321)</f>
        <v>0</v>
      </c>
      <c r="P322" s="15"/>
      <c r="Q322" s="15">
        <f>SUM(Q320:Q321)</f>
        <v>0</v>
      </c>
      <c r="R322" s="15"/>
      <c r="S322" s="15">
        <f>SUM(S320:S321)</f>
        <v>0</v>
      </c>
      <c r="T322" s="15"/>
      <c r="U322" s="15">
        <f>SUM(U320:U321)</f>
        <v>0</v>
      </c>
      <c r="V322" s="15"/>
      <c r="W322" s="15">
        <f>SUM(W320:W321)</f>
        <v>0</v>
      </c>
      <c r="X322" s="15"/>
      <c r="Y322" s="15">
        <f>SUM(Y320:Y321)</f>
        <v>0</v>
      </c>
      <c r="Z322" s="15"/>
      <c r="AA322" s="15">
        <f>SUM(AA320:AA321)</f>
        <v>0</v>
      </c>
      <c r="AB322" s="15"/>
      <c r="AC322" s="15">
        <f>SUM(AC320:AC321)</f>
        <v>0</v>
      </c>
      <c r="AD322" s="15"/>
      <c r="AE322" s="15">
        <f>SUM(AE320:AE321)</f>
        <v>0</v>
      </c>
      <c r="AF322" s="15"/>
      <c r="AG322" s="15">
        <f>SUM(AG320:AG321)</f>
        <v>0</v>
      </c>
      <c r="AH322" s="15"/>
      <c r="AI322" s="15">
        <f>SUM(AI320:AI321)</f>
        <v>0</v>
      </c>
      <c r="AJ322" s="15"/>
      <c r="AK322" s="15">
        <f>SUM(AK320:AK321)</f>
        <v>0</v>
      </c>
      <c r="AL322" s="15"/>
      <c r="AM322" s="15">
        <f>SUM(AM320:AM321)</f>
        <v>0</v>
      </c>
      <c r="AN322" s="15"/>
      <c r="AO322" s="15">
        <f>SUM(AO320:AO321)</f>
        <v>0</v>
      </c>
      <c r="AP322" s="15"/>
      <c r="AQ322" s="15">
        <f>SUM(AQ320:AQ321)</f>
        <v>0</v>
      </c>
      <c r="AR322" s="15"/>
      <c r="AS322" s="15">
        <f>SUM(AS320:AS321)</f>
        <v>0</v>
      </c>
      <c r="AT322" s="15">
        <f>SUM(AT320:AT321)</f>
        <v>0</v>
      </c>
      <c r="AU322" s="15"/>
      <c r="AV322" s="15">
        <f>SUM(AV320:AV321)</f>
        <v>0</v>
      </c>
      <c r="AW322" s="15"/>
      <c r="AX322" s="15">
        <f>SUM(AX320:AX321)</f>
        <v>0</v>
      </c>
      <c r="AY322" s="15"/>
      <c r="AZ322" s="15">
        <f>SUM(AZ320:AZ321)</f>
        <v>0</v>
      </c>
      <c r="BA322" s="5"/>
      <c r="BB322" s="76">
        <f t="shared" si="76"/>
        <v>0</v>
      </c>
      <c r="BC322" s="37"/>
      <c r="BD322" s="76">
        <f t="shared" si="77"/>
        <v>0</v>
      </c>
      <c r="BE322" s="37"/>
      <c r="BF322" s="76">
        <f t="shared" si="78"/>
        <v>0</v>
      </c>
      <c r="BH322" s="76">
        <f t="shared" si="79"/>
        <v>0</v>
      </c>
      <c r="BJ322" s="76">
        <f t="shared" si="80"/>
        <v>0</v>
      </c>
      <c r="BL322" s="39">
        <f t="shared" si="75"/>
        <v>0</v>
      </c>
      <c r="BM322" s="3"/>
      <c r="BN322" s="3"/>
      <c r="BO322" s="3"/>
    </row>
    <row r="323" spans="1:67" x14ac:dyDescent="0.2">
      <c r="A323" s="14"/>
      <c r="B323" s="10" t="s">
        <v>298</v>
      </c>
      <c r="C323" s="20">
        <f>C322+C319+C315+C314+SUM(C304:C311)</f>
        <v>0</v>
      </c>
      <c r="D323" s="15"/>
      <c r="E323" s="20">
        <f>E322+E319+E315+E314+SUM(E304:E311)</f>
        <v>0</v>
      </c>
      <c r="F323" s="15"/>
      <c r="G323" s="20">
        <f>G322+G319+G315+G314+SUM(G304:G311)</f>
        <v>0</v>
      </c>
      <c r="H323" s="15"/>
      <c r="I323" s="20">
        <f>I322+I319+I315+I314+SUM(I304:I311)</f>
        <v>0</v>
      </c>
      <c r="J323" s="15"/>
      <c r="K323" s="20">
        <f>K322+K319+K315+K314+SUM(K304:K311)</f>
        <v>0</v>
      </c>
      <c r="L323" s="15"/>
      <c r="M323" s="20">
        <f>M322+M319+M315+M314+SUM(M304:M311)</f>
        <v>0</v>
      </c>
      <c r="N323" s="15"/>
      <c r="O323" s="20">
        <f>O322+O319+O315+O314+SUM(O304:O311)</f>
        <v>0</v>
      </c>
      <c r="P323" s="15"/>
      <c r="Q323" s="20">
        <f>Q322+Q319+Q315+Q314+SUM(Q304:Q311)</f>
        <v>0</v>
      </c>
      <c r="R323" s="15"/>
      <c r="S323" s="20">
        <f>S322+S319+S315+S314+SUM(S304:S311)</f>
        <v>0</v>
      </c>
      <c r="T323" s="20"/>
      <c r="U323" s="20">
        <f>U322+U319+U315+U314+SUM(U304:U311)</f>
        <v>0</v>
      </c>
      <c r="V323" s="20"/>
      <c r="W323" s="20">
        <f>W322+W319+W315+W314+SUM(W304:W311)</f>
        <v>0</v>
      </c>
      <c r="X323" s="15"/>
      <c r="Y323" s="20">
        <f>Y322+Y319+Y315+Y314+SUM(Y304:Y311)</f>
        <v>0</v>
      </c>
      <c r="Z323" s="15"/>
      <c r="AA323" s="20">
        <f>AA322+AA319+AA315+AA314+SUM(AA304:AA311)</f>
        <v>0</v>
      </c>
      <c r="AB323" s="15"/>
      <c r="AC323" s="20">
        <f>AC322+AC319+AC315+AC314+SUM(AC304:AC311)</f>
        <v>0</v>
      </c>
      <c r="AD323" s="15"/>
      <c r="AE323" s="20">
        <f>AE322+AE319+AE315+AE314+SUM(AE304:AE311)</f>
        <v>0</v>
      </c>
      <c r="AF323" s="15"/>
      <c r="AG323" s="20">
        <f>AG322+AG319+AG315+AG314+SUM(AG304:AG311)</f>
        <v>0</v>
      </c>
      <c r="AH323" s="15"/>
      <c r="AI323" s="20">
        <f>AI322+AI319+AI315+AI314+SUM(AI304:AI311)</f>
        <v>0</v>
      </c>
      <c r="AJ323" s="15"/>
      <c r="AK323" s="20">
        <f>AK322+AK319+AK315+AK314+SUM(AK304:AK311)</f>
        <v>0</v>
      </c>
      <c r="AL323" s="20"/>
      <c r="AM323" s="20">
        <f>AM322+AM319+AM315+AM314+SUM(AM304:AM311)</f>
        <v>0</v>
      </c>
      <c r="AN323" s="20"/>
      <c r="AO323" s="20">
        <f>AO322+AO319+AO315+AO314+SUM(AO304:AO311)</f>
        <v>0</v>
      </c>
      <c r="AP323" s="20"/>
      <c r="AQ323" s="20">
        <f>AQ322+AQ319+AQ315+AQ314+SUM(AQ304:AQ311)</f>
        <v>0</v>
      </c>
      <c r="AR323" s="20"/>
      <c r="AS323" s="20">
        <f>AS322+AS319+AS315+AS314+SUM(AS304:AS311)</f>
        <v>0</v>
      </c>
      <c r="AT323" s="20">
        <f>AT322+AT319+AT315+AT314+SUM(AT304:AT311)</f>
        <v>0</v>
      </c>
      <c r="AU323" s="20"/>
      <c r="AV323" s="20">
        <f>AV322+AV319+AV315+AV314+SUM(AV304:AV311)</f>
        <v>0</v>
      </c>
      <c r="AW323" s="20"/>
      <c r="AX323" s="20">
        <f>AX322+AX319+AX315+AX314+SUM(AX304:AX311)</f>
        <v>0</v>
      </c>
      <c r="AY323" s="20"/>
      <c r="AZ323" s="20">
        <f>AZ322+AZ319+AZ315+AZ314+SUM(AZ304:AZ311)</f>
        <v>0</v>
      </c>
      <c r="BA323" s="5"/>
      <c r="BB323" s="114">
        <f>BB322+BB319+BB315+BB314+SUM(BB304:BB311)</f>
        <v>0</v>
      </c>
      <c r="BC323" s="37"/>
      <c r="BD323" s="114">
        <f>BD322+BD319+BD315+BD314+SUM(BD304:BD311)</f>
        <v>0</v>
      </c>
      <c r="BE323" s="37"/>
      <c r="BF323" s="114">
        <f>BF322+BF319+BF315+BF314+SUM(BF304:BF311)</f>
        <v>0</v>
      </c>
      <c r="BH323" s="114">
        <f>BH322+BH319+BH315+BH314+SUM(BH304:BH311)</f>
        <v>0</v>
      </c>
      <c r="BJ323" s="114">
        <f>BJ322+BJ319+BJ315+BJ314+SUM(BJ304:BJ311)</f>
        <v>0</v>
      </c>
      <c r="BL323" s="39">
        <f t="shared" si="75"/>
        <v>0</v>
      </c>
      <c r="BM323" s="3"/>
      <c r="BN323" s="3"/>
      <c r="BO323" s="3"/>
    </row>
    <row r="324" spans="1:67" x14ac:dyDescent="0.2">
      <c r="A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5"/>
      <c r="BB324" s="76"/>
      <c r="BC324" s="37"/>
      <c r="BD324" s="76"/>
      <c r="BE324" s="37"/>
      <c r="BL324" s="39">
        <f t="shared" si="75"/>
        <v>0</v>
      </c>
      <c r="BM324" s="3"/>
      <c r="BN324" s="3"/>
      <c r="BO324" s="3"/>
    </row>
    <row r="325" spans="1:67" x14ac:dyDescent="0.2">
      <c r="A325" s="14"/>
      <c r="B325" s="10" t="s">
        <v>299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5"/>
      <c r="BB325" s="76"/>
      <c r="BC325" s="37"/>
      <c r="BD325" s="76"/>
      <c r="BE325" s="37"/>
      <c r="BL325" s="39">
        <f t="shared" si="75"/>
        <v>0</v>
      </c>
      <c r="BM325" s="3"/>
      <c r="BN325" s="3"/>
      <c r="BO325" s="3"/>
    </row>
    <row r="326" spans="1:67" outlineLevel="2" x14ac:dyDescent="0.2">
      <c r="A326" s="14"/>
      <c r="B326" s="3" t="s">
        <v>301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>
        <f>SUM(C326:AY326)</f>
        <v>0</v>
      </c>
      <c r="BA326" s="5"/>
      <c r="BB326" s="76">
        <f t="shared" ref="BB326:BB334" si="82">SUMIF($C$10:$AY$10,"=Addition",$C326:$AY326)</f>
        <v>0</v>
      </c>
      <c r="BC326" s="37"/>
      <c r="BD326" s="76">
        <f t="shared" ref="BD326:BD334" si="83">SUMIF($C$10:$AY$10,"=Adjustment",$C326:$AY326)</f>
        <v>0</v>
      </c>
      <c r="BE326" s="37"/>
      <c r="BF326" s="76">
        <f t="shared" ref="BF326:BF334" si="84">SUMIF($C$10:$AY$10,"=Transfer",$C326:$AY326)</f>
        <v>0</v>
      </c>
      <c r="BH326" s="76">
        <f t="shared" ref="BH326:BH334" si="85">SUMIF($C$10:$AY$10,"=N/A",$C326:$AY326)</f>
        <v>0</v>
      </c>
      <c r="BJ326" s="76">
        <f t="shared" ref="BJ326:BJ334" si="86">SUM(BB326:BH326)</f>
        <v>0</v>
      </c>
      <c r="BL326" s="39">
        <f t="shared" si="75"/>
        <v>0</v>
      </c>
      <c r="BM326" s="3"/>
      <c r="BN326" s="3"/>
      <c r="BO326" s="3"/>
    </row>
    <row r="327" spans="1:67" outlineLevel="2" x14ac:dyDescent="0.2">
      <c r="A327" s="14"/>
      <c r="B327" s="3" t="s">
        <v>302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>
        <f>SUM(C327:AY327)</f>
        <v>0</v>
      </c>
      <c r="BA327" s="5"/>
      <c r="BB327" s="76">
        <f t="shared" si="82"/>
        <v>0</v>
      </c>
      <c r="BC327" s="37"/>
      <c r="BD327" s="76">
        <f t="shared" si="83"/>
        <v>0</v>
      </c>
      <c r="BE327" s="37"/>
      <c r="BF327" s="76">
        <f t="shared" si="84"/>
        <v>0</v>
      </c>
      <c r="BH327" s="76">
        <f t="shared" si="85"/>
        <v>0</v>
      </c>
      <c r="BJ327" s="76">
        <f t="shared" si="86"/>
        <v>0</v>
      </c>
      <c r="BL327" s="39">
        <f t="shared" si="75"/>
        <v>0</v>
      </c>
      <c r="BM327" s="3"/>
      <c r="BN327" s="3"/>
      <c r="BO327" s="3"/>
    </row>
    <row r="328" spans="1:67" x14ac:dyDescent="0.2">
      <c r="A328" s="14"/>
      <c r="B328" s="3" t="s">
        <v>303</v>
      </c>
      <c r="C328" s="15">
        <f>SUM(C326:C327)</f>
        <v>0</v>
      </c>
      <c r="D328" s="15"/>
      <c r="E328" s="15">
        <f>SUM(E326:E327)</f>
        <v>0</v>
      </c>
      <c r="F328" s="15"/>
      <c r="G328" s="15">
        <f>SUM(G326:G327)</f>
        <v>0</v>
      </c>
      <c r="H328" s="15"/>
      <c r="I328" s="15">
        <f>SUM(I326:I327)</f>
        <v>0</v>
      </c>
      <c r="J328" s="15"/>
      <c r="K328" s="15">
        <f>SUM(K326:K327)</f>
        <v>0</v>
      </c>
      <c r="L328" s="15"/>
      <c r="M328" s="15">
        <f>SUM(M326:M327)</f>
        <v>0</v>
      </c>
      <c r="N328" s="15"/>
      <c r="O328" s="15">
        <f>SUM(O326:O327)</f>
        <v>0</v>
      </c>
      <c r="P328" s="15"/>
      <c r="Q328" s="15">
        <f>SUM(Q326:Q327)</f>
        <v>0</v>
      </c>
      <c r="R328" s="15"/>
      <c r="S328" s="15">
        <f>SUM(S326:S327)</f>
        <v>0</v>
      </c>
      <c r="T328" s="15"/>
      <c r="U328" s="15">
        <f>SUM(U326:U327)</f>
        <v>0</v>
      </c>
      <c r="V328" s="15"/>
      <c r="W328" s="15">
        <f>SUM(W326:W327)</f>
        <v>0</v>
      </c>
      <c r="X328" s="15"/>
      <c r="Y328" s="15">
        <f>SUM(Y326:Y327)</f>
        <v>0</v>
      </c>
      <c r="Z328" s="15"/>
      <c r="AA328" s="15">
        <f>SUM(AA326:AA327)</f>
        <v>0</v>
      </c>
      <c r="AB328" s="15"/>
      <c r="AC328" s="15">
        <f>SUM(AC326:AC327)</f>
        <v>0</v>
      </c>
      <c r="AD328" s="15"/>
      <c r="AE328" s="15">
        <f>SUM(AE326:AE327)</f>
        <v>0</v>
      </c>
      <c r="AF328" s="15"/>
      <c r="AG328" s="15">
        <f>SUM(AG326:AG327)</f>
        <v>0</v>
      </c>
      <c r="AH328" s="15"/>
      <c r="AI328" s="15">
        <f>SUM(AI326:AI327)</f>
        <v>0</v>
      </c>
      <c r="AJ328" s="15"/>
      <c r="AK328" s="15">
        <f>SUM(AK326:AK327)</f>
        <v>0</v>
      </c>
      <c r="AL328" s="15"/>
      <c r="AM328" s="15">
        <f>SUM(AM326:AM327)</f>
        <v>0</v>
      </c>
      <c r="AN328" s="15"/>
      <c r="AO328" s="15">
        <f>SUM(AO326:AO327)</f>
        <v>0</v>
      </c>
      <c r="AP328" s="15"/>
      <c r="AQ328" s="15">
        <f>SUM(AQ326:AQ327)</f>
        <v>0</v>
      </c>
      <c r="AR328" s="15"/>
      <c r="AS328" s="15">
        <f>SUM(AS326:AS327)</f>
        <v>0</v>
      </c>
      <c r="AT328" s="15">
        <f>SUM(AT326:AT327)</f>
        <v>0</v>
      </c>
      <c r="AU328" s="15"/>
      <c r="AV328" s="15">
        <f>SUM(AV326:AV327)</f>
        <v>0</v>
      </c>
      <c r="AW328" s="15"/>
      <c r="AX328" s="15">
        <f>SUM(AX326:AX327)</f>
        <v>0</v>
      </c>
      <c r="AY328" s="15"/>
      <c r="AZ328" s="15">
        <f>SUM(AZ326:AZ327)</f>
        <v>0</v>
      </c>
      <c r="BA328" s="5"/>
      <c r="BB328" s="76">
        <f t="shared" si="82"/>
        <v>0</v>
      </c>
      <c r="BC328" s="37"/>
      <c r="BD328" s="76">
        <f t="shared" si="83"/>
        <v>0</v>
      </c>
      <c r="BE328" s="37"/>
      <c r="BF328" s="76">
        <f t="shared" si="84"/>
        <v>0</v>
      </c>
      <c r="BH328" s="76">
        <f t="shared" si="85"/>
        <v>0</v>
      </c>
      <c r="BJ328" s="76">
        <f t="shared" si="86"/>
        <v>0</v>
      </c>
      <c r="BL328" s="39">
        <f t="shared" si="75"/>
        <v>0</v>
      </c>
      <c r="BM328" s="3"/>
      <c r="BN328" s="3"/>
      <c r="BO328" s="3"/>
    </row>
    <row r="329" spans="1:67" x14ac:dyDescent="0.2">
      <c r="A329" s="14"/>
      <c r="B329" s="3" t="s">
        <v>304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>
        <f>SUM(C329:AY329)</f>
        <v>0</v>
      </c>
      <c r="BA329" s="5"/>
      <c r="BB329" s="76">
        <f t="shared" si="82"/>
        <v>0</v>
      </c>
      <c r="BC329" s="37"/>
      <c r="BD329" s="76">
        <f t="shared" si="83"/>
        <v>0</v>
      </c>
      <c r="BE329" s="37"/>
      <c r="BF329" s="76">
        <f t="shared" si="84"/>
        <v>0</v>
      </c>
      <c r="BH329" s="76">
        <f t="shared" si="85"/>
        <v>0</v>
      </c>
      <c r="BJ329" s="76">
        <f t="shared" si="86"/>
        <v>0</v>
      </c>
      <c r="BL329" s="39">
        <f t="shared" si="75"/>
        <v>0</v>
      </c>
      <c r="BM329" s="3"/>
      <c r="BN329" s="3"/>
      <c r="BO329" s="3"/>
    </row>
    <row r="330" spans="1:67" x14ac:dyDescent="0.2">
      <c r="A330" s="14"/>
      <c r="B330" s="3" t="s">
        <v>305</v>
      </c>
      <c r="C330" s="15"/>
      <c r="D330" s="15"/>
      <c r="E330" s="15">
        <v>0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>
        <f>SUM(C330:AY330)</f>
        <v>0</v>
      </c>
      <c r="BA330" s="5"/>
      <c r="BB330" s="76">
        <f t="shared" si="82"/>
        <v>0</v>
      </c>
      <c r="BC330" s="37"/>
      <c r="BD330" s="76">
        <f t="shared" si="83"/>
        <v>0</v>
      </c>
      <c r="BE330" s="37"/>
      <c r="BF330" s="76">
        <f t="shared" si="84"/>
        <v>0</v>
      </c>
      <c r="BH330" s="76">
        <f t="shared" si="85"/>
        <v>0</v>
      </c>
      <c r="BJ330" s="76">
        <f t="shared" si="86"/>
        <v>0</v>
      </c>
      <c r="BL330" s="39">
        <f t="shared" si="75"/>
        <v>0</v>
      </c>
      <c r="BM330" s="3"/>
      <c r="BN330" s="3"/>
      <c r="BO330" s="3"/>
    </row>
    <row r="331" spans="1:67" outlineLevel="1" x14ac:dyDescent="0.2">
      <c r="A331" s="14"/>
      <c r="B331" s="3" t="s">
        <v>439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>
        <f>SUM(C331:AY331)</f>
        <v>0</v>
      </c>
      <c r="BA331" s="5"/>
      <c r="BB331" s="76">
        <f t="shared" si="82"/>
        <v>0</v>
      </c>
      <c r="BC331" s="37"/>
      <c r="BD331" s="76">
        <f t="shared" si="83"/>
        <v>0</v>
      </c>
      <c r="BE331" s="37"/>
      <c r="BF331" s="76">
        <f t="shared" si="84"/>
        <v>0</v>
      </c>
      <c r="BH331" s="76">
        <f t="shared" si="85"/>
        <v>0</v>
      </c>
      <c r="BJ331" s="76">
        <f t="shared" si="86"/>
        <v>0</v>
      </c>
      <c r="BL331" s="39">
        <f t="shared" si="75"/>
        <v>0</v>
      </c>
      <c r="BM331" s="3"/>
      <c r="BN331" s="3"/>
      <c r="BO331" s="3"/>
    </row>
    <row r="332" spans="1:67" outlineLevel="1" x14ac:dyDescent="0.2">
      <c r="A332" s="14"/>
      <c r="B332" s="31" t="s">
        <v>307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>
        <f>SUM(C332:AY332)</f>
        <v>0</v>
      </c>
      <c r="BA332" s="5"/>
      <c r="BB332" s="76">
        <f t="shared" si="82"/>
        <v>0</v>
      </c>
      <c r="BC332" s="37"/>
      <c r="BD332" s="76">
        <f t="shared" si="83"/>
        <v>0</v>
      </c>
      <c r="BE332" s="37"/>
      <c r="BF332" s="76">
        <f t="shared" si="84"/>
        <v>0</v>
      </c>
      <c r="BH332" s="76">
        <f t="shared" si="85"/>
        <v>0</v>
      </c>
      <c r="BJ332" s="76">
        <f t="shared" si="86"/>
        <v>0</v>
      </c>
      <c r="BL332" s="39">
        <f t="shared" si="75"/>
        <v>0</v>
      </c>
      <c r="BM332" s="3"/>
      <c r="BN332" s="3"/>
      <c r="BO332" s="3"/>
    </row>
    <row r="333" spans="1:67" x14ac:dyDescent="0.2">
      <c r="A333" s="14"/>
      <c r="B333" s="31" t="s">
        <v>308</v>
      </c>
      <c r="C333" s="15">
        <f>SUM(C331:C332)</f>
        <v>0</v>
      </c>
      <c r="D333" s="15"/>
      <c r="E333" s="15">
        <f>SUM(E331:E332)</f>
        <v>0</v>
      </c>
      <c r="F333" s="15"/>
      <c r="G333" s="15">
        <f>SUM(G331:G332)</f>
        <v>0</v>
      </c>
      <c r="H333" s="15"/>
      <c r="I333" s="15">
        <f>SUM(I331:I332)</f>
        <v>0</v>
      </c>
      <c r="J333" s="15"/>
      <c r="K333" s="15">
        <f>SUM(K331:K332)</f>
        <v>0</v>
      </c>
      <c r="L333" s="15"/>
      <c r="M333" s="15">
        <f>SUM(M331:M332)</f>
        <v>0</v>
      </c>
      <c r="N333" s="15"/>
      <c r="O333" s="15">
        <f>SUM(O331:O332)</f>
        <v>0</v>
      </c>
      <c r="P333" s="15"/>
      <c r="Q333" s="15">
        <f>SUM(Q331:Q332)</f>
        <v>0</v>
      </c>
      <c r="R333" s="15"/>
      <c r="S333" s="15">
        <f>SUM(S331:S332)</f>
        <v>0</v>
      </c>
      <c r="T333" s="15"/>
      <c r="U333" s="15">
        <f>SUM(U331:U332)</f>
        <v>0</v>
      </c>
      <c r="V333" s="15"/>
      <c r="W333" s="15">
        <f>SUM(W331:W332)</f>
        <v>0</v>
      </c>
      <c r="X333" s="15"/>
      <c r="Y333" s="15">
        <f>SUM(Y331:Y332)</f>
        <v>0</v>
      </c>
      <c r="Z333" s="15"/>
      <c r="AA333" s="15">
        <f>SUM(AA331:AA332)</f>
        <v>0</v>
      </c>
      <c r="AB333" s="15"/>
      <c r="AC333" s="15">
        <f>SUM(AC331:AC332)</f>
        <v>0</v>
      </c>
      <c r="AD333" s="15"/>
      <c r="AE333" s="15">
        <f>SUM(AE331:AE332)</f>
        <v>0</v>
      </c>
      <c r="AF333" s="15"/>
      <c r="AG333" s="15">
        <f>SUM(AG331:AG332)</f>
        <v>0</v>
      </c>
      <c r="AH333" s="15"/>
      <c r="AI333" s="15">
        <f>SUM(AI331:AI332)</f>
        <v>0</v>
      </c>
      <c r="AJ333" s="15"/>
      <c r="AK333" s="15">
        <f>SUM(AK331:AK332)</f>
        <v>0</v>
      </c>
      <c r="AL333" s="15"/>
      <c r="AM333" s="15">
        <f>SUM(AM331:AM332)</f>
        <v>0</v>
      </c>
      <c r="AN333" s="15"/>
      <c r="AO333" s="15">
        <f>SUM(AO331:AO332)</f>
        <v>0</v>
      </c>
      <c r="AP333" s="15"/>
      <c r="AQ333" s="15">
        <f>SUM(AQ331:AQ332)</f>
        <v>0</v>
      </c>
      <c r="AR333" s="15"/>
      <c r="AS333" s="15">
        <f>SUM(AS331:AS332)</f>
        <v>0</v>
      </c>
      <c r="AT333" s="15">
        <f>SUM(AT331:AT332)</f>
        <v>0</v>
      </c>
      <c r="AU333" s="15"/>
      <c r="AV333" s="15">
        <f>SUM(AV331:AV332)</f>
        <v>0</v>
      </c>
      <c r="AW333" s="15"/>
      <c r="AX333" s="15">
        <f>SUM(AX331:AX332)</f>
        <v>0</v>
      </c>
      <c r="AY333" s="15"/>
      <c r="AZ333" s="15">
        <f>SUM(AZ331:AZ332)</f>
        <v>0</v>
      </c>
      <c r="BA333" s="5"/>
      <c r="BB333" s="76">
        <f t="shared" si="82"/>
        <v>0</v>
      </c>
      <c r="BC333" s="37"/>
      <c r="BD333" s="76">
        <f t="shared" si="83"/>
        <v>0</v>
      </c>
      <c r="BE333" s="37"/>
      <c r="BF333" s="76">
        <f t="shared" si="84"/>
        <v>0</v>
      </c>
      <c r="BH333" s="76">
        <f t="shared" si="85"/>
        <v>0</v>
      </c>
      <c r="BJ333" s="76">
        <f t="shared" si="86"/>
        <v>0</v>
      </c>
      <c r="BL333" s="39">
        <f t="shared" si="75"/>
        <v>0</v>
      </c>
      <c r="BM333" s="3"/>
      <c r="BN333" s="3"/>
      <c r="BO333" s="3"/>
    </row>
    <row r="334" spans="1:67" x14ac:dyDescent="0.2">
      <c r="A334" s="14"/>
      <c r="B334" s="22" t="s">
        <v>309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>
        <f>SUM(C334:AY334)</f>
        <v>0</v>
      </c>
      <c r="BA334" s="5"/>
      <c r="BB334" s="76">
        <f t="shared" si="82"/>
        <v>0</v>
      </c>
      <c r="BC334" s="37"/>
      <c r="BD334" s="76">
        <f t="shared" si="83"/>
        <v>0</v>
      </c>
      <c r="BE334" s="37"/>
      <c r="BF334" s="76">
        <f t="shared" si="84"/>
        <v>0</v>
      </c>
      <c r="BH334" s="76">
        <f t="shared" si="85"/>
        <v>0</v>
      </c>
      <c r="BJ334" s="76">
        <f t="shared" si="86"/>
        <v>0</v>
      </c>
      <c r="BL334" s="39">
        <f t="shared" si="75"/>
        <v>0</v>
      </c>
      <c r="BM334" s="3"/>
      <c r="BN334" s="3"/>
      <c r="BO334" s="3"/>
    </row>
    <row r="335" spans="1:67" x14ac:dyDescent="0.2">
      <c r="A335" s="14"/>
      <c r="B335" s="10" t="s">
        <v>310</v>
      </c>
      <c r="C335" s="20">
        <f>C334+C333+C330+C329+C328</f>
        <v>0</v>
      </c>
      <c r="D335" s="15"/>
      <c r="E335" s="20">
        <f>E334+E333+E330+E329+E328</f>
        <v>0</v>
      </c>
      <c r="F335" s="15"/>
      <c r="G335" s="20">
        <f>G334+G333+G330+G329+G328</f>
        <v>0</v>
      </c>
      <c r="H335" s="15"/>
      <c r="I335" s="20">
        <f>I334+I333+I330+I329+I328</f>
        <v>0</v>
      </c>
      <c r="J335" s="15"/>
      <c r="K335" s="20">
        <f>K334+K333+K330+K329+K328</f>
        <v>0</v>
      </c>
      <c r="L335" s="15"/>
      <c r="M335" s="20">
        <f>M334+M333+M330+M329+M328</f>
        <v>0</v>
      </c>
      <c r="N335" s="15"/>
      <c r="O335" s="20">
        <f>O334+O333+O330+O329+O328</f>
        <v>0</v>
      </c>
      <c r="P335" s="15"/>
      <c r="Q335" s="20">
        <f>Q334+Q333+Q330+Q329+Q328</f>
        <v>0</v>
      </c>
      <c r="R335" s="15"/>
      <c r="S335" s="20">
        <f>S334+S333+S330+S329+S328</f>
        <v>0</v>
      </c>
      <c r="T335" s="20"/>
      <c r="U335" s="20">
        <f>U334+U333+U330+U329+U328</f>
        <v>0</v>
      </c>
      <c r="V335" s="20"/>
      <c r="W335" s="20">
        <f>W334+W333+W330+W329+W328</f>
        <v>0</v>
      </c>
      <c r="X335" s="15"/>
      <c r="Y335" s="20">
        <f>Y334+Y333+Y330+Y329+Y328</f>
        <v>0</v>
      </c>
      <c r="Z335" s="15"/>
      <c r="AA335" s="20">
        <f>AA334+AA333+AA330+AA329+AA328</f>
        <v>0</v>
      </c>
      <c r="AB335" s="15"/>
      <c r="AC335" s="20">
        <f>AC334+AC333+AC330+AC329+AC328</f>
        <v>0</v>
      </c>
      <c r="AD335" s="15"/>
      <c r="AE335" s="20">
        <f>AE334+AE333+AE330+AE329+AE328</f>
        <v>0</v>
      </c>
      <c r="AF335" s="15"/>
      <c r="AG335" s="20">
        <f>AG334+AG333+AG330+AG329+AG328</f>
        <v>0</v>
      </c>
      <c r="AH335" s="15"/>
      <c r="AI335" s="20">
        <f>AI334+AI333+AI330+AI329+AI328</f>
        <v>0</v>
      </c>
      <c r="AJ335" s="15"/>
      <c r="AK335" s="20">
        <f>AK334+AK333+AK330+AK329+AK328</f>
        <v>0</v>
      </c>
      <c r="AL335" s="20"/>
      <c r="AM335" s="20">
        <f>AM334+AM333+AM330+AM329+AM328</f>
        <v>0</v>
      </c>
      <c r="AN335" s="20"/>
      <c r="AO335" s="20">
        <f>AO334+AO333+AO330+AO329+AO328</f>
        <v>0</v>
      </c>
      <c r="AP335" s="20"/>
      <c r="AQ335" s="20">
        <f>AQ334+AQ333+AQ330+AQ329+AQ328</f>
        <v>0</v>
      </c>
      <c r="AR335" s="20"/>
      <c r="AS335" s="20">
        <f>AS334+AS333+AS330+AS329+AS328</f>
        <v>0</v>
      </c>
      <c r="AT335" s="20">
        <f>AT334+AT333+AT330+AT329+AT328</f>
        <v>0</v>
      </c>
      <c r="AU335" s="20"/>
      <c r="AV335" s="20">
        <f>AV334+AV333+AV330+AV329+AV328</f>
        <v>0</v>
      </c>
      <c r="AW335" s="20"/>
      <c r="AX335" s="20">
        <f>AX334+AX333+AX330+AX329+AX328</f>
        <v>0</v>
      </c>
      <c r="AY335" s="20"/>
      <c r="AZ335" s="20">
        <f>AZ334+AZ333+AZ330+AZ329+AZ328</f>
        <v>0</v>
      </c>
      <c r="BA335" s="5"/>
      <c r="BB335" s="114">
        <f>BB334+BB333+BB330+BB329+BB328</f>
        <v>0</v>
      </c>
      <c r="BC335" s="37"/>
      <c r="BD335" s="114">
        <f>BD334+BD333+BD330+BD329+BD328</f>
        <v>0</v>
      </c>
      <c r="BE335" s="37"/>
      <c r="BF335" s="114">
        <f>BF334+BF333+BF330+BF329+BF328</f>
        <v>0</v>
      </c>
      <c r="BH335" s="114">
        <f>BH334+BH333+BH330+BH329+BH328</f>
        <v>0</v>
      </c>
      <c r="BJ335" s="114">
        <f>BJ334+BJ333+BJ330+BJ329+BJ328</f>
        <v>0</v>
      </c>
      <c r="BL335" s="39">
        <f t="shared" si="75"/>
        <v>0</v>
      </c>
      <c r="BM335" s="3"/>
      <c r="BN335" s="3"/>
      <c r="BO335" s="3"/>
    </row>
    <row r="336" spans="1:67" x14ac:dyDescent="0.2">
      <c r="A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5"/>
      <c r="BB336" s="76"/>
      <c r="BC336" s="37"/>
      <c r="BD336" s="76"/>
      <c r="BE336" s="37"/>
      <c r="BL336" s="39">
        <f t="shared" si="75"/>
        <v>0</v>
      </c>
      <c r="BM336" s="3"/>
      <c r="BN336" s="3"/>
      <c r="BO336" s="3"/>
    </row>
    <row r="337" spans="1:67" x14ac:dyDescent="0.2">
      <c r="A337" s="14"/>
      <c r="B337" s="10" t="s">
        <v>311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5"/>
      <c r="BB337" s="76"/>
      <c r="BC337" s="37"/>
      <c r="BD337" s="76"/>
      <c r="BE337" s="37"/>
      <c r="BL337" s="39">
        <f t="shared" si="75"/>
        <v>0</v>
      </c>
      <c r="BM337" s="3"/>
      <c r="BN337" s="3"/>
      <c r="BO337" s="3"/>
    </row>
    <row r="338" spans="1:67" x14ac:dyDescent="0.2">
      <c r="A338" s="14"/>
      <c r="B338" s="3" t="s">
        <v>312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>
        <f t="shared" ref="AZ338:AZ345" si="87">SUM(C338:AY338)</f>
        <v>0</v>
      </c>
      <c r="BA338" s="5"/>
      <c r="BB338" s="76">
        <f t="shared" ref="BB338:BB345" si="88">SUMIF($C$10:$AY$10,"=Addition",$C338:$AY338)</f>
        <v>0</v>
      </c>
      <c r="BC338" s="37"/>
      <c r="BD338" s="76">
        <f t="shared" ref="BD338:BD345" si="89">SUMIF($C$10:$AY$10,"=Adjustment",$C338:$AY338)</f>
        <v>0</v>
      </c>
      <c r="BE338" s="37"/>
      <c r="BF338" s="76">
        <f t="shared" ref="BF338:BF345" si="90">SUMIF($C$10:$AY$10,"=Transfer",$C338:$AY338)</f>
        <v>0</v>
      </c>
      <c r="BH338" s="76">
        <f t="shared" ref="BH338:BH345" si="91">SUMIF($C$10:$AY$10,"=N/A",$C338:$AY338)</f>
        <v>0</v>
      </c>
      <c r="BJ338" s="76">
        <f t="shared" ref="BJ338:BJ345" si="92">SUM(BB338:BH338)</f>
        <v>0</v>
      </c>
      <c r="BL338" s="39">
        <f t="shared" si="75"/>
        <v>0</v>
      </c>
      <c r="BM338" s="3"/>
      <c r="BN338" s="3"/>
      <c r="BO338" s="3"/>
    </row>
    <row r="339" spans="1:67" x14ac:dyDescent="0.2">
      <c r="A339" s="14"/>
      <c r="B339" s="3" t="s">
        <v>313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>
        <f t="shared" si="87"/>
        <v>0</v>
      </c>
      <c r="BA339" s="5"/>
      <c r="BB339" s="76">
        <f t="shared" si="88"/>
        <v>0</v>
      </c>
      <c r="BC339" s="37"/>
      <c r="BD339" s="76">
        <f t="shared" si="89"/>
        <v>0</v>
      </c>
      <c r="BE339" s="37"/>
      <c r="BF339" s="76">
        <f t="shared" si="90"/>
        <v>0</v>
      </c>
      <c r="BH339" s="76">
        <f t="shared" si="91"/>
        <v>0</v>
      </c>
      <c r="BJ339" s="76">
        <f t="shared" si="92"/>
        <v>0</v>
      </c>
      <c r="BL339" s="39">
        <f t="shared" si="75"/>
        <v>0</v>
      </c>
      <c r="BM339" s="3"/>
      <c r="BN339" s="3"/>
      <c r="BO339" s="3"/>
    </row>
    <row r="340" spans="1:67" x14ac:dyDescent="0.2">
      <c r="A340" s="14"/>
      <c r="B340" s="3" t="s">
        <v>314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>
        <f t="shared" si="87"/>
        <v>0</v>
      </c>
      <c r="BA340" s="5"/>
      <c r="BB340" s="76">
        <f t="shared" si="88"/>
        <v>0</v>
      </c>
      <c r="BC340" s="37"/>
      <c r="BD340" s="76">
        <f t="shared" si="89"/>
        <v>0</v>
      </c>
      <c r="BE340" s="37"/>
      <c r="BF340" s="76">
        <f t="shared" si="90"/>
        <v>0</v>
      </c>
      <c r="BH340" s="76">
        <f t="shared" si="91"/>
        <v>0</v>
      </c>
      <c r="BJ340" s="76">
        <f t="shared" si="92"/>
        <v>0</v>
      </c>
      <c r="BL340" s="39">
        <f t="shared" si="75"/>
        <v>0</v>
      </c>
      <c r="BM340" s="3"/>
      <c r="BN340" s="3"/>
      <c r="BO340" s="3"/>
    </row>
    <row r="341" spans="1:67" x14ac:dyDescent="0.2">
      <c r="A341" s="14"/>
      <c r="B341" s="3" t="s">
        <v>315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>
        <f t="shared" si="87"/>
        <v>0</v>
      </c>
      <c r="BA341" s="5"/>
      <c r="BB341" s="76">
        <f t="shared" si="88"/>
        <v>0</v>
      </c>
      <c r="BC341" s="37"/>
      <c r="BD341" s="76">
        <f t="shared" si="89"/>
        <v>0</v>
      </c>
      <c r="BE341" s="37"/>
      <c r="BF341" s="76">
        <f t="shared" si="90"/>
        <v>0</v>
      </c>
      <c r="BH341" s="76">
        <f t="shared" si="91"/>
        <v>0</v>
      </c>
      <c r="BJ341" s="76">
        <f t="shared" si="92"/>
        <v>0</v>
      </c>
      <c r="BL341" s="39">
        <f t="shared" si="75"/>
        <v>0</v>
      </c>
      <c r="BM341" s="3"/>
      <c r="BN341" s="3"/>
      <c r="BO341" s="3"/>
    </row>
    <row r="342" spans="1:67" x14ac:dyDescent="0.2">
      <c r="A342" s="14"/>
      <c r="B342" s="3" t="s">
        <v>316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>
        <f t="shared" si="87"/>
        <v>0</v>
      </c>
      <c r="BA342" s="5"/>
      <c r="BB342" s="76">
        <f t="shared" si="88"/>
        <v>0</v>
      </c>
      <c r="BC342" s="37"/>
      <c r="BD342" s="76">
        <f t="shared" si="89"/>
        <v>0</v>
      </c>
      <c r="BE342" s="37"/>
      <c r="BF342" s="76">
        <f t="shared" si="90"/>
        <v>0</v>
      </c>
      <c r="BH342" s="76">
        <f t="shared" si="91"/>
        <v>0</v>
      </c>
      <c r="BJ342" s="76">
        <f t="shared" si="92"/>
        <v>0</v>
      </c>
      <c r="BL342" s="39">
        <f t="shared" si="75"/>
        <v>0</v>
      </c>
      <c r="BM342" s="3"/>
      <c r="BN342" s="3"/>
      <c r="BO342" s="3"/>
    </row>
    <row r="343" spans="1:67" x14ac:dyDescent="0.2">
      <c r="A343" s="14"/>
      <c r="B343" s="3" t="s">
        <v>317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>
        <f t="shared" si="87"/>
        <v>0</v>
      </c>
      <c r="BA343" s="5"/>
      <c r="BB343" s="76">
        <f t="shared" si="88"/>
        <v>0</v>
      </c>
      <c r="BC343" s="37"/>
      <c r="BD343" s="76">
        <f t="shared" si="89"/>
        <v>0</v>
      </c>
      <c r="BE343" s="37"/>
      <c r="BF343" s="76">
        <f t="shared" si="90"/>
        <v>0</v>
      </c>
      <c r="BH343" s="76">
        <f t="shared" si="91"/>
        <v>0</v>
      </c>
      <c r="BJ343" s="76">
        <f t="shared" si="92"/>
        <v>0</v>
      </c>
      <c r="BL343" s="39">
        <f t="shared" si="75"/>
        <v>0</v>
      </c>
      <c r="BM343" s="3"/>
      <c r="BN343" s="3"/>
      <c r="BO343" s="3"/>
    </row>
    <row r="344" spans="1:67" x14ac:dyDescent="0.2">
      <c r="A344" s="14"/>
      <c r="B344" s="3" t="s">
        <v>318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>
        <f t="shared" si="87"/>
        <v>0</v>
      </c>
      <c r="BA344" s="5"/>
      <c r="BB344" s="76">
        <f t="shared" si="88"/>
        <v>0</v>
      </c>
      <c r="BC344" s="37"/>
      <c r="BD344" s="76">
        <f t="shared" si="89"/>
        <v>0</v>
      </c>
      <c r="BE344" s="37"/>
      <c r="BF344" s="76">
        <f t="shared" si="90"/>
        <v>0</v>
      </c>
      <c r="BH344" s="76">
        <f t="shared" si="91"/>
        <v>0</v>
      </c>
      <c r="BJ344" s="76">
        <f t="shared" si="92"/>
        <v>0</v>
      </c>
      <c r="BL344" s="39">
        <f t="shared" ref="BL344:BL407" si="93">AZ344-BJ344</f>
        <v>0</v>
      </c>
      <c r="BM344" s="3"/>
      <c r="BN344" s="3"/>
      <c r="BO344" s="3"/>
    </row>
    <row r="345" spans="1:67" x14ac:dyDescent="0.2">
      <c r="A345" s="14"/>
      <c r="B345" s="3" t="s">
        <v>319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>
        <f t="shared" si="87"/>
        <v>0</v>
      </c>
      <c r="BA345" s="5"/>
      <c r="BB345" s="76">
        <f t="shared" si="88"/>
        <v>0</v>
      </c>
      <c r="BC345" s="37"/>
      <c r="BD345" s="76">
        <f t="shared" si="89"/>
        <v>0</v>
      </c>
      <c r="BE345" s="37"/>
      <c r="BF345" s="76">
        <f t="shared" si="90"/>
        <v>0</v>
      </c>
      <c r="BH345" s="76">
        <f t="shared" si="91"/>
        <v>0</v>
      </c>
      <c r="BJ345" s="76">
        <f t="shared" si="92"/>
        <v>0</v>
      </c>
      <c r="BL345" s="39">
        <f t="shared" si="93"/>
        <v>0</v>
      </c>
      <c r="BM345" s="3"/>
      <c r="BN345" s="3"/>
      <c r="BO345" s="3"/>
    </row>
    <row r="346" spans="1:67" x14ac:dyDescent="0.2">
      <c r="A346" s="14"/>
      <c r="B346" s="10" t="s">
        <v>320</v>
      </c>
      <c r="C346" s="20">
        <f>SUM(C338:C345)</f>
        <v>0</v>
      </c>
      <c r="D346" s="15"/>
      <c r="E346" s="20">
        <f>SUM(E338:E345)</f>
        <v>0</v>
      </c>
      <c r="F346" s="15"/>
      <c r="G346" s="20">
        <f>SUM(G338:G345)</f>
        <v>0</v>
      </c>
      <c r="H346" s="15"/>
      <c r="I346" s="20">
        <f>SUM(I338:I345)</f>
        <v>0</v>
      </c>
      <c r="J346" s="15"/>
      <c r="K346" s="20">
        <f>SUM(K338:K345)</f>
        <v>0</v>
      </c>
      <c r="L346" s="15"/>
      <c r="M346" s="20">
        <f>SUM(M338:M345)</f>
        <v>0</v>
      </c>
      <c r="N346" s="15"/>
      <c r="O346" s="20">
        <f>SUM(O338:O345)</f>
        <v>0</v>
      </c>
      <c r="P346" s="15"/>
      <c r="Q346" s="20">
        <f>SUM(Q338:Q345)</f>
        <v>0</v>
      </c>
      <c r="R346" s="15"/>
      <c r="S346" s="20">
        <f>SUM(S338:S345)</f>
        <v>0</v>
      </c>
      <c r="T346" s="20"/>
      <c r="U346" s="20">
        <f>SUM(U338:U345)</f>
        <v>0</v>
      </c>
      <c r="V346" s="20"/>
      <c r="W346" s="20">
        <f>SUM(W338:W345)</f>
        <v>0</v>
      </c>
      <c r="X346" s="15"/>
      <c r="Y346" s="20">
        <f>SUM(Y338:Y345)</f>
        <v>0</v>
      </c>
      <c r="Z346" s="15"/>
      <c r="AA346" s="20">
        <f>SUM(AA338:AA345)</f>
        <v>0</v>
      </c>
      <c r="AB346" s="15"/>
      <c r="AC346" s="20">
        <f>SUM(AC338:AC345)</f>
        <v>0</v>
      </c>
      <c r="AD346" s="15"/>
      <c r="AE346" s="20">
        <f>SUM(AE338:AE345)</f>
        <v>0</v>
      </c>
      <c r="AF346" s="15"/>
      <c r="AG346" s="20">
        <f>SUM(AG338:AG345)</f>
        <v>0</v>
      </c>
      <c r="AH346" s="15"/>
      <c r="AI346" s="20">
        <f>SUM(AI338:AI345)</f>
        <v>0</v>
      </c>
      <c r="AJ346" s="15"/>
      <c r="AK346" s="20">
        <f>SUM(AK338:AK345)</f>
        <v>0</v>
      </c>
      <c r="AL346" s="20"/>
      <c r="AM346" s="20">
        <f>SUM(AM338:AM345)</f>
        <v>0</v>
      </c>
      <c r="AN346" s="20"/>
      <c r="AO346" s="20">
        <f>SUM(AO338:AO345)</f>
        <v>0</v>
      </c>
      <c r="AP346" s="20"/>
      <c r="AQ346" s="20">
        <f>SUM(AQ338:AQ345)</f>
        <v>0</v>
      </c>
      <c r="AR346" s="20"/>
      <c r="AS346" s="20">
        <f>SUM(AS338:AS345)</f>
        <v>0</v>
      </c>
      <c r="AT346" s="20">
        <f>SUM(AT338:AT345)</f>
        <v>0</v>
      </c>
      <c r="AU346" s="20"/>
      <c r="AV346" s="20">
        <f>SUM(AV338:AV345)</f>
        <v>0</v>
      </c>
      <c r="AW346" s="20"/>
      <c r="AX346" s="20">
        <f>SUM(AX338:AX345)</f>
        <v>0</v>
      </c>
      <c r="AY346" s="20"/>
      <c r="AZ346" s="20">
        <f>SUM(AZ338:AZ345)</f>
        <v>0</v>
      </c>
      <c r="BA346" s="5"/>
      <c r="BB346" s="114">
        <f>SUM(BB338:BB345)</f>
        <v>0</v>
      </c>
      <c r="BC346" s="37"/>
      <c r="BD346" s="114">
        <f>SUM(BD338:BD345)</f>
        <v>0</v>
      </c>
      <c r="BE346" s="37"/>
      <c r="BF346" s="114">
        <f>SUM(BF338:BF345)</f>
        <v>0</v>
      </c>
      <c r="BH346" s="114">
        <f>SUM(BH338:BH345)</f>
        <v>0</v>
      </c>
      <c r="BJ346" s="114">
        <f>SUM(BJ338:BJ345)</f>
        <v>0</v>
      </c>
      <c r="BL346" s="39">
        <f t="shared" si="93"/>
        <v>0</v>
      </c>
      <c r="BM346" s="3"/>
      <c r="BN346" s="3"/>
      <c r="BO346" s="3"/>
    </row>
    <row r="347" spans="1:67" x14ac:dyDescent="0.2">
      <c r="A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5"/>
      <c r="BB347" s="76"/>
      <c r="BC347" s="37"/>
      <c r="BD347" s="76"/>
      <c r="BE347" s="37"/>
      <c r="BL347" s="39">
        <f t="shared" si="93"/>
        <v>0</v>
      </c>
      <c r="BM347" s="3"/>
      <c r="BN347" s="3"/>
      <c r="BO347" s="3"/>
    </row>
    <row r="348" spans="1:67" x14ac:dyDescent="0.2">
      <c r="A348" s="14"/>
      <c r="B348" s="10" t="s">
        <v>321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5"/>
      <c r="BB348" s="76"/>
      <c r="BC348" s="37"/>
      <c r="BD348" s="76"/>
      <c r="BE348" s="37"/>
      <c r="BL348" s="39">
        <f t="shared" si="93"/>
        <v>0</v>
      </c>
      <c r="BM348" s="3"/>
      <c r="BN348" s="3"/>
      <c r="BO348" s="3"/>
    </row>
    <row r="349" spans="1:67" x14ac:dyDescent="0.2">
      <c r="A349" s="14"/>
      <c r="B349" s="3" t="s">
        <v>322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>
        <f>SUM(C349:AY349)</f>
        <v>0</v>
      </c>
      <c r="BA349" s="5"/>
      <c r="BB349" s="76">
        <f>SUMIF($C$10:$AY$10,"=Addition",$C349:$AY349)</f>
        <v>0</v>
      </c>
      <c r="BC349" s="37"/>
      <c r="BD349" s="76">
        <f>SUMIF($C$10:$AY$10,"=Adjustment",$C349:$AY349)</f>
        <v>0</v>
      </c>
      <c r="BE349" s="37"/>
      <c r="BF349" s="76">
        <f>SUMIF($C$10:$AY$10,"=Transfer",$C349:$AY349)</f>
        <v>0</v>
      </c>
      <c r="BH349" s="76">
        <f>SUMIF($C$10:$AY$10,"=N/A",$C349:$AY349)</f>
        <v>0</v>
      </c>
      <c r="BJ349" s="76">
        <f t="shared" ref="BJ349:BJ350" si="94">SUM(BB349:BH349)</f>
        <v>0</v>
      </c>
      <c r="BL349" s="39">
        <f t="shared" si="93"/>
        <v>0</v>
      </c>
      <c r="BM349" s="3"/>
      <c r="BN349" s="3"/>
      <c r="BO349" s="3"/>
    </row>
    <row r="350" spans="1:67" x14ac:dyDescent="0.2">
      <c r="A350" s="14"/>
      <c r="B350" s="3" t="s">
        <v>323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>
        <f>SUM(C350:AY350)</f>
        <v>0</v>
      </c>
      <c r="BA350" s="5"/>
      <c r="BB350" s="76">
        <f>SUMIF($C$10:$AY$10,"=Addition",$C350:$AY350)</f>
        <v>0</v>
      </c>
      <c r="BC350" s="37"/>
      <c r="BD350" s="76">
        <f>SUMIF($C$10:$AY$10,"=Adjustment",$C350:$AY350)</f>
        <v>0</v>
      </c>
      <c r="BE350" s="37"/>
      <c r="BF350" s="76">
        <f>SUMIF($C$10:$AY$10,"=Transfer",$C350:$AY350)</f>
        <v>0</v>
      </c>
      <c r="BH350" s="76">
        <f>SUMIF($C$10:$AY$10,"=N/A",$C350:$AY350)</f>
        <v>0</v>
      </c>
      <c r="BJ350" s="76">
        <f t="shared" si="94"/>
        <v>0</v>
      </c>
      <c r="BL350" s="39">
        <f t="shared" si="93"/>
        <v>0</v>
      </c>
      <c r="BM350" s="3"/>
      <c r="BN350" s="3"/>
      <c r="BO350" s="3"/>
    </row>
    <row r="351" spans="1:67" x14ac:dyDescent="0.2">
      <c r="A351" s="14"/>
      <c r="B351" s="10" t="s">
        <v>324</v>
      </c>
      <c r="C351" s="20">
        <f>SUM(C349:C350)</f>
        <v>0</v>
      </c>
      <c r="D351" s="15"/>
      <c r="E351" s="20">
        <f>SUM(E349:E350)</f>
        <v>0</v>
      </c>
      <c r="F351" s="15"/>
      <c r="G351" s="20">
        <f>SUM(G349:G350)</f>
        <v>0</v>
      </c>
      <c r="H351" s="15"/>
      <c r="I351" s="20">
        <f>SUM(I349:I350)</f>
        <v>0</v>
      </c>
      <c r="J351" s="15"/>
      <c r="K351" s="20">
        <f>SUM(K349:K350)</f>
        <v>0</v>
      </c>
      <c r="L351" s="15"/>
      <c r="M351" s="20">
        <f>SUM(M349:M350)</f>
        <v>0</v>
      </c>
      <c r="N351" s="15"/>
      <c r="O351" s="20">
        <f>SUM(O349:O350)</f>
        <v>0</v>
      </c>
      <c r="P351" s="15"/>
      <c r="Q351" s="20">
        <f>SUM(Q349:Q350)</f>
        <v>0</v>
      </c>
      <c r="R351" s="15"/>
      <c r="S351" s="20">
        <f>SUM(S349:S350)</f>
        <v>0</v>
      </c>
      <c r="T351" s="20"/>
      <c r="U351" s="20">
        <f>SUM(U349:U350)</f>
        <v>0</v>
      </c>
      <c r="V351" s="20"/>
      <c r="W351" s="20">
        <f>SUM(W349:W350)</f>
        <v>0</v>
      </c>
      <c r="X351" s="15"/>
      <c r="Y351" s="20">
        <f>SUM(Y349:Y350)</f>
        <v>0</v>
      </c>
      <c r="Z351" s="15"/>
      <c r="AA351" s="20">
        <f>SUM(AA349:AA350)</f>
        <v>0</v>
      </c>
      <c r="AB351" s="15"/>
      <c r="AC351" s="20">
        <f>SUM(AC349:AC350)</f>
        <v>0</v>
      </c>
      <c r="AD351" s="15"/>
      <c r="AE351" s="20">
        <f>SUM(AE349:AE350)</f>
        <v>0</v>
      </c>
      <c r="AF351" s="15"/>
      <c r="AG351" s="20">
        <f>SUM(AG349:AG350)</f>
        <v>0</v>
      </c>
      <c r="AH351" s="15"/>
      <c r="AI351" s="20">
        <f>SUM(AI349:AI350)</f>
        <v>0</v>
      </c>
      <c r="AJ351" s="15"/>
      <c r="AK351" s="20">
        <f>SUM(AK349:AK350)</f>
        <v>0</v>
      </c>
      <c r="AL351" s="20"/>
      <c r="AM351" s="20">
        <f>SUM(AM349:AM350)</f>
        <v>0</v>
      </c>
      <c r="AN351" s="20"/>
      <c r="AO351" s="20">
        <f>SUM(AO349:AO350)</f>
        <v>0</v>
      </c>
      <c r="AP351" s="20"/>
      <c r="AQ351" s="20">
        <f>SUM(AQ349:AQ350)</f>
        <v>0</v>
      </c>
      <c r="AR351" s="20"/>
      <c r="AS351" s="20">
        <f>SUM(AS349:AS350)</f>
        <v>0</v>
      </c>
      <c r="AT351" s="20">
        <f>SUM(AT349:AT350)</f>
        <v>0</v>
      </c>
      <c r="AU351" s="20"/>
      <c r="AV351" s="20">
        <f>SUM(AV349:AV350)</f>
        <v>0</v>
      </c>
      <c r="AW351" s="20"/>
      <c r="AX351" s="20">
        <f>SUM(AX349:AX350)</f>
        <v>0</v>
      </c>
      <c r="AY351" s="20"/>
      <c r="AZ351" s="20">
        <f>SUM(AZ349:AZ350)</f>
        <v>0</v>
      </c>
      <c r="BA351" s="5"/>
      <c r="BB351" s="114">
        <f t="shared" ref="BB351:BJ351" si="95">SUM(BB349:BB350)</f>
        <v>0</v>
      </c>
      <c r="BC351" s="114">
        <f t="shared" si="95"/>
        <v>0</v>
      </c>
      <c r="BD351" s="114">
        <f>SUM(BD349:BD350)</f>
        <v>0</v>
      </c>
      <c r="BE351" s="114">
        <f t="shared" si="95"/>
        <v>0</v>
      </c>
      <c r="BF351" s="114">
        <f t="shared" si="95"/>
        <v>0</v>
      </c>
      <c r="BG351" s="114">
        <f t="shared" si="95"/>
        <v>0</v>
      </c>
      <c r="BH351" s="114">
        <f>SUM(BH349:BH350)</f>
        <v>0</v>
      </c>
      <c r="BI351" s="114"/>
      <c r="BJ351" s="114">
        <f t="shared" si="95"/>
        <v>0</v>
      </c>
      <c r="BK351" s="114"/>
      <c r="BL351" s="39">
        <f t="shared" si="93"/>
        <v>0</v>
      </c>
      <c r="BM351" s="3"/>
      <c r="BN351" s="3"/>
      <c r="BO351" s="3"/>
    </row>
    <row r="352" spans="1:67" x14ac:dyDescent="0.2">
      <c r="A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5"/>
      <c r="BB352" s="76"/>
      <c r="BC352" s="37"/>
      <c r="BD352" s="76"/>
      <c r="BE352" s="37"/>
      <c r="BL352" s="39">
        <f t="shared" si="93"/>
        <v>0</v>
      </c>
      <c r="BM352" s="3"/>
      <c r="BN352" s="3"/>
      <c r="BO352" s="3"/>
    </row>
    <row r="353" spans="1:67" x14ac:dyDescent="0.2">
      <c r="A353" s="14"/>
      <c r="B353" s="10" t="s">
        <v>325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5"/>
      <c r="BB353" s="76"/>
      <c r="BC353" s="37"/>
      <c r="BD353" s="76"/>
      <c r="BE353" s="37"/>
      <c r="BL353" s="39">
        <f t="shared" si="93"/>
        <v>0</v>
      </c>
      <c r="BM353" s="3"/>
      <c r="BN353" s="3"/>
      <c r="BO353" s="3"/>
    </row>
    <row r="354" spans="1:67" x14ac:dyDescent="0.2">
      <c r="A354" s="14"/>
      <c r="B354" s="3" t="s">
        <v>326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>
        <f t="shared" ref="AZ354:AZ362" si="96">SUM(C354:AY354)</f>
        <v>0</v>
      </c>
      <c r="BA354" s="5"/>
      <c r="BB354" s="76">
        <f t="shared" ref="BB354:BB363" si="97">SUMIF($C$10:$AY$10,"=Addition",$C354:$AY354)</f>
        <v>0</v>
      </c>
      <c r="BC354" s="37"/>
      <c r="BD354" s="76">
        <f t="shared" ref="BD354:BD363" si="98">SUMIF($C$10:$AY$10,"=Adjustment",$C354:$AY354)</f>
        <v>0</v>
      </c>
      <c r="BE354" s="37"/>
      <c r="BF354" s="76">
        <f t="shared" ref="BF354:BF363" si="99">SUMIF($C$10:$AY$10,"=Transfer",$C354:$AY354)</f>
        <v>0</v>
      </c>
      <c r="BH354" s="76">
        <f t="shared" ref="BH354:BH363" si="100">SUMIF($C$10:$AY$10,"=N/A",$C354:$AY354)</f>
        <v>0</v>
      </c>
      <c r="BJ354" s="76">
        <f t="shared" ref="BJ354:BJ363" si="101">SUM(BB354:BH354)</f>
        <v>0</v>
      </c>
      <c r="BL354" s="39">
        <f t="shared" si="93"/>
        <v>0</v>
      </c>
      <c r="BM354" s="3"/>
      <c r="BN354" s="3"/>
      <c r="BO354" s="3"/>
    </row>
    <row r="355" spans="1:67" x14ac:dyDescent="0.2">
      <c r="A355" s="14"/>
      <c r="B355" s="3" t="s">
        <v>327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>
        <v>-9379091.2200000007</v>
      </c>
      <c r="T355" s="15"/>
      <c r="U355" s="15"/>
      <c r="V355" s="15"/>
      <c r="W355" s="15">
        <v>549741.96</v>
      </c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>
        <f t="shared" si="96"/>
        <v>-8829349.2600000016</v>
      </c>
      <c r="BA355" s="5"/>
      <c r="BB355" s="76">
        <f t="shared" si="97"/>
        <v>0</v>
      </c>
      <c r="BC355" s="37"/>
      <c r="BD355" s="76">
        <f t="shared" si="98"/>
        <v>0</v>
      </c>
      <c r="BE355" s="37"/>
      <c r="BF355" s="76">
        <f t="shared" si="99"/>
        <v>-8829349.2600000016</v>
      </c>
      <c r="BH355" s="76">
        <f t="shared" si="100"/>
        <v>0</v>
      </c>
      <c r="BJ355" s="76">
        <f t="shared" si="101"/>
        <v>-8829349.2600000016</v>
      </c>
      <c r="BL355" s="39">
        <f t="shared" si="93"/>
        <v>0</v>
      </c>
      <c r="BM355" s="3"/>
      <c r="BN355" s="3"/>
      <c r="BO355" s="3"/>
    </row>
    <row r="356" spans="1:67" x14ac:dyDescent="0.2">
      <c r="A356" s="14"/>
      <c r="B356" s="3" t="s">
        <v>328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>
        <f t="shared" si="96"/>
        <v>0</v>
      </c>
      <c r="BA356" s="5"/>
      <c r="BB356" s="76">
        <f t="shared" si="97"/>
        <v>0</v>
      </c>
      <c r="BC356" s="37"/>
      <c r="BD356" s="76">
        <f t="shared" si="98"/>
        <v>0</v>
      </c>
      <c r="BE356" s="37"/>
      <c r="BF356" s="76">
        <f t="shared" si="99"/>
        <v>0</v>
      </c>
      <c r="BH356" s="76">
        <f t="shared" si="100"/>
        <v>0</v>
      </c>
      <c r="BJ356" s="76">
        <f t="shared" si="101"/>
        <v>0</v>
      </c>
      <c r="BL356" s="39">
        <f t="shared" si="93"/>
        <v>0</v>
      </c>
      <c r="BM356" s="3"/>
      <c r="BN356" s="3"/>
      <c r="BO356" s="3"/>
    </row>
    <row r="357" spans="1:67" x14ac:dyDescent="0.2">
      <c r="A357" s="14"/>
      <c r="B357" s="3" t="s">
        <v>329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>
        <f t="shared" si="96"/>
        <v>0</v>
      </c>
      <c r="BA357" s="5"/>
      <c r="BB357" s="76">
        <f t="shared" si="97"/>
        <v>0</v>
      </c>
      <c r="BC357" s="37"/>
      <c r="BD357" s="76">
        <f t="shared" si="98"/>
        <v>0</v>
      </c>
      <c r="BE357" s="37"/>
      <c r="BF357" s="76">
        <f t="shared" si="99"/>
        <v>0</v>
      </c>
      <c r="BH357" s="76">
        <f t="shared" si="100"/>
        <v>0</v>
      </c>
      <c r="BJ357" s="76">
        <f t="shared" si="101"/>
        <v>0</v>
      </c>
      <c r="BL357" s="39">
        <f t="shared" si="93"/>
        <v>0</v>
      </c>
      <c r="BM357" s="3"/>
      <c r="BN357" s="3"/>
      <c r="BO357" s="3"/>
    </row>
    <row r="358" spans="1:67" x14ac:dyDescent="0.2">
      <c r="A358" s="14"/>
      <c r="B358" s="3" t="s">
        <v>330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>
        <v>4689545.6100000003</v>
      </c>
      <c r="T358" s="15"/>
      <c r="U358" s="15"/>
      <c r="V358" s="15"/>
      <c r="W358" s="15">
        <v>3537665.62</v>
      </c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>
        <f t="shared" si="96"/>
        <v>8227211.2300000004</v>
      </c>
      <c r="BA358" s="5"/>
      <c r="BB358" s="76">
        <f t="shared" si="97"/>
        <v>0</v>
      </c>
      <c r="BC358" s="37"/>
      <c r="BD358" s="76">
        <f t="shared" si="98"/>
        <v>0</v>
      </c>
      <c r="BE358" s="37"/>
      <c r="BF358" s="76">
        <f t="shared" si="99"/>
        <v>8227211.2300000004</v>
      </c>
      <c r="BH358" s="76">
        <f t="shared" si="100"/>
        <v>0</v>
      </c>
      <c r="BJ358" s="76">
        <f t="shared" si="101"/>
        <v>8227211.2300000004</v>
      </c>
      <c r="BL358" s="39">
        <f t="shared" si="93"/>
        <v>0</v>
      </c>
      <c r="BM358" s="3"/>
      <c r="BN358" s="3"/>
      <c r="BO358" s="3"/>
    </row>
    <row r="359" spans="1:67" x14ac:dyDescent="0.2">
      <c r="A359" s="14"/>
      <c r="B359" s="3" t="s">
        <v>331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>
        <v>4689545.6100000003</v>
      </c>
      <c r="T359" s="15"/>
      <c r="U359" s="15"/>
      <c r="V359" s="15"/>
      <c r="W359" s="15">
        <v>-4275204.5999999996</v>
      </c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>
        <f t="shared" si="96"/>
        <v>414341.01000000071</v>
      </c>
      <c r="BA359" s="5"/>
      <c r="BB359" s="76">
        <f t="shared" si="97"/>
        <v>0</v>
      </c>
      <c r="BC359" s="37"/>
      <c r="BD359" s="76">
        <f t="shared" si="98"/>
        <v>0</v>
      </c>
      <c r="BE359" s="37"/>
      <c r="BF359" s="76">
        <f t="shared" si="99"/>
        <v>414341.01000000071</v>
      </c>
      <c r="BH359" s="76">
        <f t="shared" si="100"/>
        <v>0</v>
      </c>
      <c r="BJ359" s="76">
        <f t="shared" si="101"/>
        <v>414341.01000000071</v>
      </c>
      <c r="BL359" s="39">
        <f t="shared" si="93"/>
        <v>0</v>
      </c>
      <c r="BM359" s="3"/>
      <c r="BN359" s="3"/>
      <c r="BO359" s="3"/>
    </row>
    <row r="360" spans="1:67" x14ac:dyDescent="0.2">
      <c r="A360" s="14"/>
      <c r="B360" s="3" t="s">
        <v>332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>
        <v>0</v>
      </c>
      <c r="T360" s="15"/>
      <c r="U360" s="15"/>
      <c r="V360" s="15"/>
      <c r="W360" s="15">
        <v>187797.02</v>
      </c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>
        <f t="shared" si="96"/>
        <v>187797.02</v>
      </c>
      <c r="BA360" s="5"/>
      <c r="BB360" s="76">
        <f t="shared" si="97"/>
        <v>0</v>
      </c>
      <c r="BC360" s="37"/>
      <c r="BD360" s="76">
        <f t="shared" si="98"/>
        <v>0</v>
      </c>
      <c r="BE360" s="37"/>
      <c r="BF360" s="76">
        <f t="shared" si="99"/>
        <v>187797.02</v>
      </c>
      <c r="BH360" s="76">
        <f t="shared" si="100"/>
        <v>0</v>
      </c>
      <c r="BJ360" s="76">
        <f t="shared" si="101"/>
        <v>187797.02</v>
      </c>
      <c r="BL360" s="39">
        <f t="shared" si="93"/>
        <v>0</v>
      </c>
      <c r="BM360" s="3"/>
      <c r="BN360" s="3"/>
      <c r="BO360" s="3"/>
    </row>
    <row r="361" spans="1:67" outlineLevel="1" x14ac:dyDescent="0.2">
      <c r="A361" s="14"/>
      <c r="B361" s="3" t="s">
        <v>333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>
        <f t="shared" si="96"/>
        <v>0</v>
      </c>
      <c r="BA361" s="5"/>
      <c r="BB361" s="76">
        <f t="shared" si="97"/>
        <v>0</v>
      </c>
      <c r="BC361" s="37"/>
      <c r="BD361" s="76">
        <f t="shared" si="98"/>
        <v>0</v>
      </c>
      <c r="BE361" s="37"/>
      <c r="BF361" s="76">
        <f t="shared" si="99"/>
        <v>0</v>
      </c>
      <c r="BH361" s="76">
        <f t="shared" si="100"/>
        <v>0</v>
      </c>
      <c r="BJ361" s="76">
        <f t="shared" si="101"/>
        <v>0</v>
      </c>
      <c r="BL361" s="39">
        <f t="shared" si="93"/>
        <v>0</v>
      </c>
      <c r="BM361" s="3"/>
      <c r="BN361" s="3"/>
      <c r="BO361" s="3"/>
    </row>
    <row r="362" spans="1:67" outlineLevel="1" x14ac:dyDescent="0.2">
      <c r="A362" s="14"/>
      <c r="B362" s="31" t="s">
        <v>334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>
        <f t="shared" si="96"/>
        <v>0</v>
      </c>
      <c r="BA362" s="5"/>
      <c r="BB362" s="76">
        <f t="shared" si="97"/>
        <v>0</v>
      </c>
      <c r="BC362" s="37"/>
      <c r="BD362" s="76">
        <f t="shared" si="98"/>
        <v>0</v>
      </c>
      <c r="BE362" s="37"/>
      <c r="BF362" s="76">
        <f t="shared" si="99"/>
        <v>0</v>
      </c>
      <c r="BH362" s="76">
        <f t="shared" si="100"/>
        <v>0</v>
      </c>
      <c r="BJ362" s="76">
        <f t="shared" si="101"/>
        <v>0</v>
      </c>
      <c r="BL362" s="39">
        <f t="shared" si="93"/>
        <v>0</v>
      </c>
      <c r="BM362" s="3"/>
      <c r="BN362" s="3"/>
      <c r="BO362" s="3"/>
    </row>
    <row r="363" spans="1:67" x14ac:dyDescent="0.2">
      <c r="A363" s="14"/>
      <c r="B363" s="31" t="s">
        <v>335</v>
      </c>
      <c r="C363" s="15">
        <f>SUM(C361:C362)</f>
        <v>0</v>
      </c>
      <c r="D363" s="15"/>
      <c r="E363" s="15">
        <f>SUM(E361:E362)</f>
        <v>0</v>
      </c>
      <c r="F363" s="15"/>
      <c r="G363" s="15">
        <f>SUM(G361:G362)</f>
        <v>0</v>
      </c>
      <c r="H363" s="15"/>
      <c r="I363" s="15">
        <f>SUM(I361:I362)</f>
        <v>0</v>
      </c>
      <c r="J363" s="15"/>
      <c r="K363" s="15">
        <f>SUM(K361:K362)</f>
        <v>0</v>
      </c>
      <c r="L363" s="15"/>
      <c r="M363" s="15">
        <f>SUM(M361:M362)</f>
        <v>0</v>
      </c>
      <c r="N363" s="15"/>
      <c r="O363" s="15">
        <f>SUM(O361:O362)</f>
        <v>0</v>
      </c>
      <c r="P363" s="15"/>
      <c r="Q363" s="15">
        <f>SUM(Q361:Q362)</f>
        <v>0</v>
      </c>
      <c r="R363" s="15"/>
      <c r="S363" s="15">
        <f>SUM(S361:S362)</f>
        <v>0</v>
      </c>
      <c r="T363" s="15"/>
      <c r="U363" s="15">
        <f>SUM(U361:U362)</f>
        <v>0</v>
      </c>
      <c r="V363" s="15"/>
      <c r="W363" s="15">
        <f>SUM(W361:W362)</f>
        <v>0</v>
      </c>
      <c r="X363" s="15"/>
      <c r="Y363" s="15">
        <f>SUM(Y361:Y362)</f>
        <v>0</v>
      </c>
      <c r="Z363" s="15"/>
      <c r="AA363" s="15">
        <f>SUM(AA361:AA362)</f>
        <v>0</v>
      </c>
      <c r="AB363" s="15"/>
      <c r="AC363" s="15">
        <f>SUM(AC361:AC362)</f>
        <v>0</v>
      </c>
      <c r="AD363" s="15"/>
      <c r="AE363" s="15">
        <f>SUM(AE361:AE362)</f>
        <v>0</v>
      </c>
      <c r="AF363" s="15"/>
      <c r="AG363" s="15">
        <f>SUM(AG361:AG362)</f>
        <v>0</v>
      </c>
      <c r="AH363" s="15"/>
      <c r="AI363" s="15">
        <f>SUM(AI361:AI362)</f>
        <v>0</v>
      </c>
      <c r="AJ363" s="15"/>
      <c r="AK363" s="15">
        <f>SUM(AK361:AK362)</f>
        <v>0</v>
      </c>
      <c r="AL363" s="15"/>
      <c r="AM363" s="15">
        <f>SUM(AM361:AM362)</f>
        <v>0</v>
      </c>
      <c r="AN363" s="15"/>
      <c r="AO363" s="15">
        <f>SUM(AO361:AO362)</f>
        <v>0</v>
      </c>
      <c r="AP363" s="15"/>
      <c r="AQ363" s="15">
        <f>SUM(AQ361:AQ362)</f>
        <v>0</v>
      </c>
      <c r="AR363" s="15"/>
      <c r="AS363" s="15">
        <f>SUM(AS361:AS362)</f>
        <v>0</v>
      </c>
      <c r="AT363" s="15">
        <f>SUM(AT361:AT362)</f>
        <v>0</v>
      </c>
      <c r="AU363" s="15"/>
      <c r="AV363" s="15">
        <f>SUM(AV361:AV362)</f>
        <v>0</v>
      </c>
      <c r="AW363" s="15"/>
      <c r="AX363" s="15">
        <f>SUM(AX361:AX362)</f>
        <v>0</v>
      </c>
      <c r="AY363" s="15"/>
      <c r="AZ363" s="15">
        <f>SUM(C363:AP363)</f>
        <v>0</v>
      </c>
      <c r="BA363" s="5"/>
      <c r="BB363" s="76">
        <f t="shared" si="97"/>
        <v>0</v>
      </c>
      <c r="BC363" s="37"/>
      <c r="BD363" s="76">
        <f t="shared" si="98"/>
        <v>0</v>
      </c>
      <c r="BE363" s="37"/>
      <c r="BF363" s="76">
        <f t="shared" si="99"/>
        <v>0</v>
      </c>
      <c r="BH363" s="76">
        <f t="shared" si="100"/>
        <v>0</v>
      </c>
      <c r="BJ363" s="76">
        <f t="shared" si="101"/>
        <v>0</v>
      </c>
      <c r="BL363" s="39">
        <f t="shared" si="93"/>
        <v>0</v>
      </c>
      <c r="BM363" s="3"/>
      <c r="BN363" s="3"/>
      <c r="BO363" s="3"/>
    </row>
    <row r="364" spans="1:67" x14ac:dyDescent="0.2">
      <c r="A364" s="14"/>
      <c r="B364" s="115" t="s">
        <v>336</v>
      </c>
      <c r="C364" s="20">
        <f>C363+SUM(C354:C360)</f>
        <v>0</v>
      </c>
      <c r="D364" s="15"/>
      <c r="E364" s="20">
        <f>E363+SUM(E354:E360)</f>
        <v>0</v>
      </c>
      <c r="F364" s="15"/>
      <c r="G364" s="20">
        <f>G363+SUM(G354:G360)</f>
        <v>0</v>
      </c>
      <c r="H364" s="15"/>
      <c r="I364" s="20">
        <f>I363+SUM(I354:I360)</f>
        <v>0</v>
      </c>
      <c r="J364" s="15"/>
      <c r="K364" s="20">
        <f>K363+SUM(K354:K360)</f>
        <v>0</v>
      </c>
      <c r="L364" s="15"/>
      <c r="M364" s="20">
        <f>M363+SUM(M354:M360)</f>
        <v>0</v>
      </c>
      <c r="N364" s="15"/>
      <c r="O364" s="20">
        <f>O363+SUM(O354:O360)</f>
        <v>0</v>
      </c>
      <c r="P364" s="15"/>
      <c r="Q364" s="20">
        <f>Q363+SUM(Q354:Q360)</f>
        <v>0</v>
      </c>
      <c r="R364" s="15"/>
      <c r="S364" s="20">
        <f>S363+SUM(S354:S360)</f>
        <v>0</v>
      </c>
      <c r="T364" s="20"/>
      <c r="U364" s="20">
        <f>U363+SUM(U354:U360)</f>
        <v>0</v>
      </c>
      <c r="V364" s="20"/>
      <c r="W364" s="20">
        <f>W363+SUM(W354:W360)</f>
        <v>4.3655745685100555E-10</v>
      </c>
      <c r="X364" s="15"/>
      <c r="Y364" s="20">
        <f>Y363+SUM(Y354:Y360)</f>
        <v>0</v>
      </c>
      <c r="Z364" s="15"/>
      <c r="AA364" s="20">
        <f>AA363+SUM(AA354:AA360)</f>
        <v>0</v>
      </c>
      <c r="AB364" s="15"/>
      <c r="AC364" s="20">
        <f>AC363+SUM(AC354:AC360)</f>
        <v>0</v>
      </c>
      <c r="AD364" s="15"/>
      <c r="AE364" s="20">
        <f>AE363+SUM(AE354:AE360)</f>
        <v>0</v>
      </c>
      <c r="AF364" s="15"/>
      <c r="AG364" s="20">
        <f>AG363+SUM(AG354:AG360)</f>
        <v>0</v>
      </c>
      <c r="AH364" s="15"/>
      <c r="AI364" s="20">
        <f>AI363+SUM(AI354:AI360)</f>
        <v>0</v>
      </c>
      <c r="AJ364" s="15"/>
      <c r="AK364" s="20">
        <f>AK363+SUM(AK354:AK360)</f>
        <v>0</v>
      </c>
      <c r="AL364" s="20"/>
      <c r="AM364" s="20">
        <f>AM363+SUM(AM354:AM360)</f>
        <v>0</v>
      </c>
      <c r="AN364" s="20"/>
      <c r="AO364" s="20">
        <f>AO363+SUM(AO354:AO360)</f>
        <v>0</v>
      </c>
      <c r="AP364" s="20"/>
      <c r="AQ364" s="20">
        <f>AQ363+SUM(AQ354:AQ360)</f>
        <v>0</v>
      </c>
      <c r="AR364" s="20"/>
      <c r="AS364" s="20">
        <f>AS363+SUM(AS354:AS360)</f>
        <v>0</v>
      </c>
      <c r="AT364" s="20">
        <f>AT363+SUM(AT354:AT360)</f>
        <v>0</v>
      </c>
      <c r="AU364" s="20"/>
      <c r="AV364" s="20">
        <f>AV363+SUM(AV354:AV360)</f>
        <v>0</v>
      </c>
      <c r="AW364" s="20"/>
      <c r="AX364" s="20">
        <f>AX363+SUM(AX354:AX360)</f>
        <v>0</v>
      </c>
      <c r="AY364" s="20"/>
      <c r="AZ364" s="20">
        <f>AZ363+SUM(AZ354:AZ360)</f>
        <v>-4.9476511776447296E-10</v>
      </c>
      <c r="BA364" s="5"/>
      <c r="BB364" s="114">
        <f>BB363+SUM(BB354:BB360)</f>
        <v>0</v>
      </c>
      <c r="BC364" s="37"/>
      <c r="BD364" s="114">
        <f>BD363+SUM(BD354:BD360)</f>
        <v>0</v>
      </c>
      <c r="BE364" s="37"/>
      <c r="BF364" s="114">
        <f>BF363+SUM(BF354:BF360)</f>
        <v>-4.9476511776447296E-10</v>
      </c>
      <c r="BH364" s="114">
        <f>BH363+SUM(BH354:BH360)</f>
        <v>0</v>
      </c>
      <c r="BJ364" s="114">
        <f>BJ363+SUM(BJ354:BJ360)</f>
        <v>-4.9476511776447296E-10</v>
      </c>
      <c r="BL364" s="39">
        <f t="shared" si="93"/>
        <v>0</v>
      </c>
      <c r="BM364" s="3"/>
      <c r="BN364" s="3"/>
      <c r="BO364" s="3"/>
    </row>
    <row r="365" spans="1:67" x14ac:dyDescent="0.2">
      <c r="A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5"/>
      <c r="BB365" s="76"/>
      <c r="BC365" s="37"/>
      <c r="BD365" s="76"/>
      <c r="BE365" s="37"/>
      <c r="BL365" s="39">
        <f t="shared" si="93"/>
        <v>0</v>
      </c>
      <c r="BM365" s="3"/>
      <c r="BN365" s="3"/>
      <c r="BO365" s="3"/>
    </row>
    <row r="366" spans="1:67" x14ac:dyDescent="0.2">
      <c r="A366" s="14"/>
      <c r="B366" s="10" t="s">
        <v>337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5"/>
      <c r="BB366" s="76"/>
      <c r="BC366" s="37"/>
      <c r="BD366" s="76"/>
      <c r="BE366" s="37"/>
      <c r="BL366" s="39">
        <f t="shared" si="93"/>
        <v>0</v>
      </c>
      <c r="BM366" s="3"/>
      <c r="BN366" s="3"/>
      <c r="BO366" s="3"/>
    </row>
    <row r="367" spans="1:67" outlineLevel="1" x14ac:dyDescent="0.2">
      <c r="A367" s="14"/>
      <c r="B367" s="3" t="s">
        <v>338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B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>
        <f>SUM(C367:AY367)</f>
        <v>0</v>
      </c>
      <c r="BA367" s="5"/>
      <c r="BB367" s="76">
        <f t="shared" ref="BB367:BB381" si="102">SUMIF($C$10:$AY$10,"=Addition",$C367:$AY367)</f>
        <v>0</v>
      </c>
      <c r="BC367" s="37"/>
      <c r="BD367" s="76">
        <f t="shared" ref="BD367:BD381" si="103">SUMIF($C$10:$AY$10,"=Adjustment",$C367:$AY367)</f>
        <v>0</v>
      </c>
      <c r="BE367" s="37"/>
      <c r="BF367" s="76">
        <f t="shared" ref="BF367:BF381" si="104">SUMIF($C$10:$AY$10,"=Transfer",$C367:$AY367)</f>
        <v>0</v>
      </c>
      <c r="BH367" s="76">
        <f t="shared" ref="BH367:BH381" si="105">SUMIF($C$10:$AY$10,"=N/A",$C367:$AY367)</f>
        <v>0</v>
      </c>
      <c r="BJ367" s="76">
        <f t="shared" ref="BJ367:BJ381" si="106">SUM(BB367:BH367)</f>
        <v>0</v>
      </c>
      <c r="BL367" s="39">
        <f t="shared" si="93"/>
        <v>0</v>
      </c>
      <c r="BM367" s="3"/>
      <c r="BN367" s="3"/>
      <c r="BO367" s="3"/>
    </row>
    <row r="368" spans="1:67" outlineLevel="1" x14ac:dyDescent="0.2">
      <c r="A368" s="14"/>
      <c r="B368" s="3" t="s">
        <v>440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>
        <f>SUM(C368:AY368)</f>
        <v>0</v>
      </c>
      <c r="BA368" s="5"/>
      <c r="BB368" s="76">
        <f t="shared" si="102"/>
        <v>0</v>
      </c>
      <c r="BC368" s="37"/>
      <c r="BD368" s="76">
        <f t="shared" si="103"/>
        <v>0</v>
      </c>
      <c r="BE368" s="37"/>
      <c r="BF368" s="76">
        <f t="shared" si="104"/>
        <v>0</v>
      </c>
      <c r="BH368" s="76">
        <f t="shared" si="105"/>
        <v>0</v>
      </c>
      <c r="BJ368" s="76">
        <f t="shared" si="106"/>
        <v>0</v>
      </c>
      <c r="BL368" s="39">
        <f t="shared" si="93"/>
        <v>0</v>
      </c>
      <c r="BM368" s="3"/>
      <c r="BN368" s="3"/>
      <c r="BO368" s="3"/>
    </row>
    <row r="369" spans="1:67" x14ac:dyDescent="0.2">
      <c r="A369" s="14"/>
      <c r="B369" s="22" t="s">
        <v>341</v>
      </c>
      <c r="C369" s="15">
        <f>SUM(C367:C368)</f>
        <v>0</v>
      </c>
      <c r="D369" s="15"/>
      <c r="E369" s="15">
        <f>SUM(E367:E368)</f>
        <v>0</v>
      </c>
      <c r="F369" s="15"/>
      <c r="G369" s="15">
        <f>SUM(G367:G368)</f>
        <v>0</v>
      </c>
      <c r="H369" s="15"/>
      <c r="I369" s="15">
        <f>SUM(I367:I368)</f>
        <v>0</v>
      </c>
      <c r="J369" s="15"/>
      <c r="K369" s="15">
        <f>SUM(K367:K368)</f>
        <v>0</v>
      </c>
      <c r="L369" s="15"/>
      <c r="M369" s="15">
        <f>SUM(M367:M368)</f>
        <v>0</v>
      </c>
      <c r="N369" s="15"/>
      <c r="O369" s="15">
        <f>SUM(O367:O368)</f>
        <v>0</v>
      </c>
      <c r="P369" s="15"/>
      <c r="Q369" s="15">
        <f>SUM(Q367:Q368)</f>
        <v>0</v>
      </c>
      <c r="R369" s="15"/>
      <c r="S369" s="15">
        <f>SUM(S367:S368)</f>
        <v>0</v>
      </c>
      <c r="T369" s="15"/>
      <c r="U369" s="15">
        <f>SUM(U367:U368)</f>
        <v>0</v>
      </c>
      <c r="V369" s="15"/>
      <c r="W369" s="15">
        <f>SUM(W367:W368)</f>
        <v>0</v>
      </c>
      <c r="X369" s="15"/>
      <c r="Y369" s="15">
        <f>SUM(Y367:Y368)</f>
        <v>0</v>
      </c>
      <c r="Z369" s="15"/>
      <c r="AA369" s="15">
        <f>SUM(AA367:AA368)</f>
        <v>0</v>
      </c>
      <c r="AB369" s="15"/>
      <c r="AC369" s="15">
        <f>SUM(AC367:AC368)</f>
        <v>0</v>
      </c>
      <c r="AD369" s="15"/>
      <c r="AE369" s="15">
        <f>SUM(AE367:AE368)</f>
        <v>0</v>
      </c>
      <c r="AF369" s="15"/>
      <c r="AG369" s="15">
        <f>SUM(AG367:AG368)</f>
        <v>0</v>
      </c>
      <c r="AH369" s="15"/>
      <c r="AI369" s="15">
        <f>SUM(AI367:AI368)</f>
        <v>0</v>
      </c>
      <c r="AJ369" s="15"/>
      <c r="AK369" s="15">
        <f>SUM(AK367:AK368)</f>
        <v>0</v>
      </c>
      <c r="AL369" s="15"/>
      <c r="AM369" s="15">
        <f>SUM(AM367:AM368)</f>
        <v>0</v>
      </c>
      <c r="AN369" s="15"/>
      <c r="AO369" s="15">
        <f>SUM(AO367:AO368)</f>
        <v>0</v>
      </c>
      <c r="AP369" s="15"/>
      <c r="AQ369" s="15">
        <f>SUM(AQ367:AQ368)</f>
        <v>0</v>
      </c>
      <c r="AR369" s="15"/>
      <c r="AS369" s="15">
        <f>SUM(AS367:AS368)</f>
        <v>0</v>
      </c>
      <c r="AT369" s="15">
        <f>SUM(AT367:AT368)</f>
        <v>0</v>
      </c>
      <c r="AU369" s="15"/>
      <c r="AV369" s="15">
        <f>SUM(AV367:AV368)</f>
        <v>0</v>
      </c>
      <c r="AW369" s="15"/>
      <c r="AX369" s="15">
        <f>SUM(AX367:AX368)</f>
        <v>0</v>
      </c>
      <c r="AY369" s="15"/>
      <c r="AZ369" s="15">
        <f>SUM(AZ367:AZ368)</f>
        <v>0</v>
      </c>
      <c r="BA369" s="5"/>
      <c r="BB369" s="76">
        <f t="shared" si="102"/>
        <v>0</v>
      </c>
      <c r="BC369" s="37"/>
      <c r="BD369" s="76">
        <f t="shared" si="103"/>
        <v>0</v>
      </c>
      <c r="BE369" s="37"/>
      <c r="BF369" s="76">
        <f t="shared" si="104"/>
        <v>0</v>
      </c>
      <c r="BH369" s="76">
        <f t="shared" si="105"/>
        <v>0</v>
      </c>
      <c r="BJ369" s="76">
        <f t="shared" si="106"/>
        <v>0</v>
      </c>
      <c r="BL369" s="39">
        <f t="shared" si="93"/>
        <v>0</v>
      </c>
      <c r="BM369" s="3"/>
      <c r="BN369" s="3"/>
      <c r="BO369" s="3"/>
    </row>
    <row r="370" spans="1:67" outlineLevel="1" x14ac:dyDescent="0.2">
      <c r="A370" s="14"/>
      <c r="B370" s="3" t="s">
        <v>342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>
        <f>SUM(C370:AY370)</f>
        <v>0</v>
      </c>
      <c r="BA370" s="5"/>
      <c r="BB370" s="76">
        <f t="shared" si="102"/>
        <v>0</v>
      </c>
      <c r="BC370" s="37"/>
      <c r="BD370" s="76">
        <f t="shared" si="103"/>
        <v>0</v>
      </c>
      <c r="BE370" s="37"/>
      <c r="BF370" s="76">
        <f t="shared" si="104"/>
        <v>0</v>
      </c>
      <c r="BH370" s="76">
        <f t="shared" si="105"/>
        <v>0</v>
      </c>
      <c r="BJ370" s="76">
        <f t="shared" si="106"/>
        <v>0</v>
      </c>
      <c r="BL370" s="39">
        <f t="shared" si="93"/>
        <v>0</v>
      </c>
      <c r="BM370" s="3"/>
      <c r="BN370" s="3"/>
      <c r="BO370" s="3"/>
    </row>
    <row r="371" spans="1:67" outlineLevel="1" x14ac:dyDescent="0.2">
      <c r="A371" s="14"/>
      <c r="B371" s="3" t="s">
        <v>343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>
        <f>SUM(C371:AY371)</f>
        <v>0</v>
      </c>
      <c r="BA371" s="5"/>
      <c r="BB371" s="76">
        <f t="shared" si="102"/>
        <v>0</v>
      </c>
      <c r="BC371" s="37"/>
      <c r="BD371" s="76">
        <f t="shared" si="103"/>
        <v>0</v>
      </c>
      <c r="BE371" s="37"/>
      <c r="BF371" s="76">
        <f t="shared" si="104"/>
        <v>0</v>
      </c>
      <c r="BH371" s="76">
        <f t="shared" si="105"/>
        <v>0</v>
      </c>
      <c r="BJ371" s="76">
        <f t="shared" si="106"/>
        <v>0</v>
      </c>
      <c r="BL371" s="39">
        <f t="shared" si="93"/>
        <v>0</v>
      </c>
      <c r="BM371" s="3"/>
      <c r="BN371" s="3"/>
      <c r="BO371" s="3"/>
    </row>
    <row r="372" spans="1:67" x14ac:dyDescent="0.2">
      <c r="A372" s="14"/>
      <c r="B372" s="3" t="s">
        <v>344</v>
      </c>
      <c r="C372" s="15">
        <f>SUM(C370:C371)</f>
        <v>0</v>
      </c>
      <c r="D372" s="15"/>
      <c r="E372" s="15">
        <f>SUM(E370:E371)</f>
        <v>0</v>
      </c>
      <c r="F372" s="15"/>
      <c r="G372" s="15">
        <f>SUM(G370:G371)</f>
        <v>0</v>
      </c>
      <c r="H372" s="15"/>
      <c r="I372" s="15">
        <f>SUM(I370:I371)</f>
        <v>0</v>
      </c>
      <c r="J372" s="15"/>
      <c r="K372" s="15">
        <f>SUM(K370:K371)</f>
        <v>0</v>
      </c>
      <c r="L372" s="15"/>
      <c r="M372" s="15">
        <f>SUM(M370:M371)</f>
        <v>0</v>
      </c>
      <c r="N372" s="15"/>
      <c r="O372" s="15">
        <f>SUM(O370:O371)</f>
        <v>0</v>
      </c>
      <c r="P372" s="15"/>
      <c r="Q372" s="15">
        <f>SUM(Q370:Q371)</f>
        <v>0</v>
      </c>
      <c r="R372" s="15"/>
      <c r="S372" s="15">
        <f>SUM(S370:S371)</f>
        <v>0</v>
      </c>
      <c r="T372" s="15"/>
      <c r="U372" s="15">
        <f>SUM(U370:U371)</f>
        <v>0</v>
      </c>
      <c r="V372" s="15"/>
      <c r="W372" s="15">
        <f>SUM(W370:W371)</f>
        <v>0</v>
      </c>
      <c r="X372" s="15"/>
      <c r="Y372" s="15">
        <f>SUM(Y370:Y371)</f>
        <v>0</v>
      </c>
      <c r="Z372" s="15"/>
      <c r="AA372" s="15">
        <f>SUM(AA370:AA371)</f>
        <v>0</v>
      </c>
      <c r="AB372" s="15"/>
      <c r="AC372" s="15">
        <f>SUM(AC370:AC371)</f>
        <v>0</v>
      </c>
      <c r="AD372" s="15"/>
      <c r="AE372" s="15">
        <f>SUM(AE370:AE371)</f>
        <v>0</v>
      </c>
      <c r="AF372" s="15"/>
      <c r="AG372" s="15">
        <f>SUM(AG370:AG371)</f>
        <v>0</v>
      </c>
      <c r="AH372" s="15"/>
      <c r="AI372" s="15">
        <f>SUM(AI370:AI371)</f>
        <v>0</v>
      </c>
      <c r="AJ372" s="15"/>
      <c r="AK372" s="15">
        <f>SUM(AK370:AK371)</f>
        <v>0</v>
      </c>
      <c r="AL372" s="15"/>
      <c r="AM372" s="15">
        <f>SUM(AM370:AM371)</f>
        <v>0</v>
      </c>
      <c r="AN372" s="15"/>
      <c r="AO372" s="15">
        <f>SUM(AO370:AO371)</f>
        <v>0</v>
      </c>
      <c r="AP372" s="15"/>
      <c r="AQ372" s="15">
        <f>SUM(AQ370:AQ371)</f>
        <v>0</v>
      </c>
      <c r="AR372" s="15"/>
      <c r="AS372" s="15">
        <f>SUM(AS370:AS371)</f>
        <v>0</v>
      </c>
      <c r="AT372" s="15">
        <f>SUM(AT370:AT371)</f>
        <v>0</v>
      </c>
      <c r="AU372" s="15"/>
      <c r="AV372" s="15">
        <f>SUM(AV370:AV371)</f>
        <v>0</v>
      </c>
      <c r="AW372" s="15"/>
      <c r="AX372" s="15">
        <f>SUM(AX370:AX371)</f>
        <v>0</v>
      </c>
      <c r="AY372" s="15"/>
      <c r="AZ372" s="15">
        <f>SUM(AZ370:AZ371)</f>
        <v>0</v>
      </c>
      <c r="BA372" s="5"/>
      <c r="BB372" s="76">
        <f t="shared" si="102"/>
        <v>0</v>
      </c>
      <c r="BC372" s="37"/>
      <c r="BD372" s="76">
        <f t="shared" si="103"/>
        <v>0</v>
      </c>
      <c r="BE372" s="37"/>
      <c r="BF372" s="76">
        <f t="shared" si="104"/>
        <v>0</v>
      </c>
      <c r="BH372" s="76">
        <f t="shared" si="105"/>
        <v>0</v>
      </c>
      <c r="BJ372" s="76">
        <f t="shared" si="106"/>
        <v>0</v>
      </c>
      <c r="BL372" s="39">
        <f t="shared" si="93"/>
        <v>0</v>
      </c>
      <c r="BM372" s="3"/>
      <c r="BN372" s="3"/>
      <c r="BO372" s="3"/>
    </row>
    <row r="373" spans="1:67" outlineLevel="1" x14ac:dyDescent="0.2">
      <c r="A373" s="14"/>
      <c r="B373" s="3" t="s">
        <v>345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>
        <f>SUM(C373:AY373)</f>
        <v>0</v>
      </c>
      <c r="BA373" s="5"/>
      <c r="BB373" s="76">
        <f t="shared" si="102"/>
        <v>0</v>
      </c>
      <c r="BC373" s="37"/>
      <c r="BD373" s="76">
        <f t="shared" si="103"/>
        <v>0</v>
      </c>
      <c r="BE373" s="37"/>
      <c r="BF373" s="76">
        <f t="shared" si="104"/>
        <v>0</v>
      </c>
      <c r="BH373" s="76">
        <f t="shared" si="105"/>
        <v>0</v>
      </c>
      <c r="BJ373" s="76">
        <f t="shared" si="106"/>
        <v>0</v>
      </c>
      <c r="BL373" s="39">
        <f t="shared" si="93"/>
        <v>0</v>
      </c>
      <c r="BM373" s="3"/>
      <c r="BN373" s="3"/>
      <c r="BO373" s="3"/>
    </row>
    <row r="374" spans="1:67" outlineLevel="1" x14ac:dyDescent="0.2">
      <c r="A374" s="14"/>
      <c r="B374" s="3" t="s">
        <v>346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>
        <f>SUM(C374:AY374)</f>
        <v>0</v>
      </c>
      <c r="BA374" s="5"/>
      <c r="BB374" s="76">
        <f t="shared" si="102"/>
        <v>0</v>
      </c>
      <c r="BC374" s="37"/>
      <c r="BD374" s="76">
        <f t="shared" si="103"/>
        <v>0</v>
      </c>
      <c r="BE374" s="37"/>
      <c r="BF374" s="76">
        <f t="shared" si="104"/>
        <v>0</v>
      </c>
      <c r="BH374" s="76">
        <f t="shared" si="105"/>
        <v>0</v>
      </c>
      <c r="BJ374" s="76">
        <f t="shared" si="106"/>
        <v>0</v>
      </c>
      <c r="BL374" s="39">
        <f t="shared" si="93"/>
        <v>0</v>
      </c>
      <c r="BM374" s="3"/>
      <c r="BN374" s="3"/>
      <c r="BO374" s="3"/>
    </row>
    <row r="375" spans="1:67" x14ac:dyDescent="0.2">
      <c r="A375" s="14"/>
      <c r="B375" s="3" t="s">
        <v>347</v>
      </c>
      <c r="C375" s="15">
        <f>SUM(C373:C374)</f>
        <v>0</v>
      </c>
      <c r="D375" s="15"/>
      <c r="E375" s="15">
        <f>SUM(E373:E374)</f>
        <v>0</v>
      </c>
      <c r="F375" s="15"/>
      <c r="G375" s="15">
        <f>SUM(G373:G374)</f>
        <v>0</v>
      </c>
      <c r="H375" s="15"/>
      <c r="I375" s="15">
        <f>SUM(I373:I374)</f>
        <v>0</v>
      </c>
      <c r="J375" s="15"/>
      <c r="K375" s="15">
        <f>SUM(K373:K374)</f>
        <v>0</v>
      </c>
      <c r="L375" s="15"/>
      <c r="M375" s="15">
        <f>SUM(M373:M374)</f>
        <v>0</v>
      </c>
      <c r="N375" s="15"/>
      <c r="O375" s="15">
        <f>SUM(O373:O374)</f>
        <v>0</v>
      </c>
      <c r="P375" s="15"/>
      <c r="Q375" s="15">
        <f>SUM(Q373:Q374)</f>
        <v>0</v>
      </c>
      <c r="R375" s="15"/>
      <c r="S375" s="15">
        <f>SUM(S373:S374)</f>
        <v>0</v>
      </c>
      <c r="T375" s="15"/>
      <c r="U375" s="15">
        <f>SUM(U373:U374)</f>
        <v>0</v>
      </c>
      <c r="V375" s="15"/>
      <c r="W375" s="15">
        <f>SUM(W373:W374)</f>
        <v>0</v>
      </c>
      <c r="X375" s="15"/>
      <c r="Y375" s="15">
        <f>SUM(Y373:Y374)</f>
        <v>0</v>
      </c>
      <c r="Z375" s="15"/>
      <c r="AA375" s="15">
        <f>SUM(AA373:AA374)</f>
        <v>0</v>
      </c>
      <c r="AB375" s="15"/>
      <c r="AC375" s="15">
        <f>SUM(AC373:AC374)</f>
        <v>0</v>
      </c>
      <c r="AD375" s="15"/>
      <c r="AE375" s="15">
        <f>SUM(AE373:AE374)</f>
        <v>0</v>
      </c>
      <c r="AF375" s="15"/>
      <c r="AG375" s="15">
        <f>SUM(AG373:AG374)</f>
        <v>0</v>
      </c>
      <c r="AH375" s="15"/>
      <c r="AI375" s="15">
        <f>SUM(AI373:AI374)</f>
        <v>0</v>
      </c>
      <c r="AJ375" s="15"/>
      <c r="AK375" s="15">
        <f>SUM(AK373:AK374)</f>
        <v>0</v>
      </c>
      <c r="AL375" s="15"/>
      <c r="AM375" s="15">
        <f>SUM(AM373:AM374)</f>
        <v>0</v>
      </c>
      <c r="AN375" s="15"/>
      <c r="AO375" s="15">
        <f>SUM(AO373:AO374)</f>
        <v>0</v>
      </c>
      <c r="AP375" s="15"/>
      <c r="AQ375" s="15">
        <f>SUM(AQ373:AQ374)</f>
        <v>0</v>
      </c>
      <c r="AR375" s="15"/>
      <c r="AS375" s="15">
        <f>SUM(AS373:AS374)</f>
        <v>0</v>
      </c>
      <c r="AT375" s="15">
        <f>SUM(AT373:AT374)</f>
        <v>0</v>
      </c>
      <c r="AU375" s="15"/>
      <c r="AV375" s="15">
        <f>SUM(AV373:AV374)</f>
        <v>0</v>
      </c>
      <c r="AW375" s="15"/>
      <c r="AX375" s="15">
        <f>SUM(AX373:AX374)</f>
        <v>0</v>
      </c>
      <c r="AY375" s="15"/>
      <c r="AZ375" s="15">
        <f>SUM(AZ373:AZ374)</f>
        <v>0</v>
      </c>
      <c r="BA375" s="5"/>
      <c r="BB375" s="76">
        <f t="shared" si="102"/>
        <v>0</v>
      </c>
      <c r="BC375" s="37"/>
      <c r="BD375" s="76">
        <f t="shared" si="103"/>
        <v>0</v>
      </c>
      <c r="BE375" s="37"/>
      <c r="BF375" s="76">
        <f t="shared" si="104"/>
        <v>0</v>
      </c>
      <c r="BH375" s="76">
        <f t="shared" si="105"/>
        <v>0</v>
      </c>
      <c r="BJ375" s="76">
        <f t="shared" si="106"/>
        <v>0</v>
      </c>
      <c r="BL375" s="39">
        <f t="shared" si="93"/>
        <v>0</v>
      </c>
      <c r="BM375" s="3"/>
      <c r="BN375" s="3"/>
      <c r="BO375" s="3"/>
    </row>
    <row r="376" spans="1:67" x14ac:dyDescent="0.2">
      <c r="A376" s="14"/>
      <c r="B376" s="3" t="s">
        <v>348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>
        <f>SUM(C376:AY376)</f>
        <v>0</v>
      </c>
      <c r="BA376" s="5"/>
      <c r="BB376" s="76">
        <f t="shared" si="102"/>
        <v>0</v>
      </c>
      <c r="BC376" s="37"/>
      <c r="BD376" s="76">
        <f t="shared" si="103"/>
        <v>0</v>
      </c>
      <c r="BE376" s="37"/>
      <c r="BF376" s="76">
        <f t="shared" si="104"/>
        <v>0</v>
      </c>
      <c r="BH376" s="76">
        <f t="shared" si="105"/>
        <v>0</v>
      </c>
      <c r="BJ376" s="76">
        <f t="shared" si="106"/>
        <v>0</v>
      </c>
      <c r="BL376" s="39">
        <f t="shared" si="93"/>
        <v>0</v>
      </c>
      <c r="BM376" s="3"/>
      <c r="BN376" s="3"/>
      <c r="BO376" s="3"/>
    </row>
    <row r="377" spans="1:67" outlineLevel="1" x14ac:dyDescent="0.2">
      <c r="A377" s="14"/>
      <c r="B377" s="3" t="s">
        <v>349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>
        <f>SUM(C377:AY377)</f>
        <v>0</v>
      </c>
      <c r="BA377" s="5"/>
      <c r="BB377" s="76">
        <f t="shared" si="102"/>
        <v>0</v>
      </c>
      <c r="BC377" s="37"/>
      <c r="BD377" s="76">
        <f t="shared" si="103"/>
        <v>0</v>
      </c>
      <c r="BE377" s="37"/>
      <c r="BF377" s="76">
        <f t="shared" si="104"/>
        <v>0</v>
      </c>
      <c r="BH377" s="76">
        <f t="shared" si="105"/>
        <v>0</v>
      </c>
      <c r="BJ377" s="76">
        <f t="shared" si="106"/>
        <v>0</v>
      </c>
      <c r="BL377" s="39">
        <f t="shared" si="93"/>
        <v>0</v>
      </c>
      <c r="BM377" s="3"/>
      <c r="BN377" s="3"/>
      <c r="BO377" s="3"/>
    </row>
    <row r="378" spans="1:67" outlineLevel="1" x14ac:dyDescent="0.2">
      <c r="A378" s="14"/>
      <c r="B378" s="3" t="s">
        <v>350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>
        <f>SUM(C378:AY378)</f>
        <v>0</v>
      </c>
      <c r="BA378" s="5"/>
      <c r="BB378" s="76">
        <f t="shared" si="102"/>
        <v>0</v>
      </c>
      <c r="BC378" s="37"/>
      <c r="BD378" s="76">
        <f t="shared" si="103"/>
        <v>0</v>
      </c>
      <c r="BE378" s="37"/>
      <c r="BF378" s="76">
        <f t="shared" si="104"/>
        <v>0</v>
      </c>
      <c r="BH378" s="76">
        <f t="shared" si="105"/>
        <v>0</v>
      </c>
      <c r="BJ378" s="76">
        <f t="shared" si="106"/>
        <v>0</v>
      </c>
      <c r="BL378" s="39">
        <f t="shared" si="93"/>
        <v>0</v>
      </c>
      <c r="BM378" s="3"/>
      <c r="BN378" s="3"/>
      <c r="BO378" s="3"/>
    </row>
    <row r="379" spans="1:67" x14ac:dyDescent="0.2">
      <c r="A379" s="14"/>
      <c r="B379" s="3" t="s">
        <v>351</v>
      </c>
      <c r="C379" s="15">
        <f>SUM(C377:C378)</f>
        <v>0</v>
      </c>
      <c r="D379" s="15"/>
      <c r="E379" s="15">
        <f>SUM(E377:E378)</f>
        <v>0</v>
      </c>
      <c r="F379" s="15"/>
      <c r="G379" s="15">
        <f>SUM(G377:G378)</f>
        <v>0</v>
      </c>
      <c r="H379" s="15"/>
      <c r="I379" s="15">
        <f>SUM(I377:I378)</f>
        <v>0</v>
      </c>
      <c r="J379" s="15"/>
      <c r="K379" s="15">
        <f>SUM(K377:K378)</f>
        <v>0</v>
      </c>
      <c r="L379" s="15"/>
      <c r="M379" s="15">
        <f>SUM(M377:M378)</f>
        <v>0</v>
      </c>
      <c r="N379" s="15"/>
      <c r="O379" s="15">
        <f>SUM(O377:O378)</f>
        <v>0</v>
      </c>
      <c r="P379" s="15"/>
      <c r="Q379" s="15">
        <f>SUM(Q377:Q378)</f>
        <v>0</v>
      </c>
      <c r="R379" s="15"/>
      <c r="S379" s="15">
        <f>SUM(S377:S378)</f>
        <v>0</v>
      </c>
      <c r="T379" s="15"/>
      <c r="U379" s="15">
        <f>SUM(U377:U378)</f>
        <v>0</v>
      </c>
      <c r="V379" s="15"/>
      <c r="W379" s="15">
        <f>SUM(W377:W378)</f>
        <v>0</v>
      </c>
      <c r="X379" s="15"/>
      <c r="Y379" s="15">
        <f>SUM(Y377:Y378)</f>
        <v>0</v>
      </c>
      <c r="Z379" s="15"/>
      <c r="AA379" s="15">
        <f>SUM(AA377:AA378)</f>
        <v>0</v>
      </c>
      <c r="AB379" s="15"/>
      <c r="AC379" s="15">
        <f>SUM(AC377:AC378)</f>
        <v>0</v>
      </c>
      <c r="AD379" s="15"/>
      <c r="AE379" s="15">
        <f>SUM(AE377:AE378)</f>
        <v>0</v>
      </c>
      <c r="AF379" s="15"/>
      <c r="AG379" s="15">
        <f>SUM(AG377:AG378)</f>
        <v>0</v>
      </c>
      <c r="AH379" s="15"/>
      <c r="AI379" s="15">
        <f>SUM(AI377:AI378)</f>
        <v>0</v>
      </c>
      <c r="AJ379" s="15"/>
      <c r="AK379" s="15">
        <f>SUM(AK377:AK378)</f>
        <v>0</v>
      </c>
      <c r="AL379" s="15"/>
      <c r="AM379" s="15">
        <f>SUM(AM377:AM378)</f>
        <v>0</v>
      </c>
      <c r="AN379" s="15"/>
      <c r="AO379" s="15">
        <f>SUM(AO377:AO378)</f>
        <v>0</v>
      </c>
      <c r="AP379" s="15"/>
      <c r="AQ379" s="15">
        <f>SUM(AQ377:AQ378)</f>
        <v>0</v>
      </c>
      <c r="AR379" s="15"/>
      <c r="AS379" s="15">
        <f>SUM(AS377:AS378)</f>
        <v>0</v>
      </c>
      <c r="AT379" s="15">
        <f>SUM(AT377:AT378)</f>
        <v>0</v>
      </c>
      <c r="AU379" s="15"/>
      <c r="AV379" s="15">
        <f>SUM(AV377:AV378)</f>
        <v>0</v>
      </c>
      <c r="AW379" s="15"/>
      <c r="AX379" s="15">
        <f>SUM(AX377:AX378)</f>
        <v>0</v>
      </c>
      <c r="AY379" s="15"/>
      <c r="AZ379" s="15">
        <f>SUM(AZ377:AZ378)</f>
        <v>0</v>
      </c>
      <c r="BA379" s="5"/>
      <c r="BB379" s="76">
        <f t="shared" si="102"/>
        <v>0</v>
      </c>
      <c r="BC379" s="37"/>
      <c r="BD379" s="76">
        <f t="shared" si="103"/>
        <v>0</v>
      </c>
      <c r="BE379" s="37"/>
      <c r="BF379" s="76">
        <f t="shared" si="104"/>
        <v>0</v>
      </c>
      <c r="BH379" s="76">
        <f t="shared" si="105"/>
        <v>0</v>
      </c>
      <c r="BJ379" s="76">
        <f t="shared" si="106"/>
        <v>0</v>
      </c>
      <c r="BL379" s="39">
        <f t="shared" si="93"/>
        <v>0</v>
      </c>
      <c r="BM379" s="3"/>
      <c r="BN379" s="3"/>
      <c r="BO379" s="3"/>
    </row>
    <row r="380" spans="1:67" x14ac:dyDescent="0.2">
      <c r="A380" s="14"/>
      <c r="B380" s="3" t="s">
        <v>352</v>
      </c>
      <c r="C380" s="15"/>
      <c r="D380" s="15"/>
      <c r="E380" s="15">
        <v>0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>
        <f>SUM(C380:AY380)</f>
        <v>0</v>
      </c>
      <c r="BA380" s="5"/>
      <c r="BB380" s="76">
        <f t="shared" si="102"/>
        <v>0</v>
      </c>
      <c r="BC380" s="37"/>
      <c r="BD380" s="76">
        <f t="shared" si="103"/>
        <v>0</v>
      </c>
      <c r="BE380" s="37"/>
      <c r="BF380" s="76">
        <f t="shared" si="104"/>
        <v>0</v>
      </c>
      <c r="BH380" s="76">
        <f t="shared" si="105"/>
        <v>0</v>
      </c>
      <c r="BJ380" s="76">
        <f t="shared" si="106"/>
        <v>0</v>
      </c>
      <c r="BL380" s="39">
        <f t="shared" si="93"/>
        <v>0</v>
      </c>
      <c r="BM380" s="3"/>
      <c r="BN380" s="3"/>
      <c r="BO380" s="3"/>
    </row>
    <row r="381" spans="1:67" x14ac:dyDescent="0.2">
      <c r="A381" s="14"/>
      <c r="B381" s="3" t="s">
        <v>353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>
        <f>SUM(C381:AY381)</f>
        <v>0</v>
      </c>
      <c r="BA381" s="5"/>
      <c r="BB381" s="76">
        <f t="shared" si="102"/>
        <v>0</v>
      </c>
      <c r="BC381" s="37"/>
      <c r="BD381" s="76">
        <f t="shared" si="103"/>
        <v>0</v>
      </c>
      <c r="BE381" s="37"/>
      <c r="BF381" s="76">
        <f t="shared" si="104"/>
        <v>0</v>
      </c>
      <c r="BH381" s="76">
        <f t="shared" si="105"/>
        <v>0</v>
      </c>
      <c r="BJ381" s="76">
        <f t="shared" si="106"/>
        <v>0</v>
      </c>
      <c r="BL381" s="39">
        <f t="shared" si="93"/>
        <v>0</v>
      </c>
      <c r="BM381" s="3"/>
      <c r="BN381" s="3"/>
      <c r="BO381" s="3"/>
    </row>
    <row r="382" spans="1:67" x14ac:dyDescent="0.2">
      <c r="A382" s="14"/>
      <c r="B382" s="10" t="s">
        <v>355</v>
      </c>
      <c r="C382" s="20">
        <f>SUM(C379:C381)+C376+C375+C372+C369</f>
        <v>0</v>
      </c>
      <c r="D382" s="15"/>
      <c r="E382" s="20">
        <f>SUM(E379:E381)+E376+E375+E372+E369</f>
        <v>0</v>
      </c>
      <c r="F382" s="15"/>
      <c r="G382" s="20">
        <f>SUM(G379:G381)+G376+G375+G372+G369</f>
        <v>0</v>
      </c>
      <c r="H382" s="15"/>
      <c r="I382" s="20">
        <f>SUM(I379:I381)+I376+I375+I372+I369</f>
        <v>0</v>
      </c>
      <c r="J382" s="15"/>
      <c r="K382" s="20">
        <f>SUM(K379:K381)+K376+K375+K372+K369</f>
        <v>0</v>
      </c>
      <c r="L382" s="15"/>
      <c r="M382" s="20">
        <f>SUM(M379:M381)+M376+M375+M372+M369</f>
        <v>0</v>
      </c>
      <c r="N382" s="15"/>
      <c r="O382" s="20">
        <f>SUM(O379:O381)+O376+O375+O372+O369</f>
        <v>0</v>
      </c>
      <c r="P382" s="15"/>
      <c r="Q382" s="20">
        <f>SUM(Q379:Q381)+Q376+Q375+Q372+Q369</f>
        <v>0</v>
      </c>
      <c r="R382" s="15"/>
      <c r="S382" s="20">
        <f>SUM(S379:S381)+S376+S375+S372+S369</f>
        <v>0</v>
      </c>
      <c r="T382" s="20"/>
      <c r="U382" s="20">
        <f>SUM(U379:U381)+U376+U375+U372+U369</f>
        <v>0</v>
      </c>
      <c r="V382" s="20"/>
      <c r="W382" s="20">
        <f>SUM(W379:W381)+W376+W375+W372+W369</f>
        <v>0</v>
      </c>
      <c r="X382" s="15"/>
      <c r="Y382" s="20">
        <f>SUM(Y379:Y381)+Y376+Y375+Y372+Y369</f>
        <v>0</v>
      </c>
      <c r="Z382" s="15"/>
      <c r="AA382" s="20">
        <f>SUM(AA379:AA381)+AA376+AA375+AA372+AA369</f>
        <v>0</v>
      </c>
      <c r="AB382" s="15"/>
      <c r="AC382" s="20">
        <f>SUM(AC379:AC381)+AC376+AC375+AC372+AC369</f>
        <v>0</v>
      </c>
      <c r="AD382" s="15"/>
      <c r="AE382" s="20">
        <f>SUM(AE379:AE381)+AE376+AE375+AE372+AE369</f>
        <v>0</v>
      </c>
      <c r="AF382" s="15"/>
      <c r="AG382" s="20">
        <f>SUM(AG379:AG381)+AG376+AG375+AG372+AG369</f>
        <v>0</v>
      </c>
      <c r="AH382" s="15"/>
      <c r="AI382" s="20">
        <f>SUM(AI379:AI381)+AI376+AI375+AI372+AI369</f>
        <v>0</v>
      </c>
      <c r="AJ382" s="15"/>
      <c r="AK382" s="20">
        <f>SUM(AK379:AK381)+AK376+AK375+AK372+AK369</f>
        <v>0</v>
      </c>
      <c r="AL382" s="20"/>
      <c r="AM382" s="20">
        <f>SUM(AM379:AM381)+AM376+AM375+AM372+AM369</f>
        <v>0</v>
      </c>
      <c r="AN382" s="20"/>
      <c r="AO382" s="20">
        <f>SUM(AO379:AO381)+AO376+AO375+AO372+AO369</f>
        <v>0</v>
      </c>
      <c r="AP382" s="20"/>
      <c r="AQ382" s="20">
        <f>SUM(AQ379:AQ381)+AQ376+AQ375+AQ372+AQ369</f>
        <v>0</v>
      </c>
      <c r="AR382" s="20"/>
      <c r="AS382" s="20">
        <f>SUM(AS379:AS381)+AS376+AS375+AS372+AS369</f>
        <v>0</v>
      </c>
      <c r="AT382" s="20">
        <f>SUM(AT379:AT381)+AT376+AT375+AT372+AT369</f>
        <v>0</v>
      </c>
      <c r="AU382" s="20"/>
      <c r="AV382" s="20">
        <f>SUM(AV379:AV381)+AV376+AV375+AV372+AV369</f>
        <v>0</v>
      </c>
      <c r="AW382" s="20"/>
      <c r="AX382" s="20">
        <f>SUM(AX379:AX381)+AX376+AX375+AX372+AX369</f>
        <v>0</v>
      </c>
      <c r="AY382" s="20"/>
      <c r="AZ382" s="20">
        <f>SUM(AZ379:AZ381)+AZ376+AZ375+AZ372+AZ369</f>
        <v>0</v>
      </c>
      <c r="BA382" s="5"/>
      <c r="BB382" s="114">
        <f>SUM(BB379:BB381)+BB376+BB375+BB372+BB369</f>
        <v>0</v>
      </c>
      <c r="BC382" s="37"/>
      <c r="BD382" s="114">
        <f>SUM(BD379:BD381)+BD376+BD375+BD372+BD369</f>
        <v>0</v>
      </c>
      <c r="BE382" s="37"/>
      <c r="BF382" s="114">
        <f>SUM(BF379:BF381)+BF376+BF375+BF372+BF369</f>
        <v>0</v>
      </c>
      <c r="BH382" s="114">
        <f>SUM(BH379:BH381)+BH376+BH375+BH372+BH369</f>
        <v>0</v>
      </c>
      <c r="BJ382" s="114">
        <f>SUM(BJ379:BJ381)+BJ376+BJ375+BJ372+BJ369</f>
        <v>0</v>
      </c>
      <c r="BL382" s="39">
        <f t="shared" si="93"/>
        <v>0</v>
      </c>
      <c r="BM382" s="3"/>
      <c r="BN382" s="3"/>
      <c r="BO382" s="3"/>
    </row>
    <row r="383" spans="1:67" x14ac:dyDescent="0.2">
      <c r="A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5"/>
      <c r="BB383" s="76"/>
      <c r="BC383" s="37"/>
      <c r="BD383" s="76"/>
      <c r="BE383" s="37"/>
      <c r="BL383" s="39">
        <f t="shared" si="93"/>
        <v>0</v>
      </c>
      <c r="BM383" s="3"/>
      <c r="BN383" s="3"/>
      <c r="BO383" s="3"/>
    </row>
    <row r="384" spans="1:67" x14ac:dyDescent="0.2">
      <c r="A384" s="14"/>
      <c r="B384" s="10" t="s">
        <v>24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5"/>
      <c r="BB384" s="76"/>
      <c r="BC384" s="37"/>
      <c r="BD384" s="76"/>
      <c r="BE384" s="37"/>
      <c r="BL384" s="39">
        <f t="shared" si="93"/>
        <v>0</v>
      </c>
      <c r="BM384" s="3"/>
      <c r="BN384" s="3"/>
      <c r="BO384" s="3"/>
    </row>
    <row r="385" spans="1:67" outlineLevel="1" x14ac:dyDescent="0.2">
      <c r="A385" s="14"/>
      <c r="B385" s="3" t="s">
        <v>356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>
        <f>SUM(C385:AY385)</f>
        <v>0</v>
      </c>
      <c r="BA385" s="5"/>
      <c r="BB385" s="76">
        <f t="shared" ref="BB385:BB399" si="107">SUMIF($C$10:$AY$10,"=Addition",$C385:$AY385)</f>
        <v>0</v>
      </c>
      <c r="BC385" s="37"/>
      <c r="BD385" s="76">
        <f t="shared" ref="BD385:BD399" si="108">SUMIF($C$10:$AY$10,"=Adjustment",$C385:$AY385)</f>
        <v>0</v>
      </c>
      <c r="BE385" s="37"/>
      <c r="BF385" s="76">
        <f t="shared" ref="BF385:BF399" si="109">SUMIF($C$10:$AY$10,"=Transfer",$C385:$AY385)</f>
        <v>0</v>
      </c>
      <c r="BH385" s="76">
        <f t="shared" ref="BH385:BH399" si="110">SUMIF($C$10:$AY$10,"=N/A",$C385:$AY385)</f>
        <v>0</v>
      </c>
      <c r="BJ385" s="76">
        <f t="shared" ref="BJ385:BJ399" si="111">SUM(BB385:BH385)</f>
        <v>0</v>
      </c>
      <c r="BL385" s="39">
        <f t="shared" si="93"/>
        <v>0</v>
      </c>
      <c r="BM385" s="3"/>
      <c r="BN385" s="3"/>
      <c r="BO385" s="3"/>
    </row>
    <row r="386" spans="1:67" outlineLevel="1" x14ac:dyDescent="0.2">
      <c r="A386" s="14"/>
      <c r="B386" s="3" t="s">
        <v>357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>
        <f>SUM(C386:AY386)</f>
        <v>0</v>
      </c>
      <c r="BA386" s="5"/>
      <c r="BB386" s="76">
        <f t="shared" si="107"/>
        <v>0</v>
      </c>
      <c r="BC386" s="37"/>
      <c r="BD386" s="76">
        <f t="shared" si="108"/>
        <v>0</v>
      </c>
      <c r="BE386" s="37"/>
      <c r="BF386" s="76">
        <f t="shared" si="109"/>
        <v>0</v>
      </c>
      <c r="BH386" s="76">
        <f t="shared" si="110"/>
        <v>0</v>
      </c>
      <c r="BJ386" s="76">
        <f t="shared" si="111"/>
        <v>0</v>
      </c>
      <c r="BL386" s="39">
        <f t="shared" si="93"/>
        <v>0</v>
      </c>
      <c r="BM386" s="3"/>
      <c r="BN386" s="3"/>
      <c r="BO386" s="3"/>
    </row>
    <row r="387" spans="1:67" x14ac:dyDescent="0.2">
      <c r="A387" s="14"/>
      <c r="B387" s="3" t="s">
        <v>358</v>
      </c>
      <c r="C387" s="15">
        <f>SUM(C385:C386)</f>
        <v>0</v>
      </c>
      <c r="D387" s="15"/>
      <c r="E387" s="15">
        <f>SUM(E385:E386)</f>
        <v>0</v>
      </c>
      <c r="F387" s="15"/>
      <c r="G387" s="15">
        <f>SUM(G385:G386)</f>
        <v>0</v>
      </c>
      <c r="H387" s="15"/>
      <c r="I387" s="15">
        <f>SUM(I385:I386)</f>
        <v>0</v>
      </c>
      <c r="J387" s="15"/>
      <c r="K387" s="15">
        <f>SUM(K385:K386)</f>
        <v>0</v>
      </c>
      <c r="L387" s="15"/>
      <c r="M387" s="15">
        <f>SUM(M385:M386)</f>
        <v>0</v>
      </c>
      <c r="N387" s="15"/>
      <c r="O387" s="15">
        <f>SUM(O385:O386)</f>
        <v>0</v>
      </c>
      <c r="P387" s="15"/>
      <c r="Q387" s="15">
        <f>SUM(Q385:Q386)</f>
        <v>0</v>
      </c>
      <c r="R387" s="15"/>
      <c r="S387" s="15">
        <f>SUM(S385:S386)</f>
        <v>0</v>
      </c>
      <c r="T387" s="15"/>
      <c r="U387" s="15">
        <f>SUM(U385:U386)</f>
        <v>0</v>
      </c>
      <c r="V387" s="15"/>
      <c r="W387" s="15">
        <f>SUM(W385:W386)</f>
        <v>0</v>
      </c>
      <c r="X387" s="15"/>
      <c r="Y387" s="15">
        <f>SUM(Y385:Y386)</f>
        <v>0</v>
      </c>
      <c r="Z387" s="15"/>
      <c r="AA387" s="15">
        <f>SUM(AA385:AA386)</f>
        <v>0</v>
      </c>
      <c r="AB387" s="15"/>
      <c r="AC387" s="15">
        <f>SUM(AC385:AC386)</f>
        <v>0</v>
      </c>
      <c r="AD387" s="15"/>
      <c r="AE387" s="15">
        <f>SUM(AE385:AE386)</f>
        <v>0</v>
      </c>
      <c r="AF387" s="15"/>
      <c r="AG387" s="15">
        <f>SUM(AG385:AG386)</f>
        <v>0</v>
      </c>
      <c r="AH387" s="15"/>
      <c r="AI387" s="15">
        <f>SUM(AI385:AI386)</f>
        <v>0</v>
      </c>
      <c r="AJ387" s="15"/>
      <c r="AK387" s="15">
        <f>SUM(AK385:AK386)</f>
        <v>0</v>
      </c>
      <c r="AL387" s="15"/>
      <c r="AM387" s="15">
        <f>SUM(AM385:AM386)</f>
        <v>0</v>
      </c>
      <c r="AN387" s="15"/>
      <c r="AO387" s="15">
        <f>SUM(AO385:AO386)</f>
        <v>0</v>
      </c>
      <c r="AP387" s="15"/>
      <c r="AQ387" s="15">
        <f>SUM(AQ385:AQ386)</f>
        <v>0</v>
      </c>
      <c r="AR387" s="15"/>
      <c r="AS387" s="15">
        <f>SUM(AS385:AS386)</f>
        <v>0</v>
      </c>
      <c r="AT387" s="15">
        <f>SUM(AT385:AT386)</f>
        <v>0</v>
      </c>
      <c r="AU387" s="15"/>
      <c r="AV387" s="15">
        <f>SUM(AV385:AV386)</f>
        <v>0</v>
      </c>
      <c r="AW387" s="15"/>
      <c r="AX387" s="15">
        <f>SUM(AX385:AX386)</f>
        <v>0</v>
      </c>
      <c r="AY387" s="15"/>
      <c r="AZ387" s="15">
        <f>SUM(AZ385:AZ386)</f>
        <v>0</v>
      </c>
      <c r="BA387" s="5"/>
      <c r="BB387" s="76">
        <f t="shared" si="107"/>
        <v>0</v>
      </c>
      <c r="BC387" s="37"/>
      <c r="BD387" s="76">
        <f t="shared" si="108"/>
        <v>0</v>
      </c>
      <c r="BE387" s="37"/>
      <c r="BF387" s="76">
        <f t="shared" si="109"/>
        <v>0</v>
      </c>
      <c r="BH387" s="76">
        <f t="shared" si="110"/>
        <v>0</v>
      </c>
      <c r="BJ387" s="76">
        <f t="shared" si="111"/>
        <v>0</v>
      </c>
      <c r="BL387" s="39">
        <f t="shared" si="93"/>
        <v>0</v>
      </c>
      <c r="BM387" s="3"/>
      <c r="BN387" s="3"/>
      <c r="BO387" s="3"/>
    </row>
    <row r="388" spans="1:67" x14ac:dyDescent="0.2">
      <c r="A388" s="14"/>
      <c r="B388" s="3" t="s">
        <v>359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>
        <f>SUM(C388:AY388)</f>
        <v>0</v>
      </c>
      <c r="BA388" s="5"/>
      <c r="BB388" s="76">
        <f t="shared" si="107"/>
        <v>0</v>
      </c>
      <c r="BC388" s="37"/>
      <c r="BD388" s="76">
        <f t="shared" si="108"/>
        <v>0</v>
      </c>
      <c r="BE388" s="37"/>
      <c r="BF388" s="76">
        <f t="shared" si="109"/>
        <v>0</v>
      </c>
      <c r="BH388" s="76">
        <f t="shared" si="110"/>
        <v>0</v>
      </c>
      <c r="BJ388" s="76">
        <f t="shared" si="111"/>
        <v>0</v>
      </c>
      <c r="BL388" s="39">
        <f t="shared" si="93"/>
        <v>0</v>
      </c>
      <c r="BM388" s="3"/>
      <c r="BN388" s="3"/>
      <c r="BO388" s="3"/>
    </row>
    <row r="389" spans="1:67" outlineLevel="1" x14ac:dyDescent="0.2">
      <c r="A389" s="14"/>
      <c r="B389" s="3" t="s">
        <v>360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>
        <f>SUM(C389:AY389)</f>
        <v>0</v>
      </c>
      <c r="BA389" s="5"/>
      <c r="BB389" s="76">
        <f t="shared" si="107"/>
        <v>0</v>
      </c>
      <c r="BC389" s="37"/>
      <c r="BD389" s="76">
        <f t="shared" si="108"/>
        <v>0</v>
      </c>
      <c r="BE389" s="37"/>
      <c r="BF389" s="76">
        <f t="shared" si="109"/>
        <v>0</v>
      </c>
      <c r="BH389" s="76">
        <f t="shared" si="110"/>
        <v>0</v>
      </c>
      <c r="BJ389" s="76">
        <f t="shared" si="111"/>
        <v>0</v>
      </c>
      <c r="BL389" s="39">
        <f t="shared" si="93"/>
        <v>0</v>
      </c>
      <c r="BM389" s="3"/>
      <c r="BN389" s="3"/>
      <c r="BO389" s="3"/>
    </row>
    <row r="390" spans="1:67" outlineLevel="1" x14ac:dyDescent="0.2">
      <c r="A390" s="14"/>
      <c r="B390" s="3" t="s">
        <v>361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>
        <f>SUM(C390:AY390)</f>
        <v>0</v>
      </c>
      <c r="BA390" s="5"/>
      <c r="BB390" s="76">
        <f t="shared" si="107"/>
        <v>0</v>
      </c>
      <c r="BC390" s="37"/>
      <c r="BD390" s="76">
        <f t="shared" si="108"/>
        <v>0</v>
      </c>
      <c r="BE390" s="37"/>
      <c r="BF390" s="76">
        <f t="shared" si="109"/>
        <v>0</v>
      </c>
      <c r="BH390" s="76">
        <f t="shared" si="110"/>
        <v>0</v>
      </c>
      <c r="BJ390" s="76">
        <f t="shared" si="111"/>
        <v>0</v>
      </c>
      <c r="BL390" s="39">
        <f t="shared" si="93"/>
        <v>0</v>
      </c>
      <c r="BM390" s="3"/>
      <c r="BN390" s="3"/>
      <c r="BO390" s="3"/>
    </row>
    <row r="391" spans="1:67" x14ac:dyDescent="0.2">
      <c r="A391" s="14"/>
      <c r="B391" s="3" t="s">
        <v>362</v>
      </c>
      <c r="C391" s="15">
        <f>SUM(C389:C390)</f>
        <v>0</v>
      </c>
      <c r="D391" s="15"/>
      <c r="E391" s="15">
        <f>SUM(E389:E390)</f>
        <v>0</v>
      </c>
      <c r="F391" s="15"/>
      <c r="G391" s="15">
        <f>SUM(G389:G390)</f>
        <v>0</v>
      </c>
      <c r="H391" s="15"/>
      <c r="I391" s="15">
        <f>SUM(I389:I390)</f>
        <v>0</v>
      </c>
      <c r="J391" s="15"/>
      <c r="K391" s="15">
        <f>SUM(K389:K390)</f>
        <v>0</v>
      </c>
      <c r="L391" s="15"/>
      <c r="M391" s="15">
        <f>SUM(M389:M390)</f>
        <v>0</v>
      </c>
      <c r="N391" s="15"/>
      <c r="O391" s="15">
        <f>SUM(O389:O390)</f>
        <v>0</v>
      </c>
      <c r="P391" s="15"/>
      <c r="Q391" s="15">
        <f>SUM(Q389:Q390)</f>
        <v>0</v>
      </c>
      <c r="R391" s="15"/>
      <c r="S391" s="15">
        <f>SUM(S389:S390)</f>
        <v>0</v>
      </c>
      <c r="T391" s="15"/>
      <c r="U391" s="15">
        <f>SUM(U389:U390)</f>
        <v>0</v>
      </c>
      <c r="V391" s="15"/>
      <c r="W391" s="15">
        <f>SUM(W389:W390)</f>
        <v>0</v>
      </c>
      <c r="X391" s="15"/>
      <c r="Y391" s="15">
        <f>SUM(Y389:Y390)</f>
        <v>0</v>
      </c>
      <c r="Z391" s="15"/>
      <c r="AA391" s="15">
        <f>SUM(AA389:AA390)</f>
        <v>0</v>
      </c>
      <c r="AB391" s="15"/>
      <c r="AC391" s="15">
        <f>SUM(AC389:AC390)</f>
        <v>0</v>
      </c>
      <c r="AD391" s="15"/>
      <c r="AE391" s="15">
        <f>SUM(AE389:AE390)</f>
        <v>0</v>
      </c>
      <c r="AF391" s="15"/>
      <c r="AG391" s="15">
        <f>SUM(AG389:AG390)</f>
        <v>0</v>
      </c>
      <c r="AH391" s="15"/>
      <c r="AI391" s="15">
        <f>SUM(AI389:AI390)</f>
        <v>0</v>
      </c>
      <c r="AJ391" s="15"/>
      <c r="AK391" s="15">
        <f>SUM(AK389:AK390)</f>
        <v>0</v>
      </c>
      <c r="AL391" s="15"/>
      <c r="AM391" s="15">
        <f>SUM(AM389:AM390)</f>
        <v>0</v>
      </c>
      <c r="AN391" s="15"/>
      <c r="AO391" s="15">
        <f>SUM(AO389:AO390)</f>
        <v>0</v>
      </c>
      <c r="AP391" s="15"/>
      <c r="AQ391" s="15">
        <f>SUM(AQ389:AQ390)</f>
        <v>0</v>
      </c>
      <c r="AR391" s="15"/>
      <c r="AS391" s="15">
        <f>SUM(AS389:AS390)</f>
        <v>0</v>
      </c>
      <c r="AT391" s="15">
        <f>SUM(AT389:AT390)</f>
        <v>0</v>
      </c>
      <c r="AU391" s="15"/>
      <c r="AV391" s="15">
        <f>SUM(AV389:AV390)</f>
        <v>0</v>
      </c>
      <c r="AW391" s="15"/>
      <c r="AX391" s="15">
        <f>SUM(AX389:AX390)</f>
        <v>0</v>
      </c>
      <c r="AY391" s="15"/>
      <c r="AZ391" s="15">
        <f>SUM(AZ389:AZ390)</f>
        <v>0</v>
      </c>
      <c r="BA391" s="5"/>
      <c r="BB391" s="76">
        <f t="shared" si="107"/>
        <v>0</v>
      </c>
      <c r="BC391" s="37"/>
      <c r="BD391" s="76">
        <f t="shared" si="108"/>
        <v>0</v>
      </c>
      <c r="BE391" s="37"/>
      <c r="BF391" s="76">
        <f t="shared" si="109"/>
        <v>0</v>
      </c>
      <c r="BH391" s="76">
        <f t="shared" si="110"/>
        <v>0</v>
      </c>
      <c r="BJ391" s="76">
        <f t="shared" si="111"/>
        <v>0</v>
      </c>
      <c r="BL391" s="39">
        <f t="shared" si="93"/>
        <v>0</v>
      </c>
      <c r="BM391" s="3"/>
      <c r="BN391" s="3"/>
      <c r="BO391" s="3"/>
    </row>
    <row r="392" spans="1:67" x14ac:dyDescent="0.2">
      <c r="A392" s="14"/>
      <c r="B392" s="3" t="s">
        <v>363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>
        <f t="shared" ref="AZ392:AZ398" si="112">SUM(C392:AY392)</f>
        <v>0</v>
      </c>
      <c r="BA392" s="5"/>
      <c r="BB392" s="76">
        <f t="shared" si="107"/>
        <v>0</v>
      </c>
      <c r="BC392" s="37"/>
      <c r="BD392" s="76">
        <f t="shared" si="108"/>
        <v>0</v>
      </c>
      <c r="BE392" s="37"/>
      <c r="BF392" s="76">
        <f t="shared" si="109"/>
        <v>0</v>
      </c>
      <c r="BH392" s="76">
        <f t="shared" si="110"/>
        <v>0</v>
      </c>
      <c r="BJ392" s="76">
        <f t="shared" si="111"/>
        <v>0</v>
      </c>
      <c r="BL392" s="39">
        <f t="shared" si="93"/>
        <v>0</v>
      </c>
      <c r="BM392" s="3"/>
      <c r="BN392" s="3"/>
      <c r="BO392" s="3"/>
    </row>
    <row r="393" spans="1:67" x14ac:dyDescent="0.2">
      <c r="A393" s="14"/>
      <c r="B393" s="3" t="s">
        <v>364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>
        <f t="shared" si="112"/>
        <v>0</v>
      </c>
      <c r="BA393" s="5"/>
      <c r="BB393" s="76">
        <f t="shared" si="107"/>
        <v>0</v>
      </c>
      <c r="BC393" s="37"/>
      <c r="BD393" s="76">
        <f t="shared" si="108"/>
        <v>0</v>
      </c>
      <c r="BE393" s="37"/>
      <c r="BF393" s="76">
        <f t="shared" si="109"/>
        <v>0</v>
      </c>
      <c r="BH393" s="76">
        <f t="shared" si="110"/>
        <v>0</v>
      </c>
      <c r="BJ393" s="76">
        <f t="shared" si="111"/>
        <v>0</v>
      </c>
      <c r="BL393" s="39">
        <f t="shared" si="93"/>
        <v>0</v>
      </c>
      <c r="BM393" s="3"/>
      <c r="BN393" s="3"/>
      <c r="BO393" s="3"/>
    </row>
    <row r="394" spans="1:67" x14ac:dyDescent="0.2">
      <c r="A394" s="14"/>
      <c r="B394" s="3" t="s">
        <v>365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>
        <f t="shared" si="112"/>
        <v>0</v>
      </c>
      <c r="BA394" s="5"/>
      <c r="BB394" s="76">
        <f t="shared" si="107"/>
        <v>0</v>
      </c>
      <c r="BC394" s="37"/>
      <c r="BD394" s="76">
        <f t="shared" si="108"/>
        <v>0</v>
      </c>
      <c r="BE394" s="37"/>
      <c r="BF394" s="76">
        <f t="shared" si="109"/>
        <v>0</v>
      </c>
      <c r="BH394" s="76">
        <f t="shared" si="110"/>
        <v>0</v>
      </c>
      <c r="BJ394" s="76">
        <f t="shared" si="111"/>
        <v>0</v>
      </c>
      <c r="BL394" s="39">
        <f t="shared" si="93"/>
        <v>0</v>
      </c>
      <c r="BM394" s="3"/>
      <c r="BN394" s="3"/>
      <c r="BO394" s="3"/>
    </row>
    <row r="395" spans="1:67" x14ac:dyDescent="0.2">
      <c r="A395" s="14"/>
      <c r="B395" s="3" t="s">
        <v>366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>
        <f t="shared" si="112"/>
        <v>0</v>
      </c>
      <c r="BA395" s="5"/>
      <c r="BB395" s="76">
        <f t="shared" si="107"/>
        <v>0</v>
      </c>
      <c r="BC395" s="37"/>
      <c r="BD395" s="76">
        <f t="shared" si="108"/>
        <v>0</v>
      </c>
      <c r="BE395" s="37"/>
      <c r="BF395" s="76">
        <f t="shared" si="109"/>
        <v>0</v>
      </c>
      <c r="BH395" s="76">
        <f t="shared" si="110"/>
        <v>0</v>
      </c>
      <c r="BJ395" s="76">
        <f t="shared" si="111"/>
        <v>0</v>
      </c>
      <c r="BL395" s="39">
        <f t="shared" si="93"/>
        <v>0</v>
      </c>
      <c r="BM395" s="3"/>
      <c r="BN395" s="3"/>
      <c r="BO395" s="3"/>
    </row>
    <row r="396" spans="1:67" x14ac:dyDescent="0.2">
      <c r="A396" s="14"/>
      <c r="B396" s="3" t="s">
        <v>367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>
        <f t="shared" si="112"/>
        <v>0</v>
      </c>
      <c r="BA396" s="5"/>
      <c r="BB396" s="76">
        <f t="shared" si="107"/>
        <v>0</v>
      </c>
      <c r="BC396" s="37"/>
      <c r="BD396" s="76">
        <f t="shared" si="108"/>
        <v>0</v>
      </c>
      <c r="BE396" s="37"/>
      <c r="BF396" s="76">
        <f t="shared" si="109"/>
        <v>0</v>
      </c>
      <c r="BH396" s="76">
        <f t="shared" si="110"/>
        <v>0</v>
      </c>
      <c r="BJ396" s="76">
        <f t="shared" si="111"/>
        <v>0</v>
      </c>
      <c r="BL396" s="39">
        <f t="shared" si="93"/>
        <v>0</v>
      </c>
      <c r="BM396" s="3"/>
      <c r="BN396" s="3"/>
      <c r="BO396" s="3"/>
    </row>
    <row r="397" spans="1:67" outlineLevel="1" x14ac:dyDescent="0.2">
      <c r="A397" s="14"/>
      <c r="B397" s="3" t="s">
        <v>368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>
        <f t="shared" si="112"/>
        <v>0</v>
      </c>
      <c r="BA397" s="5"/>
      <c r="BB397" s="76">
        <f t="shared" si="107"/>
        <v>0</v>
      </c>
      <c r="BC397" s="37"/>
      <c r="BD397" s="76">
        <f t="shared" si="108"/>
        <v>0</v>
      </c>
      <c r="BE397" s="37"/>
      <c r="BF397" s="76">
        <f t="shared" si="109"/>
        <v>0</v>
      </c>
      <c r="BH397" s="76">
        <f t="shared" si="110"/>
        <v>0</v>
      </c>
      <c r="BJ397" s="76">
        <f t="shared" si="111"/>
        <v>0</v>
      </c>
      <c r="BL397" s="39">
        <f t="shared" si="93"/>
        <v>0</v>
      </c>
      <c r="BM397" s="3"/>
      <c r="BN397" s="3"/>
      <c r="BO397" s="3"/>
    </row>
    <row r="398" spans="1:67" outlineLevel="1" x14ac:dyDescent="0.2">
      <c r="A398" s="14"/>
      <c r="B398" s="31" t="s">
        <v>369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>
        <f t="shared" si="112"/>
        <v>0</v>
      </c>
      <c r="BA398" s="5"/>
      <c r="BB398" s="76">
        <f t="shared" si="107"/>
        <v>0</v>
      </c>
      <c r="BC398" s="37"/>
      <c r="BD398" s="76">
        <f t="shared" si="108"/>
        <v>0</v>
      </c>
      <c r="BE398" s="37"/>
      <c r="BF398" s="76">
        <f t="shared" si="109"/>
        <v>0</v>
      </c>
      <c r="BH398" s="76">
        <f t="shared" si="110"/>
        <v>0</v>
      </c>
      <c r="BJ398" s="76">
        <f t="shared" si="111"/>
        <v>0</v>
      </c>
      <c r="BL398" s="39">
        <f t="shared" si="93"/>
        <v>0</v>
      </c>
      <c r="BM398" s="3"/>
      <c r="BN398" s="3"/>
      <c r="BO398" s="3"/>
    </row>
    <row r="399" spans="1:67" x14ac:dyDescent="0.2">
      <c r="A399" s="14"/>
      <c r="B399" s="31" t="s">
        <v>370</v>
      </c>
      <c r="C399" s="15">
        <f>SUM(C397:C398)</f>
        <v>0</v>
      </c>
      <c r="D399" s="15"/>
      <c r="E399" s="15">
        <f>SUM(E397:E398)</f>
        <v>0</v>
      </c>
      <c r="F399" s="15"/>
      <c r="G399" s="15">
        <f>SUM(G397:G398)</f>
        <v>0</v>
      </c>
      <c r="H399" s="15"/>
      <c r="I399" s="15">
        <f>SUM(I397:I398)</f>
        <v>0</v>
      </c>
      <c r="J399" s="15"/>
      <c r="K399" s="15">
        <f>SUM(K397:K398)</f>
        <v>0</v>
      </c>
      <c r="L399" s="15"/>
      <c r="M399" s="15">
        <f>SUM(M397:M398)</f>
        <v>0</v>
      </c>
      <c r="N399" s="15"/>
      <c r="O399" s="15">
        <f>SUM(O397:O398)</f>
        <v>0</v>
      </c>
      <c r="P399" s="15"/>
      <c r="Q399" s="15">
        <f>SUM(Q397:Q398)</f>
        <v>0</v>
      </c>
      <c r="R399" s="15"/>
      <c r="S399" s="15">
        <f>SUM(S397:S398)</f>
        <v>0</v>
      </c>
      <c r="T399" s="15"/>
      <c r="U399" s="15">
        <f>SUM(U397:U398)</f>
        <v>0</v>
      </c>
      <c r="V399" s="15"/>
      <c r="W399" s="15">
        <f>SUM(W397:W398)</f>
        <v>0</v>
      </c>
      <c r="X399" s="15"/>
      <c r="Y399" s="15">
        <f>SUM(Y397:Y398)</f>
        <v>0</v>
      </c>
      <c r="Z399" s="15"/>
      <c r="AA399" s="15">
        <f>SUM(AA397:AA398)</f>
        <v>0</v>
      </c>
      <c r="AB399" s="15"/>
      <c r="AC399" s="15">
        <f>SUM(AC397:AC398)</f>
        <v>0</v>
      </c>
      <c r="AD399" s="15"/>
      <c r="AE399" s="15">
        <f>SUM(AE397:AE398)</f>
        <v>0</v>
      </c>
      <c r="AF399" s="15"/>
      <c r="AG399" s="15">
        <f>SUM(AG397:AG398)</f>
        <v>0</v>
      </c>
      <c r="AH399" s="15"/>
      <c r="AI399" s="15">
        <f>SUM(AI397:AI398)</f>
        <v>0</v>
      </c>
      <c r="AJ399" s="15"/>
      <c r="AK399" s="15">
        <f>SUM(AK397:AK398)</f>
        <v>0</v>
      </c>
      <c r="AL399" s="15"/>
      <c r="AM399" s="15">
        <f>SUM(AM397:AM398)</f>
        <v>0</v>
      </c>
      <c r="AN399" s="15"/>
      <c r="AO399" s="15">
        <f>SUM(AO397:AO398)</f>
        <v>0</v>
      </c>
      <c r="AP399" s="15"/>
      <c r="AQ399" s="15">
        <f>SUM(AQ397:AQ398)</f>
        <v>0</v>
      </c>
      <c r="AR399" s="15"/>
      <c r="AS399" s="15">
        <f>SUM(AS397:AS398)</f>
        <v>0</v>
      </c>
      <c r="AT399" s="15">
        <f>SUM(AT397:AT398)</f>
        <v>0</v>
      </c>
      <c r="AU399" s="15"/>
      <c r="AV399" s="15">
        <f>SUM(AV397:AV398)</f>
        <v>0</v>
      </c>
      <c r="AW399" s="15"/>
      <c r="AX399" s="15">
        <f>SUM(AX397:AX398)</f>
        <v>0</v>
      </c>
      <c r="AY399" s="15"/>
      <c r="AZ399" s="15">
        <f>SUM(C399:AP399)</f>
        <v>0</v>
      </c>
      <c r="BA399" s="5"/>
      <c r="BB399" s="76">
        <f t="shared" si="107"/>
        <v>0</v>
      </c>
      <c r="BC399" s="37"/>
      <c r="BD399" s="76">
        <f t="shared" si="108"/>
        <v>0</v>
      </c>
      <c r="BE399" s="37"/>
      <c r="BF399" s="76">
        <f t="shared" si="109"/>
        <v>0</v>
      </c>
      <c r="BH399" s="76">
        <f t="shared" si="110"/>
        <v>0</v>
      </c>
      <c r="BJ399" s="76">
        <f t="shared" si="111"/>
        <v>0</v>
      </c>
      <c r="BL399" s="39">
        <f t="shared" si="93"/>
        <v>0</v>
      </c>
      <c r="BM399" s="3"/>
      <c r="BN399" s="3"/>
      <c r="BO399" s="3"/>
    </row>
    <row r="400" spans="1:67" x14ac:dyDescent="0.2">
      <c r="A400" s="14"/>
      <c r="B400" s="115" t="s">
        <v>371</v>
      </c>
      <c r="C400" s="20">
        <f>C399+SUM(C391:C396)+C388+C387</f>
        <v>0</v>
      </c>
      <c r="D400" s="15"/>
      <c r="E400" s="20">
        <f>E399+SUM(E391:E396)+E388+E387</f>
        <v>0</v>
      </c>
      <c r="F400" s="15"/>
      <c r="G400" s="20">
        <f>G399+SUM(G391:G396)+G388+G387</f>
        <v>0</v>
      </c>
      <c r="H400" s="15"/>
      <c r="I400" s="20">
        <f>I399+SUM(I391:I396)+I388+I387</f>
        <v>0</v>
      </c>
      <c r="J400" s="15"/>
      <c r="K400" s="20">
        <f>K399+SUM(K391:K396)+K388+K387</f>
        <v>0</v>
      </c>
      <c r="L400" s="15"/>
      <c r="M400" s="20">
        <f>M399+SUM(M391:M396)+M388+M387</f>
        <v>0</v>
      </c>
      <c r="N400" s="15"/>
      <c r="O400" s="20">
        <f>O399+SUM(O391:O396)+O388+O387</f>
        <v>0</v>
      </c>
      <c r="P400" s="15"/>
      <c r="Q400" s="20">
        <f>Q399+SUM(Q391:Q396)+Q388+Q387</f>
        <v>0</v>
      </c>
      <c r="R400" s="15"/>
      <c r="S400" s="20">
        <f>S399+SUM(S391:S396)+S388+S387</f>
        <v>0</v>
      </c>
      <c r="T400" s="20"/>
      <c r="U400" s="20">
        <f>U399+SUM(U391:U396)+U388+U387</f>
        <v>0</v>
      </c>
      <c r="V400" s="20"/>
      <c r="W400" s="20">
        <f>W399+SUM(W391:W396)+W388+W387</f>
        <v>0</v>
      </c>
      <c r="X400" s="15"/>
      <c r="Y400" s="20">
        <f>Y399+SUM(Y391:Y396)+Y388+Y387</f>
        <v>0</v>
      </c>
      <c r="Z400" s="15"/>
      <c r="AA400" s="20">
        <f>AA399+SUM(AA391:AA396)+AA388+AA387</f>
        <v>0</v>
      </c>
      <c r="AB400" s="15"/>
      <c r="AC400" s="20">
        <f>AC399+SUM(AC391:AC396)+AC388+AC387</f>
        <v>0</v>
      </c>
      <c r="AD400" s="15"/>
      <c r="AE400" s="20">
        <f>AE399+SUM(AE391:AE396)+AE388+AE387</f>
        <v>0</v>
      </c>
      <c r="AF400" s="15"/>
      <c r="AG400" s="20">
        <f>AG399+SUM(AG391:AG396)+AG388+AG387</f>
        <v>0</v>
      </c>
      <c r="AH400" s="15"/>
      <c r="AI400" s="20">
        <f>AI399+SUM(AI391:AI396)+AI388+AI387</f>
        <v>0</v>
      </c>
      <c r="AJ400" s="15"/>
      <c r="AK400" s="20">
        <f>AK399+SUM(AK391:AK396)+AK388+AK387</f>
        <v>0</v>
      </c>
      <c r="AL400" s="20"/>
      <c r="AM400" s="20">
        <f>AM399+SUM(AM391:AM396)+AM388+AM387</f>
        <v>0</v>
      </c>
      <c r="AN400" s="20"/>
      <c r="AO400" s="20">
        <f>AO399+SUM(AO391:AO396)+AO388+AO387</f>
        <v>0</v>
      </c>
      <c r="AP400" s="20"/>
      <c r="AQ400" s="20">
        <f>AQ399+SUM(AQ391:AQ396)+AQ388+AQ387</f>
        <v>0</v>
      </c>
      <c r="AR400" s="20"/>
      <c r="AS400" s="20">
        <f>AS399+SUM(AS391:AS396)+AS388+AS387</f>
        <v>0</v>
      </c>
      <c r="AT400" s="20">
        <f>AT399+SUM(AT391:AT396)+AT388+AT387</f>
        <v>0</v>
      </c>
      <c r="AU400" s="20"/>
      <c r="AV400" s="20">
        <f>AV399+SUM(AV391:AV396)+AV388+AV387</f>
        <v>0</v>
      </c>
      <c r="AW400" s="20"/>
      <c r="AX400" s="20">
        <f>AX399+SUM(AX391:AX396)+AX388+AX387</f>
        <v>0</v>
      </c>
      <c r="AY400" s="20"/>
      <c r="AZ400" s="20">
        <f>AZ399+SUM(AZ391:AZ396)+AZ388+AZ387</f>
        <v>0</v>
      </c>
      <c r="BA400" s="5"/>
      <c r="BB400" s="114">
        <f>BB399+SUM(BB391:BB396)+BB388+BB387</f>
        <v>0</v>
      </c>
      <c r="BC400" s="37"/>
      <c r="BD400" s="114">
        <f>BD399+SUM(BD391:BD396)+BD388+BD387</f>
        <v>0</v>
      </c>
      <c r="BE400" s="37"/>
      <c r="BF400" s="114">
        <f>BF399+SUM(BF391:BF396)+BF388+BF387</f>
        <v>0</v>
      </c>
      <c r="BH400" s="114">
        <f>BH399+SUM(BH391:BH396)+BH388+BH387</f>
        <v>0</v>
      </c>
      <c r="BJ400" s="114">
        <f>BJ399+SUM(BJ391:BJ396)+BJ388+BJ387</f>
        <v>0</v>
      </c>
      <c r="BL400" s="39">
        <f t="shared" si="93"/>
        <v>0</v>
      </c>
      <c r="BM400" s="3"/>
      <c r="BN400" s="3"/>
      <c r="BO400" s="3"/>
    </row>
    <row r="401" spans="1:67" x14ac:dyDescent="0.2">
      <c r="A401" s="14"/>
      <c r="B401" s="115"/>
      <c r="C401" s="17"/>
      <c r="D401" s="15"/>
      <c r="E401" s="17"/>
      <c r="F401" s="15"/>
      <c r="G401" s="17"/>
      <c r="H401" s="15"/>
      <c r="I401" s="17"/>
      <c r="J401" s="15"/>
      <c r="K401" s="17"/>
      <c r="L401" s="15"/>
      <c r="M401" s="17"/>
      <c r="N401" s="15"/>
      <c r="O401" s="17"/>
      <c r="P401" s="15"/>
      <c r="Q401" s="17"/>
      <c r="R401" s="15"/>
      <c r="S401" s="17"/>
      <c r="T401" s="17"/>
      <c r="U401" s="17"/>
      <c r="V401" s="17"/>
      <c r="W401" s="17"/>
      <c r="X401" s="15"/>
      <c r="Y401" s="17"/>
      <c r="Z401" s="15"/>
      <c r="AA401" s="17"/>
      <c r="AB401" s="15"/>
      <c r="AC401" s="17"/>
      <c r="AD401" s="15"/>
      <c r="AE401" s="17"/>
      <c r="AF401" s="15"/>
      <c r="AG401" s="17"/>
      <c r="AH401" s="15"/>
      <c r="AI401" s="17"/>
      <c r="AJ401" s="15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5"/>
      <c r="BB401" s="76"/>
      <c r="BC401" s="37"/>
      <c r="BD401" s="76"/>
      <c r="BE401" s="37"/>
      <c r="BL401" s="39">
        <f t="shared" si="93"/>
        <v>0</v>
      </c>
      <c r="BM401" s="3"/>
      <c r="BN401" s="3"/>
      <c r="BO401" s="3"/>
    </row>
    <row r="402" spans="1:67" x14ac:dyDescent="0.2">
      <c r="A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5"/>
      <c r="BB402" s="76"/>
      <c r="BC402" s="37"/>
      <c r="BD402" s="76"/>
      <c r="BE402" s="37"/>
      <c r="BL402" s="39">
        <f t="shared" si="93"/>
        <v>0</v>
      </c>
      <c r="BM402" s="3"/>
      <c r="BN402" s="3"/>
      <c r="BO402" s="3"/>
    </row>
    <row r="403" spans="1:67" x14ac:dyDescent="0.2">
      <c r="A403" s="14"/>
      <c r="B403" s="10" t="s">
        <v>441</v>
      </c>
      <c r="C403" s="20">
        <f>C400+C382+C364+C351+C346+C335+C323</f>
        <v>0</v>
      </c>
      <c r="D403" s="15"/>
      <c r="E403" s="20">
        <f>E400+E382+E364+E351+E346+E335+E323</f>
        <v>0</v>
      </c>
      <c r="F403" s="15"/>
      <c r="G403" s="20">
        <f>G400+G382+G364+G351+G346+G335+G323</f>
        <v>0</v>
      </c>
      <c r="H403" s="15"/>
      <c r="I403" s="20">
        <f>I400+I382+I364+I351+I346+I335+I323</f>
        <v>0</v>
      </c>
      <c r="J403" s="15"/>
      <c r="K403" s="20">
        <f>K400+K382+K364+K351+K346+K335+K323</f>
        <v>0</v>
      </c>
      <c r="L403" s="15"/>
      <c r="M403" s="20">
        <f>M400+M382+M364+M351+M346+M335+M323</f>
        <v>0</v>
      </c>
      <c r="N403" s="15"/>
      <c r="O403" s="20">
        <f>O400+O382+O364+O351+O346+O335+O323</f>
        <v>0</v>
      </c>
      <c r="P403" s="15"/>
      <c r="Q403" s="20">
        <f>Q400+Q382+Q364+Q351+Q346+Q335+Q323</f>
        <v>0</v>
      </c>
      <c r="R403" s="15"/>
      <c r="S403" s="20">
        <f>S400+S382+S364+S351+S346+S335+S323</f>
        <v>0</v>
      </c>
      <c r="T403" s="20"/>
      <c r="U403" s="20">
        <f>U400+U382+U364+U351+U346+U335+U323</f>
        <v>0</v>
      </c>
      <c r="V403" s="20"/>
      <c r="W403" s="20">
        <f>W400+W382+W364+W351+W346+W335+W323</f>
        <v>4.3655745685100555E-10</v>
      </c>
      <c r="X403" s="15"/>
      <c r="Y403" s="20">
        <f>Y400+Y382+Y364+Y351+Y346+Y335+Y323</f>
        <v>0</v>
      </c>
      <c r="Z403" s="15"/>
      <c r="AA403" s="20">
        <f>AA400+AA382+AA364+AA351+AA346+AA335+AA323</f>
        <v>0</v>
      </c>
      <c r="AB403" s="15"/>
      <c r="AC403" s="20">
        <f>AC400+AC382+AC364+AC351+AC346+AC335+AC323</f>
        <v>0</v>
      </c>
      <c r="AD403" s="15"/>
      <c r="AE403" s="20">
        <f>AE400+AE382+AE364+AE351+AE346+AE335+AE323</f>
        <v>0</v>
      </c>
      <c r="AF403" s="15"/>
      <c r="AG403" s="20">
        <f>AG400+AG382+AG364+AG351+AG346+AG335+AG323</f>
        <v>0</v>
      </c>
      <c r="AH403" s="15"/>
      <c r="AI403" s="20">
        <f>AI400+AI382+AI364+AI351+AI346+AI335+AI323</f>
        <v>0</v>
      </c>
      <c r="AJ403" s="15"/>
      <c r="AK403" s="20">
        <f>AK400+AK382+AK364+AK351+AK346+AK335+AK323</f>
        <v>0</v>
      </c>
      <c r="AL403" s="20"/>
      <c r="AM403" s="20">
        <f>AM400+AM382+AM364+AM351+AM346+AM335+AM323</f>
        <v>0</v>
      </c>
      <c r="AN403" s="20"/>
      <c r="AO403" s="20">
        <f>AO400+AO382+AO364+AO351+AO346+AO335+AO323</f>
        <v>0</v>
      </c>
      <c r="AP403" s="20"/>
      <c r="AQ403" s="20">
        <f>AQ400+AQ382+AQ364+AQ351+AQ346+AQ335+AQ323</f>
        <v>0</v>
      </c>
      <c r="AR403" s="20"/>
      <c r="AS403" s="20">
        <f>AS400+AS382+AS364+AS351+AS346+AS335+AS323</f>
        <v>0</v>
      </c>
      <c r="AT403" s="20">
        <f>AT400+AT382+AT364+AT351+AT346+AT335+AT323</f>
        <v>0</v>
      </c>
      <c r="AU403" s="20"/>
      <c r="AV403" s="20">
        <f>AV400+AV382+AV364+AV351+AV346+AV335+AV323</f>
        <v>0</v>
      </c>
      <c r="AW403" s="20"/>
      <c r="AX403" s="20">
        <f>AX400+AX382+AX364+AX351+AX346+AX335+AX323</f>
        <v>0</v>
      </c>
      <c r="AY403" s="20"/>
      <c r="AZ403" s="20">
        <f>AZ400+AZ382+AZ364+AZ351+AZ346+AZ335+AZ323</f>
        <v>-4.9476511776447296E-10</v>
      </c>
      <c r="BA403" s="5"/>
      <c r="BB403" s="114">
        <f>BB400+BB382+BB364+BB351+BB346+BB335+BB323</f>
        <v>0</v>
      </c>
      <c r="BC403" s="37"/>
      <c r="BD403" s="114">
        <f>BD400+BD382+BD364+BD351+BD346+BD335+BD323</f>
        <v>0</v>
      </c>
      <c r="BE403" s="37"/>
      <c r="BF403" s="114">
        <f>BF400+BF382+BF364+BF351+BF346+BF335+BF323</f>
        <v>-4.9476511776447296E-10</v>
      </c>
      <c r="BH403" s="114">
        <f>BH400+BH382+BH364+BH351+BH346+BH335+BH323</f>
        <v>0</v>
      </c>
      <c r="BJ403" s="114">
        <f>BJ400+BJ382+BJ364+BJ351+BJ346+BJ335+BJ323</f>
        <v>-4.9476511776447296E-10</v>
      </c>
      <c r="BL403" s="39">
        <f t="shared" si="93"/>
        <v>0</v>
      </c>
      <c r="BM403" s="3"/>
      <c r="BN403" s="3"/>
      <c r="BO403" s="3"/>
    </row>
    <row r="404" spans="1:67" x14ac:dyDescent="0.2">
      <c r="A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5"/>
      <c r="BB404" s="76"/>
      <c r="BC404" s="37"/>
      <c r="BD404" s="76"/>
      <c r="BE404" s="37"/>
      <c r="BL404" s="39">
        <f t="shared" si="93"/>
        <v>0</v>
      </c>
      <c r="BM404" s="3"/>
      <c r="BN404" s="3"/>
      <c r="BO404" s="3"/>
    </row>
    <row r="405" spans="1:67" x14ac:dyDescent="0.2">
      <c r="A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5"/>
      <c r="BB405" s="76"/>
      <c r="BC405" s="37"/>
      <c r="BD405" s="76"/>
      <c r="BE405" s="37"/>
      <c r="BL405" s="39">
        <f t="shared" si="93"/>
        <v>0</v>
      </c>
      <c r="BM405" s="3"/>
      <c r="BN405" s="3"/>
      <c r="BO405" s="3"/>
    </row>
    <row r="406" spans="1:67" x14ac:dyDescent="0.2">
      <c r="A406" s="9" t="s">
        <v>26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5"/>
      <c r="BB406" s="76"/>
      <c r="BC406" s="37"/>
      <c r="BD406" s="76"/>
      <c r="BE406" s="37"/>
      <c r="BL406" s="39">
        <f t="shared" si="93"/>
        <v>0</v>
      </c>
      <c r="BM406" s="3"/>
      <c r="BN406" s="3"/>
      <c r="BO406" s="3"/>
    </row>
    <row r="407" spans="1:67" x14ac:dyDescent="0.2">
      <c r="A407" s="14"/>
      <c r="B407" s="10" t="s">
        <v>27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5"/>
      <c r="BB407" s="76"/>
      <c r="BC407" s="37"/>
      <c r="BD407" s="76"/>
      <c r="BE407" s="37"/>
      <c r="BL407" s="39">
        <f t="shared" si="93"/>
        <v>0</v>
      </c>
      <c r="BM407" s="3"/>
      <c r="BN407" s="3"/>
      <c r="BO407" s="3"/>
    </row>
    <row r="408" spans="1:67" outlineLevel="1" x14ac:dyDescent="0.2">
      <c r="A408" s="14"/>
      <c r="B408" s="3" t="s">
        <v>373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>
        <f>SUM(C408:AY408)</f>
        <v>0</v>
      </c>
      <c r="BA408" s="5"/>
      <c r="BB408" s="76">
        <f t="shared" ref="BB408:BB426" si="113">SUMIF($C$10:$AY$10,"=Addition",$C408:$AY408)</f>
        <v>0</v>
      </c>
      <c r="BC408" s="37"/>
      <c r="BD408" s="76">
        <f t="shared" ref="BD408:BD426" si="114">SUMIF($C$10:$AY$10,"=Adjustment",$C408:$AY408)</f>
        <v>0</v>
      </c>
      <c r="BE408" s="37"/>
      <c r="BF408" s="76">
        <f t="shared" ref="BF408:BF426" si="115">SUMIF($C$10:$AY$10,"=Transfer",$C408:$AY408)</f>
        <v>0</v>
      </c>
      <c r="BH408" s="76">
        <f t="shared" ref="BH408:BH426" si="116">SUMIF($C$10:$AY$10,"=N/A",$C408:$AY408)</f>
        <v>0</v>
      </c>
      <c r="BJ408" s="76">
        <f t="shared" ref="BJ408:BJ426" si="117">SUM(BB408:BH408)</f>
        <v>0</v>
      </c>
      <c r="BL408" s="39">
        <f t="shared" ref="BL408:BL471" si="118">AZ408-BJ408</f>
        <v>0</v>
      </c>
      <c r="BM408" s="3"/>
      <c r="BN408" s="3"/>
      <c r="BO408" s="3"/>
    </row>
    <row r="409" spans="1:67" outlineLevel="1" x14ac:dyDescent="0.2">
      <c r="A409" s="14"/>
      <c r="B409" s="3" t="s">
        <v>374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>
        <f>SUM(C409:AY409)</f>
        <v>0</v>
      </c>
      <c r="BA409" s="5"/>
      <c r="BB409" s="76">
        <f t="shared" si="113"/>
        <v>0</v>
      </c>
      <c r="BC409" s="37"/>
      <c r="BD409" s="76">
        <f t="shared" si="114"/>
        <v>0</v>
      </c>
      <c r="BE409" s="37"/>
      <c r="BF409" s="76">
        <f t="shared" si="115"/>
        <v>0</v>
      </c>
      <c r="BH409" s="76">
        <f t="shared" si="116"/>
        <v>0</v>
      </c>
      <c r="BJ409" s="76">
        <f t="shared" si="117"/>
        <v>0</v>
      </c>
      <c r="BL409" s="39">
        <f t="shared" si="118"/>
        <v>0</v>
      </c>
      <c r="BM409" s="3"/>
      <c r="BN409" s="3"/>
      <c r="BO409" s="3"/>
    </row>
    <row r="410" spans="1:67" x14ac:dyDescent="0.2">
      <c r="A410" s="14"/>
      <c r="B410" s="22" t="s">
        <v>375</v>
      </c>
      <c r="C410" s="15">
        <f>SUM(C408:C409)</f>
        <v>0</v>
      </c>
      <c r="D410" s="15"/>
      <c r="E410" s="15">
        <f>SUM(E408:E409)</f>
        <v>0</v>
      </c>
      <c r="F410" s="15"/>
      <c r="G410" s="15">
        <f>SUM(G408:G409)</f>
        <v>0</v>
      </c>
      <c r="H410" s="15"/>
      <c r="I410" s="15">
        <f>SUM(I408:I409)</f>
        <v>0</v>
      </c>
      <c r="J410" s="15"/>
      <c r="K410" s="15">
        <f>SUM(K408:K409)</f>
        <v>0</v>
      </c>
      <c r="L410" s="15"/>
      <c r="M410" s="15">
        <f>SUM(M408:M409)</f>
        <v>0</v>
      </c>
      <c r="N410" s="15"/>
      <c r="O410" s="15">
        <f>SUM(O408:O409)</f>
        <v>0</v>
      </c>
      <c r="P410" s="15"/>
      <c r="Q410" s="15">
        <f>SUM(Q408:Q409)</f>
        <v>0</v>
      </c>
      <c r="R410" s="15"/>
      <c r="S410" s="15">
        <f>SUM(S408:S409)</f>
        <v>0</v>
      </c>
      <c r="T410" s="15"/>
      <c r="U410" s="15">
        <f>SUM(U408:U409)</f>
        <v>0</v>
      </c>
      <c r="V410" s="15"/>
      <c r="W410" s="15">
        <f>SUM(W408:W409)</f>
        <v>0</v>
      </c>
      <c r="X410" s="15"/>
      <c r="Y410" s="15">
        <f>SUM(Y408:Y409)</f>
        <v>0</v>
      </c>
      <c r="Z410" s="15"/>
      <c r="AA410" s="15">
        <f>SUM(AA408:AA409)</f>
        <v>0</v>
      </c>
      <c r="AB410" s="15"/>
      <c r="AC410" s="15">
        <f>SUM(AC408:AC409)</f>
        <v>0</v>
      </c>
      <c r="AD410" s="15"/>
      <c r="AE410" s="15">
        <f>SUM(AE408:AE409)</f>
        <v>0</v>
      </c>
      <c r="AF410" s="15"/>
      <c r="AG410" s="15">
        <f>SUM(AG408:AG409)</f>
        <v>0</v>
      </c>
      <c r="AH410" s="15"/>
      <c r="AI410" s="15">
        <f>SUM(AI408:AI409)</f>
        <v>0</v>
      </c>
      <c r="AJ410" s="15"/>
      <c r="AK410" s="15">
        <f>SUM(AK408:AK409)</f>
        <v>0</v>
      </c>
      <c r="AL410" s="15"/>
      <c r="AM410" s="15">
        <f>SUM(AM408:AM409)</f>
        <v>0</v>
      </c>
      <c r="AN410" s="15"/>
      <c r="AO410" s="15">
        <f>SUM(AO408:AO409)</f>
        <v>0</v>
      </c>
      <c r="AP410" s="15"/>
      <c r="AQ410" s="15">
        <f>SUM(AQ408:AQ409)</f>
        <v>0</v>
      </c>
      <c r="AR410" s="15"/>
      <c r="AS410" s="15">
        <f>SUM(AS408:AS409)</f>
        <v>0</v>
      </c>
      <c r="AT410" s="15">
        <f>SUM(AT408:AT409)</f>
        <v>0</v>
      </c>
      <c r="AU410" s="15"/>
      <c r="AV410" s="15">
        <f>SUM(AV408:AV409)</f>
        <v>0</v>
      </c>
      <c r="AW410" s="15"/>
      <c r="AX410" s="15">
        <f>SUM(AX408:AX409)</f>
        <v>0</v>
      </c>
      <c r="AY410" s="15"/>
      <c r="AZ410" s="15">
        <f>SUM(AZ408:AZ409)</f>
        <v>0</v>
      </c>
      <c r="BA410" s="5"/>
      <c r="BB410" s="76">
        <f t="shared" si="113"/>
        <v>0</v>
      </c>
      <c r="BC410" s="37"/>
      <c r="BD410" s="76">
        <f t="shared" si="114"/>
        <v>0</v>
      </c>
      <c r="BE410" s="37"/>
      <c r="BF410" s="76">
        <f t="shared" si="115"/>
        <v>0</v>
      </c>
      <c r="BH410" s="76">
        <f t="shared" si="116"/>
        <v>0</v>
      </c>
      <c r="BJ410" s="76">
        <f t="shared" si="117"/>
        <v>0</v>
      </c>
      <c r="BL410" s="39">
        <f t="shared" si="118"/>
        <v>0</v>
      </c>
      <c r="BM410" s="3"/>
      <c r="BN410" s="3"/>
      <c r="BO410" s="3"/>
    </row>
    <row r="411" spans="1:67" outlineLevel="1" x14ac:dyDescent="0.2">
      <c r="A411" s="14"/>
      <c r="B411" s="3" t="s">
        <v>376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>
        <f>SUM(C411:AY411)</f>
        <v>0</v>
      </c>
      <c r="BA411" s="5"/>
      <c r="BB411" s="76">
        <f t="shared" si="113"/>
        <v>0</v>
      </c>
      <c r="BC411" s="37"/>
      <c r="BD411" s="76">
        <f t="shared" si="114"/>
        <v>0</v>
      </c>
      <c r="BE411" s="37"/>
      <c r="BF411" s="76">
        <f t="shared" si="115"/>
        <v>0</v>
      </c>
      <c r="BH411" s="76">
        <f t="shared" si="116"/>
        <v>0</v>
      </c>
      <c r="BJ411" s="76">
        <f t="shared" si="117"/>
        <v>0</v>
      </c>
      <c r="BL411" s="39">
        <f t="shared" si="118"/>
        <v>0</v>
      </c>
      <c r="BM411" s="3"/>
      <c r="BN411" s="3"/>
      <c r="BO411" s="3"/>
    </row>
    <row r="412" spans="1:67" outlineLevel="1" x14ac:dyDescent="0.2">
      <c r="A412" s="14"/>
      <c r="B412" s="3" t="s">
        <v>377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>
        <f>SUM(C412:AY412)</f>
        <v>0</v>
      </c>
      <c r="BA412" s="5"/>
      <c r="BB412" s="76">
        <f t="shared" si="113"/>
        <v>0</v>
      </c>
      <c r="BC412" s="37"/>
      <c r="BD412" s="76">
        <f t="shared" si="114"/>
        <v>0</v>
      </c>
      <c r="BE412" s="37"/>
      <c r="BF412" s="76">
        <f t="shared" si="115"/>
        <v>0</v>
      </c>
      <c r="BH412" s="76">
        <f t="shared" si="116"/>
        <v>0</v>
      </c>
      <c r="BJ412" s="76">
        <f t="shared" si="117"/>
        <v>0</v>
      </c>
      <c r="BL412" s="39">
        <f t="shared" si="118"/>
        <v>0</v>
      </c>
      <c r="BM412" s="3"/>
      <c r="BN412" s="3"/>
      <c r="BO412" s="3"/>
    </row>
    <row r="413" spans="1:67" x14ac:dyDescent="0.2">
      <c r="A413" s="14"/>
      <c r="B413" s="3" t="s">
        <v>378</v>
      </c>
      <c r="C413" s="15">
        <f>SUM(C411:C412)</f>
        <v>0</v>
      </c>
      <c r="D413" s="15"/>
      <c r="E413" s="15">
        <f>SUM(E411:E412)</f>
        <v>0</v>
      </c>
      <c r="F413" s="15"/>
      <c r="G413" s="15">
        <f>SUM(G411:G412)</f>
        <v>0</v>
      </c>
      <c r="H413" s="15"/>
      <c r="I413" s="15">
        <f>SUM(I411:I412)</f>
        <v>0</v>
      </c>
      <c r="J413" s="15"/>
      <c r="K413" s="15">
        <f>SUM(K411:K412)</f>
        <v>0</v>
      </c>
      <c r="L413" s="15"/>
      <c r="M413" s="15">
        <f>SUM(M411:M412)</f>
        <v>0</v>
      </c>
      <c r="N413" s="15"/>
      <c r="O413" s="15">
        <f>SUM(O411:O412)</f>
        <v>0</v>
      </c>
      <c r="P413" s="15"/>
      <c r="Q413" s="15">
        <f>SUM(Q411:Q412)</f>
        <v>0</v>
      </c>
      <c r="R413" s="15"/>
      <c r="S413" s="15">
        <f>SUM(S411:S412)</f>
        <v>0</v>
      </c>
      <c r="T413" s="15"/>
      <c r="U413" s="15">
        <f>SUM(U411:U412)</f>
        <v>0</v>
      </c>
      <c r="V413" s="15"/>
      <c r="W413" s="15">
        <f>SUM(W411:W412)</f>
        <v>0</v>
      </c>
      <c r="X413" s="15"/>
      <c r="Y413" s="15">
        <f>SUM(Y411:Y412)</f>
        <v>0</v>
      </c>
      <c r="Z413" s="15"/>
      <c r="AA413" s="15">
        <f>SUM(AA411:AA412)</f>
        <v>0</v>
      </c>
      <c r="AB413" s="15"/>
      <c r="AC413" s="15">
        <f>SUM(AC411:AC412)</f>
        <v>0</v>
      </c>
      <c r="AD413" s="15"/>
      <c r="AE413" s="15">
        <f>SUM(AE411:AE412)</f>
        <v>0</v>
      </c>
      <c r="AF413" s="15"/>
      <c r="AG413" s="15">
        <f>SUM(AG411:AG412)</f>
        <v>0</v>
      </c>
      <c r="AH413" s="15"/>
      <c r="AI413" s="15">
        <f>SUM(AI411:AI412)</f>
        <v>0</v>
      </c>
      <c r="AJ413" s="15"/>
      <c r="AK413" s="15">
        <f>SUM(AK411:AK412)</f>
        <v>0</v>
      </c>
      <c r="AL413" s="15"/>
      <c r="AM413" s="15">
        <f>SUM(AM411:AM412)</f>
        <v>0</v>
      </c>
      <c r="AN413" s="15"/>
      <c r="AO413" s="15">
        <f>SUM(AO411:AO412)</f>
        <v>0</v>
      </c>
      <c r="AP413" s="15"/>
      <c r="AQ413" s="15">
        <f>SUM(AQ411:AQ412)</f>
        <v>0</v>
      </c>
      <c r="AR413" s="15"/>
      <c r="AS413" s="15">
        <f>SUM(AS411:AS412)</f>
        <v>0</v>
      </c>
      <c r="AT413" s="15">
        <f>SUM(AT411:AT412)</f>
        <v>0</v>
      </c>
      <c r="AU413" s="15"/>
      <c r="AV413" s="15">
        <f>SUM(AV411:AV412)</f>
        <v>0</v>
      </c>
      <c r="AW413" s="15"/>
      <c r="AX413" s="15">
        <f>SUM(AX411:AX412)</f>
        <v>0</v>
      </c>
      <c r="AY413" s="15"/>
      <c r="AZ413" s="15">
        <f>SUM(AZ411:AZ412)</f>
        <v>0</v>
      </c>
      <c r="BA413" s="5"/>
      <c r="BB413" s="76">
        <f t="shared" si="113"/>
        <v>0</v>
      </c>
      <c r="BC413" s="37"/>
      <c r="BD413" s="76">
        <f t="shared" si="114"/>
        <v>0</v>
      </c>
      <c r="BE413" s="37"/>
      <c r="BF413" s="76">
        <f t="shared" si="115"/>
        <v>0</v>
      </c>
      <c r="BH413" s="76">
        <f t="shared" si="116"/>
        <v>0</v>
      </c>
      <c r="BJ413" s="76">
        <f t="shared" si="117"/>
        <v>0</v>
      </c>
      <c r="BL413" s="39">
        <f t="shared" si="118"/>
        <v>0</v>
      </c>
      <c r="BM413" s="3"/>
      <c r="BN413" s="3"/>
      <c r="BO413" s="3"/>
    </row>
    <row r="414" spans="1:67" x14ac:dyDescent="0.2">
      <c r="A414" s="14"/>
      <c r="B414" s="3" t="s">
        <v>379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>
        <f t="shared" ref="AZ414:AZ425" si="119">SUM(C414:AY414)</f>
        <v>0</v>
      </c>
      <c r="BA414" s="5"/>
      <c r="BB414" s="76">
        <f t="shared" si="113"/>
        <v>0</v>
      </c>
      <c r="BC414" s="37"/>
      <c r="BD414" s="76">
        <f t="shared" si="114"/>
        <v>0</v>
      </c>
      <c r="BE414" s="37"/>
      <c r="BF414" s="76">
        <f t="shared" si="115"/>
        <v>0</v>
      </c>
      <c r="BH414" s="76">
        <f t="shared" si="116"/>
        <v>0</v>
      </c>
      <c r="BJ414" s="76">
        <f t="shared" si="117"/>
        <v>0</v>
      </c>
      <c r="BL414" s="39">
        <f t="shared" si="118"/>
        <v>0</v>
      </c>
      <c r="BM414" s="3"/>
      <c r="BN414" s="3"/>
      <c r="BO414" s="3"/>
    </row>
    <row r="415" spans="1:67" x14ac:dyDescent="0.2">
      <c r="A415" s="14"/>
      <c r="B415" s="22" t="s">
        <v>380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>
        <f t="shared" si="119"/>
        <v>0</v>
      </c>
      <c r="BA415" s="5"/>
      <c r="BB415" s="76">
        <f t="shared" si="113"/>
        <v>0</v>
      </c>
      <c r="BC415" s="37"/>
      <c r="BD415" s="76">
        <f t="shared" si="114"/>
        <v>0</v>
      </c>
      <c r="BE415" s="37"/>
      <c r="BF415" s="76">
        <f t="shared" si="115"/>
        <v>0</v>
      </c>
      <c r="BH415" s="76">
        <f t="shared" si="116"/>
        <v>0</v>
      </c>
      <c r="BJ415" s="76">
        <f t="shared" si="117"/>
        <v>0</v>
      </c>
      <c r="BL415" s="39">
        <f t="shared" si="118"/>
        <v>0</v>
      </c>
      <c r="BM415" s="3"/>
      <c r="BN415" s="3"/>
      <c r="BO415" s="3"/>
    </row>
    <row r="416" spans="1:67" x14ac:dyDescent="0.2">
      <c r="A416" s="14"/>
      <c r="B416" s="3" t="s">
        <v>381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>
        <f t="shared" si="119"/>
        <v>0</v>
      </c>
      <c r="BA416" s="5"/>
      <c r="BB416" s="76">
        <f t="shared" si="113"/>
        <v>0</v>
      </c>
      <c r="BC416" s="37"/>
      <c r="BD416" s="76">
        <f t="shared" si="114"/>
        <v>0</v>
      </c>
      <c r="BE416" s="37"/>
      <c r="BF416" s="76">
        <f t="shared" si="115"/>
        <v>0</v>
      </c>
      <c r="BH416" s="76">
        <f t="shared" si="116"/>
        <v>0</v>
      </c>
      <c r="BJ416" s="76">
        <f t="shared" si="117"/>
        <v>0</v>
      </c>
      <c r="BL416" s="39">
        <f t="shared" si="118"/>
        <v>0</v>
      </c>
      <c r="BM416" s="3"/>
      <c r="BN416" s="3"/>
      <c r="BO416" s="3"/>
    </row>
    <row r="417" spans="1:67" x14ac:dyDescent="0.2">
      <c r="A417" s="14"/>
      <c r="B417" s="3" t="s">
        <v>382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>
        <f t="shared" si="119"/>
        <v>0</v>
      </c>
      <c r="BA417" s="5"/>
      <c r="BB417" s="76">
        <f t="shared" si="113"/>
        <v>0</v>
      </c>
      <c r="BC417" s="37"/>
      <c r="BD417" s="76">
        <f t="shared" si="114"/>
        <v>0</v>
      </c>
      <c r="BE417" s="37"/>
      <c r="BF417" s="76">
        <f t="shared" si="115"/>
        <v>0</v>
      </c>
      <c r="BH417" s="76">
        <f t="shared" si="116"/>
        <v>0</v>
      </c>
      <c r="BJ417" s="76">
        <f t="shared" si="117"/>
        <v>0</v>
      </c>
      <c r="BL417" s="39">
        <f t="shared" si="118"/>
        <v>0</v>
      </c>
      <c r="BM417" s="3"/>
      <c r="BN417" s="3"/>
      <c r="BO417" s="3"/>
    </row>
    <row r="418" spans="1:67" x14ac:dyDescent="0.2">
      <c r="A418" s="14"/>
      <c r="B418" s="3" t="s">
        <v>383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>
        <f t="shared" si="119"/>
        <v>0</v>
      </c>
      <c r="BA418" s="5"/>
      <c r="BB418" s="76">
        <f t="shared" si="113"/>
        <v>0</v>
      </c>
      <c r="BC418" s="37"/>
      <c r="BD418" s="76">
        <f t="shared" si="114"/>
        <v>0</v>
      </c>
      <c r="BE418" s="37"/>
      <c r="BF418" s="76">
        <f t="shared" si="115"/>
        <v>0</v>
      </c>
      <c r="BH418" s="76">
        <f t="shared" si="116"/>
        <v>0</v>
      </c>
      <c r="BJ418" s="76">
        <f t="shared" si="117"/>
        <v>0</v>
      </c>
      <c r="BL418" s="39">
        <f t="shared" si="118"/>
        <v>0</v>
      </c>
      <c r="BM418" s="3"/>
      <c r="BN418" s="3"/>
      <c r="BO418" s="3"/>
    </row>
    <row r="419" spans="1:67" x14ac:dyDescent="0.2">
      <c r="A419" s="14"/>
      <c r="B419" s="22" t="s">
        <v>384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>
        <f t="shared" si="119"/>
        <v>0</v>
      </c>
      <c r="BA419" s="5"/>
      <c r="BB419" s="76">
        <f t="shared" si="113"/>
        <v>0</v>
      </c>
      <c r="BC419" s="37"/>
      <c r="BD419" s="76">
        <f t="shared" si="114"/>
        <v>0</v>
      </c>
      <c r="BE419" s="37"/>
      <c r="BF419" s="76">
        <f t="shared" si="115"/>
        <v>0</v>
      </c>
      <c r="BH419" s="76">
        <f t="shared" si="116"/>
        <v>0</v>
      </c>
      <c r="BJ419" s="76">
        <f t="shared" si="117"/>
        <v>0</v>
      </c>
      <c r="BL419" s="39">
        <f t="shared" si="118"/>
        <v>0</v>
      </c>
      <c r="BM419" s="3"/>
      <c r="BN419" s="3"/>
      <c r="BO419" s="3"/>
    </row>
    <row r="420" spans="1:67" x14ac:dyDescent="0.2">
      <c r="A420" s="14"/>
      <c r="B420" s="3" t="s">
        <v>385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>
        <f t="shared" si="119"/>
        <v>0</v>
      </c>
      <c r="BA420" s="5"/>
      <c r="BB420" s="76">
        <f t="shared" si="113"/>
        <v>0</v>
      </c>
      <c r="BC420" s="37"/>
      <c r="BD420" s="76">
        <f t="shared" si="114"/>
        <v>0</v>
      </c>
      <c r="BE420" s="37"/>
      <c r="BF420" s="76">
        <f t="shared" si="115"/>
        <v>0</v>
      </c>
      <c r="BH420" s="76">
        <f t="shared" si="116"/>
        <v>0</v>
      </c>
      <c r="BJ420" s="76">
        <f t="shared" si="117"/>
        <v>0</v>
      </c>
      <c r="BL420" s="39">
        <f t="shared" si="118"/>
        <v>0</v>
      </c>
      <c r="BM420" s="3"/>
      <c r="BN420" s="3"/>
      <c r="BO420" s="3"/>
    </row>
    <row r="421" spans="1:67" x14ac:dyDescent="0.2">
      <c r="A421" s="14"/>
      <c r="B421" s="3" t="s">
        <v>386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>
        <f t="shared" si="119"/>
        <v>0</v>
      </c>
      <c r="BA421" s="5"/>
      <c r="BB421" s="76">
        <f t="shared" si="113"/>
        <v>0</v>
      </c>
      <c r="BC421" s="37"/>
      <c r="BD421" s="76">
        <f t="shared" si="114"/>
        <v>0</v>
      </c>
      <c r="BE421" s="37"/>
      <c r="BF421" s="76">
        <f t="shared" si="115"/>
        <v>0</v>
      </c>
      <c r="BH421" s="76">
        <f t="shared" si="116"/>
        <v>0</v>
      </c>
      <c r="BJ421" s="76">
        <f t="shared" si="117"/>
        <v>0</v>
      </c>
      <c r="BL421" s="39">
        <f t="shared" si="118"/>
        <v>0</v>
      </c>
      <c r="BM421" s="3"/>
      <c r="BN421" s="3"/>
      <c r="BO421" s="3"/>
    </row>
    <row r="422" spans="1:67" x14ac:dyDescent="0.2">
      <c r="A422" s="14"/>
      <c r="B422" s="3" t="s">
        <v>387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>
        <f t="shared" si="119"/>
        <v>0</v>
      </c>
      <c r="BA422" s="5"/>
      <c r="BB422" s="76">
        <f t="shared" si="113"/>
        <v>0</v>
      </c>
      <c r="BC422" s="37"/>
      <c r="BD422" s="76">
        <f t="shared" si="114"/>
        <v>0</v>
      </c>
      <c r="BE422" s="37"/>
      <c r="BF422" s="76">
        <f t="shared" si="115"/>
        <v>0</v>
      </c>
      <c r="BH422" s="76">
        <f t="shared" si="116"/>
        <v>0</v>
      </c>
      <c r="BJ422" s="76">
        <f t="shared" si="117"/>
        <v>0</v>
      </c>
      <c r="BL422" s="39">
        <f t="shared" si="118"/>
        <v>0</v>
      </c>
      <c r="BM422" s="3"/>
      <c r="BN422" s="3"/>
      <c r="BO422" s="3"/>
    </row>
    <row r="423" spans="1:67" x14ac:dyDescent="0.2">
      <c r="A423" s="14"/>
      <c r="B423" s="3" t="s">
        <v>388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>
        <f t="shared" si="119"/>
        <v>0</v>
      </c>
      <c r="BA423" s="5"/>
      <c r="BB423" s="76">
        <f t="shared" si="113"/>
        <v>0</v>
      </c>
      <c r="BC423" s="37"/>
      <c r="BD423" s="76">
        <f t="shared" si="114"/>
        <v>0</v>
      </c>
      <c r="BE423" s="37"/>
      <c r="BF423" s="76">
        <f t="shared" si="115"/>
        <v>0</v>
      </c>
      <c r="BH423" s="76">
        <f t="shared" si="116"/>
        <v>0</v>
      </c>
      <c r="BJ423" s="76">
        <f t="shared" si="117"/>
        <v>0</v>
      </c>
      <c r="BL423" s="39">
        <f t="shared" si="118"/>
        <v>0</v>
      </c>
      <c r="BM423" s="3"/>
      <c r="BN423" s="3"/>
      <c r="BO423" s="3"/>
    </row>
    <row r="424" spans="1:67" outlineLevel="1" x14ac:dyDescent="0.2">
      <c r="A424" s="14"/>
      <c r="B424" s="3" t="s">
        <v>389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>
        <f t="shared" si="119"/>
        <v>0</v>
      </c>
      <c r="BA424" s="5"/>
      <c r="BB424" s="76">
        <f t="shared" si="113"/>
        <v>0</v>
      </c>
      <c r="BC424" s="37"/>
      <c r="BD424" s="76">
        <f t="shared" si="114"/>
        <v>0</v>
      </c>
      <c r="BE424" s="37"/>
      <c r="BF424" s="76">
        <f t="shared" si="115"/>
        <v>0</v>
      </c>
      <c r="BH424" s="76">
        <f t="shared" si="116"/>
        <v>0</v>
      </c>
      <c r="BJ424" s="76">
        <f t="shared" si="117"/>
        <v>0</v>
      </c>
      <c r="BL424" s="39">
        <f t="shared" si="118"/>
        <v>0</v>
      </c>
      <c r="BM424" s="3"/>
      <c r="BN424" s="3"/>
      <c r="BO424" s="3"/>
    </row>
    <row r="425" spans="1:67" outlineLevel="1" x14ac:dyDescent="0.2">
      <c r="A425" s="14"/>
      <c r="B425" s="31" t="s">
        <v>390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>
        <f t="shared" si="119"/>
        <v>0</v>
      </c>
      <c r="BA425" s="5"/>
      <c r="BB425" s="76">
        <f t="shared" si="113"/>
        <v>0</v>
      </c>
      <c r="BC425" s="37"/>
      <c r="BD425" s="76">
        <f t="shared" si="114"/>
        <v>0</v>
      </c>
      <c r="BE425" s="37"/>
      <c r="BF425" s="76">
        <f t="shared" si="115"/>
        <v>0</v>
      </c>
      <c r="BH425" s="76">
        <f t="shared" si="116"/>
        <v>0</v>
      </c>
      <c r="BJ425" s="76">
        <f t="shared" si="117"/>
        <v>0</v>
      </c>
      <c r="BL425" s="39">
        <f t="shared" si="118"/>
        <v>0</v>
      </c>
      <c r="BM425" s="3"/>
      <c r="BN425" s="3"/>
      <c r="BO425" s="3"/>
    </row>
    <row r="426" spans="1:67" x14ac:dyDescent="0.2">
      <c r="A426" s="14"/>
      <c r="B426" s="31" t="s">
        <v>391</v>
      </c>
      <c r="C426" s="15">
        <f>SUM(C424:C425)</f>
        <v>0</v>
      </c>
      <c r="D426" s="15"/>
      <c r="E426" s="15">
        <f>SUM(E424:E425)</f>
        <v>0</v>
      </c>
      <c r="F426" s="15"/>
      <c r="G426" s="15">
        <f>SUM(G424:G425)</f>
        <v>0</v>
      </c>
      <c r="H426" s="15"/>
      <c r="I426" s="15">
        <f>SUM(I424:I425)</f>
        <v>0</v>
      </c>
      <c r="J426" s="15"/>
      <c r="K426" s="15">
        <f>SUM(K424:K425)</f>
        <v>0</v>
      </c>
      <c r="L426" s="15"/>
      <c r="M426" s="15">
        <f>SUM(M424:M425)</f>
        <v>0</v>
      </c>
      <c r="N426" s="15"/>
      <c r="O426" s="15">
        <f>SUM(O424:O425)</f>
        <v>0</v>
      </c>
      <c r="P426" s="15"/>
      <c r="Q426" s="15">
        <f>SUM(Q424:Q425)</f>
        <v>0</v>
      </c>
      <c r="R426" s="15"/>
      <c r="S426" s="15">
        <f>SUM(S424:S425)</f>
        <v>0</v>
      </c>
      <c r="T426" s="15"/>
      <c r="U426" s="15">
        <f>SUM(U424:U425)</f>
        <v>0</v>
      </c>
      <c r="V426" s="15"/>
      <c r="W426" s="15">
        <f>SUM(W424:W425)</f>
        <v>0</v>
      </c>
      <c r="X426" s="15"/>
      <c r="Y426" s="15">
        <f>SUM(Y424:Y425)</f>
        <v>0</v>
      </c>
      <c r="Z426" s="15"/>
      <c r="AA426" s="15">
        <f>SUM(AA424:AA425)</f>
        <v>0</v>
      </c>
      <c r="AB426" s="15"/>
      <c r="AC426" s="15">
        <f>SUM(AC424:AC425)</f>
        <v>0</v>
      </c>
      <c r="AD426" s="15"/>
      <c r="AE426" s="15">
        <f>SUM(AE424:AE425)</f>
        <v>0</v>
      </c>
      <c r="AF426" s="15"/>
      <c r="AG426" s="15">
        <f>SUM(AG424:AG425)</f>
        <v>0</v>
      </c>
      <c r="AH426" s="15"/>
      <c r="AI426" s="15">
        <f>SUM(AI424:AI425)</f>
        <v>0</v>
      </c>
      <c r="AJ426" s="15"/>
      <c r="AK426" s="15">
        <f>SUM(AK424:AK425)</f>
        <v>0</v>
      </c>
      <c r="AL426" s="15"/>
      <c r="AM426" s="15">
        <f>SUM(AM424:AM425)</f>
        <v>0</v>
      </c>
      <c r="AN426" s="15"/>
      <c r="AO426" s="15">
        <f>SUM(AO424:AO425)</f>
        <v>0</v>
      </c>
      <c r="AP426" s="15"/>
      <c r="AQ426" s="15">
        <f>SUM(AQ424:AQ425)</f>
        <v>0</v>
      </c>
      <c r="AR426" s="15"/>
      <c r="AS426" s="15">
        <f>SUM(AS424:AS425)</f>
        <v>0</v>
      </c>
      <c r="AT426" s="15">
        <f>SUM(AT424:AT425)</f>
        <v>0</v>
      </c>
      <c r="AU426" s="15"/>
      <c r="AV426" s="15">
        <f>SUM(AV424:AV425)</f>
        <v>0</v>
      </c>
      <c r="AW426" s="15"/>
      <c r="AX426" s="15">
        <f>SUM(AX424:AX425)</f>
        <v>0</v>
      </c>
      <c r="AY426" s="15"/>
      <c r="AZ426" s="15">
        <f>SUM(AZ424:AZ425)</f>
        <v>0</v>
      </c>
      <c r="BA426" s="5"/>
      <c r="BB426" s="76">
        <f t="shared" si="113"/>
        <v>0</v>
      </c>
      <c r="BC426" s="37"/>
      <c r="BD426" s="76">
        <f t="shared" si="114"/>
        <v>0</v>
      </c>
      <c r="BE426" s="37"/>
      <c r="BF426" s="76">
        <f t="shared" si="115"/>
        <v>0</v>
      </c>
      <c r="BH426" s="76">
        <f t="shared" si="116"/>
        <v>0</v>
      </c>
      <c r="BJ426" s="76">
        <f t="shared" si="117"/>
        <v>0</v>
      </c>
      <c r="BL426" s="39">
        <f t="shared" si="118"/>
        <v>0</v>
      </c>
      <c r="BM426" s="3"/>
      <c r="BN426" s="3"/>
      <c r="BO426" s="3"/>
    </row>
    <row r="427" spans="1:67" x14ac:dyDescent="0.2">
      <c r="A427" s="14"/>
      <c r="B427" s="115" t="s">
        <v>392</v>
      </c>
      <c r="C427" s="20">
        <f>C426+SUM(C413:C423)+C410</f>
        <v>0</v>
      </c>
      <c r="D427" s="15"/>
      <c r="E427" s="20">
        <f>E426+SUM(E413:E423)+E410</f>
        <v>0</v>
      </c>
      <c r="F427" s="15"/>
      <c r="G427" s="20">
        <f>G426+SUM(G413:G423)+G410</f>
        <v>0</v>
      </c>
      <c r="H427" s="15"/>
      <c r="I427" s="20">
        <f>I426+SUM(I413:I423)+I410</f>
        <v>0</v>
      </c>
      <c r="J427" s="15"/>
      <c r="K427" s="20">
        <f>K426+SUM(K413:K423)+K410</f>
        <v>0</v>
      </c>
      <c r="L427" s="15"/>
      <c r="M427" s="20">
        <f>M426+SUM(M413:M423)+M410</f>
        <v>0</v>
      </c>
      <c r="N427" s="15"/>
      <c r="O427" s="20">
        <f>O426+SUM(O413:O423)+O410</f>
        <v>0</v>
      </c>
      <c r="P427" s="15"/>
      <c r="Q427" s="20">
        <f>Q426+SUM(Q413:Q423)+Q410</f>
        <v>0</v>
      </c>
      <c r="R427" s="15"/>
      <c r="S427" s="20">
        <f>S426+SUM(S413:S423)+S410</f>
        <v>0</v>
      </c>
      <c r="T427" s="20"/>
      <c r="U427" s="20">
        <f>U426+SUM(U413:U423)+U410</f>
        <v>0</v>
      </c>
      <c r="V427" s="20"/>
      <c r="W427" s="20">
        <f>W426+SUM(W413:W423)+W410</f>
        <v>0</v>
      </c>
      <c r="X427" s="15"/>
      <c r="Y427" s="20">
        <f>Y426+SUM(Y413:Y423)+Y410</f>
        <v>0</v>
      </c>
      <c r="Z427" s="15"/>
      <c r="AA427" s="20">
        <f>AA426+SUM(AA413:AA423)+AA410</f>
        <v>0</v>
      </c>
      <c r="AB427" s="15"/>
      <c r="AC427" s="20">
        <f>AC426+SUM(AC413:AC423)+AC410</f>
        <v>0</v>
      </c>
      <c r="AD427" s="15"/>
      <c r="AE427" s="20">
        <f>AE426+SUM(AE413:AE423)+AE410</f>
        <v>0</v>
      </c>
      <c r="AF427" s="15"/>
      <c r="AG427" s="20">
        <f>AG426+SUM(AG413:AG423)+AG410</f>
        <v>0</v>
      </c>
      <c r="AH427" s="15"/>
      <c r="AI427" s="20">
        <f>AI426+SUM(AI413:AI423)+AI410</f>
        <v>0</v>
      </c>
      <c r="AJ427" s="15"/>
      <c r="AK427" s="20">
        <f>AK426+SUM(AK413:AK423)+AK410</f>
        <v>0</v>
      </c>
      <c r="AL427" s="20"/>
      <c r="AM427" s="20">
        <f>AM426+SUM(AM413:AM423)+AM410</f>
        <v>0</v>
      </c>
      <c r="AN427" s="20"/>
      <c r="AO427" s="20">
        <f>AO426+SUM(AO413:AO423)+AO410</f>
        <v>0</v>
      </c>
      <c r="AP427" s="20"/>
      <c r="AQ427" s="20">
        <f>AQ426+SUM(AQ413:AQ423)+AQ410</f>
        <v>0</v>
      </c>
      <c r="AR427" s="20"/>
      <c r="AS427" s="20">
        <f>AS426+SUM(AS413:AS423)+AS410</f>
        <v>0</v>
      </c>
      <c r="AT427" s="20">
        <f>AT426+SUM(AT413:AT423)+AT410</f>
        <v>0</v>
      </c>
      <c r="AU427" s="20"/>
      <c r="AV427" s="20">
        <f>AV426+SUM(AV413:AV423)+AV410</f>
        <v>0</v>
      </c>
      <c r="AW427" s="20"/>
      <c r="AX427" s="20">
        <f>AX426+SUM(AX413:AX423)+AX410</f>
        <v>0</v>
      </c>
      <c r="AY427" s="20"/>
      <c r="AZ427" s="20">
        <f>AZ426+SUM(AZ413:AZ423)+AZ410</f>
        <v>0</v>
      </c>
      <c r="BA427" s="5"/>
      <c r="BB427" s="114">
        <f>BB426+SUM(BB413:BB423)+BB410</f>
        <v>0</v>
      </c>
      <c r="BC427" s="37"/>
      <c r="BD427" s="114">
        <f>BD426+SUM(BD413:BD423)+BD410</f>
        <v>0</v>
      </c>
      <c r="BE427" s="37"/>
      <c r="BF427" s="114">
        <f>BF426+SUM(BF413:BF423)+BF410</f>
        <v>0</v>
      </c>
      <c r="BH427" s="114">
        <f>BH426+SUM(BH413:BH423)+BH410</f>
        <v>0</v>
      </c>
      <c r="BJ427" s="114">
        <f>BJ426+SUM(BJ413:BJ423)+BJ410</f>
        <v>0</v>
      </c>
      <c r="BL427" s="39">
        <f t="shared" si="118"/>
        <v>0</v>
      </c>
      <c r="BM427" s="3"/>
      <c r="BN427" s="3"/>
      <c r="BO427" s="3"/>
    </row>
    <row r="428" spans="1:67" x14ac:dyDescent="0.2">
      <c r="A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5"/>
      <c r="BB428" s="76"/>
      <c r="BC428" s="37"/>
      <c r="BD428" s="76"/>
      <c r="BE428" s="37"/>
      <c r="BL428" s="39">
        <f t="shared" si="118"/>
        <v>0</v>
      </c>
      <c r="BM428" s="3"/>
      <c r="BN428" s="3"/>
      <c r="BO428" s="3"/>
    </row>
    <row r="429" spans="1:67" x14ac:dyDescent="0.2">
      <c r="A429" s="14"/>
      <c r="B429" s="10" t="s">
        <v>28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5"/>
      <c r="BB429" s="76"/>
      <c r="BC429" s="37"/>
      <c r="BD429" s="76"/>
      <c r="BE429" s="37"/>
      <c r="BL429" s="39">
        <f t="shared" si="118"/>
        <v>0</v>
      </c>
      <c r="BM429" s="3"/>
      <c r="BN429" s="3"/>
      <c r="BO429" s="3"/>
    </row>
    <row r="430" spans="1:67" outlineLevel="1" x14ac:dyDescent="0.2">
      <c r="A430" s="14"/>
      <c r="B430" s="3" t="s">
        <v>394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>
        <f>SUM(C430:AY430)</f>
        <v>0</v>
      </c>
      <c r="BA430" s="5"/>
      <c r="BB430" s="76">
        <f t="shared" ref="BB430:BB438" si="120">SUMIF($C$10:$AY$10,"=Addition",$C430:$AY430)</f>
        <v>0</v>
      </c>
      <c r="BC430" s="37"/>
      <c r="BD430" s="76">
        <f t="shared" ref="BD430:BD438" si="121">SUMIF($C$10:$AY$10,"=Adjustment",$C430:$AY430)</f>
        <v>0</v>
      </c>
      <c r="BE430" s="37"/>
      <c r="BF430" s="76">
        <f t="shared" ref="BF430:BF438" si="122">SUMIF($C$10:$AY$10,"=Transfer",$C430:$AY430)</f>
        <v>0</v>
      </c>
      <c r="BH430" s="76">
        <f t="shared" ref="BH430:BH438" si="123">SUMIF($C$10:$AY$10,"=N/A",$C430:$AY430)</f>
        <v>0</v>
      </c>
      <c r="BJ430" s="76">
        <f t="shared" ref="BJ430:BJ438" si="124">SUM(BB430:BH430)</f>
        <v>0</v>
      </c>
      <c r="BL430" s="39">
        <f t="shared" si="118"/>
        <v>0</v>
      </c>
      <c r="BM430" s="3"/>
      <c r="BN430" s="3"/>
      <c r="BO430" s="3"/>
    </row>
    <row r="431" spans="1:67" outlineLevel="1" x14ac:dyDescent="0.2">
      <c r="A431" s="14"/>
      <c r="B431" s="3" t="s">
        <v>395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>
        <f>SUM(C431:AY431)</f>
        <v>0</v>
      </c>
      <c r="BA431" s="5"/>
      <c r="BB431" s="76">
        <f t="shared" si="120"/>
        <v>0</v>
      </c>
      <c r="BC431" s="37"/>
      <c r="BD431" s="76">
        <f t="shared" si="121"/>
        <v>0</v>
      </c>
      <c r="BE431" s="37"/>
      <c r="BF431" s="76">
        <f t="shared" si="122"/>
        <v>0</v>
      </c>
      <c r="BH431" s="76">
        <f t="shared" si="123"/>
        <v>0</v>
      </c>
      <c r="BJ431" s="76">
        <f t="shared" si="124"/>
        <v>0</v>
      </c>
      <c r="BL431" s="39">
        <f t="shared" si="118"/>
        <v>0</v>
      </c>
      <c r="BM431" s="3"/>
      <c r="BN431" s="3"/>
      <c r="BO431" s="3"/>
    </row>
    <row r="432" spans="1:67" x14ac:dyDescent="0.2">
      <c r="A432" s="14"/>
      <c r="B432" s="3" t="s">
        <v>396</v>
      </c>
      <c r="C432" s="15">
        <f>SUM(C430:C431)</f>
        <v>0</v>
      </c>
      <c r="D432" s="15"/>
      <c r="E432" s="15">
        <f>SUM(E430:E431)</f>
        <v>0</v>
      </c>
      <c r="F432" s="15"/>
      <c r="G432" s="15">
        <f>SUM(G430:G431)</f>
        <v>0</v>
      </c>
      <c r="H432" s="15"/>
      <c r="I432" s="15">
        <f>SUM(I430:I431)</f>
        <v>0</v>
      </c>
      <c r="J432" s="15"/>
      <c r="K432" s="15">
        <f>SUM(K430:K431)</f>
        <v>0</v>
      </c>
      <c r="L432" s="15"/>
      <c r="M432" s="15">
        <f>SUM(M430:M431)</f>
        <v>0</v>
      </c>
      <c r="N432" s="15"/>
      <c r="O432" s="15">
        <f>SUM(O430:O431)</f>
        <v>0</v>
      </c>
      <c r="P432" s="15"/>
      <c r="Q432" s="15">
        <f>SUM(Q430:Q431)</f>
        <v>0</v>
      </c>
      <c r="R432" s="15"/>
      <c r="S432" s="15">
        <f>SUM(S430:S431)</f>
        <v>0</v>
      </c>
      <c r="T432" s="15"/>
      <c r="U432" s="15">
        <f>SUM(U430:U431)</f>
        <v>0</v>
      </c>
      <c r="V432" s="15"/>
      <c r="W432" s="15">
        <f>SUM(W430:W431)</f>
        <v>0</v>
      </c>
      <c r="X432" s="15"/>
      <c r="Y432" s="15">
        <f>SUM(Y430:Y431)</f>
        <v>0</v>
      </c>
      <c r="Z432" s="15"/>
      <c r="AA432" s="15">
        <f>SUM(AA430:AA431)</f>
        <v>0</v>
      </c>
      <c r="AB432" s="15"/>
      <c r="AC432" s="15">
        <f>SUM(AC430:AC431)</f>
        <v>0</v>
      </c>
      <c r="AD432" s="15"/>
      <c r="AE432" s="15">
        <f>SUM(AE430:AE431)</f>
        <v>0</v>
      </c>
      <c r="AF432" s="15"/>
      <c r="AG432" s="15">
        <f>SUM(AG430:AG431)</f>
        <v>0</v>
      </c>
      <c r="AH432" s="15"/>
      <c r="AI432" s="15">
        <f>SUM(AI430:AI431)</f>
        <v>0</v>
      </c>
      <c r="AJ432" s="15"/>
      <c r="AK432" s="15">
        <f>SUM(AK430:AK431)</f>
        <v>0</v>
      </c>
      <c r="AL432" s="15"/>
      <c r="AM432" s="15">
        <f>SUM(AM430:AM431)</f>
        <v>0</v>
      </c>
      <c r="AN432" s="15"/>
      <c r="AO432" s="15">
        <f>SUM(AO430:AO431)</f>
        <v>0</v>
      </c>
      <c r="AP432" s="15"/>
      <c r="AQ432" s="15">
        <f>SUM(AQ430:AQ431)</f>
        <v>0</v>
      </c>
      <c r="AR432" s="15"/>
      <c r="AS432" s="15">
        <f>SUM(AS430:AS431)</f>
        <v>0</v>
      </c>
      <c r="AT432" s="15">
        <f>SUM(AT430:AT431)</f>
        <v>0</v>
      </c>
      <c r="AU432" s="15"/>
      <c r="AV432" s="15">
        <f>SUM(AV430:AV431)</f>
        <v>0</v>
      </c>
      <c r="AW432" s="15"/>
      <c r="AX432" s="15">
        <f>SUM(AX430:AX431)</f>
        <v>0</v>
      </c>
      <c r="AY432" s="15"/>
      <c r="AZ432" s="15">
        <f>SUM(AZ430:AZ431)</f>
        <v>0</v>
      </c>
      <c r="BA432" s="5"/>
      <c r="BB432" s="76">
        <f t="shared" si="120"/>
        <v>0</v>
      </c>
      <c r="BC432" s="37"/>
      <c r="BD432" s="76">
        <f t="shared" si="121"/>
        <v>0</v>
      </c>
      <c r="BE432" s="37"/>
      <c r="BF432" s="76">
        <f t="shared" si="122"/>
        <v>0</v>
      </c>
      <c r="BH432" s="76">
        <f t="shared" si="123"/>
        <v>0</v>
      </c>
      <c r="BJ432" s="76">
        <f t="shared" si="124"/>
        <v>0</v>
      </c>
      <c r="BL432" s="39">
        <f t="shared" si="118"/>
        <v>0</v>
      </c>
      <c r="BM432" s="3"/>
      <c r="BN432" s="3"/>
      <c r="BO432" s="3"/>
    </row>
    <row r="433" spans="1:67" x14ac:dyDescent="0.2">
      <c r="A433" s="14"/>
      <c r="B433" s="3" t="s">
        <v>397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>
        <f>SUM(C433:AY433)</f>
        <v>0</v>
      </c>
      <c r="BA433" s="5"/>
      <c r="BB433" s="76">
        <f t="shared" si="120"/>
        <v>0</v>
      </c>
      <c r="BC433" s="37"/>
      <c r="BD433" s="76">
        <f t="shared" si="121"/>
        <v>0</v>
      </c>
      <c r="BE433" s="37"/>
      <c r="BF433" s="76">
        <f t="shared" si="122"/>
        <v>0</v>
      </c>
      <c r="BH433" s="76">
        <f t="shared" si="123"/>
        <v>0</v>
      </c>
      <c r="BJ433" s="76">
        <f t="shared" si="124"/>
        <v>0</v>
      </c>
      <c r="BL433" s="39">
        <f t="shared" si="118"/>
        <v>0</v>
      </c>
      <c r="BM433" s="3"/>
      <c r="BN433" s="3"/>
      <c r="BO433" s="3"/>
    </row>
    <row r="434" spans="1:67" x14ac:dyDescent="0.2">
      <c r="A434" s="14"/>
      <c r="B434" s="3" t="s">
        <v>398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>
        <f>SUM(C434:AY434)</f>
        <v>0</v>
      </c>
      <c r="BA434" s="5"/>
      <c r="BB434" s="76">
        <f t="shared" si="120"/>
        <v>0</v>
      </c>
      <c r="BC434" s="37"/>
      <c r="BD434" s="76">
        <f t="shared" si="121"/>
        <v>0</v>
      </c>
      <c r="BE434" s="37"/>
      <c r="BF434" s="76">
        <f t="shared" si="122"/>
        <v>0</v>
      </c>
      <c r="BH434" s="76">
        <f t="shared" si="123"/>
        <v>0</v>
      </c>
      <c r="BJ434" s="76">
        <f t="shared" si="124"/>
        <v>0</v>
      </c>
      <c r="BL434" s="39">
        <f t="shared" si="118"/>
        <v>0</v>
      </c>
      <c r="BM434" s="3"/>
      <c r="BN434" s="3"/>
      <c r="BO434" s="3"/>
    </row>
    <row r="435" spans="1:67" outlineLevel="1" x14ac:dyDescent="0.2">
      <c r="A435" s="14"/>
      <c r="B435" s="3" t="s">
        <v>399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>
        <f>SUM(C435:AY435)</f>
        <v>0</v>
      </c>
      <c r="BA435" s="5"/>
      <c r="BB435" s="76">
        <f t="shared" si="120"/>
        <v>0</v>
      </c>
      <c r="BC435" s="37"/>
      <c r="BD435" s="76">
        <f t="shared" si="121"/>
        <v>0</v>
      </c>
      <c r="BE435" s="37"/>
      <c r="BF435" s="76">
        <f t="shared" si="122"/>
        <v>0</v>
      </c>
      <c r="BH435" s="76">
        <f t="shared" si="123"/>
        <v>0</v>
      </c>
      <c r="BJ435" s="76">
        <f t="shared" si="124"/>
        <v>0</v>
      </c>
      <c r="BL435" s="39">
        <f t="shared" si="118"/>
        <v>0</v>
      </c>
      <c r="BM435" s="3"/>
      <c r="BN435" s="3"/>
      <c r="BO435" s="3"/>
    </row>
    <row r="436" spans="1:67" outlineLevel="1" x14ac:dyDescent="0.2">
      <c r="A436" s="14"/>
      <c r="B436" s="31" t="s">
        <v>400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>
        <f>SUM(C436:AY436)</f>
        <v>0</v>
      </c>
      <c r="BA436" s="5"/>
      <c r="BB436" s="76">
        <f t="shared" si="120"/>
        <v>0</v>
      </c>
      <c r="BC436" s="37"/>
      <c r="BD436" s="76">
        <f t="shared" si="121"/>
        <v>0</v>
      </c>
      <c r="BE436" s="37"/>
      <c r="BF436" s="76">
        <f t="shared" si="122"/>
        <v>0</v>
      </c>
      <c r="BH436" s="76">
        <f t="shared" si="123"/>
        <v>0</v>
      </c>
      <c r="BJ436" s="76">
        <f t="shared" si="124"/>
        <v>0</v>
      </c>
      <c r="BL436" s="39">
        <f t="shared" si="118"/>
        <v>0</v>
      </c>
      <c r="BM436" s="3"/>
      <c r="BN436" s="3"/>
      <c r="BO436" s="3"/>
    </row>
    <row r="437" spans="1:67" x14ac:dyDescent="0.2">
      <c r="A437" s="14"/>
      <c r="B437" s="31" t="s">
        <v>401</v>
      </c>
      <c r="C437" s="15">
        <f>SUM(C435:C436)</f>
        <v>0</v>
      </c>
      <c r="D437" s="15"/>
      <c r="E437" s="15">
        <f>SUM(E435:E436)</f>
        <v>0</v>
      </c>
      <c r="F437" s="15"/>
      <c r="G437" s="15">
        <f>SUM(G435:G436)</f>
        <v>0</v>
      </c>
      <c r="H437" s="15"/>
      <c r="I437" s="15">
        <f>SUM(I435:I436)</f>
        <v>0</v>
      </c>
      <c r="J437" s="15"/>
      <c r="K437" s="15">
        <f>SUM(K435:K436)</f>
        <v>0</v>
      </c>
      <c r="L437" s="15"/>
      <c r="M437" s="15">
        <f>SUM(M435:M436)</f>
        <v>0</v>
      </c>
      <c r="N437" s="15"/>
      <c r="O437" s="15">
        <f>SUM(O435:O436)</f>
        <v>0</v>
      </c>
      <c r="P437" s="15"/>
      <c r="Q437" s="15">
        <f>SUM(Q435:Q436)</f>
        <v>0</v>
      </c>
      <c r="R437" s="15"/>
      <c r="S437" s="15">
        <f>SUM(S435:S436)</f>
        <v>0</v>
      </c>
      <c r="T437" s="15"/>
      <c r="U437" s="15">
        <f>SUM(U435:U436)</f>
        <v>0</v>
      </c>
      <c r="V437" s="15"/>
      <c r="W437" s="15">
        <f>SUM(W435:W436)</f>
        <v>0</v>
      </c>
      <c r="X437" s="15"/>
      <c r="Y437" s="15">
        <f>SUM(Y435:Y436)</f>
        <v>0</v>
      </c>
      <c r="Z437" s="15"/>
      <c r="AA437" s="15">
        <f>SUM(AA435:AA436)</f>
        <v>0</v>
      </c>
      <c r="AB437" s="15"/>
      <c r="AC437" s="15">
        <f>SUM(AC435:AC436)</f>
        <v>0</v>
      </c>
      <c r="AD437" s="15"/>
      <c r="AE437" s="15">
        <f>SUM(AE435:AE436)</f>
        <v>0</v>
      </c>
      <c r="AF437" s="15"/>
      <c r="AG437" s="15">
        <f>SUM(AG435:AG436)</f>
        <v>0</v>
      </c>
      <c r="AH437" s="15"/>
      <c r="AI437" s="15">
        <f>SUM(AI435:AI436)</f>
        <v>0</v>
      </c>
      <c r="AJ437" s="15"/>
      <c r="AK437" s="15">
        <f>SUM(AK435:AK436)</f>
        <v>0</v>
      </c>
      <c r="AL437" s="15"/>
      <c r="AM437" s="15">
        <f>SUM(AM435:AM436)</f>
        <v>0</v>
      </c>
      <c r="AN437" s="15"/>
      <c r="AO437" s="15">
        <f>SUM(AO435:AO436)</f>
        <v>0</v>
      </c>
      <c r="AP437" s="15"/>
      <c r="AQ437" s="15">
        <f>SUM(AQ435:AQ436)</f>
        <v>0</v>
      </c>
      <c r="AR437" s="15"/>
      <c r="AS437" s="15">
        <f>SUM(AS435:AS436)</f>
        <v>0</v>
      </c>
      <c r="AT437" s="15">
        <f>SUM(AT435:AT436)</f>
        <v>0</v>
      </c>
      <c r="AU437" s="15"/>
      <c r="AV437" s="15">
        <f>SUM(AV435:AV436)</f>
        <v>0</v>
      </c>
      <c r="AW437" s="15"/>
      <c r="AX437" s="15">
        <f>SUM(AX435:AX436)</f>
        <v>0</v>
      </c>
      <c r="AY437" s="15"/>
      <c r="AZ437" s="15">
        <f>SUM(AZ435:AZ436)</f>
        <v>0</v>
      </c>
      <c r="BA437" s="5"/>
      <c r="BB437" s="76">
        <f t="shared" si="120"/>
        <v>0</v>
      </c>
      <c r="BC437" s="37"/>
      <c r="BD437" s="76">
        <f t="shared" si="121"/>
        <v>0</v>
      </c>
      <c r="BE437" s="37"/>
      <c r="BF437" s="76">
        <f t="shared" si="122"/>
        <v>0</v>
      </c>
      <c r="BH437" s="76">
        <f t="shared" si="123"/>
        <v>0</v>
      </c>
      <c r="BJ437" s="76">
        <f t="shared" si="124"/>
        <v>0</v>
      </c>
      <c r="BL437" s="39">
        <f t="shared" si="118"/>
        <v>0</v>
      </c>
      <c r="BM437" s="3"/>
      <c r="BN437" s="3"/>
      <c r="BO437" s="3"/>
    </row>
    <row r="438" spans="1:67" x14ac:dyDescent="0.2">
      <c r="A438" s="14"/>
      <c r="B438" s="22" t="s">
        <v>402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>
        <f>SUM(C438:AY438)</f>
        <v>0</v>
      </c>
      <c r="BA438" s="5"/>
      <c r="BB438" s="76">
        <f t="shared" si="120"/>
        <v>0</v>
      </c>
      <c r="BC438" s="37"/>
      <c r="BD438" s="76">
        <f t="shared" si="121"/>
        <v>0</v>
      </c>
      <c r="BE438" s="37"/>
      <c r="BF438" s="76">
        <f t="shared" si="122"/>
        <v>0</v>
      </c>
      <c r="BH438" s="76">
        <f t="shared" si="123"/>
        <v>0</v>
      </c>
      <c r="BJ438" s="76">
        <f t="shared" si="124"/>
        <v>0</v>
      </c>
      <c r="BL438" s="39">
        <f t="shared" si="118"/>
        <v>0</v>
      </c>
      <c r="BM438" s="3"/>
      <c r="BN438" s="3"/>
      <c r="BO438" s="3"/>
    </row>
    <row r="439" spans="1:67" x14ac:dyDescent="0.2">
      <c r="A439" s="14"/>
      <c r="B439" s="10" t="s">
        <v>403</v>
      </c>
      <c r="C439" s="20">
        <f>C438+C437+C434+C433+C432</f>
        <v>0</v>
      </c>
      <c r="D439" s="15"/>
      <c r="E439" s="20">
        <f>E438+E437+E434+E433+E432</f>
        <v>0</v>
      </c>
      <c r="F439" s="15"/>
      <c r="G439" s="20">
        <f>G438+G437+G434+G433+G432</f>
        <v>0</v>
      </c>
      <c r="H439" s="15"/>
      <c r="I439" s="20">
        <f>I438+I437+I434+I433+I432</f>
        <v>0</v>
      </c>
      <c r="J439" s="15"/>
      <c r="K439" s="20">
        <f>K438+K437+K434+K433+K432</f>
        <v>0</v>
      </c>
      <c r="L439" s="15"/>
      <c r="M439" s="20">
        <f>M438+M437+M434+M433+M432</f>
        <v>0</v>
      </c>
      <c r="N439" s="15"/>
      <c r="O439" s="20">
        <f>O438+O437+O434+O433+O432</f>
        <v>0</v>
      </c>
      <c r="P439" s="15"/>
      <c r="Q439" s="20">
        <f>Q438+Q437+Q434+Q433+Q432</f>
        <v>0</v>
      </c>
      <c r="R439" s="15"/>
      <c r="S439" s="20">
        <f>S438+S437+S434+S433+S432</f>
        <v>0</v>
      </c>
      <c r="T439" s="20"/>
      <c r="U439" s="20">
        <f>U438+U437+U434+U433+U432</f>
        <v>0</v>
      </c>
      <c r="V439" s="20"/>
      <c r="W439" s="20">
        <f>W438+W437+W434+W433+W432</f>
        <v>0</v>
      </c>
      <c r="X439" s="15"/>
      <c r="Y439" s="20">
        <f>Y438+Y437+Y434+Y433+Y432</f>
        <v>0</v>
      </c>
      <c r="Z439" s="15"/>
      <c r="AA439" s="20">
        <f>AA438+AA437+AA434+AA433+AA432</f>
        <v>0</v>
      </c>
      <c r="AB439" s="15"/>
      <c r="AC439" s="20">
        <f>AC438+AC437+AC434+AC433+AC432</f>
        <v>0</v>
      </c>
      <c r="AD439" s="15"/>
      <c r="AE439" s="20">
        <f>AE438+AE437+AE434+AE433+AE432</f>
        <v>0</v>
      </c>
      <c r="AF439" s="15"/>
      <c r="AG439" s="20">
        <f>AG438+AG437+AG434+AG433+AG432</f>
        <v>0</v>
      </c>
      <c r="AH439" s="15"/>
      <c r="AI439" s="20">
        <f>AI438+AI437+AI434+AI433+AI432</f>
        <v>0</v>
      </c>
      <c r="AJ439" s="15"/>
      <c r="AK439" s="20">
        <f>AK438+AK437+AK434+AK433+AK432</f>
        <v>0</v>
      </c>
      <c r="AL439" s="20"/>
      <c r="AM439" s="20">
        <f>AM438+AM437+AM434+AM433+AM432</f>
        <v>0</v>
      </c>
      <c r="AN439" s="20"/>
      <c r="AO439" s="20">
        <f>AO438+AO437+AO434+AO433+AO432</f>
        <v>0</v>
      </c>
      <c r="AP439" s="20"/>
      <c r="AQ439" s="20">
        <f>AQ438+AQ437+AQ434+AQ433+AQ432</f>
        <v>0</v>
      </c>
      <c r="AR439" s="20"/>
      <c r="AS439" s="20">
        <f>AS438+AS437+AS434+AS433+AS432</f>
        <v>0</v>
      </c>
      <c r="AT439" s="20">
        <f>AT438+AT437+AT434+AT433+AT432</f>
        <v>0</v>
      </c>
      <c r="AU439" s="20"/>
      <c r="AV439" s="20">
        <f>AV438+AV437+AV434+AV433+AV432</f>
        <v>0</v>
      </c>
      <c r="AW439" s="20"/>
      <c r="AX439" s="20">
        <f>AX438+AX437+AX434+AX433+AX432</f>
        <v>0</v>
      </c>
      <c r="AY439" s="20"/>
      <c r="AZ439" s="20">
        <f>AZ438+AZ437+AZ434+AZ433+AZ432</f>
        <v>0</v>
      </c>
      <c r="BA439" s="5"/>
      <c r="BB439" s="114">
        <f>BB438+BB437+BB434+BB433+BB432</f>
        <v>0</v>
      </c>
      <c r="BC439" s="37"/>
      <c r="BD439" s="114">
        <f>BD438+BD437+BD434+BD433+BD432</f>
        <v>0</v>
      </c>
      <c r="BE439" s="37"/>
      <c r="BF439" s="114">
        <f>BF438+BF437+BF434+BF433+BF432</f>
        <v>0</v>
      </c>
      <c r="BH439" s="114">
        <f>BH438+BH437+BH434+BH433+BH432</f>
        <v>0</v>
      </c>
      <c r="BJ439" s="114">
        <f>BJ438+BJ437+BJ434+BJ433+BJ432</f>
        <v>0</v>
      </c>
      <c r="BL439" s="39">
        <f t="shared" si="118"/>
        <v>0</v>
      </c>
      <c r="BM439" s="3"/>
      <c r="BN439" s="3"/>
      <c r="BO439" s="3"/>
    </row>
    <row r="440" spans="1:67" x14ac:dyDescent="0.2">
      <c r="A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5"/>
      <c r="BB440" s="76"/>
      <c r="BC440" s="37"/>
      <c r="BD440" s="76"/>
      <c r="BE440" s="37"/>
      <c r="BL440" s="39">
        <f t="shared" si="118"/>
        <v>0</v>
      </c>
      <c r="BM440" s="3"/>
      <c r="BN440" s="3"/>
      <c r="BO440" s="3"/>
    </row>
    <row r="441" spans="1:67" x14ac:dyDescent="0.2">
      <c r="A441" s="14"/>
      <c r="B441" s="10" t="s">
        <v>29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5"/>
      <c r="BB441" s="76"/>
      <c r="BC441" s="37"/>
      <c r="BD441" s="76"/>
      <c r="BE441" s="37"/>
      <c r="BL441" s="39">
        <f t="shared" si="118"/>
        <v>0</v>
      </c>
      <c r="BM441" s="3"/>
      <c r="BN441" s="3"/>
      <c r="BO441" s="3"/>
    </row>
    <row r="442" spans="1:67" x14ac:dyDescent="0.2">
      <c r="A442" s="14"/>
      <c r="B442" s="3" t="s">
        <v>404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>
        <f>SUM(C442:AY442)</f>
        <v>0</v>
      </c>
      <c r="BA442" s="5"/>
      <c r="BB442" s="76">
        <f>SUMIF($C$10:$AY$10,"=Addition",$C442:$AY442)</f>
        <v>0</v>
      </c>
      <c r="BC442" s="37"/>
      <c r="BD442" s="76">
        <f>SUMIF($C$10:$AY$10,"=Adjustment",$C442:$AY442)</f>
        <v>0</v>
      </c>
      <c r="BE442" s="37"/>
      <c r="BF442" s="76">
        <f>SUMIF($C$10:$AY$10,"=Transfer",$C442:$AY442)</f>
        <v>0</v>
      </c>
      <c r="BH442" s="76">
        <f>SUMIF($C$10:$AY$10,"=N/A",$C442:$AY442)</f>
        <v>0</v>
      </c>
      <c r="BJ442" s="76">
        <f t="shared" ref="BJ442" si="125">SUM(BB442:BH442)</f>
        <v>0</v>
      </c>
      <c r="BL442" s="39">
        <f t="shared" si="118"/>
        <v>0</v>
      </c>
      <c r="BM442" s="3"/>
      <c r="BN442" s="3"/>
      <c r="BO442" s="3"/>
    </row>
    <row r="443" spans="1:67" x14ac:dyDescent="0.2">
      <c r="A443" s="14"/>
      <c r="B443" s="10" t="s">
        <v>405</v>
      </c>
      <c r="C443" s="20">
        <f>SUM(C442)</f>
        <v>0</v>
      </c>
      <c r="D443" s="15"/>
      <c r="E443" s="20">
        <f>SUM(E442)</f>
        <v>0</v>
      </c>
      <c r="F443" s="15"/>
      <c r="G443" s="20">
        <f>SUM(G442)</f>
        <v>0</v>
      </c>
      <c r="H443" s="15"/>
      <c r="I443" s="20">
        <f>SUM(I442)</f>
        <v>0</v>
      </c>
      <c r="J443" s="15"/>
      <c r="K443" s="20">
        <f>SUM(K442)</f>
        <v>0</v>
      </c>
      <c r="L443" s="15"/>
      <c r="M443" s="20">
        <f>SUM(M442)</f>
        <v>0</v>
      </c>
      <c r="N443" s="15"/>
      <c r="O443" s="20">
        <f>SUM(O442)</f>
        <v>0</v>
      </c>
      <c r="P443" s="15"/>
      <c r="Q443" s="20">
        <f>SUM(Q442)</f>
        <v>0</v>
      </c>
      <c r="R443" s="15"/>
      <c r="S443" s="20">
        <f>SUM(S442)</f>
        <v>0</v>
      </c>
      <c r="T443" s="20"/>
      <c r="U443" s="20">
        <f>SUM(U442)</f>
        <v>0</v>
      </c>
      <c r="V443" s="20"/>
      <c r="W443" s="20">
        <f>SUM(W442)</f>
        <v>0</v>
      </c>
      <c r="X443" s="15"/>
      <c r="Y443" s="20">
        <f>SUM(Y442)</f>
        <v>0</v>
      </c>
      <c r="Z443" s="15"/>
      <c r="AA443" s="20">
        <f>SUM(AA442)</f>
        <v>0</v>
      </c>
      <c r="AB443" s="15"/>
      <c r="AC443" s="20">
        <f>SUM(AC442)</f>
        <v>0</v>
      </c>
      <c r="AD443" s="15"/>
      <c r="AE443" s="20">
        <f>SUM(AE442)</f>
        <v>0</v>
      </c>
      <c r="AF443" s="15"/>
      <c r="AG443" s="20">
        <f>SUM(AG442)</f>
        <v>0</v>
      </c>
      <c r="AH443" s="15"/>
      <c r="AI443" s="20">
        <f>SUM(AI442)</f>
        <v>0</v>
      </c>
      <c r="AJ443" s="15"/>
      <c r="AK443" s="20">
        <f>SUM(AK442)</f>
        <v>0</v>
      </c>
      <c r="AL443" s="20"/>
      <c r="AM443" s="20">
        <f>SUM(AM442)</f>
        <v>0</v>
      </c>
      <c r="AN443" s="20"/>
      <c r="AO443" s="20">
        <f>SUM(AO442)</f>
        <v>0</v>
      </c>
      <c r="AP443" s="20"/>
      <c r="AQ443" s="20">
        <f>SUM(AQ442)</f>
        <v>0</v>
      </c>
      <c r="AR443" s="20"/>
      <c r="AS443" s="20">
        <f>SUM(AS442)</f>
        <v>0</v>
      </c>
      <c r="AT443" s="20">
        <f>SUM(AT442)</f>
        <v>0</v>
      </c>
      <c r="AU443" s="20"/>
      <c r="AV443" s="20">
        <f>SUM(AV442)</f>
        <v>0</v>
      </c>
      <c r="AW443" s="20"/>
      <c r="AX443" s="20">
        <f>SUM(AX442)</f>
        <v>0</v>
      </c>
      <c r="AY443" s="20"/>
      <c r="AZ443" s="20">
        <f>SUM(AZ442)</f>
        <v>0</v>
      </c>
      <c r="BA443" s="5"/>
      <c r="BB443" s="114">
        <f>SUM(BB442)</f>
        <v>0</v>
      </c>
      <c r="BC443" s="37"/>
      <c r="BD443" s="114">
        <f>SUM(BD442)</f>
        <v>0</v>
      </c>
      <c r="BE443" s="37"/>
      <c r="BF443" s="114">
        <f>SUM(BF442)</f>
        <v>0</v>
      </c>
      <c r="BH443" s="114">
        <f>SUM(BH442)</f>
        <v>0</v>
      </c>
      <c r="BJ443" s="114">
        <f>SUM(BJ442)</f>
        <v>0</v>
      </c>
      <c r="BL443" s="39">
        <f t="shared" si="118"/>
        <v>0</v>
      </c>
      <c r="BM443" s="3"/>
      <c r="BN443" s="3"/>
      <c r="BO443" s="3"/>
    </row>
    <row r="444" spans="1:67" x14ac:dyDescent="0.2">
      <c r="A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5"/>
      <c r="BB444" s="76"/>
      <c r="BC444" s="37"/>
      <c r="BD444" s="76"/>
      <c r="BE444" s="37"/>
      <c r="BL444" s="39">
        <f t="shared" si="118"/>
        <v>0</v>
      </c>
      <c r="BM444" s="3"/>
      <c r="BN444" s="3"/>
      <c r="BO444" s="3"/>
    </row>
    <row r="445" spans="1:67" x14ac:dyDescent="0.2">
      <c r="A445" s="14"/>
      <c r="B445" s="10" t="s">
        <v>30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5"/>
      <c r="BB445" s="76"/>
      <c r="BC445" s="37"/>
      <c r="BD445" s="76"/>
      <c r="BE445" s="37"/>
      <c r="BL445" s="39">
        <f t="shared" si="118"/>
        <v>0</v>
      </c>
      <c r="BM445" s="3"/>
      <c r="BN445" s="3"/>
      <c r="BO445" s="3"/>
    </row>
    <row r="446" spans="1:67" outlineLevel="1" x14ac:dyDescent="0.2">
      <c r="A446" s="14"/>
      <c r="B446" s="3" t="s">
        <v>406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>
        <f>SUM(C446:AY446)</f>
        <v>0</v>
      </c>
      <c r="BA446" s="5"/>
      <c r="BB446" s="76">
        <f t="shared" ref="BB446:BB467" si="126">SUMIF($C$10:$AY$10,"=Addition",$C446:$AY446)</f>
        <v>0</v>
      </c>
      <c r="BC446" s="37"/>
      <c r="BD446" s="76">
        <f t="shared" ref="BD446:BD467" si="127">SUMIF($C$10:$AY$10,"=Adjustment",$C446:$AY446)</f>
        <v>0</v>
      </c>
      <c r="BE446" s="37"/>
      <c r="BF446" s="76">
        <f t="shared" ref="BF446:BF467" si="128">SUMIF($C$10:$AY$10,"=Transfer",$C446:$AY446)</f>
        <v>0</v>
      </c>
      <c r="BH446" s="76">
        <f t="shared" ref="BH446:BH467" si="129">SUMIF($C$10:$AY$10,"=N/A",$C446:$AY446)</f>
        <v>0</v>
      </c>
      <c r="BJ446" s="76">
        <f t="shared" ref="BJ446:BJ467" si="130">SUM(BB446:BH446)</f>
        <v>0</v>
      </c>
      <c r="BL446" s="39">
        <f t="shared" si="118"/>
        <v>0</v>
      </c>
      <c r="BM446" s="3"/>
      <c r="BN446" s="3"/>
      <c r="BO446" s="3"/>
    </row>
    <row r="447" spans="1:67" outlineLevel="1" x14ac:dyDescent="0.2">
      <c r="A447" s="14"/>
      <c r="B447" s="3" t="s">
        <v>407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>
        <f>SUM(C447:AY447)</f>
        <v>0</v>
      </c>
      <c r="BA447" s="5"/>
      <c r="BB447" s="76">
        <f t="shared" si="126"/>
        <v>0</v>
      </c>
      <c r="BC447" s="37"/>
      <c r="BD447" s="76">
        <f t="shared" si="127"/>
        <v>0</v>
      </c>
      <c r="BE447" s="37"/>
      <c r="BF447" s="76">
        <f t="shared" si="128"/>
        <v>0</v>
      </c>
      <c r="BH447" s="76">
        <f t="shared" si="129"/>
        <v>0</v>
      </c>
      <c r="BJ447" s="76">
        <f t="shared" si="130"/>
        <v>0</v>
      </c>
      <c r="BL447" s="39">
        <f t="shared" si="118"/>
        <v>0</v>
      </c>
      <c r="BM447" s="3"/>
      <c r="BN447" s="3"/>
      <c r="BO447" s="3"/>
    </row>
    <row r="448" spans="1:67" x14ac:dyDescent="0.2">
      <c r="A448" s="14"/>
      <c r="B448" s="22" t="s">
        <v>408</v>
      </c>
      <c r="C448" s="15">
        <f>SUM(C446:C447)</f>
        <v>0</v>
      </c>
      <c r="D448" s="15"/>
      <c r="E448" s="15">
        <f>SUM(E446:E447)</f>
        <v>0</v>
      </c>
      <c r="F448" s="15"/>
      <c r="G448" s="15">
        <f>SUM(G446:G447)</f>
        <v>0</v>
      </c>
      <c r="H448" s="15"/>
      <c r="I448" s="15">
        <f>SUM(I446:I447)</f>
        <v>0</v>
      </c>
      <c r="J448" s="15"/>
      <c r="K448" s="15">
        <f>SUM(K446:K447)</f>
        <v>0</v>
      </c>
      <c r="L448" s="15"/>
      <c r="M448" s="15">
        <f>SUM(M446:M447)</f>
        <v>0</v>
      </c>
      <c r="N448" s="15"/>
      <c r="O448" s="15">
        <f>SUM(O446:O447)</f>
        <v>0</v>
      </c>
      <c r="P448" s="15"/>
      <c r="Q448" s="15">
        <f>SUM(Q446:Q447)</f>
        <v>0</v>
      </c>
      <c r="R448" s="15"/>
      <c r="S448" s="15">
        <f>SUM(S446:S447)</f>
        <v>0</v>
      </c>
      <c r="T448" s="15"/>
      <c r="U448" s="15">
        <f>SUM(U446:U447)</f>
        <v>0</v>
      </c>
      <c r="V448" s="15"/>
      <c r="W448" s="15">
        <f>SUM(W446:W447)</f>
        <v>0</v>
      </c>
      <c r="X448" s="15"/>
      <c r="Y448" s="15">
        <f>SUM(Y446:Y447)</f>
        <v>0</v>
      </c>
      <c r="Z448" s="15"/>
      <c r="AA448" s="15">
        <f>SUM(AA446:AA447)</f>
        <v>0</v>
      </c>
      <c r="AB448" s="15"/>
      <c r="AC448" s="15">
        <f>SUM(AC446:AC447)</f>
        <v>0</v>
      </c>
      <c r="AD448" s="15"/>
      <c r="AE448" s="15">
        <f>SUM(AE446:AE447)</f>
        <v>0</v>
      </c>
      <c r="AF448" s="15"/>
      <c r="AG448" s="15">
        <f>SUM(AG446:AG447)</f>
        <v>0</v>
      </c>
      <c r="AH448" s="15"/>
      <c r="AI448" s="15">
        <f>SUM(AI446:AI447)</f>
        <v>0</v>
      </c>
      <c r="AJ448" s="15"/>
      <c r="AK448" s="15">
        <f>SUM(AK446:AK447)</f>
        <v>0</v>
      </c>
      <c r="AL448" s="15"/>
      <c r="AM448" s="15">
        <f>SUM(AM446:AM447)</f>
        <v>0</v>
      </c>
      <c r="AN448" s="15"/>
      <c r="AO448" s="15">
        <f>SUM(AO446:AO447)</f>
        <v>0</v>
      </c>
      <c r="AP448" s="15"/>
      <c r="AQ448" s="15">
        <f>SUM(AQ446:AQ447)</f>
        <v>0</v>
      </c>
      <c r="AR448" s="15"/>
      <c r="AS448" s="15">
        <f>SUM(AS446:AS447)</f>
        <v>0</v>
      </c>
      <c r="AT448" s="15">
        <f>SUM(AT446:AT447)</f>
        <v>0</v>
      </c>
      <c r="AU448" s="15"/>
      <c r="AV448" s="15">
        <f>SUM(AV446:AV447)</f>
        <v>0</v>
      </c>
      <c r="AW448" s="15"/>
      <c r="AX448" s="15">
        <f>SUM(AX446:AX447)</f>
        <v>0</v>
      </c>
      <c r="AY448" s="15"/>
      <c r="AZ448" s="15">
        <f>SUM(AZ446:AZ447)</f>
        <v>0</v>
      </c>
      <c r="BA448" s="5"/>
      <c r="BB448" s="76">
        <f t="shared" si="126"/>
        <v>0</v>
      </c>
      <c r="BC448" s="37"/>
      <c r="BD448" s="76">
        <f t="shared" si="127"/>
        <v>0</v>
      </c>
      <c r="BE448" s="37"/>
      <c r="BF448" s="76">
        <f t="shared" si="128"/>
        <v>0</v>
      </c>
      <c r="BH448" s="76">
        <f t="shared" si="129"/>
        <v>0</v>
      </c>
      <c r="BJ448" s="76">
        <f t="shared" si="130"/>
        <v>0</v>
      </c>
      <c r="BL448" s="39">
        <f t="shared" si="118"/>
        <v>0</v>
      </c>
      <c r="BM448" s="3"/>
      <c r="BN448" s="3"/>
      <c r="BO448" s="3"/>
    </row>
    <row r="449" spans="1:67" outlineLevel="1" x14ac:dyDescent="0.2">
      <c r="A449" s="14"/>
      <c r="B449" s="3" t="s">
        <v>409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>
        <f>SUM(C449:AY449)</f>
        <v>0</v>
      </c>
      <c r="BA449" s="5"/>
      <c r="BB449" s="76">
        <f t="shared" si="126"/>
        <v>0</v>
      </c>
      <c r="BC449" s="37"/>
      <c r="BD449" s="76">
        <f t="shared" si="127"/>
        <v>0</v>
      </c>
      <c r="BE449" s="37"/>
      <c r="BF449" s="76">
        <f t="shared" si="128"/>
        <v>0</v>
      </c>
      <c r="BH449" s="76">
        <f t="shared" si="129"/>
        <v>0</v>
      </c>
      <c r="BJ449" s="76">
        <f t="shared" si="130"/>
        <v>0</v>
      </c>
      <c r="BL449" s="39">
        <f t="shared" si="118"/>
        <v>0</v>
      </c>
      <c r="BM449" s="3"/>
      <c r="BN449" s="3"/>
      <c r="BO449" s="3"/>
    </row>
    <row r="450" spans="1:67" outlineLevel="1" x14ac:dyDescent="0.2">
      <c r="A450" s="14"/>
      <c r="B450" s="3" t="s">
        <v>410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>
        <f>SUM(C450:AY450)</f>
        <v>0</v>
      </c>
      <c r="BA450" s="5"/>
      <c r="BB450" s="76">
        <f t="shared" si="126"/>
        <v>0</v>
      </c>
      <c r="BC450" s="37"/>
      <c r="BD450" s="76">
        <f t="shared" si="127"/>
        <v>0</v>
      </c>
      <c r="BE450" s="37"/>
      <c r="BF450" s="76">
        <f t="shared" si="128"/>
        <v>0</v>
      </c>
      <c r="BH450" s="76">
        <f t="shared" si="129"/>
        <v>0</v>
      </c>
      <c r="BJ450" s="76">
        <f t="shared" si="130"/>
        <v>0</v>
      </c>
      <c r="BL450" s="39">
        <f t="shared" si="118"/>
        <v>0</v>
      </c>
      <c r="BM450" s="3"/>
      <c r="BN450" s="3"/>
      <c r="BO450" s="3"/>
    </row>
    <row r="451" spans="1:67" outlineLevel="1" x14ac:dyDescent="0.2">
      <c r="A451" s="14"/>
      <c r="B451" s="3" t="s">
        <v>411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>
        <f>SUM(C451:AY451)</f>
        <v>0</v>
      </c>
      <c r="BA451" s="5"/>
      <c r="BB451" s="76">
        <f t="shared" si="126"/>
        <v>0</v>
      </c>
      <c r="BC451" s="37"/>
      <c r="BD451" s="76">
        <f t="shared" si="127"/>
        <v>0</v>
      </c>
      <c r="BE451" s="37"/>
      <c r="BF451" s="76">
        <f t="shared" si="128"/>
        <v>0</v>
      </c>
      <c r="BH451" s="76">
        <f t="shared" si="129"/>
        <v>0</v>
      </c>
      <c r="BJ451" s="76">
        <f t="shared" si="130"/>
        <v>0</v>
      </c>
      <c r="BL451" s="39">
        <f t="shared" si="118"/>
        <v>0</v>
      </c>
      <c r="BM451" s="3"/>
      <c r="BN451" s="3"/>
      <c r="BO451" s="3"/>
    </row>
    <row r="452" spans="1:67" x14ac:dyDescent="0.2">
      <c r="A452" s="14"/>
      <c r="B452" s="3" t="s">
        <v>412</v>
      </c>
      <c r="C452" s="15">
        <f>SUM(C449:C451)</f>
        <v>0</v>
      </c>
      <c r="D452" s="15"/>
      <c r="E452" s="15">
        <f>SUM(E449:E451)</f>
        <v>0</v>
      </c>
      <c r="F452" s="15"/>
      <c r="G452" s="15">
        <f>SUM(G449:G451)</f>
        <v>0</v>
      </c>
      <c r="H452" s="15"/>
      <c r="I452" s="15">
        <f>SUM(I449:I451)</f>
        <v>0</v>
      </c>
      <c r="J452" s="15"/>
      <c r="K452" s="15">
        <f>SUM(K449:K451)</f>
        <v>0</v>
      </c>
      <c r="L452" s="15"/>
      <c r="M452" s="15">
        <f>SUM(M449:M451)</f>
        <v>0</v>
      </c>
      <c r="N452" s="15"/>
      <c r="O452" s="15">
        <f>SUM(O449:O451)</f>
        <v>0</v>
      </c>
      <c r="P452" s="15"/>
      <c r="Q452" s="15">
        <f>SUM(Q449:Q451)</f>
        <v>0</v>
      </c>
      <c r="R452" s="15"/>
      <c r="S452" s="15">
        <f>SUM(S449:S451)</f>
        <v>0</v>
      </c>
      <c r="T452" s="15"/>
      <c r="U452" s="15">
        <f>SUM(U449:U451)</f>
        <v>0</v>
      </c>
      <c r="V452" s="15"/>
      <c r="W452" s="15">
        <f>SUM(W449:W451)</f>
        <v>0</v>
      </c>
      <c r="X452" s="15"/>
      <c r="Y452" s="15">
        <f>SUM(Y449:Y451)</f>
        <v>0</v>
      </c>
      <c r="Z452" s="15"/>
      <c r="AA452" s="15">
        <f>SUM(AA449:AA451)</f>
        <v>0</v>
      </c>
      <c r="AB452" s="15"/>
      <c r="AC452" s="15">
        <f>SUM(AC449:AC451)</f>
        <v>0</v>
      </c>
      <c r="AD452" s="15"/>
      <c r="AE452" s="15">
        <f>SUM(AE449:AE451)</f>
        <v>0</v>
      </c>
      <c r="AF452" s="15"/>
      <c r="AG452" s="15">
        <f>SUM(AG449:AG451)</f>
        <v>0</v>
      </c>
      <c r="AH452" s="15"/>
      <c r="AI452" s="15">
        <f>SUM(AI449:AI451)</f>
        <v>0</v>
      </c>
      <c r="AJ452" s="15"/>
      <c r="AK452" s="15">
        <f>SUM(AK449:AK451)</f>
        <v>0</v>
      </c>
      <c r="AL452" s="15"/>
      <c r="AM452" s="15">
        <f>SUM(AM449:AM451)</f>
        <v>0</v>
      </c>
      <c r="AN452" s="15"/>
      <c r="AO452" s="15">
        <f>SUM(AO449:AO451)</f>
        <v>0</v>
      </c>
      <c r="AP452" s="15"/>
      <c r="AQ452" s="15">
        <f>SUM(AQ449:AQ451)</f>
        <v>0</v>
      </c>
      <c r="AR452" s="15"/>
      <c r="AS452" s="15">
        <f>SUM(AS449:AS451)</f>
        <v>0</v>
      </c>
      <c r="AT452" s="15">
        <f>SUM(AT449:AT451)</f>
        <v>0</v>
      </c>
      <c r="AU452" s="15"/>
      <c r="AV452" s="15">
        <f>SUM(AV449:AV451)</f>
        <v>0</v>
      </c>
      <c r="AW452" s="15"/>
      <c r="AX452" s="15">
        <f>SUM(AX449:AX451)</f>
        <v>0</v>
      </c>
      <c r="AY452" s="15"/>
      <c r="AZ452" s="15">
        <f>SUM(AZ449:AZ451)</f>
        <v>0</v>
      </c>
      <c r="BA452" s="5"/>
      <c r="BB452" s="76">
        <f t="shared" si="126"/>
        <v>0</v>
      </c>
      <c r="BC452" s="37"/>
      <c r="BD452" s="76">
        <f t="shared" si="127"/>
        <v>0</v>
      </c>
      <c r="BE452" s="37"/>
      <c r="BF452" s="76">
        <f t="shared" si="128"/>
        <v>0</v>
      </c>
      <c r="BH452" s="76">
        <f t="shared" si="129"/>
        <v>0</v>
      </c>
      <c r="BJ452" s="76">
        <f t="shared" si="130"/>
        <v>0</v>
      </c>
      <c r="BL452" s="39">
        <f t="shared" si="118"/>
        <v>0</v>
      </c>
      <c r="BM452" s="3"/>
      <c r="BN452" s="3"/>
      <c r="BO452" s="3"/>
    </row>
    <row r="453" spans="1:67" outlineLevel="1" x14ac:dyDescent="0.2">
      <c r="A453" s="14"/>
      <c r="B453" s="3" t="s">
        <v>413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>
        <f>SUM(C453:AY453)</f>
        <v>0</v>
      </c>
      <c r="BA453" s="5"/>
      <c r="BB453" s="76">
        <f t="shared" si="126"/>
        <v>0</v>
      </c>
      <c r="BC453" s="37"/>
      <c r="BD453" s="76">
        <f t="shared" si="127"/>
        <v>0</v>
      </c>
      <c r="BE453" s="37"/>
      <c r="BF453" s="76">
        <f t="shared" si="128"/>
        <v>0</v>
      </c>
      <c r="BH453" s="76">
        <f t="shared" si="129"/>
        <v>0</v>
      </c>
      <c r="BJ453" s="76">
        <f t="shared" si="130"/>
        <v>0</v>
      </c>
      <c r="BL453" s="39">
        <f t="shared" si="118"/>
        <v>0</v>
      </c>
      <c r="BM453" s="3"/>
      <c r="BN453" s="3"/>
      <c r="BO453" s="3"/>
    </row>
    <row r="454" spans="1:67" outlineLevel="1" x14ac:dyDescent="0.2">
      <c r="A454" s="14"/>
      <c r="B454" s="3" t="s">
        <v>414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>
        <f>SUM(C454:AY454)</f>
        <v>0</v>
      </c>
      <c r="BA454" s="5"/>
      <c r="BB454" s="76">
        <f t="shared" si="126"/>
        <v>0</v>
      </c>
      <c r="BC454" s="37"/>
      <c r="BD454" s="76">
        <f t="shared" si="127"/>
        <v>0</v>
      </c>
      <c r="BE454" s="37"/>
      <c r="BF454" s="76">
        <f t="shared" si="128"/>
        <v>0</v>
      </c>
      <c r="BH454" s="76">
        <f t="shared" si="129"/>
        <v>0</v>
      </c>
      <c r="BJ454" s="76">
        <f t="shared" si="130"/>
        <v>0</v>
      </c>
      <c r="BL454" s="39">
        <f t="shared" si="118"/>
        <v>0</v>
      </c>
      <c r="BM454" s="3"/>
      <c r="BN454" s="3"/>
      <c r="BO454" s="3"/>
    </row>
    <row r="455" spans="1:67" s="31" customFormat="1" outlineLevel="1" x14ac:dyDescent="0.2">
      <c r="A455" s="112"/>
      <c r="B455" s="3" t="s">
        <v>415</v>
      </c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5">
        <f>SUM(C455:AY455)</f>
        <v>0</v>
      </c>
      <c r="BA455" s="116"/>
      <c r="BB455" s="76">
        <f t="shared" si="126"/>
        <v>0</v>
      </c>
      <c r="BC455" s="37"/>
      <c r="BD455" s="76">
        <f t="shared" si="127"/>
        <v>0</v>
      </c>
      <c r="BE455" s="37"/>
      <c r="BF455" s="76">
        <f t="shared" si="128"/>
        <v>0</v>
      </c>
      <c r="BG455" s="37"/>
      <c r="BH455" s="76">
        <f t="shared" si="129"/>
        <v>0</v>
      </c>
      <c r="BI455" s="37"/>
      <c r="BJ455" s="76">
        <f t="shared" si="130"/>
        <v>0</v>
      </c>
      <c r="BK455" s="37"/>
      <c r="BL455" s="39">
        <f t="shared" si="118"/>
        <v>0</v>
      </c>
    </row>
    <row r="456" spans="1:67" s="31" customFormat="1" x14ac:dyDescent="0.2">
      <c r="A456" s="112"/>
      <c r="B456" s="3" t="s">
        <v>416</v>
      </c>
      <c r="C456" s="17">
        <f>SUM(C453:C455)</f>
        <v>0</v>
      </c>
      <c r="D456" s="17"/>
      <c r="E456" s="17">
        <f>SUM(E453:E455)</f>
        <v>0</v>
      </c>
      <c r="F456" s="17"/>
      <c r="G456" s="17">
        <f>SUM(G453:G455)</f>
        <v>0</v>
      </c>
      <c r="H456" s="17"/>
      <c r="I456" s="17">
        <f>SUM(I453:I455)</f>
        <v>0</v>
      </c>
      <c r="J456" s="17"/>
      <c r="K456" s="17">
        <f>SUM(K453:K455)</f>
        <v>0</v>
      </c>
      <c r="L456" s="17"/>
      <c r="M456" s="17">
        <f>SUM(M453:M455)</f>
        <v>0</v>
      </c>
      <c r="N456" s="17"/>
      <c r="O456" s="17">
        <f>SUM(O453:O455)</f>
        <v>0</v>
      </c>
      <c r="P456" s="17"/>
      <c r="Q456" s="17">
        <f>SUM(Q453:Q455)</f>
        <v>0</v>
      </c>
      <c r="R456" s="17"/>
      <c r="S456" s="17">
        <f>SUM(S453:S455)</f>
        <v>0</v>
      </c>
      <c r="T456" s="17"/>
      <c r="U456" s="17">
        <f>SUM(U453:U455)</f>
        <v>0</v>
      </c>
      <c r="V456" s="17"/>
      <c r="W456" s="17">
        <f>SUM(W453:W455)</f>
        <v>0</v>
      </c>
      <c r="X456" s="17"/>
      <c r="Y456" s="17">
        <f>SUM(Y453:Y455)</f>
        <v>0</v>
      </c>
      <c r="Z456" s="17"/>
      <c r="AA456" s="17">
        <f>SUM(AA453:AA455)</f>
        <v>0</v>
      </c>
      <c r="AB456" s="17"/>
      <c r="AC456" s="17">
        <f>SUM(AC453:AC455)</f>
        <v>0</v>
      </c>
      <c r="AD456" s="17"/>
      <c r="AE456" s="17">
        <f>SUM(AE453:AE455)</f>
        <v>0</v>
      </c>
      <c r="AF456" s="17"/>
      <c r="AG456" s="17">
        <f>SUM(AG453:AG455)</f>
        <v>0</v>
      </c>
      <c r="AH456" s="17"/>
      <c r="AI456" s="17">
        <f>SUM(AI453:AI455)</f>
        <v>0</v>
      </c>
      <c r="AJ456" s="17"/>
      <c r="AK456" s="17">
        <f>SUM(AK453:AK455)</f>
        <v>0</v>
      </c>
      <c r="AL456" s="17"/>
      <c r="AM456" s="17">
        <f>SUM(AM453:AM455)</f>
        <v>0</v>
      </c>
      <c r="AN456" s="17"/>
      <c r="AO456" s="17">
        <f>SUM(AO453:AO455)</f>
        <v>0</v>
      </c>
      <c r="AP456" s="17"/>
      <c r="AQ456" s="17">
        <f>SUM(AQ453:AQ455)</f>
        <v>0</v>
      </c>
      <c r="AR456" s="17"/>
      <c r="AS456" s="17">
        <f>SUM(AS453:AS455)</f>
        <v>0</v>
      </c>
      <c r="AT456" s="17">
        <f>SUM(AT453:AT455)</f>
        <v>0</v>
      </c>
      <c r="AU456" s="17"/>
      <c r="AV456" s="17">
        <f>SUM(AV453:AV455)</f>
        <v>0</v>
      </c>
      <c r="AW456" s="17"/>
      <c r="AX456" s="17">
        <f>SUM(AX453:AX455)</f>
        <v>0</v>
      </c>
      <c r="AY456" s="17"/>
      <c r="AZ456" s="15">
        <f>SUM(AZ453:AZ455)</f>
        <v>0</v>
      </c>
      <c r="BA456" s="116"/>
      <c r="BB456" s="76">
        <f t="shared" si="126"/>
        <v>0</v>
      </c>
      <c r="BC456" s="37"/>
      <c r="BD456" s="76">
        <f t="shared" si="127"/>
        <v>0</v>
      </c>
      <c r="BE456" s="37"/>
      <c r="BF456" s="76">
        <f t="shared" si="128"/>
        <v>0</v>
      </c>
      <c r="BG456" s="37"/>
      <c r="BH456" s="76">
        <f t="shared" si="129"/>
        <v>0</v>
      </c>
      <c r="BI456" s="37"/>
      <c r="BJ456" s="76">
        <f t="shared" si="130"/>
        <v>0</v>
      </c>
      <c r="BK456" s="37"/>
      <c r="BL456" s="39">
        <f t="shared" si="118"/>
        <v>0</v>
      </c>
    </row>
    <row r="457" spans="1:67" s="31" customFormat="1" x14ac:dyDescent="0.2">
      <c r="A457" s="112"/>
      <c r="B457" s="3" t="s">
        <v>417</v>
      </c>
      <c r="F457" s="17"/>
      <c r="H457" s="17"/>
      <c r="J457" s="17"/>
      <c r="L457" s="17"/>
      <c r="N457" s="17"/>
      <c r="P457" s="17"/>
      <c r="R457" s="17"/>
      <c r="X457" s="17"/>
      <c r="Z457" s="17"/>
      <c r="AB457" s="17"/>
      <c r="AD457" s="17"/>
      <c r="AF457" s="17"/>
      <c r="AH457" s="17"/>
      <c r="AJ457" s="17"/>
      <c r="AZ457" s="15">
        <f t="shared" ref="AZ457:AZ466" si="131">SUM(C457:AY457)</f>
        <v>0</v>
      </c>
      <c r="BA457" s="17"/>
      <c r="BB457" s="76">
        <f t="shared" si="126"/>
        <v>0</v>
      </c>
      <c r="BC457" s="37"/>
      <c r="BD457" s="76">
        <f t="shared" si="127"/>
        <v>0</v>
      </c>
      <c r="BE457" s="37"/>
      <c r="BF457" s="76">
        <f t="shared" si="128"/>
        <v>0</v>
      </c>
      <c r="BG457" s="37"/>
      <c r="BH457" s="76">
        <f t="shared" si="129"/>
        <v>0</v>
      </c>
      <c r="BI457" s="37"/>
      <c r="BJ457" s="76">
        <f t="shared" si="130"/>
        <v>0</v>
      </c>
      <c r="BK457" s="37"/>
      <c r="BL457" s="39">
        <f t="shared" si="118"/>
        <v>0</v>
      </c>
    </row>
    <row r="458" spans="1:67" s="31" customFormat="1" x14ac:dyDescent="0.2">
      <c r="A458" s="112"/>
      <c r="B458" s="3" t="s">
        <v>418</v>
      </c>
      <c r="F458" s="17"/>
      <c r="H458" s="17"/>
      <c r="J458" s="17"/>
      <c r="L458" s="17"/>
      <c r="N458" s="17"/>
      <c r="P458" s="17"/>
      <c r="R458" s="17"/>
      <c r="X458" s="17"/>
      <c r="Z458" s="17"/>
      <c r="AB458" s="17"/>
      <c r="AD458" s="17"/>
      <c r="AF458" s="17"/>
      <c r="AH458" s="17"/>
      <c r="AJ458" s="17"/>
      <c r="AZ458" s="15">
        <f t="shared" si="131"/>
        <v>0</v>
      </c>
      <c r="BA458" s="17"/>
      <c r="BB458" s="76">
        <f t="shared" si="126"/>
        <v>0</v>
      </c>
      <c r="BC458" s="37"/>
      <c r="BD458" s="76">
        <f t="shared" si="127"/>
        <v>0</v>
      </c>
      <c r="BE458" s="37"/>
      <c r="BF458" s="76">
        <f t="shared" si="128"/>
        <v>0</v>
      </c>
      <c r="BG458" s="37"/>
      <c r="BH458" s="76">
        <f t="shared" si="129"/>
        <v>0</v>
      </c>
      <c r="BI458" s="37"/>
      <c r="BJ458" s="76">
        <f t="shared" si="130"/>
        <v>0</v>
      </c>
      <c r="BK458" s="37"/>
      <c r="BL458" s="39">
        <f t="shared" si="118"/>
        <v>0</v>
      </c>
    </row>
    <row r="459" spans="1:67" s="31" customFormat="1" x14ac:dyDescent="0.2">
      <c r="A459" s="112"/>
      <c r="B459" s="3" t="s">
        <v>419</v>
      </c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5">
        <f t="shared" si="131"/>
        <v>0</v>
      </c>
      <c r="BA459" s="116"/>
      <c r="BB459" s="76">
        <f t="shared" si="126"/>
        <v>0</v>
      </c>
      <c r="BC459" s="37"/>
      <c r="BD459" s="76">
        <f t="shared" si="127"/>
        <v>0</v>
      </c>
      <c r="BE459" s="37"/>
      <c r="BF459" s="76">
        <f t="shared" si="128"/>
        <v>0</v>
      </c>
      <c r="BG459" s="37"/>
      <c r="BH459" s="76">
        <f t="shared" si="129"/>
        <v>0</v>
      </c>
      <c r="BI459" s="37"/>
      <c r="BJ459" s="76">
        <f t="shared" si="130"/>
        <v>0</v>
      </c>
      <c r="BK459" s="37"/>
      <c r="BL459" s="39">
        <f t="shared" si="118"/>
        <v>0</v>
      </c>
    </row>
    <row r="460" spans="1:67" s="31" customFormat="1" x14ac:dyDescent="0.2">
      <c r="A460" s="112"/>
      <c r="B460" s="3" t="s">
        <v>420</v>
      </c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5">
        <f t="shared" si="131"/>
        <v>0</v>
      </c>
      <c r="BA460" s="116"/>
      <c r="BB460" s="76">
        <f t="shared" si="126"/>
        <v>0</v>
      </c>
      <c r="BC460" s="37"/>
      <c r="BD460" s="76">
        <f t="shared" si="127"/>
        <v>0</v>
      </c>
      <c r="BE460" s="37"/>
      <c r="BF460" s="76">
        <f t="shared" si="128"/>
        <v>0</v>
      </c>
      <c r="BG460" s="37"/>
      <c r="BH460" s="76">
        <f t="shared" si="129"/>
        <v>0</v>
      </c>
      <c r="BI460" s="37"/>
      <c r="BJ460" s="76">
        <f t="shared" si="130"/>
        <v>0</v>
      </c>
      <c r="BK460" s="37"/>
      <c r="BL460" s="39">
        <f t="shared" si="118"/>
        <v>0</v>
      </c>
    </row>
    <row r="461" spans="1:67" s="31" customFormat="1" x14ac:dyDescent="0.2">
      <c r="A461" s="112"/>
      <c r="B461" s="3" t="s">
        <v>421</v>
      </c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5">
        <f t="shared" si="131"/>
        <v>0</v>
      </c>
      <c r="BA461" s="116"/>
      <c r="BB461" s="76">
        <f t="shared" si="126"/>
        <v>0</v>
      </c>
      <c r="BC461" s="37"/>
      <c r="BD461" s="76">
        <f t="shared" si="127"/>
        <v>0</v>
      </c>
      <c r="BE461" s="37"/>
      <c r="BF461" s="76">
        <f t="shared" si="128"/>
        <v>0</v>
      </c>
      <c r="BG461" s="37"/>
      <c r="BH461" s="76">
        <f t="shared" si="129"/>
        <v>0</v>
      </c>
      <c r="BI461" s="37"/>
      <c r="BJ461" s="76">
        <f t="shared" si="130"/>
        <v>0</v>
      </c>
      <c r="BK461" s="37"/>
      <c r="BL461" s="39">
        <f t="shared" si="118"/>
        <v>0</v>
      </c>
    </row>
    <row r="462" spans="1:67" s="31" customFormat="1" x14ac:dyDescent="0.2">
      <c r="A462" s="112"/>
      <c r="B462" s="3" t="s">
        <v>422</v>
      </c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5">
        <f t="shared" si="131"/>
        <v>0</v>
      </c>
      <c r="BA462" s="116"/>
      <c r="BB462" s="76">
        <f t="shared" si="126"/>
        <v>0</v>
      </c>
      <c r="BC462" s="37"/>
      <c r="BD462" s="76">
        <f t="shared" si="127"/>
        <v>0</v>
      </c>
      <c r="BE462" s="37"/>
      <c r="BF462" s="76">
        <f t="shared" si="128"/>
        <v>0</v>
      </c>
      <c r="BG462" s="37"/>
      <c r="BH462" s="76">
        <f t="shared" si="129"/>
        <v>0</v>
      </c>
      <c r="BI462" s="37"/>
      <c r="BJ462" s="76">
        <f t="shared" si="130"/>
        <v>0</v>
      </c>
      <c r="BK462" s="37"/>
      <c r="BL462" s="39">
        <f t="shared" si="118"/>
        <v>0</v>
      </c>
    </row>
    <row r="463" spans="1:67" s="31" customFormat="1" x14ac:dyDescent="0.2">
      <c r="A463" s="112"/>
      <c r="B463" s="3" t="s">
        <v>423</v>
      </c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5">
        <f t="shared" si="131"/>
        <v>0</v>
      </c>
      <c r="BA463" s="116"/>
      <c r="BB463" s="76">
        <f t="shared" si="126"/>
        <v>0</v>
      </c>
      <c r="BC463" s="37"/>
      <c r="BD463" s="76">
        <f t="shared" si="127"/>
        <v>0</v>
      </c>
      <c r="BE463" s="37"/>
      <c r="BF463" s="76">
        <f t="shared" si="128"/>
        <v>0</v>
      </c>
      <c r="BG463" s="37"/>
      <c r="BH463" s="76">
        <f t="shared" si="129"/>
        <v>0</v>
      </c>
      <c r="BI463" s="37"/>
      <c r="BJ463" s="76">
        <f t="shared" si="130"/>
        <v>0</v>
      </c>
      <c r="BK463" s="37"/>
      <c r="BL463" s="39">
        <f t="shared" si="118"/>
        <v>0</v>
      </c>
    </row>
    <row r="464" spans="1:67" s="31" customFormat="1" x14ac:dyDescent="0.2">
      <c r="A464" s="112"/>
      <c r="B464" s="3" t="s">
        <v>424</v>
      </c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5">
        <f t="shared" si="131"/>
        <v>0</v>
      </c>
      <c r="BA464" s="116"/>
      <c r="BB464" s="76">
        <f t="shared" si="126"/>
        <v>0</v>
      </c>
      <c r="BC464" s="37"/>
      <c r="BD464" s="76">
        <f t="shared" si="127"/>
        <v>0</v>
      </c>
      <c r="BE464" s="37"/>
      <c r="BF464" s="76">
        <f t="shared" si="128"/>
        <v>0</v>
      </c>
      <c r="BG464" s="37"/>
      <c r="BH464" s="76">
        <f t="shared" si="129"/>
        <v>0</v>
      </c>
      <c r="BI464" s="37"/>
      <c r="BJ464" s="76">
        <f t="shared" si="130"/>
        <v>0</v>
      </c>
      <c r="BK464" s="37"/>
      <c r="BL464" s="39">
        <f t="shared" si="118"/>
        <v>0</v>
      </c>
    </row>
    <row r="465" spans="1:67" s="31" customFormat="1" outlineLevel="1" x14ac:dyDescent="0.2">
      <c r="A465" s="112"/>
      <c r="B465" s="3" t="s">
        <v>425</v>
      </c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5">
        <f t="shared" si="131"/>
        <v>0</v>
      </c>
      <c r="BA465" s="116"/>
      <c r="BB465" s="76">
        <f t="shared" si="126"/>
        <v>0</v>
      </c>
      <c r="BC465" s="37"/>
      <c r="BD465" s="76">
        <f t="shared" si="127"/>
        <v>0</v>
      </c>
      <c r="BE465" s="37"/>
      <c r="BF465" s="76">
        <f t="shared" si="128"/>
        <v>0</v>
      </c>
      <c r="BG465" s="37"/>
      <c r="BH465" s="76">
        <f t="shared" si="129"/>
        <v>0</v>
      </c>
      <c r="BI465" s="37"/>
      <c r="BJ465" s="76">
        <f t="shared" si="130"/>
        <v>0</v>
      </c>
      <c r="BK465" s="37"/>
      <c r="BL465" s="39">
        <f t="shared" si="118"/>
        <v>0</v>
      </c>
    </row>
    <row r="466" spans="1:67" s="31" customFormat="1" outlineLevel="1" x14ac:dyDescent="0.2">
      <c r="A466" s="112"/>
      <c r="B466" s="31" t="s">
        <v>426</v>
      </c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5">
        <f t="shared" si="131"/>
        <v>0</v>
      </c>
      <c r="BA466" s="116"/>
      <c r="BB466" s="76">
        <f t="shared" si="126"/>
        <v>0</v>
      </c>
      <c r="BC466" s="37"/>
      <c r="BD466" s="76">
        <f t="shared" si="127"/>
        <v>0</v>
      </c>
      <c r="BE466" s="37"/>
      <c r="BF466" s="76">
        <f t="shared" si="128"/>
        <v>0</v>
      </c>
      <c r="BG466" s="37"/>
      <c r="BH466" s="76">
        <f t="shared" si="129"/>
        <v>0</v>
      </c>
      <c r="BI466" s="37"/>
      <c r="BJ466" s="76">
        <f t="shared" si="130"/>
        <v>0</v>
      </c>
      <c r="BK466" s="37"/>
      <c r="BL466" s="39">
        <f t="shared" si="118"/>
        <v>0</v>
      </c>
    </row>
    <row r="467" spans="1:67" s="31" customFormat="1" x14ac:dyDescent="0.2">
      <c r="A467" s="112"/>
      <c r="B467" s="31" t="s">
        <v>427</v>
      </c>
      <c r="C467" s="38">
        <f>SUM(C465:C466)</f>
        <v>0</v>
      </c>
      <c r="E467" s="38">
        <f>SUM(E465:E466)</f>
        <v>0</v>
      </c>
      <c r="F467" s="17"/>
      <c r="G467" s="38">
        <f>SUM(G465:G466)</f>
        <v>0</v>
      </c>
      <c r="H467" s="17"/>
      <c r="I467" s="38">
        <f>SUM(I465:I466)</f>
        <v>0</v>
      </c>
      <c r="J467" s="17"/>
      <c r="K467" s="38">
        <f>SUM(K465:K466)</f>
        <v>0</v>
      </c>
      <c r="L467" s="17"/>
      <c r="M467" s="38">
        <f>SUM(M465:M466)</f>
        <v>0</v>
      </c>
      <c r="N467" s="17"/>
      <c r="O467" s="38">
        <f>SUM(O465:O466)</f>
        <v>0</v>
      </c>
      <c r="P467" s="17"/>
      <c r="Q467" s="38">
        <f>SUM(Q465:Q466)</f>
        <v>0</v>
      </c>
      <c r="R467" s="17"/>
      <c r="S467" s="38">
        <f>SUM(S465:S466)</f>
        <v>0</v>
      </c>
      <c r="T467" s="38"/>
      <c r="U467" s="38">
        <f>SUM(U465:U466)</f>
        <v>0</v>
      </c>
      <c r="V467" s="38"/>
      <c r="W467" s="38">
        <f>SUM(W465:W466)</f>
        <v>0</v>
      </c>
      <c r="X467" s="17"/>
      <c r="Y467" s="38">
        <f>SUM(Y465:Y466)</f>
        <v>0</v>
      </c>
      <c r="Z467" s="17"/>
      <c r="AA467" s="38">
        <f>SUM(AA465:AA466)</f>
        <v>0</v>
      </c>
      <c r="AB467" s="17"/>
      <c r="AC467" s="38">
        <f>SUM(AC465:AC466)</f>
        <v>0</v>
      </c>
      <c r="AD467" s="17"/>
      <c r="AE467" s="38">
        <f>SUM(AE465:AE466)</f>
        <v>0</v>
      </c>
      <c r="AF467" s="17"/>
      <c r="AG467" s="38">
        <f>SUM(AG465:AG466)</f>
        <v>0</v>
      </c>
      <c r="AH467" s="17"/>
      <c r="AI467" s="38">
        <f>SUM(AI465:AI466)</f>
        <v>0</v>
      </c>
      <c r="AJ467" s="17"/>
      <c r="AK467" s="38">
        <f>SUM(AK465:AK466)</f>
        <v>0</v>
      </c>
      <c r="AL467" s="38"/>
      <c r="AM467" s="38">
        <f>SUM(AM465:AM466)</f>
        <v>0</v>
      </c>
      <c r="AN467" s="38"/>
      <c r="AO467" s="38">
        <f>SUM(AO465:AO466)</f>
        <v>0</v>
      </c>
      <c r="AP467" s="38"/>
      <c r="AQ467" s="38">
        <f>SUM(AQ465:AQ466)</f>
        <v>0</v>
      </c>
      <c r="AR467" s="38"/>
      <c r="AS467" s="38">
        <f>SUM(AS465:AS466)</f>
        <v>0</v>
      </c>
      <c r="AT467" s="38">
        <f>SUM(AT465:AT466)</f>
        <v>0</v>
      </c>
      <c r="AU467" s="38"/>
      <c r="AV467" s="38">
        <f>SUM(AV465:AV466)</f>
        <v>0</v>
      </c>
      <c r="AW467" s="38"/>
      <c r="AX467" s="38">
        <f>SUM(AX465:AX466)</f>
        <v>0</v>
      </c>
      <c r="AY467" s="38"/>
      <c r="AZ467" s="15">
        <f>SUM(AZ465:AZ466)</f>
        <v>0</v>
      </c>
      <c r="BA467" s="17"/>
      <c r="BB467" s="76">
        <f t="shared" si="126"/>
        <v>0</v>
      </c>
      <c r="BC467" s="37"/>
      <c r="BD467" s="76">
        <f t="shared" si="127"/>
        <v>0</v>
      </c>
      <c r="BE467" s="37"/>
      <c r="BF467" s="76">
        <f t="shared" si="128"/>
        <v>0</v>
      </c>
      <c r="BG467" s="37"/>
      <c r="BH467" s="76">
        <f t="shared" si="129"/>
        <v>0</v>
      </c>
      <c r="BI467" s="37"/>
      <c r="BJ467" s="76">
        <f t="shared" si="130"/>
        <v>0</v>
      </c>
      <c r="BK467" s="37"/>
      <c r="BL467" s="39">
        <f t="shared" si="118"/>
        <v>0</v>
      </c>
    </row>
    <row r="468" spans="1:67" s="31" customFormat="1" x14ac:dyDescent="0.2">
      <c r="A468" s="112"/>
      <c r="B468" s="115" t="s">
        <v>428</v>
      </c>
      <c r="C468" s="117">
        <f>C467+SUM(C456:C464)+C452+C448:C448</f>
        <v>0</v>
      </c>
      <c r="E468" s="117">
        <f>E467+SUM(E456:E464)+E452+E448:E448</f>
        <v>0</v>
      </c>
      <c r="F468" s="17"/>
      <c r="G468" s="117">
        <f>G467+SUM(G456:G464)+G452+G448:G448</f>
        <v>0</v>
      </c>
      <c r="H468" s="17"/>
      <c r="I468" s="117">
        <f>I467+SUM(I456:I464)+I452+I448:I448</f>
        <v>0</v>
      </c>
      <c r="J468" s="17"/>
      <c r="K468" s="117">
        <f>K467+SUM(K456:K464)+K452+K448:K448</f>
        <v>0</v>
      </c>
      <c r="L468" s="17"/>
      <c r="M468" s="117">
        <f>M467+SUM(M456:M464)+M452+M448:M448</f>
        <v>0</v>
      </c>
      <c r="N468" s="17"/>
      <c r="O468" s="117">
        <f>O467+SUM(O456:O464)+O452+O448:O448</f>
        <v>0</v>
      </c>
      <c r="P468" s="17"/>
      <c r="Q468" s="117">
        <f>Q467+SUM(Q456:Q464)+Q452+Q448:Q448</f>
        <v>0</v>
      </c>
      <c r="R468" s="17"/>
      <c r="S468" s="117">
        <f>S467+SUM(S456:S464)+S452+S448:S448</f>
        <v>0</v>
      </c>
      <c r="T468" s="117"/>
      <c r="U468" s="117">
        <f>U467+SUM(U456:U464)+U452+U448:U448</f>
        <v>0</v>
      </c>
      <c r="V468" s="117"/>
      <c r="W468" s="117">
        <f>W467+SUM(W456:W464)+W452+W448:W448</f>
        <v>0</v>
      </c>
      <c r="X468" s="17"/>
      <c r="Y468" s="117">
        <f>Y467+SUM(Y456:Y464)+Y452+Y448:Y448</f>
        <v>0</v>
      </c>
      <c r="Z468" s="17"/>
      <c r="AA468" s="117">
        <f>AA467+SUM(AA456:AA464)+AA452+AA448:AA448</f>
        <v>0</v>
      </c>
      <c r="AB468" s="17"/>
      <c r="AC468" s="117">
        <f>AC467+SUM(AC456:AC464)+AC452+AC448:AC448</f>
        <v>0</v>
      </c>
      <c r="AD468" s="17"/>
      <c r="AE468" s="117">
        <f>AE467+SUM(AE456:AE464)+AE452+AE448:AE448</f>
        <v>0</v>
      </c>
      <c r="AF468" s="17"/>
      <c r="AG468" s="117">
        <f>AG467+SUM(AG456:AG464)+AG452+AG448:AG448</f>
        <v>0</v>
      </c>
      <c r="AH468" s="17"/>
      <c r="AI468" s="117">
        <f>AI467+SUM(AI456:AI464)+AI452+AI448:AI448</f>
        <v>0</v>
      </c>
      <c r="AJ468" s="17"/>
      <c r="AK468" s="117">
        <f>AK467+SUM(AK456:AK464)+AK452+AK448:AK448</f>
        <v>0</v>
      </c>
      <c r="AL468" s="117"/>
      <c r="AM468" s="117">
        <f>AM467+SUM(AM456:AM464)+AM452+AM448:AM448</f>
        <v>0</v>
      </c>
      <c r="AN468" s="117"/>
      <c r="AO468" s="117">
        <f>AO467+SUM(AO456:AO464)+AO452+AO448:AO448</f>
        <v>0</v>
      </c>
      <c r="AP468" s="117"/>
      <c r="AQ468" s="117">
        <f>AQ467+SUM(AQ456:AQ464)+AQ452+AQ448:AQ448</f>
        <v>0</v>
      </c>
      <c r="AR468" s="117"/>
      <c r="AS468" s="117">
        <f>AS467+SUM(AS456:AS464)+AS452+AS448:AS448</f>
        <v>0</v>
      </c>
      <c r="AT468" s="117">
        <f>AT467+SUM(AT456:AT464)+AT452+AT448:AT448</f>
        <v>0</v>
      </c>
      <c r="AU468" s="117"/>
      <c r="AV468" s="117">
        <f>AV467+SUM(AV456:AV464)+AV452+AV448:AV448</f>
        <v>0</v>
      </c>
      <c r="AW468" s="117"/>
      <c r="AX468" s="117">
        <f>AX467+SUM(AX456:AX464)+AX452+AX448:AX448</f>
        <v>0</v>
      </c>
      <c r="AY468" s="117"/>
      <c r="AZ468" s="117">
        <f>AZ467+SUM(AZ456:AZ464)+AZ452+AZ448:AZ448</f>
        <v>0</v>
      </c>
      <c r="BA468" s="17"/>
      <c r="BB468" s="118">
        <f>BB467+SUM(BB456:BB464)+BB452+BB448:BB448</f>
        <v>0</v>
      </c>
      <c r="BC468" s="86"/>
      <c r="BD468" s="118">
        <f>BD467+SUM(BD456:BD464)+BD452+BD448:BD448</f>
        <v>0</v>
      </c>
      <c r="BE468" s="86"/>
      <c r="BF468" s="118">
        <f>BF467+SUM(BF456:BF464)+BF452+BF448:BF448</f>
        <v>0</v>
      </c>
      <c r="BG468" s="86"/>
      <c r="BH468" s="118">
        <f>BH467+SUM(BH456:BH464)+BH452+BH448:BH448</f>
        <v>0</v>
      </c>
      <c r="BI468" s="86"/>
      <c r="BJ468" s="118">
        <f>BJ467+SUM(BJ456:BJ464)+BJ452+BJ448:BJ448</f>
        <v>0</v>
      </c>
      <c r="BK468" s="86"/>
      <c r="BL468" s="39">
        <f t="shared" si="118"/>
        <v>0</v>
      </c>
    </row>
    <row r="469" spans="1:67" s="31" customFormat="1" x14ac:dyDescent="0.2">
      <c r="A469" s="112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16"/>
      <c r="BB469" s="32"/>
      <c r="BC469" s="86"/>
      <c r="BD469" s="32"/>
      <c r="BE469" s="86"/>
      <c r="BF469" s="86"/>
      <c r="BG469" s="86"/>
      <c r="BH469" s="86"/>
      <c r="BI469" s="86"/>
      <c r="BJ469" s="86"/>
      <c r="BK469" s="86"/>
      <c r="BL469" s="39">
        <f t="shared" si="118"/>
        <v>0</v>
      </c>
    </row>
    <row r="470" spans="1:67" s="31" customFormat="1" x14ac:dyDescent="0.2">
      <c r="A470" s="112"/>
      <c r="B470" s="10" t="s">
        <v>31</v>
      </c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16"/>
      <c r="BB470" s="32"/>
      <c r="BC470" s="86"/>
      <c r="BD470" s="32"/>
      <c r="BE470" s="86"/>
      <c r="BF470" s="86"/>
      <c r="BG470" s="86"/>
      <c r="BH470" s="86"/>
      <c r="BI470" s="86"/>
      <c r="BJ470" s="86"/>
      <c r="BK470" s="86"/>
      <c r="BL470" s="39">
        <f t="shared" si="118"/>
        <v>0</v>
      </c>
    </row>
    <row r="471" spans="1:67" s="31" customFormat="1" x14ac:dyDescent="0.2">
      <c r="A471" s="112"/>
      <c r="B471" s="3" t="s">
        <v>429</v>
      </c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5">
        <f>SUM(C471:AY471)</f>
        <v>0</v>
      </c>
      <c r="BA471" s="116"/>
      <c r="BB471" s="76">
        <f>SUMIF($C$10:$AY$10,"=Addition",$C471:$AY471)</f>
        <v>0</v>
      </c>
      <c r="BC471" s="37"/>
      <c r="BD471" s="76">
        <f>SUMIF($C$10:$AY$10,"=Adjustment",$C471:$AY471)</f>
        <v>0</v>
      </c>
      <c r="BE471" s="37"/>
      <c r="BF471" s="76">
        <f>SUMIF($C$10:$AY$10,"=Transfer",$C471:$AY471)</f>
        <v>0</v>
      </c>
      <c r="BG471" s="37"/>
      <c r="BH471" s="76">
        <f>SUMIF($C$10:$AY$10,"=N/A",$C471:$AY471)</f>
        <v>0</v>
      </c>
      <c r="BI471" s="37"/>
      <c r="BJ471" s="76">
        <f t="shared" ref="BJ471:BJ473" si="132">SUM(BB471:BH471)</f>
        <v>0</v>
      </c>
      <c r="BK471" s="37"/>
      <c r="BL471" s="39">
        <f t="shared" si="118"/>
        <v>0</v>
      </c>
    </row>
    <row r="472" spans="1:67" s="31" customFormat="1" x14ac:dyDescent="0.2">
      <c r="A472" s="112"/>
      <c r="B472" s="3" t="s">
        <v>430</v>
      </c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5">
        <f>SUM(C472:AY472)</f>
        <v>0</v>
      </c>
      <c r="BA472" s="116"/>
      <c r="BB472" s="76">
        <f>SUMIF($C$10:$AY$10,"=Addition",$C472:$AY472)</f>
        <v>0</v>
      </c>
      <c r="BC472" s="37"/>
      <c r="BD472" s="76">
        <f>SUMIF($C$10:$AY$10,"=Adjustment",$C472:$AY472)</f>
        <v>0</v>
      </c>
      <c r="BE472" s="37"/>
      <c r="BF472" s="76">
        <f>SUMIF($C$10:$AY$10,"=Transfer",$C472:$AY472)</f>
        <v>0</v>
      </c>
      <c r="BG472" s="37"/>
      <c r="BH472" s="76">
        <f>SUMIF($C$10:$AY$10,"=N/A",$C472:$AY472)</f>
        <v>0</v>
      </c>
      <c r="BI472" s="37"/>
      <c r="BJ472" s="76">
        <f t="shared" si="132"/>
        <v>0</v>
      </c>
      <c r="BK472" s="37"/>
      <c r="BL472" s="39">
        <f t="shared" ref="BL472:BL509" si="133">AZ472-BJ472</f>
        <v>0</v>
      </c>
    </row>
    <row r="473" spans="1:67" s="31" customFormat="1" x14ac:dyDescent="0.2">
      <c r="A473" s="112"/>
      <c r="B473" s="22" t="s">
        <v>431</v>
      </c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5">
        <f>SUM(C473:AY473)</f>
        <v>0</v>
      </c>
      <c r="BA473" s="116"/>
      <c r="BB473" s="76">
        <f>SUMIF($C$10:$AY$10,"=Addition",$C473:$AY473)</f>
        <v>0</v>
      </c>
      <c r="BC473" s="37"/>
      <c r="BD473" s="76">
        <f>SUMIF($C$10:$AY$10,"=Adjustment",$C473:$AY473)</f>
        <v>0</v>
      </c>
      <c r="BE473" s="37"/>
      <c r="BF473" s="76">
        <f>SUMIF($C$10:$AY$10,"=Transfer",$C473:$AY473)</f>
        <v>0</v>
      </c>
      <c r="BG473" s="37"/>
      <c r="BH473" s="76">
        <f>SUMIF($C$10:$AY$10,"=N/A",$C473:$AY473)</f>
        <v>0</v>
      </c>
      <c r="BI473" s="37"/>
      <c r="BJ473" s="76">
        <f t="shared" si="132"/>
        <v>0</v>
      </c>
      <c r="BK473" s="37"/>
      <c r="BL473" s="39">
        <f t="shared" si="133"/>
        <v>0</v>
      </c>
    </row>
    <row r="474" spans="1:67" s="31" customFormat="1" x14ac:dyDescent="0.2">
      <c r="A474" s="112"/>
      <c r="B474" s="119" t="s">
        <v>432</v>
      </c>
      <c r="C474" s="20">
        <f>SUM(C471:C473)</f>
        <v>0</v>
      </c>
      <c r="D474" s="17"/>
      <c r="E474" s="20">
        <f>SUM(E471:E473)</f>
        <v>0</v>
      </c>
      <c r="F474" s="17"/>
      <c r="G474" s="20">
        <f>SUM(G471:G473)</f>
        <v>0</v>
      </c>
      <c r="H474" s="17"/>
      <c r="I474" s="20">
        <f>SUM(I471:I473)</f>
        <v>0</v>
      </c>
      <c r="J474" s="17"/>
      <c r="K474" s="20">
        <f>SUM(K471:K473)</f>
        <v>0</v>
      </c>
      <c r="L474" s="17"/>
      <c r="M474" s="20">
        <f>SUM(M471:M473)</f>
        <v>0</v>
      </c>
      <c r="N474" s="17"/>
      <c r="O474" s="20">
        <f>SUM(O471:O473)</f>
        <v>0</v>
      </c>
      <c r="P474" s="17"/>
      <c r="Q474" s="20">
        <f>SUM(Q471:Q473)</f>
        <v>0</v>
      </c>
      <c r="R474" s="17"/>
      <c r="S474" s="20">
        <f>SUM(S471:S473)</f>
        <v>0</v>
      </c>
      <c r="T474" s="20"/>
      <c r="U474" s="20">
        <f>SUM(U471:U473)</f>
        <v>0</v>
      </c>
      <c r="V474" s="20"/>
      <c r="W474" s="20">
        <f>SUM(W471:W473)</f>
        <v>0</v>
      </c>
      <c r="X474" s="17"/>
      <c r="Y474" s="20">
        <f>SUM(Y471:Y473)</f>
        <v>0</v>
      </c>
      <c r="Z474" s="17"/>
      <c r="AA474" s="20">
        <f>SUM(AA471:AA473)</f>
        <v>0</v>
      </c>
      <c r="AB474" s="17"/>
      <c r="AC474" s="20">
        <f>SUM(AC471:AC473)</f>
        <v>0</v>
      </c>
      <c r="AD474" s="17"/>
      <c r="AE474" s="20">
        <f>SUM(AE471:AE473)</f>
        <v>0</v>
      </c>
      <c r="AF474" s="17"/>
      <c r="AG474" s="20">
        <f>SUM(AG471:AG473)</f>
        <v>0</v>
      </c>
      <c r="AH474" s="17"/>
      <c r="AI474" s="20">
        <f>SUM(AI471:AI473)</f>
        <v>0</v>
      </c>
      <c r="AJ474" s="17"/>
      <c r="AK474" s="20">
        <f>SUM(AK471:AK473)</f>
        <v>0</v>
      </c>
      <c r="AL474" s="20"/>
      <c r="AM474" s="20">
        <f>SUM(AM471:AM473)</f>
        <v>0</v>
      </c>
      <c r="AN474" s="20"/>
      <c r="AO474" s="20">
        <f>SUM(AO471:AO473)</f>
        <v>0</v>
      </c>
      <c r="AP474" s="20"/>
      <c r="AQ474" s="20">
        <f>SUM(AQ471:AQ473)</f>
        <v>0</v>
      </c>
      <c r="AR474" s="20"/>
      <c r="AS474" s="20">
        <f>SUM(AS471:AS473)</f>
        <v>0</v>
      </c>
      <c r="AT474" s="20">
        <f>SUM(AT471:AT473)</f>
        <v>0</v>
      </c>
      <c r="AU474" s="20"/>
      <c r="AV474" s="20">
        <f>SUM(AV471:AV473)</f>
        <v>0</v>
      </c>
      <c r="AW474" s="20"/>
      <c r="AX474" s="20">
        <f>SUM(AX471:AX473)</f>
        <v>0</v>
      </c>
      <c r="AY474" s="20"/>
      <c r="AZ474" s="20">
        <f>SUM(AZ471:AZ473)</f>
        <v>0</v>
      </c>
      <c r="BA474" s="116"/>
      <c r="BB474" s="114">
        <f>SUM(BB471:BB473)</f>
        <v>0</v>
      </c>
      <c r="BC474" s="86"/>
      <c r="BD474" s="114">
        <f>SUM(BD471:BD473)</f>
        <v>0</v>
      </c>
      <c r="BE474" s="86"/>
      <c r="BF474" s="114">
        <f>SUM(BF471:BF473)</f>
        <v>0</v>
      </c>
      <c r="BG474" s="86"/>
      <c r="BH474" s="114">
        <f>SUM(BH471:BH473)</f>
        <v>0</v>
      </c>
      <c r="BI474" s="86"/>
      <c r="BJ474" s="114">
        <f>SUM(BJ471:BJ473)</f>
        <v>0</v>
      </c>
      <c r="BK474" s="86"/>
      <c r="BL474" s="39">
        <f t="shared" si="133"/>
        <v>0</v>
      </c>
    </row>
    <row r="475" spans="1:67" s="31" customFormat="1" x14ac:dyDescent="0.2">
      <c r="A475" s="112"/>
      <c r="B475" s="120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16"/>
      <c r="BB475" s="32"/>
      <c r="BC475" s="86"/>
      <c r="BD475" s="32"/>
      <c r="BE475" s="86"/>
      <c r="BF475" s="86"/>
      <c r="BG475" s="86"/>
      <c r="BH475" s="86"/>
      <c r="BI475" s="86"/>
      <c r="BJ475" s="86"/>
      <c r="BK475" s="86"/>
      <c r="BL475" s="39">
        <f t="shared" si="133"/>
        <v>0</v>
      </c>
    </row>
    <row r="476" spans="1:67" s="31" customFormat="1" x14ac:dyDescent="0.2">
      <c r="A476" s="112"/>
      <c r="B476" s="120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16"/>
      <c r="BB476" s="32"/>
      <c r="BC476" s="86"/>
      <c r="BD476" s="32"/>
      <c r="BE476" s="86"/>
      <c r="BF476" s="86"/>
      <c r="BG476" s="86"/>
      <c r="BH476" s="86"/>
      <c r="BI476" s="86"/>
      <c r="BJ476" s="86"/>
      <c r="BK476" s="86"/>
      <c r="BL476" s="39">
        <f t="shared" si="133"/>
        <v>0</v>
      </c>
    </row>
    <row r="477" spans="1:67" s="31" customFormat="1" x14ac:dyDescent="0.2">
      <c r="A477" s="112"/>
      <c r="B477" s="119" t="s">
        <v>442</v>
      </c>
      <c r="C477" s="20">
        <f>C474+C468+C443+C439+C427</f>
        <v>0</v>
      </c>
      <c r="D477" s="17"/>
      <c r="E477" s="20">
        <f>E474+E468+E443+E439+E427</f>
        <v>0</v>
      </c>
      <c r="F477" s="17"/>
      <c r="G477" s="20">
        <f>G474+G468+G443+G439+G427</f>
        <v>0</v>
      </c>
      <c r="H477" s="17"/>
      <c r="I477" s="20">
        <f>I474+I468+I443+I439+I427</f>
        <v>0</v>
      </c>
      <c r="J477" s="17"/>
      <c r="K477" s="20">
        <f>K474+K468+K443+K439+K427</f>
        <v>0</v>
      </c>
      <c r="L477" s="17"/>
      <c r="M477" s="20">
        <f>M474+M468+M443+M439+M427</f>
        <v>0</v>
      </c>
      <c r="N477" s="17"/>
      <c r="O477" s="20">
        <f>O474+O468+O443+O439+O427</f>
        <v>0</v>
      </c>
      <c r="P477" s="17"/>
      <c r="Q477" s="20">
        <f>Q474+Q468+Q443+Q439+Q427</f>
        <v>0</v>
      </c>
      <c r="R477" s="17"/>
      <c r="S477" s="20">
        <f>S474+S468+S443+S439+S427</f>
        <v>0</v>
      </c>
      <c r="T477" s="20"/>
      <c r="U477" s="20">
        <f>U474+U468+U443+U439+U427</f>
        <v>0</v>
      </c>
      <c r="V477" s="20"/>
      <c r="W477" s="20">
        <f>W474+W468+W443+W439+W427</f>
        <v>0</v>
      </c>
      <c r="X477" s="17"/>
      <c r="Y477" s="20">
        <f>Y474+Y468+Y443+Y439+Y427</f>
        <v>0</v>
      </c>
      <c r="Z477" s="17"/>
      <c r="AA477" s="20">
        <f>AA474+AA468+AA443+AA439+AA427</f>
        <v>0</v>
      </c>
      <c r="AB477" s="17"/>
      <c r="AC477" s="20">
        <f>AC474+AC468+AC443+AC439+AC427</f>
        <v>0</v>
      </c>
      <c r="AD477" s="17"/>
      <c r="AE477" s="20">
        <f>AE474+AE468+AE443+AE439+AE427</f>
        <v>0</v>
      </c>
      <c r="AF477" s="17"/>
      <c r="AG477" s="20">
        <f>AG474+AG468+AG443+AG439+AG427</f>
        <v>0</v>
      </c>
      <c r="AH477" s="17"/>
      <c r="AI477" s="20">
        <f>AI474+AI468+AI443+AI439+AI427</f>
        <v>0</v>
      </c>
      <c r="AJ477" s="17"/>
      <c r="AK477" s="20">
        <f>AK474+AK468+AK443+AK439+AK427</f>
        <v>0</v>
      </c>
      <c r="AL477" s="20"/>
      <c r="AM477" s="20">
        <f>AM474+AM468+AM443+AM439+AM427</f>
        <v>0</v>
      </c>
      <c r="AN477" s="20"/>
      <c r="AO477" s="20">
        <f>AO474+AO468+AO443+AO439+AO427</f>
        <v>0</v>
      </c>
      <c r="AP477" s="20"/>
      <c r="AQ477" s="20">
        <f>AQ474+AQ468+AQ443+AQ439+AQ427</f>
        <v>0</v>
      </c>
      <c r="AR477" s="20"/>
      <c r="AS477" s="20">
        <f>AS474+AS468+AS443+AS439+AS427</f>
        <v>0</v>
      </c>
      <c r="AT477" s="20">
        <f>AT474+AT468+AT443+AT439+AT427</f>
        <v>0</v>
      </c>
      <c r="AU477" s="20"/>
      <c r="AV477" s="20">
        <f>AV474+AV468+AV443+AV439+AV427</f>
        <v>0</v>
      </c>
      <c r="AW477" s="20"/>
      <c r="AX477" s="20">
        <f>AX474+AX468+AX443+AX439+AX427</f>
        <v>0</v>
      </c>
      <c r="AY477" s="20"/>
      <c r="AZ477" s="20">
        <f>AZ474+AZ468+AZ443+AZ439+AZ427</f>
        <v>0</v>
      </c>
      <c r="BA477" s="116"/>
      <c r="BB477" s="114">
        <f>BB474+BB468+BB443+BB439+BB427</f>
        <v>0</v>
      </c>
      <c r="BC477" s="86"/>
      <c r="BD477" s="114">
        <f>BD474+BD468+BD443+BD439+BD427</f>
        <v>0</v>
      </c>
      <c r="BE477" s="86"/>
      <c r="BF477" s="114">
        <f>BF474+BF468+BF443+BF439+BF427</f>
        <v>0</v>
      </c>
      <c r="BG477" s="86"/>
      <c r="BH477" s="114">
        <f>BH474+BH468+BH443+BH439+BH427</f>
        <v>0</v>
      </c>
      <c r="BI477" s="86"/>
      <c r="BJ477" s="114">
        <f>BJ474+BJ468+BJ443+BJ439+BJ427</f>
        <v>0</v>
      </c>
      <c r="BK477" s="86"/>
      <c r="BL477" s="39">
        <f t="shared" si="133"/>
        <v>0</v>
      </c>
    </row>
    <row r="478" spans="1:67" s="31" customFormat="1" x14ac:dyDescent="0.2">
      <c r="A478" s="112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16"/>
      <c r="BB478" s="32"/>
      <c r="BC478" s="86"/>
      <c r="BD478" s="32"/>
      <c r="BE478" s="86"/>
      <c r="BF478" s="86"/>
      <c r="BG478" s="86"/>
      <c r="BH478" s="86"/>
      <c r="BI478" s="86"/>
      <c r="BJ478" s="86"/>
      <c r="BK478" s="86"/>
      <c r="BL478" s="39">
        <f t="shared" si="133"/>
        <v>0</v>
      </c>
    </row>
    <row r="479" spans="1:67" s="31" customFormat="1" x14ac:dyDescent="0.2">
      <c r="A479" s="112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16"/>
      <c r="BB479" s="32"/>
      <c r="BC479" s="86"/>
      <c r="BD479" s="32"/>
      <c r="BE479" s="86"/>
      <c r="BF479" s="86"/>
      <c r="BG479" s="86"/>
      <c r="BH479" s="86"/>
      <c r="BI479" s="86"/>
      <c r="BJ479" s="86"/>
      <c r="BK479" s="86"/>
      <c r="BL479" s="39">
        <f t="shared" si="133"/>
        <v>0</v>
      </c>
    </row>
    <row r="480" spans="1:67" x14ac:dyDescent="0.2">
      <c r="A480" s="14"/>
      <c r="B480" s="19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5"/>
      <c r="BB480" s="76"/>
      <c r="BC480" s="37"/>
      <c r="BD480" s="76"/>
      <c r="BE480" s="37"/>
      <c r="BL480" s="39">
        <f t="shared" si="133"/>
        <v>0</v>
      </c>
      <c r="BM480" s="3"/>
      <c r="BN480" s="3"/>
      <c r="BO480" s="3"/>
    </row>
    <row r="481" spans="1:67" x14ac:dyDescent="0.2">
      <c r="A481" s="14"/>
      <c r="B481" s="10" t="s">
        <v>49</v>
      </c>
      <c r="C481" s="21">
        <f>C477+C403+C297</f>
        <v>0</v>
      </c>
      <c r="D481" s="17"/>
      <c r="E481" s="21">
        <f>E477+E403+E297</f>
        <v>0</v>
      </c>
      <c r="F481" s="15"/>
      <c r="G481" s="21">
        <f>G477+G403+G297</f>
        <v>0</v>
      </c>
      <c r="H481" s="17"/>
      <c r="I481" s="21">
        <f>I477+I403+I297</f>
        <v>0</v>
      </c>
      <c r="J481" s="17"/>
      <c r="K481" s="21">
        <f>K477+K403+K297</f>
        <v>0</v>
      </c>
      <c r="L481" s="17"/>
      <c r="M481" s="21">
        <f>M477+M403+M297</f>
        <v>0</v>
      </c>
      <c r="N481" s="15"/>
      <c r="O481" s="21">
        <f>O477+O403+O297</f>
        <v>0</v>
      </c>
      <c r="P481" s="15"/>
      <c r="Q481" s="21">
        <f>Q477+Q403+Q297</f>
        <v>0</v>
      </c>
      <c r="R481" s="15"/>
      <c r="S481" s="21">
        <f>S477+S403+S297</f>
        <v>0</v>
      </c>
      <c r="T481" s="21"/>
      <c r="U481" s="21">
        <f>U477+U403+U297</f>
        <v>0</v>
      </c>
      <c r="V481" s="21"/>
      <c r="W481" s="21">
        <f>W477+W403+W297</f>
        <v>4.3655745685100555E-10</v>
      </c>
      <c r="X481" s="15"/>
      <c r="Y481" s="21">
        <f>Y477+Y403+Y297</f>
        <v>0</v>
      </c>
      <c r="Z481" s="15"/>
      <c r="AA481" s="21">
        <f>AA477+AA403+AA297</f>
        <v>0</v>
      </c>
      <c r="AB481" s="15"/>
      <c r="AC481" s="21">
        <f>AC477+AC403+AC297</f>
        <v>0</v>
      </c>
      <c r="AD481" s="15"/>
      <c r="AE481" s="21">
        <f>AE477+AE403+AE297</f>
        <v>0</v>
      </c>
      <c r="AF481" s="15"/>
      <c r="AG481" s="21">
        <f>AG477+AG403+AG297</f>
        <v>0</v>
      </c>
      <c r="AH481" s="15"/>
      <c r="AI481" s="21">
        <f>AI477+AI403+AI297</f>
        <v>0</v>
      </c>
      <c r="AJ481" s="15"/>
      <c r="AK481" s="21">
        <f>AK477+AK403+AK297</f>
        <v>0</v>
      </c>
      <c r="AL481" s="21"/>
      <c r="AM481" s="21">
        <f>AM477+AM403+AM297</f>
        <v>0</v>
      </c>
      <c r="AN481" s="21"/>
      <c r="AO481" s="21">
        <f>AO477+AO403+AO297</f>
        <v>0</v>
      </c>
      <c r="AP481" s="21"/>
      <c r="AQ481" s="21">
        <f>AQ477+AQ403+AQ297</f>
        <v>0</v>
      </c>
      <c r="AR481" s="21"/>
      <c r="AS481" s="21">
        <f>AS477+AS403+AS297</f>
        <v>0</v>
      </c>
      <c r="AT481" s="21">
        <f>AT477+AT403+AT297</f>
        <v>0</v>
      </c>
      <c r="AU481" s="21"/>
      <c r="AV481" s="21">
        <f>AV477+AV403+AV297</f>
        <v>0</v>
      </c>
      <c r="AW481" s="21"/>
      <c r="AX481" s="21">
        <f>AX477+AX403+AX297</f>
        <v>0</v>
      </c>
      <c r="AY481" s="21"/>
      <c r="AZ481" s="21">
        <f>AZ477+AZ403+AZ297</f>
        <v>-4.9476511776447296E-10</v>
      </c>
      <c r="BA481" s="5"/>
      <c r="BB481" s="91">
        <f>BB477+BB403+BB297</f>
        <v>0</v>
      </c>
      <c r="BC481" s="37"/>
      <c r="BD481" s="91">
        <f>BD477+BD403+BD297</f>
        <v>0</v>
      </c>
      <c r="BE481" s="37"/>
      <c r="BF481" s="91">
        <f>BF477+BF403+BF297</f>
        <v>-4.9476511776447296E-10</v>
      </c>
      <c r="BH481" s="91">
        <f>BH477+BH403+BH297</f>
        <v>0</v>
      </c>
      <c r="BJ481" s="91">
        <f>BJ477+BJ403+BJ297</f>
        <v>-4.9476511776447296E-10</v>
      </c>
      <c r="BL481" s="39">
        <f t="shared" si="133"/>
        <v>0</v>
      </c>
      <c r="BM481" s="3"/>
      <c r="BN481" s="3"/>
      <c r="BO481" s="3"/>
    </row>
    <row r="482" spans="1:67" x14ac:dyDescent="0.2">
      <c r="A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5"/>
      <c r="BB482" s="76"/>
      <c r="BC482" s="37"/>
      <c r="BD482" s="76"/>
      <c r="BE482" s="37"/>
      <c r="BL482" s="39">
        <f t="shared" si="133"/>
        <v>0</v>
      </c>
      <c r="BM482" s="3"/>
      <c r="BN482" s="3"/>
      <c r="BO482" s="3"/>
    </row>
    <row r="483" spans="1:67" x14ac:dyDescent="0.2">
      <c r="A483" s="14"/>
      <c r="F483" s="15"/>
      <c r="H483" s="15"/>
      <c r="J483" s="15"/>
      <c r="L483" s="15"/>
      <c r="N483" s="15"/>
      <c r="P483" s="15"/>
      <c r="R483" s="15"/>
      <c r="X483" s="15"/>
      <c r="Z483" s="15"/>
      <c r="AB483" s="15"/>
      <c r="AD483" s="15"/>
      <c r="AF483" s="15"/>
      <c r="AH483" s="15"/>
      <c r="AJ483" s="15"/>
      <c r="AZ483" s="15"/>
      <c r="BA483" s="15"/>
      <c r="BB483" s="76"/>
      <c r="BC483" s="37"/>
      <c r="BD483" s="76"/>
      <c r="BE483" s="37"/>
      <c r="BL483" s="39">
        <f t="shared" si="133"/>
        <v>0</v>
      </c>
      <c r="BM483" s="3"/>
      <c r="BN483" s="3"/>
      <c r="BO483" s="3"/>
    </row>
    <row r="484" spans="1:67" x14ac:dyDescent="0.2">
      <c r="A484" s="14">
        <v>117</v>
      </c>
      <c r="B484" s="10" t="s">
        <v>50</v>
      </c>
      <c r="F484" s="15"/>
      <c r="H484" s="15"/>
      <c r="J484" s="15"/>
      <c r="L484" s="15"/>
      <c r="N484" s="15"/>
      <c r="P484" s="15"/>
      <c r="R484" s="15"/>
      <c r="X484" s="15"/>
      <c r="Z484" s="15"/>
      <c r="AB484" s="15"/>
      <c r="AD484" s="15"/>
      <c r="AF484" s="15"/>
      <c r="AH484" s="15"/>
      <c r="AJ484" s="15"/>
      <c r="AZ484" s="15"/>
      <c r="BA484" s="15"/>
      <c r="BB484" s="76"/>
      <c r="BC484" s="37"/>
      <c r="BD484" s="76"/>
      <c r="BE484" s="37"/>
      <c r="BL484" s="39">
        <f t="shared" si="133"/>
        <v>0</v>
      </c>
      <c r="BM484" s="3"/>
      <c r="BN484" s="3"/>
      <c r="BO484" s="3"/>
    </row>
    <row r="485" spans="1:67" x14ac:dyDescent="0.2">
      <c r="A485" s="14"/>
      <c r="B485" s="10" t="s">
        <v>26</v>
      </c>
      <c r="F485" s="15"/>
      <c r="H485" s="15"/>
      <c r="J485" s="15"/>
      <c r="L485" s="15"/>
      <c r="N485" s="15"/>
      <c r="P485" s="15"/>
      <c r="R485" s="15"/>
      <c r="X485" s="15"/>
      <c r="Z485" s="15"/>
      <c r="AB485" s="15"/>
      <c r="AD485" s="15"/>
      <c r="AF485" s="15"/>
      <c r="AH485" s="15"/>
      <c r="AJ485" s="15"/>
      <c r="AZ485" s="15"/>
      <c r="BA485" s="15"/>
      <c r="BB485" s="76"/>
      <c r="BC485" s="37"/>
      <c r="BD485" s="76"/>
      <c r="BE485" s="37"/>
      <c r="BL485" s="39">
        <f t="shared" si="133"/>
        <v>0</v>
      </c>
      <c r="BM485" s="3"/>
      <c r="BN485" s="3"/>
      <c r="BO485" s="3"/>
    </row>
    <row r="486" spans="1:67" x14ac:dyDescent="0.2">
      <c r="A486" s="14"/>
      <c r="B486" s="3" t="s">
        <v>51</v>
      </c>
      <c r="C486" s="16">
        <v>0</v>
      </c>
      <c r="D486" s="17"/>
      <c r="E486" s="16">
        <v>0</v>
      </c>
      <c r="F486" s="17"/>
      <c r="G486" s="16">
        <v>0</v>
      </c>
      <c r="H486" s="17"/>
      <c r="I486" s="16">
        <v>0</v>
      </c>
      <c r="J486" s="17"/>
      <c r="K486" s="16">
        <v>0</v>
      </c>
      <c r="L486" s="17"/>
      <c r="M486" s="16">
        <v>0</v>
      </c>
      <c r="N486" s="17"/>
      <c r="O486" s="16">
        <v>0</v>
      </c>
      <c r="P486" s="17"/>
      <c r="Q486" s="16">
        <v>0</v>
      </c>
      <c r="R486" s="17"/>
      <c r="S486" s="16">
        <v>0</v>
      </c>
      <c r="T486" s="16"/>
      <c r="U486" s="16">
        <v>0</v>
      </c>
      <c r="V486" s="16"/>
      <c r="W486" s="16">
        <v>0</v>
      </c>
      <c r="X486" s="17"/>
      <c r="Y486" s="16">
        <v>0</v>
      </c>
      <c r="Z486" s="17"/>
      <c r="AA486" s="16">
        <v>0</v>
      </c>
      <c r="AB486" s="17"/>
      <c r="AC486" s="16">
        <v>0</v>
      </c>
      <c r="AD486" s="17"/>
      <c r="AE486" s="16">
        <v>0</v>
      </c>
      <c r="AF486" s="17"/>
      <c r="AG486" s="16">
        <v>0</v>
      </c>
      <c r="AH486" s="17"/>
      <c r="AI486" s="16">
        <v>0</v>
      </c>
      <c r="AJ486" s="17"/>
      <c r="AK486" s="16">
        <v>0</v>
      </c>
      <c r="AL486" s="16"/>
      <c r="AM486" s="16">
        <v>0</v>
      </c>
      <c r="AN486" s="16"/>
      <c r="AO486" s="16">
        <v>0</v>
      </c>
      <c r="AP486" s="16"/>
      <c r="AQ486" s="16">
        <v>0</v>
      </c>
      <c r="AR486" s="16"/>
      <c r="AS486" s="16">
        <v>0</v>
      </c>
      <c r="AT486" s="16">
        <v>0</v>
      </c>
      <c r="AU486" s="16"/>
      <c r="AV486" s="16">
        <v>0</v>
      </c>
      <c r="AW486" s="16"/>
      <c r="AX486" s="16">
        <v>0</v>
      </c>
      <c r="AY486" s="16"/>
      <c r="AZ486" s="15">
        <f>SUM(C486:AY486)</f>
        <v>0</v>
      </c>
      <c r="BA486" s="5"/>
      <c r="BB486" s="76">
        <f>SUMIF($C$10:$AY$10,"=Addition",$C486:$AY486)</f>
        <v>0</v>
      </c>
      <c r="BC486" s="37"/>
      <c r="BD486" s="76">
        <f>SUMIF($C$10:$AY$10,"=Adjustment",$C486:$AY486)</f>
        <v>0</v>
      </c>
      <c r="BE486" s="37"/>
      <c r="BF486" s="76">
        <f>SUMIF($C$10:$AY$10,"=Transfer",$C486:$AY486)</f>
        <v>0</v>
      </c>
      <c r="BH486" s="76">
        <f>SUMIF($C$10:$AY$10,"=N/A",$C486:$AY486)</f>
        <v>0</v>
      </c>
      <c r="BJ486" s="76">
        <f t="shared" ref="BJ486" si="134">SUM(BB486:BH486)</f>
        <v>0</v>
      </c>
      <c r="BL486" s="39">
        <f t="shared" si="133"/>
        <v>0</v>
      </c>
      <c r="BM486" s="3"/>
      <c r="BN486" s="3"/>
      <c r="BO486" s="3"/>
    </row>
    <row r="487" spans="1:67" x14ac:dyDescent="0.2">
      <c r="A487" s="14"/>
      <c r="C487" s="17">
        <f>SUM(C486)</f>
        <v>0</v>
      </c>
      <c r="D487" s="17"/>
      <c r="E487" s="17">
        <f>SUM(E486)</f>
        <v>0</v>
      </c>
      <c r="F487" s="17"/>
      <c r="G487" s="17">
        <f>SUM(G486)</f>
        <v>0</v>
      </c>
      <c r="H487" s="17"/>
      <c r="I487" s="17">
        <f>SUM(I486)</f>
        <v>0</v>
      </c>
      <c r="J487" s="17"/>
      <c r="K487" s="17">
        <f>SUM(K486)</f>
        <v>0</v>
      </c>
      <c r="L487" s="17"/>
      <c r="M487" s="17">
        <f>SUM(M486)</f>
        <v>0</v>
      </c>
      <c r="N487" s="17"/>
      <c r="O487" s="17">
        <f>SUM(O486)</f>
        <v>0</v>
      </c>
      <c r="P487" s="17"/>
      <c r="Q487" s="17">
        <f>SUM(Q486)</f>
        <v>0</v>
      </c>
      <c r="R487" s="17"/>
      <c r="S487" s="17">
        <f>SUM(S486)</f>
        <v>0</v>
      </c>
      <c r="T487" s="17"/>
      <c r="U487" s="17">
        <f>SUM(U486)</f>
        <v>0</v>
      </c>
      <c r="V487" s="17"/>
      <c r="W487" s="17">
        <f>SUM(W486)</f>
        <v>0</v>
      </c>
      <c r="X487" s="17"/>
      <c r="Y487" s="17">
        <f>SUM(Y486)</f>
        <v>0</v>
      </c>
      <c r="Z487" s="17"/>
      <c r="AA487" s="17">
        <f>SUM(AA486)</f>
        <v>0</v>
      </c>
      <c r="AB487" s="17"/>
      <c r="AC487" s="17">
        <f>SUM(AC486)</f>
        <v>0</v>
      </c>
      <c r="AD487" s="17"/>
      <c r="AE487" s="17">
        <f>SUM(AE486)</f>
        <v>0</v>
      </c>
      <c r="AF487" s="17"/>
      <c r="AG487" s="17">
        <f>SUM(AG486)</f>
        <v>0</v>
      </c>
      <c r="AH487" s="17"/>
      <c r="AI487" s="17">
        <f>SUM(AI486)</f>
        <v>0</v>
      </c>
      <c r="AJ487" s="17"/>
      <c r="AK487" s="17">
        <f>SUM(AK486)</f>
        <v>0</v>
      </c>
      <c r="AL487" s="17"/>
      <c r="AM487" s="17">
        <f>SUM(AM486)</f>
        <v>0</v>
      </c>
      <c r="AN487" s="17"/>
      <c r="AO487" s="17">
        <f>SUM(AO486)</f>
        <v>0</v>
      </c>
      <c r="AP487" s="17"/>
      <c r="AQ487" s="17">
        <f>SUM(AQ486)</f>
        <v>0</v>
      </c>
      <c r="AR487" s="17"/>
      <c r="AS487" s="17">
        <f>SUM(AS486)</f>
        <v>0</v>
      </c>
      <c r="AT487" s="17">
        <f>SUM(AT486)</f>
        <v>0</v>
      </c>
      <c r="AU487" s="17"/>
      <c r="AV487" s="17">
        <f>SUM(AV486)</f>
        <v>0</v>
      </c>
      <c r="AW487" s="17"/>
      <c r="AX487" s="17">
        <f>SUM(AX486)</f>
        <v>0</v>
      </c>
      <c r="AY487" s="17"/>
      <c r="AZ487" s="20">
        <f>SUM(AZ486)</f>
        <v>0</v>
      </c>
      <c r="BA487" s="5"/>
      <c r="BB487" s="114">
        <f>SUM(BB486)</f>
        <v>0</v>
      </c>
      <c r="BC487" s="37"/>
      <c r="BD487" s="114">
        <f>SUM(BD486)</f>
        <v>0</v>
      </c>
      <c r="BE487" s="37"/>
      <c r="BF487" s="114">
        <f>SUM(BF486)</f>
        <v>0</v>
      </c>
      <c r="BH487" s="114">
        <f>SUM(BH486)</f>
        <v>0</v>
      </c>
      <c r="BJ487" s="114">
        <f>SUM(BJ486)</f>
        <v>0</v>
      </c>
      <c r="BL487" s="39">
        <f t="shared" si="133"/>
        <v>0</v>
      </c>
      <c r="BM487" s="3"/>
      <c r="BN487" s="3"/>
      <c r="BO487" s="3"/>
    </row>
    <row r="488" spans="1:67" x14ac:dyDescent="0.2">
      <c r="A488" s="14"/>
      <c r="B488" s="19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5"/>
      <c r="BB488" s="76"/>
      <c r="BC488" s="37"/>
      <c r="BD488" s="76"/>
      <c r="BE488" s="37"/>
      <c r="BL488" s="39">
        <f t="shared" si="133"/>
        <v>0</v>
      </c>
      <c r="BM488" s="3"/>
      <c r="BN488" s="3"/>
      <c r="BO488" s="3"/>
    </row>
    <row r="489" spans="1:67" x14ac:dyDescent="0.2">
      <c r="A489" s="14"/>
      <c r="B489" s="10" t="s">
        <v>52</v>
      </c>
      <c r="C489" s="21">
        <f>C487</f>
        <v>0</v>
      </c>
      <c r="D489" s="17"/>
      <c r="E489" s="21">
        <f>E487</f>
        <v>0</v>
      </c>
      <c r="F489" s="15"/>
      <c r="G489" s="21">
        <f>G487</f>
        <v>0</v>
      </c>
      <c r="H489" s="17"/>
      <c r="I489" s="21">
        <f>I487</f>
        <v>0</v>
      </c>
      <c r="J489" s="17"/>
      <c r="K489" s="21">
        <f>K487</f>
        <v>0</v>
      </c>
      <c r="L489" s="17"/>
      <c r="M489" s="21">
        <f>M487</f>
        <v>0</v>
      </c>
      <c r="N489" s="15"/>
      <c r="O489" s="21">
        <f>O487</f>
        <v>0</v>
      </c>
      <c r="P489" s="15"/>
      <c r="Q489" s="21">
        <f>Q487</f>
        <v>0</v>
      </c>
      <c r="R489" s="15"/>
      <c r="S489" s="21">
        <f>S487</f>
        <v>0</v>
      </c>
      <c r="T489" s="21"/>
      <c r="U489" s="21">
        <f>U487</f>
        <v>0</v>
      </c>
      <c r="V489" s="21"/>
      <c r="W489" s="21">
        <f>W487</f>
        <v>0</v>
      </c>
      <c r="X489" s="15"/>
      <c r="Y489" s="21">
        <f>Y487</f>
        <v>0</v>
      </c>
      <c r="Z489" s="15"/>
      <c r="AA489" s="21">
        <f>AA487</f>
        <v>0</v>
      </c>
      <c r="AB489" s="15"/>
      <c r="AC489" s="21">
        <f>AC487</f>
        <v>0</v>
      </c>
      <c r="AD489" s="15"/>
      <c r="AE489" s="21">
        <f>AE487</f>
        <v>0</v>
      </c>
      <c r="AF489" s="15"/>
      <c r="AG489" s="21">
        <f>AG487</f>
        <v>0</v>
      </c>
      <c r="AH489" s="15"/>
      <c r="AI489" s="21">
        <f>AI487</f>
        <v>0</v>
      </c>
      <c r="AJ489" s="15"/>
      <c r="AK489" s="21">
        <f>AK487</f>
        <v>0</v>
      </c>
      <c r="AL489" s="21"/>
      <c r="AM489" s="21">
        <f>AM487</f>
        <v>0</v>
      </c>
      <c r="AN489" s="21"/>
      <c r="AO489" s="21">
        <f>AO487</f>
        <v>0</v>
      </c>
      <c r="AP489" s="21"/>
      <c r="AQ489" s="21">
        <f>AQ487</f>
        <v>0</v>
      </c>
      <c r="AR489" s="21"/>
      <c r="AS489" s="21">
        <f>AS487</f>
        <v>0</v>
      </c>
      <c r="AT489" s="21">
        <f>AT487</f>
        <v>0</v>
      </c>
      <c r="AU489" s="21"/>
      <c r="AV489" s="21">
        <f>AV487</f>
        <v>0</v>
      </c>
      <c r="AW489" s="21"/>
      <c r="AX489" s="21">
        <f>AX487</f>
        <v>0</v>
      </c>
      <c r="AY489" s="21"/>
      <c r="AZ489" s="21">
        <f>AZ487</f>
        <v>0</v>
      </c>
      <c r="BA489" s="5"/>
      <c r="BB489" s="91">
        <f>BB487</f>
        <v>0</v>
      </c>
      <c r="BC489" s="37"/>
      <c r="BD489" s="91">
        <f>BD487</f>
        <v>0</v>
      </c>
      <c r="BE489" s="37"/>
      <c r="BF489" s="91">
        <f>BF487</f>
        <v>0</v>
      </c>
      <c r="BH489" s="91">
        <f>BH487</f>
        <v>0</v>
      </c>
      <c r="BJ489" s="91">
        <f>BJ487</f>
        <v>0</v>
      </c>
      <c r="BL489" s="39">
        <f t="shared" si="133"/>
        <v>0</v>
      </c>
      <c r="BM489" s="3"/>
      <c r="BN489" s="3"/>
      <c r="BO489" s="3"/>
    </row>
    <row r="490" spans="1:67" x14ac:dyDescent="0.2">
      <c r="A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5"/>
      <c r="BB490" s="76"/>
      <c r="BC490" s="37"/>
      <c r="BD490" s="76"/>
      <c r="BE490" s="37"/>
      <c r="BL490" s="39">
        <f t="shared" si="133"/>
        <v>0</v>
      </c>
      <c r="BM490" s="3"/>
      <c r="BN490" s="3"/>
      <c r="BO490" s="3"/>
    </row>
    <row r="491" spans="1:67" x14ac:dyDescent="0.2">
      <c r="A491" s="14"/>
      <c r="F491" s="15"/>
      <c r="H491" s="15"/>
      <c r="J491" s="15"/>
      <c r="L491" s="15"/>
      <c r="N491" s="15"/>
      <c r="P491" s="15"/>
      <c r="R491" s="15"/>
      <c r="X491" s="15"/>
      <c r="Z491" s="15"/>
      <c r="AB491" s="15"/>
      <c r="AD491" s="15"/>
      <c r="AF491" s="15"/>
      <c r="AH491" s="15"/>
      <c r="AJ491" s="15"/>
      <c r="AZ491" s="15"/>
      <c r="BA491" s="15"/>
      <c r="BB491" s="76"/>
      <c r="BC491" s="37"/>
      <c r="BD491" s="76"/>
      <c r="BE491" s="37"/>
      <c r="BL491" s="39">
        <f t="shared" si="133"/>
        <v>0</v>
      </c>
      <c r="BM491" s="3"/>
      <c r="BN491" s="3"/>
      <c r="BO491" s="3"/>
    </row>
    <row r="492" spans="1:67" x14ac:dyDescent="0.2">
      <c r="A492" s="14">
        <v>121</v>
      </c>
      <c r="B492" s="10" t="s">
        <v>53</v>
      </c>
      <c r="F492" s="15"/>
      <c r="H492" s="15"/>
      <c r="J492" s="15"/>
      <c r="L492" s="15"/>
      <c r="N492" s="15"/>
      <c r="P492" s="15"/>
      <c r="R492" s="15"/>
      <c r="X492" s="15"/>
      <c r="Z492" s="15"/>
      <c r="AB492" s="15"/>
      <c r="AD492" s="15"/>
      <c r="AF492" s="15"/>
      <c r="AH492" s="15"/>
      <c r="AJ492" s="15"/>
      <c r="AZ492" s="15"/>
      <c r="BA492" s="15"/>
      <c r="BB492" s="76"/>
      <c r="BC492" s="37"/>
      <c r="BD492" s="76"/>
      <c r="BE492" s="37"/>
      <c r="BL492" s="39">
        <f t="shared" si="133"/>
        <v>0</v>
      </c>
      <c r="BM492" s="3"/>
      <c r="BN492" s="3"/>
      <c r="BO492" s="3"/>
    </row>
    <row r="493" spans="1:67" x14ac:dyDescent="0.2">
      <c r="A493" s="14"/>
      <c r="B493" s="10" t="s">
        <v>13</v>
      </c>
      <c r="F493" s="15"/>
      <c r="H493" s="15"/>
      <c r="J493" s="15"/>
      <c r="L493" s="15"/>
      <c r="N493" s="15"/>
      <c r="P493" s="15"/>
      <c r="R493" s="15"/>
      <c r="X493" s="15"/>
      <c r="Z493" s="15"/>
      <c r="AB493" s="15"/>
      <c r="AD493" s="15"/>
      <c r="AF493" s="15"/>
      <c r="AH493" s="15"/>
      <c r="AJ493" s="15"/>
      <c r="AZ493" s="15"/>
      <c r="BA493" s="15"/>
      <c r="BB493" s="76"/>
      <c r="BC493" s="37"/>
      <c r="BD493" s="76"/>
      <c r="BE493" s="37"/>
      <c r="BL493" s="39">
        <f t="shared" si="133"/>
        <v>0</v>
      </c>
      <c r="BM493" s="3"/>
      <c r="BN493" s="3"/>
      <c r="BO493" s="3"/>
    </row>
    <row r="494" spans="1:67" x14ac:dyDescent="0.2">
      <c r="A494" s="14"/>
      <c r="B494" s="3" t="s">
        <v>54</v>
      </c>
      <c r="C494" s="16">
        <v>0</v>
      </c>
      <c r="D494" s="17"/>
      <c r="E494" s="16">
        <v>0</v>
      </c>
      <c r="F494" s="15"/>
      <c r="G494" s="16">
        <v>0</v>
      </c>
      <c r="H494" s="17"/>
      <c r="I494" s="16">
        <v>0</v>
      </c>
      <c r="J494" s="17"/>
      <c r="K494" s="16">
        <v>0</v>
      </c>
      <c r="L494" s="17"/>
      <c r="M494" s="16">
        <v>0</v>
      </c>
      <c r="N494" s="15"/>
      <c r="O494" s="16">
        <v>0</v>
      </c>
      <c r="P494" s="15"/>
      <c r="Q494" s="16">
        <v>0</v>
      </c>
      <c r="R494" s="15"/>
      <c r="S494" s="16">
        <v>0</v>
      </c>
      <c r="T494" s="16"/>
      <c r="U494" s="16">
        <v>0</v>
      </c>
      <c r="V494" s="16"/>
      <c r="W494" s="16">
        <v>0</v>
      </c>
      <c r="X494" s="15"/>
      <c r="Y494" s="16">
        <v>0</v>
      </c>
      <c r="Z494" s="15"/>
      <c r="AA494" s="16">
        <v>0</v>
      </c>
      <c r="AB494" s="15"/>
      <c r="AC494" s="16">
        <v>0</v>
      </c>
      <c r="AD494" s="15"/>
      <c r="AE494" s="16">
        <v>0</v>
      </c>
      <c r="AF494" s="15"/>
      <c r="AG494" s="16">
        <v>0</v>
      </c>
      <c r="AH494" s="15"/>
      <c r="AI494" s="16">
        <v>0</v>
      </c>
      <c r="AJ494" s="15"/>
      <c r="AK494" s="16">
        <v>0</v>
      </c>
      <c r="AL494" s="16"/>
      <c r="AM494" s="16">
        <v>0</v>
      </c>
      <c r="AN494" s="16"/>
      <c r="AO494" s="16">
        <v>0</v>
      </c>
      <c r="AP494" s="16"/>
      <c r="AQ494" s="16">
        <v>0</v>
      </c>
      <c r="AR494" s="16"/>
      <c r="AS494" s="16">
        <v>0</v>
      </c>
      <c r="AT494" s="16">
        <v>0</v>
      </c>
      <c r="AU494" s="16"/>
      <c r="AV494" s="16">
        <v>0</v>
      </c>
      <c r="AW494" s="16"/>
      <c r="AX494" s="16">
        <v>0</v>
      </c>
      <c r="AY494" s="16"/>
      <c r="AZ494" s="15">
        <f>SUM(C494:AY494)</f>
        <v>0</v>
      </c>
      <c r="BA494" s="5"/>
      <c r="BB494" s="76">
        <f>SUMIF($C$10:$AY$10,"=Addition",$C494:$AY494)</f>
        <v>0</v>
      </c>
      <c r="BC494" s="37"/>
      <c r="BD494" s="76">
        <f>SUMIF($C$10:$AY$10,"=Adjustment",$C494:$AY494)</f>
        <v>0</v>
      </c>
      <c r="BE494" s="37"/>
      <c r="BF494" s="76">
        <f>SUMIF($C$10:$AY$10,"=Transfer",$C494:$AY494)</f>
        <v>0</v>
      </c>
      <c r="BH494" s="76">
        <f>SUMIF($C$10:$AY$10,"=N/A",$C494:$AY494)</f>
        <v>0</v>
      </c>
      <c r="BJ494" s="76">
        <f t="shared" ref="BJ494" si="135">SUM(BB494:BH494)</f>
        <v>0</v>
      </c>
      <c r="BL494" s="39">
        <f t="shared" si="133"/>
        <v>0</v>
      </c>
      <c r="BM494" s="3"/>
      <c r="BN494" s="3"/>
      <c r="BO494" s="3"/>
    </row>
    <row r="495" spans="1:67" x14ac:dyDescent="0.2">
      <c r="A495" s="14"/>
      <c r="C495" s="17">
        <f>SUM(C494)</f>
        <v>0</v>
      </c>
      <c r="D495" s="17"/>
      <c r="E495" s="17">
        <f>SUM(E494)</f>
        <v>0</v>
      </c>
      <c r="F495" s="17"/>
      <c r="G495" s="17">
        <f>SUM(G494)</f>
        <v>0</v>
      </c>
      <c r="H495" s="17"/>
      <c r="I495" s="17">
        <f>SUM(I494)</f>
        <v>0</v>
      </c>
      <c r="J495" s="17"/>
      <c r="K495" s="17">
        <f>SUM(K494)</f>
        <v>0</v>
      </c>
      <c r="L495" s="17"/>
      <c r="M495" s="17">
        <f>SUM(M494)</f>
        <v>0</v>
      </c>
      <c r="N495" s="17"/>
      <c r="O495" s="17">
        <f>SUM(O494)</f>
        <v>0</v>
      </c>
      <c r="P495" s="17"/>
      <c r="Q495" s="17">
        <f>SUM(Q494)</f>
        <v>0</v>
      </c>
      <c r="R495" s="17"/>
      <c r="S495" s="17">
        <f>SUM(S494)</f>
        <v>0</v>
      </c>
      <c r="T495" s="17"/>
      <c r="U495" s="17">
        <f>SUM(U494)</f>
        <v>0</v>
      </c>
      <c r="V495" s="17"/>
      <c r="W495" s="17">
        <f>SUM(W494)</f>
        <v>0</v>
      </c>
      <c r="X495" s="17"/>
      <c r="Y495" s="17">
        <f>SUM(Y494)</f>
        <v>0</v>
      </c>
      <c r="Z495" s="17"/>
      <c r="AA495" s="17">
        <f>SUM(AA494)</f>
        <v>0</v>
      </c>
      <c r="AB495" s="17"/>
      <c r="AC495" s="17">
        <f>SUM(AC494)</f>
        <v>0</v>
      </c>
      <c r="AD495" s="17"/>
      <c r="AE495" s="17">
        <f>SUM(AE494)</f>
        <v>0</v>
      </c>
      <c r="AF495" s="17"/>
      <c r="AG495" s="17">
        <f>SUM(AG494)</f>
        <v>0</v>
      </c>
      <c r="AH495" s="17"/>
      <c r="AI495" s="17">
        <f>SUM(AI494)</f>
        <v>0</v>
      </c>
      <c r="AJ495" s="17"/>
      <c r="AK495" s="17">
        <f>SUM(AK494)</f>
        <v>0</v>
      </c>
      <c r="AL495" s="17"/>
      <c r="AM495" s="17">
        <f>SUM(AM494)</f>
        <v>0</v>
      </c>
      <c r="AN495" s="17"/>
      <c r="AO495" s="17">
        <f>SUM(AO494)</f>
        <v>0</v>
      </c>
      <c r="AP495" s="17"/>
      <c r="AQ495" s="17">
        <f>SUM(AQ494)</f>
        <v>0</v>
      </c>
      <c r="AR495" s="17"/>
      <c r="AS495" s="17">
        <f>SUM(AS494)</f>
        <v>0</v>
      </c>
      <c r="AT495" s="17">
        <f>SUM(AT494)</f>
        <v>0</v>
      </c>
      <c r="AU495" s="17"/>
      <c r="AV495" s="17">
        <f>SUM(AV494)</f>
        <v>0</v>
      </c>
      <c r="AW495" s="17"/>
      <c r="AX495" s="17">
        <f>SUM(AX494)</f>
        <v>0</v>
      </c>
      <c r="AY495" s="17"/>
      <c r="AZ495" s="20">
        <f>SUM(AZ494)</f>
        <v>0</v>
      </c>
      <c r="BA495" s="5"/>
      <c r="BB495" s="114">
        <f>SUM(BB494)</f>
        <v>0</v>
      </c>
      <c r="BC495" s="37"/>
      <c r="BD495" s="114">
        <f>SUM(BD494)</f>
        <v>0</v>
      </c>
      <c r="BE495" s="37"/>
      <c r="BF495" s="114">
        <f>SUM(BF494)</f>
        <v>0</v>
      </c>
      <c r="BH495" s="114">
        <f>SUM(BH494)</f>
        <v>0</v>
      </c>
      <c r="BJ495" s="114">
        <f>SUM(BJ494)</f>
        <v>0</v>
      </c>
      <c r="BL495" s="39">
        <f t="shared" si="133"/>
        <v>0</v>
      </c>
      <c r="BM495" s="3"/>
      <c r="BN495" s="3"/>
      <c r="BO495" s="3"/>
    </row>
    <row r="496" spans="1:67" x14ac:dyDescent="0.2">
      <c r="A496" s="14"/>
      <c r="B496" s="19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5"/>
      <c r="BB496" s="76"/>
      <c r="BC496" s="37"/>
      <c r="BD496" s="76"/>
      <c r="BE496" s="37"/>
      <c r="BL496" s="39">
        <f t="shared" si="133"/>
        <v>0</v>
      </c>
      <c r="BM496" s="3"/>
      <c r="BN496" s="3"/>
      <c r="BO496" s="3"/>
    </row>
    <row r="497" spans="1:67" x14ac:dyDescent="0.2">
      <c r="A497" s="14"/>
      <c r="B497" s="10" t="s">
        <v>55</v>
      </c>
      <c r="C497" s="21">
        <f>C495</f>
        <v>0</v>
      </c>
      <c r="D497" s="17"/>
      <c r="E497" s="21">
        <f>E495</f>
        <v>0</v>
      </c>
      <c r="F497" s="15"/>
      <c r="G497" s="21">
        <f>G495</f>
        <v>0</v>
      </c>
      <c r="H497" s="17"/>
      <c r="I497" s="21">
        <f>I495</f>
        <v>0</v>
      </c>
      <c r="J497" s="17"/>
      <c r="K497" s="21">
        <f>K495</f>
        <v>0</v>
      </c>
      <c r="L497" s="17"/>
      <c r="M497" s="21">
        <f>M495</f>
        <v>0</v>
      </c>
      <c r="N497" s="15"/>
      <c r="O497" s="21">
        <f>O495</f>
        <v>0</v>
      </c>
      <c r="P497" s="15"/>
      <c r="Q497" s="21">
        <f>Q495</f>
        <v>0</v>
      </c>
      <c r="R497" s="15"/>
      <c r="S497" s="21">
        <f>S495</f>
        <v>0</v>
      </c>
      <c r="T497" s="21"/>
      <c r="U497" s="21">
        <f>U495</f>
        <v>0</v>
      </c>
      <c r="V497" s="21"/>
      <c r="W497" s="21">
        <f>W495</f>
        <v>0</v>
      </c>
      <c r="X497" s="15"/>
      <c r="Y497" s="21">
        <f>Y495</f>
        <v>0</v>
      </c>
      <c r="Z497" s="15"/>
      <c r="AA497" s="21">
        <f>AA495</f>
        <v>0</v>
      </c>
      <c r="AB497" s="15"/>
      <c r="AC497" s="21">
        <f>AC495</f>
        <v>0</v>
      </c>
      <c r="AD497" s="15"/>
      <c r="AE497" s="21">
        <f>AE495</f>
        <v>0</v>
      </c>
      <c r="AF497" s="15"/>
      <c r="AG497" s="21">
        <f>AG495</f>
        <v>0</v>
      </c>
      <c r="AH497" s="15"/>
      <c r="AI497" s="21">
        <f>AI495</f>
        <v>0</v>
      </c>
      <c r="AJ497" s="15"/>
      <c r="AK497" s="21">
        <f>AK495</f>
        <v>0</v>
      </c>
      <c r="AL497" s="21"/>
      <c r="AM497" s="21">
        <f>AM495</f>
        <v>0</v>
      </c>
      <c r="AN497" s="21"/>
      <c r="AO497" s="21">
        <f>AO495</f>
        <v>0</v>
      </c>
      <c r="AP497" s="21"/>
      <c r="AQ497" s="21">
        <f>AQ495</f>
        <v>0</v>
      </c>
      <c r="AR497" s="21"/>
      <c r="AS497" s="21">
        <f>AS495</f>
        <v>0</v>
      </c>
      <c r="AT497" s="21">
        <f>AT495</f>
        <v>0</v>
      </c>
      <c r="AU497" s="21"/>
      <c r="AV497" s="21">
        <f>AV495</f>
        <v>0</v>
      </c>
      <c r="AW497" s="21"/>
      <c r="AX497" s="21">
        <f>AX495</f>
        <v>0</v>
      </c>
      <c r="AY497" s="21"/>
      <c r="AZ497" s="21">
        <f>AZ495</f>
        <v>0</v>
      </c>
      <c r="BA497" s="5"/>
      <c r="BB497" s="91">
        <f>BB495</f>
        <v>0</v>
      </c>
      <c r="BC497" s="37"/>
      <c r="BD497" s="91">
        <f>BD495</f>
        <v>0</v>
      </c>
      <c r="BE497" s="37"/>
      <c r="BF497" s="91">
        <f>BF495</f>
        <v>0</v>
      </c>
      <c r="BH497" s="91">
        <f>BH495</f>
        <v>0</v>
      </c>
      <c r="BJ497" s="91">
        <f>BJ495</f>
        <v>0</v>
      </c>
      <c r="BL497" s="39">
        <f t="shared" si="133"/>
        <v>0</v>
      </c>
      <c r="BM497" s="3"/>
      <c r="BN497" s="3"/>
      <c r="BO497" s="3"/>
    </row>
    <row r="498" spans="1:67" x14ac:dyDescent="0.2">
      <c r="A498" s="1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5"/>
      <c r="BB498" s="76"/>
      <c r="BC498" s="37"/>
      <c r="BD498" s="76"/>
      <c r="BE498" s="37"/>
      <c r="BL498" s="39">
        <f t="shared" si="133"/>
        <v>0</v>
      </c>
      <c r="BM498" s="3"/>
      <c r="BN498" s="3"/>
      <c r="BO498" s="3"/>
    </row>
    <row r="499" spans="1:67" x14ac:dyDescent="0.2">
      <c r="A499" s="14"/>
      <c r="F499" s="15"/>
      <c r="H499" s="15"/>
      <c r="J499" s="15"/>
      <c r="L499" s="15"/>
      <c r="N499" s="15"/>
      <c r="P499" s="15"/>
      <c r="R499" s="15"/>
      <c r="X499" s="15"/>
      <c r="Z499" s="15"/>
      <c r="AB499" s="15"/>
      <c r="AD499" s="15"/>
      <c r="AF499" s="15"/>
      <c r="AH499" s="15"/>
      <c r="AJ499" s="15"/>
      <c r="AZ499" s="15"/>
      <c r="BA499" s="15"/>
      <c r="BB499" s="76"/>
      <c r="BC499" s="37"/>
      <c r="BD499" s="76"/>
      <c r="BE499" s="37"/>
      <c r="BL499" s="39">
        <f t="shared" si="133"/>
        <v>0</v>
      </c>
      <c r="BM499" s="3"/>
      <c r="BN499" s="3"/>
      <c r="BO499" s="3"/>
    </row>
    <row r="500" spans="1:67" x14ac:dyDescent="0.2">
      <c r="A500" s="14">
        <v>107</v>
      </c>
      <c r="B500" s="10" t="s">
        <v>56</v>
      </c>
      <c r="F500" s="15"/>
      <c r="H500" s="15"/>
      <c r="J500" s="15"/>
      <c r="L500" s="15"/>
      <c r="N500" s="15"/>
      <c r="P500" s="15"/>
      <c r="R500" s="15"/>
      <c r="X500" s="15"/>
      <c r="Z500" s="15"/>
      <c r="AB500" s="15"/>
      <c r="AD500" s="15"/>
      <c r="AF500" s="15"/>
      <c r="AH500" s="15"/>
      <c r="AJ500" s="15"/>
      <c r="AZ500" s="15"/>
      <c r="BA500" s="15"/>
      <c r="BB500" s="76"/>
      <c r="BC500" s="37"/>
      <c r="BD500" s="76"/>
      <c r="BE500" s="37"/>
      <c r="BL500" s="39">
        <f t="shared" si="133"/>
        <v>0</v>
      </c>
      <c r="BM500" s="3"/>
      <c r="BN500" s="3"/>
      <c r="BO500" s="3"/>
    </row>
    <row r="501" spans="1:67" x14ac:dyDescent="0.2">
      <c r="A501" s="14"/>
      <c r="B501" s="10" t="s">
        <v>57</v>
      </c>
      <c r="F501" s="15"/>
      <c r="H501" s="15"/>
      <c r="J501" s="15"/>
      <c r="L501" s="15"/>
      <c r="N501" s="15"/>
      <c r="P501" s="15"/>
      <c r="R501" s="15"/>
      <c r="X501" s="15"/>
      <c r="Z501" s="15"/>
      <c r="AB501" s="15"/>
      <c r="AD501" s="15"/>
      <c r="AF501" s="15"/>
      <c r="AH501" s="15"/>
      <c r="AJ501" s="15"/>
      <c r="AZ501" s="15"/>
      <c r="BA501" s="15"/>
      <c r="BB501" s="76"/>
      <c r="BC501" s="37"/>
      <c r="BD501" s="76"/>
      <c r="BE501" s="37"/>
      <c r="BL501" s="39">
        <f t="shared" si="133"/>
        <v>0</v>
      </c>
      <c r="BM501" s="3"/>
      <c r="BN501" s="3"/>
      <c r="BO501" s="3"/>
    </row>
    <row r="502" spans="1:67" x14ac:dyDescent="0.2">
      <c r="A502" s="14"/>
      <c r="B502" s="10"/>
      <c r="F502" s="15"/>
      <c r="H502" s="15"/>
      <c r="J502" s="15"/>
      <c r="L502" s="15"/>
      <c r="N502" s="15"/>
      <c r="P502" s="15"/>
      <c r="R502" s="15"/>
      <c r="X502" s="15"/>
      <c r="Z502" s="15"/>
      <c r="AB502" s="15"/>
      <c r="AD502" s="15"/>
      <c r="AF502" s="15"/>
      <c r="AH502" s="15"/>
      <c r="AJ502" s="15"/>
      <c r="AZ502" s="15"/>
      <c r="BA502" s="15"/>
      <c r="BB502" s="76"/>
      <c r="BC502" s="37"/>
      <c r="BD502" s="76"/>
      <c r="BE502" s="37"/>
      <c r="BL502" s="39">
        <f t="shared" si="133"/>
        <v>0</v>
      </c>
      <c r="BM502" s="3"/>
      <c r="BN502" s="3"/>
      <c r="BO502" s="3"/>
    </row>
    <row r="503" spans="1:67" x14ac:dyDescent="0.2">
      <c r="A503" s="14"/>
      <c r="B503" s="3" t="s">
        <v>13</v>
      </c>
      <c r="C503" s="15">
        <v>0</v>
      </c>
      <c r="D503" s="15"/>
      <c r="E503" s="15">
        <v>0</v>
      </c>
      <c r="F503" s="15"/>
      <c r="G503" s="15">
        <v>0</v>
      </c>
      <c r="H503" s="15"/>
      <c r="I503" s="15">
        <v>0</v>
      </c>
      <c r="J503" s="15"/>
      <c r="K503" s="15">
        <v>0</v>
      </c>
      <c r="L503" s="15"/>
      <c r="M503" s="15">
        <v>0</v>
      </c>
      <c r="N503" s="15"/>
      <c r="O503" s="15">
        <v>0</v>
      </c>
      <c r="P503" s="15"/>
      <c r="Q503" s="15">
        <v>0</v>
      </c>
      <c r="R503" s="15"/>
      <c r="S503" s="15">
        <v>0</v>
      </c>
      <c r="T503" s="15"/>
      <c r="U503" s="15">
        <v>0</v>
      </c>
      <c r="V503" s="15"/>
      <c r="W503" s="15">
        <v>0</v>
      </c>
      <c r="X503" s="15"/>
      <c r="Y503" s="15">
        <v>0</v>
      </c>
      <c r="Z503" s="15"/>
      <c r="AA503" s="15">
        <v>0</v>
      </c>
      <c r="AB503" s="15"/>
      <c r="AC503" s="15">
        <v>0</v>
      </c>
      <c r="AD503" s="15"/>
      <c r="AE503" s="15">
        <v>0</v>
      </c>
      <c r="AF503" s="15"/>
      <c r="AG503" s="15">
        <v>0</v>
      </c>
      <c r="AH503" s="15"/>
      <c r="AI503" s="15">
        <v>0</v>
      </c>
      <c r="AJ503" s="15"/>
      <c r="AK503" s="15">
        <v>0</v>
      </c>
      <c r="AL503" s="15"/>
      <c r="AM503" s="15">
        <v>0</v>
      </c>
      <c r="AN503" s="15"/>
      <c r="AO503" s="15">
        <v>0</v>
      </c>
      <c r="AP503" s="15"/>
      <c r="AQ503" s="15">
        <v>0</v>
      </c>
      <c r="AR503" s="15"/>
      <c r="AS503" s="15">
        <v>0</v>
      </c>
      <c r="AT503" s="15">
        <v>0</v>
      </c>
      <c r="AU503" s="15"/>
      <c r="AV503" s="15">
        <v>0</v>
      </c>
      <c r="AW503" s="15"/>
      <c r="AX503" s="15">
        <v>0</v>
      </c>
      <c r="AY503" s="15"/>
      <c r="AZ503" s="17">
        <f>SUM(C503:AY503)</f>
        <v>0</v>
      </c>
      <c r="BA503" s="5"/>
      <c r="BB503" s="76">
        <f>SUMIF($C$10:$AY$10,"=Addition",$C503:$AY503)</f>
        <v>0</v>
      </c>
      <c r="BC503" s="37"/>
      <c r="BD503" s="76">
        <f>SUMIF($C$10:$AY$10,"=Adjustment",$C503:$AY503)</f>
        <v>0</v>
      </c>
      <c r="BE503" s="37"/>
      <c r="BF503" s="76">
        <f>SUMIF($C$10:$AY$10,"=Transfer",$C503:$AY503)</f>
        <v>0</v>
      </c>
      <c r="BH503" s="76">
        <f>SUMIF($C$10:$AY$10,"=N/A",$C503:$AY503)</f>
        <v>0</v>
      </c>
      <c r="BJ503" s="76">
        <f t="shared" ref="BJ503:BJ505" si="136">SUM(BB503:BH503)</f>
        <v>0</v>
      </c>
      <c r="BL503" s="39">
        <f t="shared" si="133"/>
        <v>0</v>
      </c>
      <c r="BM503" s="3"/>
      <c r="BN503" s="3"/>
      <c r="BO503" s="3"/>
    </row>
    <row r="504" spans="1:67" x14ac:dyDescent="0.2">
      <c r="A504" s="14"/>
      <c r="B504" s="3" t="s">
        <v>17</v>
      </c>
      <c r="C504" s="15">
        <v>0</v>
      </c>
      <c r="D504" s="15"/>
      <c r="E504" s="15">
        <v>0</v>
      </c>
      <c r="F504" s="15"/>
      <c r="G504" s="15">
        <v>0</v>
      </c>
      <c r="H504" s="15"/>
      <c r="I504" s="15">
        <v>0</v>
      </c>
      <c r="J504" s="15"/>
      <c r="K504" s="15">
        <v>0</v>
      </c>
      <c r="L504" s="15"/>
      <c r="M504" s="15">
        <v>0</v>
      </c>
      <c r="N504" s="15"/>
      <c r="O504" s="15">
        <v>0</v>
      </c>
      <c r="P504" s="15"/>
      <c r="Q504" s="15">
        <v>0</v>
      </c>
      <c r="R504" s="15"/>
      <c r="S504" s="15">
        <v>0</v>
      </c>
      <c r="T504" s="15"/>
      <c r="U504" s="15">
        <v>0</v>
      </c>
      <c r="V504" s="15"/>
      <c r="W504" s="15">
        <v>0</v>
      </c>
      <c r="X504" s="15"/>
      <c r="Y504" s="15">
        <v>0</v>
      </c>
      <c r="Z504" s="15"/>
      <c r="AA504" s="15">
        <v>0</v>
      </c>
      <c r="AB504" s="15"/>
      <c r="AC504" s="15">
        <v>0</v>
      </c>
      <c r="AD504" s="15"/>
      <c r="AE504" s="15">
        <v>0</v>
      </c>
      <c r="AF504" s="15"/>
      <c r="AG504" s="15">
        <v>0</v>
      </c>
      <c r="AH504" s="15"/>
      <c r="AI504" s="15">
        <v>0</v>
      </c>
      <c r="AJ504" s="15"/>
      <c r="AK504" s="15">
        <v>0</v>
      </c>
      <c r="AL504" s="15"/>
      <c r="AM504" s="15">
        <v>0</v>
      </c>
      <c r="AN504" s="15"/>
      <c r="AO504" s="15">
        <v>0</v>
      </c>
      <c r="AP504" s="15"/>
      <c r="AQ504" s="15">
        <v>0</v>
      </c>
      <c r="AR504" s="15"/>
      <c r="AS504" s="15">
        <v>0</v>
      </c>
      <c r="AT504" s="15">
        <v>0</v>
      </c>
      <c r="AU504" s="15"/>
      <c r="AV504" s="15">
        <v>0</v>
      </c>
      <c r="AW504" s="15"/>
      <c r="AX504" s="15">
        <v>0</v>
      </c>
      <c r="AY504" s="15"/>
      <c r="AZ504" s="17">
        <f>SUM(C504:AY504)</f>
        <v>0</v>
      </c>
      <c r="BA504" s="5"/>
      <c r="BB504" s="76">
        <f>SUMIF($C$10:$AY$10,"=Addition",$C504:$AY504)</f>
        <v>0</v>
      </c>
      <c r="BC504" s="37"/>
      <c r="BD504" s="76">
        <f>SUMIF($C$10:$AY$10,"=Adjustment",$C504:$AY504)</f>
        <v>0</v>
      </c>
      <c r="BE504" s="37"/>
      <c r="BF504" s="76">
        <f>SUMIF($C$10:$AY$10,"=Transfer",$C504:$AY504)</f>
        <v>0</v>
      </c>
      <c r="BH504" s="76">
        <f>SUMIF($C$10:$AY$10,"=N/A",$C504:$AY504)</f>
        <v>0</v>
      </c>
      <c r="BJ504" s="76">
        <f t="shared" si="136"/>
        <v>0</v>
      </c>
      <c r="BL504" s="39">
        <f t="shared" si="133"/>
        <v>0</v>
      </c>
      <c r="BM504" s="3"/>
      <c r="BN504" s="3"/>
      <c r="BO504" s="3"/>
    </row>
    <row r="505" spans="1:67" x14ac:dyDescent="0.2">
      <c r="A505" s="14"/>
      <c r="B505" s="3" t="s">
        <v>26</v>
      </c>
      <c r="C505" s="16">
        <v>0</v>
      </c>
      <c r="D505" s="17"/>
      <c r="E505" s="16">
        <v>0</v>
      </c>
      <c r="F505" s="15"/>
      <c r="G505" s="16">
        <v>0</v>
      </c>
      <c r="H505" s="17"/>
      <c r="I505" s="16">
        <v>0</v>
      </c>
      <c r="J505" s="17"/>
      <c r="K505" s="16">
        <v>0</v>
      </c>
      <c r="L505" s="17"/>
      <c r="M505" s="16">
        <v>0</v>
      </c>
      <c r="N505" s="15"/>
      <c r="O505" s="16">
        <v>0</v>
      </c>
      <c r="P505" s="15"/>
      <c r="Q505" s="16">
        <v>0</v>
      </c>
      <c r="R505" s="15"/>
      <c r="S505" s="16">
        <v>0</v>
      </c>
      <c r="T505" s="16"/>
      <c r="U505" s="16">
        <v>0</v>
      </c>
      <c r="V505" s="16"/>
      <c r="W505" s="16">
        <v>0</v>
      </c>
      <c r="X505" s="15"/>
      <c r="Y505" s="16">
        <v>0</v>
      </c>
      <c r="Z505" s="15"/>
      <c r="AA505" s="16">
        <v>0</v>
      </c>
      <c r="AB505" s="15"/>
      <c r="AC505" s="16">
        <v>0</v>
      </c>
      <c r="AD505" s="15"/>
      <c r="AE505" s="16">
        <v>0</v>
      </c>
      <c r="AF505" s="15"/>
      <c r="AG505" s="16">
        <v>0</v>
      </c>
      <c r="AH505" s="15"/>
      <c r="AI505" s="16">
        <v>0</v>
      </c>
      <c r="AJ505" s="15"/>
      <c r="AK505" s="16">
        <v>0</v>
      </c>
      <c r="AL505" s="16"/>
      <c r="AM505" s="16">
        <v>0</v>
      </c>
      <c r="AN505" s="16"/>
      <c r="AO505" s="16">
        <v>0</v>
      </c>
      <c r="AP505" s="16"/>
      <c r="AQ505" s="17">
        <v>0</v>
      </c>
      <c r="AR505" s="17"/>
      <c r="AS505" s="17">
        <v>0</v>
      </c>
      <c r="AT505" s="16">
        <v>0</v>
      </c>
      <c r="AU505" s="16"/>
      <c r="AV505" s="16">
        <v>0</v>
      </c>
      <c r="AW505" s="16"/>
      <c r="AX505" s="16">
        <v>0</v>
      </c>
      <c r="AY505" s="16"/>
      <c r="AZ505" s="17">
        <f>SUM(C505:AY505)</f>
        <v>0</v>
      </c>
      <c r="BA505" s="5"/>
      <c r="BB505" s="76">
        <f>SUMIF($C$10:$AY$10,"=Addition",$C505:$AY505)</f>
        <v>0</v>
      </c>
      <c r="BC505" s="37"/>
      <c r="BD505" s="76">
        <f>SUMIF($C$10:$AY$10,"=Adjustment",$C505:$AY505)</f>
        <v>0</v>
      </c>
      <c r="BE505" s="37"/>
      <c r="BF505" s="76">
        <f>SUMIF($C$10:$AY$10,"=Transfer",$C505:$AY505)</f>
        <v>0</v>
      </c>
      <c r="BH505" s="76">
        <f>SUMIF($C$10:$AY$10,"=N/A",$C505:$AY505)</f>
        <v>0</v>
      </c>
      <c r="BJ505" s="76">
        <f t="shared" si="136"/>
        <v>0</v>
      </c>
      <c r="BL505" s="39">
        <f t="shared" si="133"/>
        <v>0</v>
      </c>
      <c r="BM505" s="3"/>
      <c r="BN505" s="3"/>
      <c r="BO505" s="3"/>
    </row>
    <row r="506" spans="1:67" x14ac:dyDescent="0.2">
      <c r="A506" s="14"/>
      <c r="B506" s="10" t="s">
        <v>443</v>
      </c>
      <c r="C506" s="17">
        <f>SUM(C503:C505)</f>
        <v>0</v>
      </c>
      <c r="D506" s="17"/>
      <c r="E506" s="17">
        <f>SUM(E503:E505)</f>
        <v>0</v>
      </c>
      <c r="F506" s="17"/>
      <c r="G506" s="17">
        <f>SUM(G503:G505)</f>
        <v>0</v>
      </c>
      <c r="H506" s="17"/>
      <c r="I506" s="17">
        <f>SUM(I503:I505)</f>
        <v>0</v>
      </c>
      <c r="J506" s="17"/>
      <c r="K506" s="17">
        <f>SUM(K503:K505)</f>
        <v>0</v>
      </c>
      <c r="L506" s="17"/>
      <c r="M506" s="17">
        <f>SUM(M503:M505)</f>
        <v>0</v>
      </c>
      <c r="N506" s="17"/>
      <c r="O506" s="17">
        <f>SUM(O503:O505)</f>
        <v>0</v>
      </c>
      <c r="P506" s="17"/>
      <c r="Q506" s="17">
        <f>SUM(Q503:Q505)</f>
        <v>0</v>
      </c>
      <c r="R506" s="17"/>
      <c r="S506" s="17">
        <f>SUM(S503:S505)</f>
        <v>0</v>
      </c>
      <c r="T506" s="17"/>
      <c r="U506" s="17">
        <f>SUM(U503:U505)</f>
        <v>0</v>
      </c>
      <c r="V506" s="17"/>
      <c r="W506" s="17">
        <f>SUM(W503:W505)</f>
        <v>0</v>
      </c>
      <c r="X506" s="17"/>
      <c r="Y506" s="17">
        <f>SUM(Y503:Y505)</f>
        <v>0</v>
      </c>
      <c r="Z506" s="17"/>
      <c r="AA506" s="17">
        <f>SUM(AA503:AA505)</f>
        <v>0</v>
      </c>
      <c r="AB506" s="17"/>
      <c r="AC506" s="17">
        <f>SUM(AC503:AC505)</f>
        <v>0</v>
      </c>
      <c r="AD506" s="17"/>
      <c r="AE506" s="17">
        <f>SUM(AE503:AE505)</f>
        <v>0</v>
      </c>
      <c r="AF506" s="17"/>
      <c r="AG506" s="17">
        <f>SUM(AG503:AG505)</f>
        <v>0</v>
      </c>
      <c r="AH506" s="17"/>
      <c r="AI506" s="17">
        <f>SUM(AI503:AI505)</f>
        <v>0</v>
      </c>
      <c r="AJ506" s="17"/>
      <c r="AK506" s="17">
        <f>SUM(AK503:AK505)</f>
        <v>0</v>
      </c>
      <c r="AL506" s="17"/>
      <c r="AM506" s="17">
        <f>SUM(AM503:AM505)</f>
        <v>0</v>
      </c>
      <c r="AN506" s="17"/>
      <c r="AO506" s="17">
        <f>SUM(AO503:AO505)</f>
        <v>0</v>
      </c>
      <c r="AP506" s="17"/>
      <c r="AQ506" s="20">
        <f>SUM(AQ503:AQ505)</f>
        <v>0</v>
      </c>
      <c r="AR506" s="17"/>
      <c r="AS506" s="20">
        <f>SUM(AS503:AS505)</f>
        <v>0</v>
      </c>
      <c r="AT506" s="17">
        <f>SUM(AT503:AT505)</f>
        <v>0</v>
      </c>
      <c r="AU506" s="17"/>
      <c r="AV506" s="17">
        <f>SUM(AV503:AV505)</f>
        <v>0</v>
      </c>
      <c r="AW506" s="17"/>
      <c r="AX506" s="17">
        <f>SUM(AX503:AX505)</f>
        <v>0</v>
      </c>
      <c r="AY506" s="17"/>
      <c r="AZ506" s="20">
        <f>SUM(AZ503:AZ505)</f>
        <v>0</v>
      </c>
      <c r="BA506" s="5"/>
      <c r="BB506" s="113">
        <f>SUM(BB503:BB505)</f>
        <v>0</v>
      </c>
      <c r="BC506" s="37"/>
      <c r="BD506" s="113">
        <f>SUM(BD503:BD505)</f>
        <v>0</v>
      </c>
      <c r="BE506" s="37"/>
      <c r="BF506" s="113">
        <f>SUM(BF503:BF505)</f>
        <v>0</v>
      </c>
      <c r="BH506" s="113">
        <f>SUM(BH503:BH505)</f>
        <v>0</v>
      </c>
      <c r="BJ506" s="113">
        <f>SUM(BJ503:BJ505)</f>
        <v>0</v>
      </c>
      <c r="BL506" s="39">
        <f t="shared" si="133"/>
        <v>0</v>
      </c>
      <c r="BM506" s="3"/>
      <c r="BN506" s="3"/>
      <c r="BO506" s="3"/>
    </row>
    <row r="507" spans="1:67" x14ac:dyDescent="0.2">
      <c r="A507" s="14"/>
      <c r="B507" s="19"/>
      <c r="C507" s="17"/>
      <c r="D507" s="17"/>
      <c r="E507" s="17"/>
      <c r="F507" s="15"/>
      <c r="G507" s="17"/>
      <c r="H507" s="17"/>
      <c r="I507" s="17"/>
      <c r="J507" s="17"/>
      <c r="K507" s="17"/>
      <c r="L507" s="17"/>
      <c r="M507" s="17"/>
      <c r="N507" s="15"/>
      <c r="O507" s="17"/>
      <c r="P507" s="15"/>
      <c r="Q507" s="17"/>
      <c r="R507" s="15"/>
      <c r="S507" s="17"/>
      <c r="T507" s="17"/>
      <c r="U507" s="17"/>
      <c r="V507" s="17"/>
      <c r="W507" s="17"/>
      <c r="X507" s="15"/>
      <c r="Y507" s="17"/>
      <c r="Z507" s="15"/>
      <c r="AA507" s="17"/>
      <c r="AB507" s="15"/>
      <c r="AC507" s="17"/>
      <c r="AD507" s="15"/>
      <c r="AE507" s="17"/>
      <c r="AF507" s="15"/>
      <c r="AG507" s="17"/>
      <c r="AH507" s="15"/>
      <c r="AI507" s="17"/>
      <c r="AJ507" s="15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5"/>
      <c r="BB507" s="76"/>
      <c r="BC507" s="37"/>
      <c r="BD507" s="76"/>
      <c r="BE507" s="37"/>
      <c r="BL507" s="39">
        <f t="shared" si="133"/>
        <v>0</v>
      </c>
      <c r="BM507" s="3"/>
      <c r="BN507" s="3"/>
      <c r="BO507" s="3"/>
    </row>
    <row r="508" spans="1:67" x14ac:dyDescent="0.2">
      <c r="A508" s="5"/>
      <c r="B508" s="1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76"/>
      <c r="BC508" s="37"/>
      <c r="BD508" s="76"/>
      <c r="BE508" s="37"/>
      <c r="BL508" s="39">
        <f t="shared" si="133"/>
        <v>0</v>
      </c>
      <c r="BM508" s="3"/>
      <c r="BN508" s="3"/>
      <c r="BO508" s="3"/>
    </row>
    <row r="509" spans="1:67" x14ac:dyDescent="0.2">
      <c r="A509" s="121" t="s">
        <v>444</v>
      </c>
      <c r="B509" s="19"/>
      <c r="C509" s="122">
        <f>C481+C244+C232</f>
        <v>-3671.69</v>
      </c>
      <c r="D509" s="5"/>
      <c r="E509" s="122">
        <f>E481+E244+E232</f>
        <v>0</v>
      </c>
      <c r="F509" s="5"/>
      <c r="G509" s="122">
        <f>G481+G244+G232</f>
        <v>0</v>
      </c>
      <c r="H509" s="5"/>
      <c r="I509" s="122">
        <f>I481+I244+I232</f>
        <v>0</v>
      </c>
      <c r="J509" s="5"/>
      <c r="K509" s="122">
        <f>K481+K244+K232</f>
        <v>0</v>
      </c>
      <c r="L509" s="5"/>
      <c r="M509" s="122">
        <f>M481+M244+M232</f>
        <v>0</v>
      </c>
      <c r="N509" s="5"/>
      <c r="O509" s="122">
        <f>O481+O244+O232</f>
        <v>3612188.67</v>
      </c>
      <c r="P509" s="5"/>
      <c r="Q509" s="122">
        <f>Q481+Q244+Q232</f>
        <v>0</v>
      </c>
      <c r="R509" s="5"/>
      <c r="S509" s="122">
        <f>S481+S244+S232</f>
        <v>0</v>
      </c>
      <c r="T509" s="122"/>
      <c r="U509" s="122">
        <f>U481+U244+U232</f>
        <v>0</v>
      </c>
      <c r="V509" s="122"/>
      <c r="W509" s="122">
        <f>W481+W244+W232</f>
        <v>4.3655745685100555E-10</v>
      </c>
      <c r="X509" s="5"/>
      <c r="Y509" s="122">
        <f>Y481+Y244+Y232</f>
        <v>0</v>
      </c>
      <c r="Z509" s="5"/>
      <c r="AA509" s="122">
        <f>AA481+AA244+AA232</f>
        <v>-871644.37</v>
      </c>
      <c r="AB509" s="5"/>
      <c r="AC509" s="122">
        <f>AC481+AC244+AC232</f>
        <v>0</v>
      </c>
      <c r="AD509" s="5"/>
      <c r="AE509" s="122">
        <f>AE481+AE244+AE232</f>
        <v>6206406.7000000002</v>
      </c>
      <c r="AF509" s="5"/>
      <c r="AG509" s="122">
        <f>AG481+AG244+AG232</f>
        <v>-30374999.219999999</v>
      </c>
      <c r="AH509" s="5"/>
      <c r="AI509" s="122">
        <f>AI481+AI244+AI232</f>
        <v>0</v>
      </c>
      <c r="AJ509" s="5"/>
      <c r="AK509" s="122">
        <f>AK481+AK244+AK232</f>
        <v>0</v>
      </c>
      <c r="AL509" s="122"/>
      <c r="AM509" s="122">
        <f>AM481+AM244+AM232</f>
        <v>-76448.429999999993</v>
      </c>
      <c r="AN509" s="122"/>
      <c r="AO509" s="122">
        <f>AO481+AO244+AO232</f>
        <v>0</v>
      </c>
      <c r="AP509" s="122"/>
      <c r="AQ509" s="122">
        <f>AQ481+AQ244+AQ232</f>
        <v>16838134.300000001</v>
      </c>
      <c r="AR509" s="122"/>
      <c r="AS509" s="122">
        <f>AS481+AS244+AS232</f>
        <v>-285876.24</v>
      </c>
      <c r="AT509" s="122">
        <f>AT481+AT244+AT232</f>
        <v>0</v>
      </c>
      <c r="AU509" s="122"/>
      <c r="AV509" s="122">
        <f>AV481+AV244+AV232</f>
        <v>0</v>
      </c>
      <c r="AW509" s="122"/>
      <c r="AX509" s="122">
        <f>AX481+AX244+AX232</f>
        <v>0</v>
      </c>
      <c r="AY509" s="122"/>
      <c r="AZ509" s="122">
        <f>AZ481+AZ244+AZ232</f>
        <v>-4955910.2800000124</v>
      </c>
      <c r="BA509" s="5"/>
      <c r="BB509" s="123">
        <f>BB481+BB244+BB232</f>
        <v>23044540.999999996</v>
      </c>
      <c r="BC509" s="37"/>
      <c r="BD509" s="123">
        <f>BD481+BD244+BD232</f>
        <v>-362324.67</v>
      </c>
      <c r="BE509" s="37"/>
      <c r="BF509" s="123">
        <f>BF481+BF244+BF232</f>
        <v>2736872.6099999947</v>
      </c>
      <c r="BH509" s="123">
        <f>BH481+BH244+BH232</f>
        <v>0</v>
      </c>
      <c r="BJ509" s="123">
        <f>BJ481+BJ244+BJ232</f>
        <v>-4955910.2800000124</v>
      </c>
      <c r="BL509" s="39">
        <f t="shared" si="133"/>
        <v>0</v>
      </c>
      <c r="BM509" s="3"/>
      <c r="BN509" s="3"/>
      <c r="BO509" s="3"/>
    </row>
    <row r="510" spans="1:67" x14ac:dyDescent="0.2">
      <c r="A510" s="5"/>
      <c r="B510" s="1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76"/>
      <c r="BC510" s="37"/>
      <c r="BD510" s="76"/>
      <c r="BE510" s="37"/>
      <c r="BL510" s="3"/>
      <c r="BM510" s="3"/>
      <c r="BN510" s="3"/>
      <c r="BO510" s="3"/>
    </row>
    <row r="511" spans="1:67" x14ac:dyDescent="0.2">
      <c r="A511" s="5"/>
      <c r="B511" s="1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76"/>
      <c r="BC511" s="37"/>
      <c r="BD511" s="76"/>
      <c r="BE511" s="37"/>
      <c r="BL511" s="3"/>
      <c r="BM511" s="3"/>
      <c r="BN511" s="3"/>
      <c r="BO511" s="3"/>
    </row>
    <row r="512" spans="1:67" x14ac:dyDescent="0.2">
      <c r="B512" s="5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31"/>
      <c r="BM512" s="3"/>
      <c r="BN512" s="3"/>
      <c r="BO512" s="3"/>
    </row>
    <row r="513" spans="1:67" x14ac:dyDescent="0.2">
      <c r="C513" s="8" t="s">
        <v>4</v>
      </c>
      <c r="D513" s="8"/>
      <c r="E513" s="8" t="s">
        <v>4</v>
      </c>
      <c r="G513" s="8" t="s">
        <v>4</v>
      </c>
      <c r="H513" s="8"/>
      <c r="I513" s="8" t="s">
        <v>4</v>
      </c>
      <c r="K513" s="8" t="s">
        <v>4</v>
      </c>
      <c r="M513" s="8" t="s">
        <v>4</v>
      </c>
      <c r="O513" s="8" t="s">
        <v>4</v>
      </c>
      <c r="Q513" s="8" t="s">
        <v>4</v>
      </c>
      <c r="S513" s="8" t="s">
        <v>4</v>
      </c>
      <c r="T513" s="8"/>
      <c r="U513" s="8" t="s">
        <v>4</v>
      </c>
      <c r="V513" s="8"/>
      <c r="W513" s="8" t="s">
        <v>4</v>
      </c>
      <c r="Y513" s="8" t="s">
        <v>4</v>
      </c>
      <c r="AA513" s="8" t="s">
        <v>4</v>
      </c>
      <c r="AC513" s="8" t="s">
        <v>4</v>
      </c>
      <c r="AE513" s="8" t="s">
        <v>4</v>
      </c>
      <c r="AG513" s="8" t="s">
        <v>4</v>
      </c>
      <c r="AI513" s="8" t="s">
        <v>4</v>
      </c>
      <c r="AK513" s="8" t="s">
        <v>4</v>
      </c>
      <c r="AL513" s="8"/>
      <c r="AM513" s="8" t="s">
        <v>4</v>
      </c>
      <c r="AN513" s="8"/>
      <c r="AO513" s="8" t="s">
        <v>4</v>
      </c>
      <c r="AP513" s="8"/>
      <c r="AQ513" s="8" t="s">
        <v>4</v>
      </c>
      <c r="AR513" s="8"/>
      <c r="AS513" s="8" t="s">
        <v>4</v>
      </c>
      <c r="AT513" s="8" t="s">
        <v>4</v>
      </c>
      <c r="AU513" s="8"/>
      <c r="AV513" s="8" t="s">
        <v>4</v>
      </c>
      <c r="AW513" s="8"/>
      <c r="AX513" s="8" t="s">
        <v>4</v>
      </c>
      <c r="AY513" s="8"/>
      <c r="AZ513" s="8" t="s">
        <v>5</v>
      </c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31"/>
      <c r="BM513" s="3"/>
      <c r="BN513" s="3"/>
      <c r="BO513" s="3"/>
    </row>
    <row r="514" spans="1:67" x14ac:dyDescent="0.2">
      <c r="C514" s="12" t="s">
        <v>10</v>
      </c>
      <c r="D514" s="18"/>
      <c r="E514" s="12" t="s">
        <v>10</v>
      </c>
      <c r="G514" s="12" t="s">
        <v>10</v>
      </c>
      <c r="H514" s="18"/>
      <c r="I514" s="12" t="s">
        <v>10</v>
      </c>
      <c r="K514" s="12" t="s">
        <v>10</v>
      </c>
      <c r="M514" s="12" t="s">
        <v>10</v>
      </c>
      <c r="O514" s="12" t="s">
        <v>10</v>
      </c>
      <c r="Q514" s="12" t="s">
        <v>10</v>
      </c>
      <c r="S514" s="12" t="s">
        <v>10</v>
      </c>
      <c r="T514" s="12"/>
      <c r="U514" s="12" t="s">
        <v>10</v>
      </c>
      <c r="V514" s="12"/>
      <c r="W514" s="12" t="s">
        <v>10</v>
      </c>
      <c r="Y514" s="12" t="s">
        <v>10</v>
      </c>
      <c r="AA514" s="12" t="s">
        <v>10</v>
      </c>
      <c r="AC514" s="12" t="s">
        <v>10</v>
      </c>
      <c r="AE514" s="12" t="s">
        <v>10</v>
      </c>
      <c r="AG514" s="12" t="s">
        <v>10</v>
      </c>
      <c r="AI514" s="12" t="s">
        <v>10</v>
      </c>
      <c r="AK514" s="12" t="s">
        <v>10</v>
      </c>
      <c r="AL514" s="12"/>
      <c r="AM514" s="12" t="s">
        <v>10</v>
      </c>
      <c r="AN514" s="12"/>
      <c r="AO514" s="12" t="s">
        <v>10</v>
      </c>
      <c r="AP514" s="12"/>
      <c r="AQ514" s="12" t="s">
        <v>10</v>
      </c>
      <c r="AR514" s="12"/>
      <c r="AS514" s="12" t="s">
        <v>10</v>
      </c>
      <c r="AT514" s="12" t="s">
        <v>10</v>
      </c>
      <c r="AU514" s="12"/>
      <c r="AV514" s="12" t="s">
        <v>10</v>
      </c>
      <c r="AW514" s="12"/>
      <c r="AX514" s="12" t="s">
        <v>10</v>
      </c>
      <c r="AY514" s="12"/>
      <c r="AZ514" s="12" t="s">
        <v>7</v>
      </c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31"/>
      <c r="BM514" s="3"/>
      <c r="BN514" s="3"/>
      <c r="BO514" s="3"/>
    </row>
    <row r="515" spans="1:67" x14ac:dyDescent="0.2">
      <c r="C515" s="18"/>
      <c r="D515" s="18"/>
      <c r="E515" s="18"/>
      <c r="G515" s="18"/>
      <c r="H515" s="18"/>
      <c r="I515" s="18"/>
      <c r="K515" s="18"/>
      <c r="M515" s="18"/>
      <c r="O515" s="18"/>
      <c r="Q515" s="18"/>
      <c r="S515" s="18"/>
      <c r="T515" s="18"/>
      <c r="U515" s="18"/>
      <c r="V515" s="18"/>
      <c r="W515" s="18"/>
      <c r="Y515" s="18"/>
      <c r="AA515" s="18"/>
      <c r="AC515" s="18"/>
      <c r="AE515" s="18"/>
      <c r="AG515" s="18"/>
      <c r="AI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31"/>
      <c r="BM515" s="3"/>
      <c r="BN515" s="3"/>
      <c r="BO515" s="3"/>
    </row>
    <row r="516" spans="1:67" x14ac:dyDescent="0.2">
      <c r="A516" s="10" t="s">
        <v>76</v>
      </c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31"/>
      <c r="BM516" s="3"/>
      <c r="BN516" s="3"/>
      <c r="BO516" s="3"/>
    </row>
    <row r="517" spans="1:67" x14ac:dyDescent="0.2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31"/>
      <c r="BM517" s="3"/>
      <c r="BN517" s="3"/>
      <c r="BO517" s="3"/>
    </row>
    <row r="518" spans="1:67" x14ac:dyDescent="0.2">
      <c r="B518" s="3" t="s">
        <v>14</v>
      </c>
      <c r="C518" s="15">
        <v>0</v>
      </c>
      <c r="D518" s="15"/>
      <c r="E518" s="15">
        <v>0</v>
      </c>
      <c r="F518" s="15"/>
      <c r="G518" s="15">
        <v>-973.36</v>
      </c>
      <c r="H518" s="15"/>
      <c r="I518" s="15">
        <v>0</v>
      </c>
      <c r="J518" s="15"/>
      <c r="K518" s="15">
        <v>973.36</v>
      </c>
      <c r="L518" s="15"/>
      <c r="M518" s="15">
        <v>0</v>
      </c>
      <c r="N518" s="15"/>
      <c r="O518" s="15">
        <v>0</v>
      </c>
      <c r="P518" s="15"/>
      <c r="Q518" s="15">
        <v>0</v>
      </c>
      <c r="R518" s="15"/>
      <c r="S518" s="15">
        <v>0</v>
      </c>
      <c r="T518" s="15"/>
      <c r="U518" s="15">
        <v>0</v>
      </c>
      <c r="V518" s="15"/>
      <c r="W518" s="15">
        <v>0</v>
      </c>
      <c r="X518" s="15"/>
      <c r="Y518" s="15">
        <v>0</v>
      </c>
      <c r="Z518" s="15"/>
      <c r="AA518" s="15">
        <v>0</v>
      </c>
      <c r="AB518" s="15"/>
      <c r="AC518" s="15">
        <v>0</v>
      </c>
      <c r="AD518" s="15"/>
      <c r="AE518" s="15">
        <v>0</v>
      </c>
      <c r="AF518" s="15"/>
      <c r="AG518" s="15">
        <v>0</v>
      </c>
      <c r="AH518" s="15"/>
      <c r="AI518" s="15">
        <v>0</v>
      </c>
      <c r="AJ518" s="15"/>
      <c r="AK518" s="15">
        <v>0</v>
      </c>
      <c r="AL518" s="15"/>
      <c r="AM518" s="15">
        <v>0</v>
      </c>
      <c r="AN518" s="15"/>
      <c r="AO518" s="15">
        <v>0</v>
      </c>
      <c r="AP518" s="15"/>
      <c r="AQ518" s="15">
        <v>0</v>
      </c>
      <c r="AR518" s="15"/>
      <c r="AS518" s="15">
        <v>0</v>
      </c>
      <c r="AT518" s="15">
        <f>962.14</f>
        <v>962.14</v>
      </c>
      <c r="AU518" s="15"/>
      <c r="AV518" s="15">
        <v>380.24</v>
      </c>
      <c r="AW518" s="15"/>
      <c r="AX518" s="15">
        <v>0</v>
      </c>
      <c r="AY518" s="15"/>
      <c r="AZ518" s="17">
        <f t="shared" ref="AZ518:AZ540" si="137">SUM(C518:AY518)</f>
        <v>1342.38</v>
      </c>
      <c r="BB518" s="32"/>
      <c r="BC518" s="86"/>
      <c r="BD518" s="32"/>
      <c r="BE518" s="86"/>
      <c r="BF518" s="32"/>
      <c r="BG518" s="86"/>
      <c r="BH518" s="32"/>
      <c r="BI518" s="86"/>
      <c r="BJ518" s="32"/>
      <c r="BK518" s="86"/>
      <c r="BL518" s="31"/>
      <c r="BM518" s="3"/>
      <c r="BN518" s="3"/>
      <c r="BO518" s="3"/>
    </row>
    <row r="519" spans="1:67" x14ac:dyDescent="0.2">
      <c r="B519" s="3" t="s">
        <v>77</v>
      </c>
      <c r="C519" s="15">
        <v>0</v>
      </c>
      <c r="D519" s="15"/>
      <c r="E519" s="15">
        <v>0</v>
      </c>
      <c r="F519" s="15"/>
      <c r="G519" s="15">
        <v>0</v>
      </c>
      <c r="H519" s="15"/>
      <c r="I519" s="15">
        <v>0</v>
      </c>
      <c r="J519" s="15"/>
      <c r="K519" s="15">
        <v>0</v>
      </c>
      <c r="L519" s="15"/>
      <c r="M519" s="15">
        <v>0</v>
      </c>
      <c r="N519" s="15"/>
      <c r="O519" s="15">
        <v>0</v>
      </c>
      <c r="P519" s="15"/>
      <c r="Q519" s="15">
        <v>0</v>
      </c>
      <c r="R519" s="15"/>
      <c r="S519" s="15">
        <v>0</v>
      </c>
      <c r="T519" s="15"/>
      <c r="U519" s="15">
        <v>0</v>
      </c>
      <c r="V519" s="15"/>
      <c r="W519" s="15">
        <v>0</v>
      </c>
      <c r="X519" s="15"/>
      <c r="Y519" s="15">
        <v>0</v>
      </c>
      <c r="Z519" s="15"/>
      <c r="AA519" s="15">
        <v>0</v>
      </c>
      <c r="AB519" s="15"/>
      <c r="AC519" s="15">
        <v>0</v>
      </c>
      <c r="AD519" s="15"/>
      <c r="AE519" s="15">
        <v>0</v>
      </c>
      <c r="AF519" s="15"/>
      <c r="AG519" s="15">
        <v>0</v>
      </c>
      <c r="AH519" s="15"/>
      <c r="AI519" s="15">
        <v>0</v>
      </c>
      <c r="AJ519" s="15"/>
      <c r="AK519" s="15">
        <v>0</v>
      </c>
      <c r="AL519" s="15"/>
      <c r="AM519" s="15">
        <v>0</v>
      </c>
      <c r="AN519" s="15"/>
      <c r="AO519" s="15">
        <v>0</v>
      </c>
      <c r="AP519" s="15"/>
      <c r="AQ519" s="15">
        <v>0</v>
      </c>
      <c r="AR519" s="15"/>
      <c r="AS519" s="15">
        <v>0</v>
      </c>
      <c r="AT519" s="15">
        <v>0</v>
      </c>
      <c r="AU519" s="15"/>
      <c r="AV519" s="15">
        <v>0</v>
      </c>
      <c r="AW519" s="15"/>
      <c r="AX519" s="15">
        <v>0</v>
      </c>
      <c r="AY519" s="15"/>
      <c r="AZ519" s="17">
        <f t="shared" si="137"/>
        <v>0</v>
      </c>
      <c r="BB519" s="32"/>
      <c r="BC519" s="86"/>
      <c r="BD519" s="32"/>
      <c r="BE519" s="86"/>
      <c r="BF519" s="32"/>
      <c r="BG519" s="86"/>
      <c r="BH519" s="32"/>
      <c r="BI519" s="86"/>
      <c r="BJ519" s="32"/>
      <c r="BK519" s="86"/>
      <c r="BL519" s="31"/>
      <c r="BM519" s="3"/>
      <c r="BN519" s="3"/>
      <c r="BO519" s="3"/>
    </row>
    <row r="520" spans="1:67" x14ac:dyDescent="0.2">
      <c r="B520" s="3" t="s">
        <v>18</v>
      </c>
      <c r="C520" s="15">
        <v>0</v>
      </c>
      <c r="D520" s="15"/>
      <c r="E520" s="15">
        <v>84317.440000000002</v>
      </c>
      <c r="F520" s="15"/>
      <c r="G520" s="15">
        <v>0</v>
      </c>
      <c r="H520" s="15"/>
      <c r="I520" s="15">
        <v>0</v>
      </c>
      <c r="J520" s="15"/>
      <c r="K520" s="15">
        <v>0</v>
      </c>
      <c r="L520" s="15"/>
      <c r="M520" s="15">
        <v>0</v>
      </c>
      <c r="N520" s="15"/>
      <c r="O520" s="15">
        <v>0</v>
      </c>
      <c r="P520" s="15"/>
      <c r="Q520" s="15">
        <v>0</v>
      </c>
      <c r="R520" s="15"/>
      <c r="S520" s="15">
        <v>-78082.61</v>
      </c>
      <c r="T520" s="15"/>
      <c r="U520" s="15">
        <v>0</v>
      </c>
      <c r="V520" s="15"/>
      <c r="W520" s="15">
        <v>15783.33</v>
      </c>
      <c r="X520" s="15"/>
      <c r="Y520" s="15">
        <v>0</v>
      </c>
      <c r="Z520" s="15"/>
      <c r="AA520" s="15">
        <v>0</v>
      </c>
      <c r="AB520" s="15"/>
      <c r="AC520" s="15">
        <v>26305.55</v>
      </c>
      <c r="AD520" s="15"/>
      <c r="AE520" s="15">
        <v>0</v>
      </c>
      <c r="AF520" s="15"/>
      <c r="AG520" s="15">
        <v>0</v>
      </c>
      <c r="AH520" s="15"/>
      <c r="AI520" s="15">
        <v>0</v>
      </c>
      <c r="AJ520" s="15"/>
      <c r="AK520" s="15">
        <v>23.88</v>
      </c>
      <c r="AL520" s="15"/>
      <c r="AM520" s="15">
        <v>0</v>
      </c>
      <c r="AN520" s="15"/>
      <c r="AO520" s="15">
        <v>0</v>
      </c>
      <c r="AP520" s="15"/>
      <c r="AQ520" s="15">
        <v>0</v>
      </c>
      <c r="AR520" s="15"/>
      <c r="AS520" s="15">
        <v>0</v>
      </c>
      <c r="AT520" s="15">
        <v>0</v>
      </c>
      <c r="AU520" s="15"/>
      <c r="AV520" s="15">
        <v>0</v>
      </c>
      <c r="AW520" s="15"/>
      <c r="AX520" s="15">
        <v>0</v>
      </c>
      <c r="AY520" s="15"/>
      <c r="AZ520" s="17">
        <f t="shared" si="137"/>
        <v>48347.590000000004</v>
      </c>
      <c r="BB520" s="32"/>
      <c r="BC520" s="86"/>
      <c r="BD520" s="32"/>
      <c r="BE520" s="86"/>
      <c r="BF520" s="32"/>
      <c r="BG520" s="86"/>
      <c r="BH520" s="32"/>
      <c r="BI520" s="86"/>
      <c r="BJ520" s="32"/>
      <c r="BK520" s="86"/>
      <c r="BL520" s="31"/>
      <c r="BM520" s="3"/>
      <c r="BN520" s="3"/>
      <c r="BO520" s="3"/>
    </row>
    <row r="521" spans="1:67" x14ac:dyDescent="0.2">
      <c r="B521" s="3" t="s">
        <v>78</v>
      </c>
      <c r="C521" s="15">
        <v>0</v>
      </c>
      <c r="D521" s="15"/>
      <c r="E521" s="15">
        <v>0</v>
      </c>
      <c r="F521" s="15"/>
      <c r="G521" s="15">
        <v>0</v>
      </c>
      <c r="H521" s="15"/>
      <c r="I521" s="15">
        <v>0</v>
      </c>
      <c r="J521" s="15"/>
      <c r="K521" s="15">
        <v>0</v>
      </c>
      <c r="L521" s="15"/>
      <c r="M521" s="15">
        <v>0</v>
      </c>
      <c r="N521" s="15"/>
      <c r="O521" s="15">
        <v>0</v>
      </c>
      <c r="P521" s="15"/>
      <c r="Q521" s="15">
        <v>0</v>
      </c>
      <c r="R521" s="15"/>
      <c r="S521" s="15">
        <v>0</v>
      </c>
      <c r="T521" s="15"/>
      <c r="U521" s="15">
        <v>0</v>
      </c>
      <c r="V521" s="15"/>
      <c r="W521" s="15">
        <v>0</v>
      </c>
      <c r="X521" s="15"/>
      <c r="Y521" s="15">
        <v>0</v>
      </c>
      <c r="Z521" s="15"/>
      <c r="AA521" s="15">
        <v>0</v>
      </c>
      <c r="AB521" s="15"/>
      <c r="AC521" s="15">
        <v>0</v>
      </c>
      <c r="AD521" s="15"/>
      <c r="AE521" s="15">
        <v>0</v>
      </c>
      <c r="AF521" s="15"/>
      <c r="AG521" s="15">
        <v>0</v>
      </c>
      <c r="AH521" s="15"/>
      <c r="AI521" s="15">
        <v>0</v>
      </c>
      <c r="AJ521" s="15"/>
      <c r="AK521" s="15">
        <v>0</v>
      </c>
      <c r="AL521" s="15"/>
      <c r="AM521" s="15">
        <v>0</v>
      </c>
      <c r="AN521" s="15"/>
      <c r="AO521" s="15">
        <v>0</v>
      </c>
      <c r="AP521" s="15"/>
      <c r="AQ521" s="15">
        <v>0</v>
      </c>
      <c r="AR521" s="15"/>
      <c r="AS521" s="15">
        <v>0</v>
      </c>
      <c r="AT521" s="15">
        <v>0</v>
      </c>
      <c r="AU521" s="15"/>
      <c r="AV521" s="15">
        <v>0</v>
      </c>
      <c r="AW521" s="15"/>
      <c r="AX521" s="15">
        <v>0</v>
      </c>
      <c r="AY521" s="15"/>
      <c r="AZ521" s="17">
        <f t="shared" si="137"/>
        <v>0</v>
      </c>
      <c r="BB521" s="32"/>
      <c r="BC521" s="86"/>
      <c r="BD521" s="32"/>
      <c r="BE521" s="86"/>
      <c r="BF521" s="32"/>
      <c r="BG521" s="86"/>
      <c r="BH521" s="32"/>
      <c r="BI521" s="86"/>
      <c r="BJ521" s="32"/>
      <c r="BK521" s="86"/>
      <c r="BL521" s="31"/>
      <c r="BM521" s="3"/>
      <c r="BN521" s="3"/>
      <c r="BO521" s="3"/>
    </row>
    <row r="522" spans="1:67" x14ac:dyDescent="0.2">
      <c r="B522" s="3" t="s">
        <v>19</v>
      </c>
      <c r="C522" s="15">
        <v>0</v>
      </c>
      <c r="D522" s="15"/>
      <c r="E522" s="15">
        <v>0</v>
      </c>
      <c r="F522" s="15"/>
      <c r="G522" s="15">
        <v>0</v>
      </c>
      <c r="H522" s="15"/>
      <c r="I522" s="15">
        <v>-16682.18</v>
      </c>
      <c r="J522" s="15"/>
      <c r="K522" s="15">
        <v>0</v>
      </c>
      <c r="L522" s="15"/>
      <c r="M522" s="15">
        <v>0</v>
      </c>
      <c r="N522" s="15"/>
      <c r="O522" s="15">
        <v>0</v>
      </c>
      <c r="P522" s="15"/>
      <c r="Q522" s="15">
        <v>0</v>
      </c>
      <c r="R522" s="15"/>
      <c r="S522" s="15">
        <v>0</v>
      </c>
      <c r="T522" s="15"/>
      <c r="U522" s="15">
        <v>27.28</v>
      </c>
      <c r="V522" s="15"/>
      <c r="W522" s="15">
        <v>0</v>
      </c>
      <c r="X522" s="15"/>
      <c r="Y522" s="15">
        <v>0</v>
      </c>
      <c r="Z522" s="15"/>
      <c r="AA522" s="15">
        <v>0</v>
      </c>
      <c r="AB522" s="15"/>
      <c r="AC522" s="15">
        <v>0</v>
      </c>
      <c r="AD522" s="15"/>
      <c r="AE522" s="15">
        <v>0</v>
      </c>
      <c r="AF522" s="15"/>
      <c r="AG522" s="15">
        <v>0</v>
      </c>
      <c r="AH522" s="15"/>
      <c r="AI522" s="15">
        <v>0</v>
      </c>
      <c r="AJ522" s="15"/>
      <c r="AK522" s="15">
        <v>0</v>
      </c>
      <c r="AL522" s="15"/>
      <c r="AM522" s="15">
        <v>0</v>
      </c>
      <c r="AN522" s="15"/>
      <c r="AO522" s="15">
        <v>0</v>
      </c>
      <c r="AP522" s="15"/>
      <c r="AQ522" s="15">
        <v>0</v>
      </c>
      <c r="AR522" s="15"/>
      <c r="AS522" s="15">
        <v>0</v>
      </c>
      <c r="AT522" s="15">
        <v>0</v>
      </c>
      <c r="AU522" s="15"/>
      <c r="AV522" s="15">
        <v>0</v>
      </c>
      <c r="AW522" s="15"/>
      <c r="AX522" s="15">
        <v>-353540</v>
      </c>
      <c r="AY522" s="15"/>
      <c r="AZ522" s="17">
        <f t="shared" si="137"/>
        <v>-370194.9</v>
      </c>
      <c r="BB522" s="32"/>
      <c r="BC522" s="86"/>
      <c r="BD522" s="32"/>
      <c r="BE522" s="86"/>
      <c r="BF522" s="32"/>
      <c r="BG522" s="86"/>
      <c r="BH522" s="32"/>
      <c r="BI522" s="86"/>
      <c r="BJ522" s="32"/>
      <c r="BK522" s="86"/>
      <c r="BL522" s="31"/>
      <c r="BM522" s="3"/>
      <c r="BN522" s="3"/>
      <c r="BO522" s="3"/>
    </row>
    <row r="523" spans="1:67" x14ac:dyDescent="0.2">
      <c r="B523" s="3" t="s">
        <v>20</v>
      </c>
      <c r="C523" s="15">
        <v>0</v>
      </c>
      <c r="D523" s="15"/>
      <c r="E523" s="15">
        <v>0</v>
      </c>
      <c r="F523" s="15"/>
      <c r="G523" s="15">
        <v>0</v>
      </c>
      <c r="H523" s="15"/>
      <c r="I523" s="15">
        <v>0</v>
      </c>
      <c r="J523" s="15"/>
      <c r="K523" s="15">
        <v>0</v>
      </c>
      <c r="L523" s="15"/>
      <c r="M523" s="15">
        <v>0</v>
      </c>
      <c r="N523" s="15"/>
      <c r="O523" s="15">
        <v>0</v>
      </c>
      <c r="P523" s="15"/>
      <c r="Q523" s="15">
        <v>0</v>
      </c>
      <c r="R523" s="15"/>
      <c r="S523" s="15">
        <v>0</v>
      </c>
      <c r="T523" s="15"/>
      <c r="U523" s="15">
        <v>0</v>
      </c>
      <c r="V523" s="15"/>
      <c r="W523" s="15">
        <v>0</v>
      </c>
      <c r="X523" s="15"/>
      <c r="Y523" s="15">
        <v>0</v>
      </c>
      <c r="Z523" s="15"/>
      <c r="AA523" s="15">
        <v>0</v>
      </c>
      <c r="AB523" s="15"/>
      <c r="AC523" s="15">
        <v>0</v>
      </c>
      <c r="AD523" s="15"/>
      <c r="AE523" s="15">
        <v>0</v>
      </c>
      <c r="AF523" s="15"/>
      <c r="AG523" s="15">
        <v>0</v>
      </c>
      <c r="AH523" s="15"/>
      <c r="AI523" s="15">
        <v>0</v>
      </c>
      <c r="AJ523" s="15"/>
      <c r="AK523" s="15">
        <v>0</v>
      </c>
      <c r="AL523" s="15"/>
      <c r="AM523" s="15">
        <v>0</v>
      </c>
      <c r="AN523" s="15"/>
      <c r="AO523" s="15">
        <v>0</v>
      </c>
      <c r="AP523" s="15"/>
      <c r="AQ523" s="15">
        <v>0</v>
      </c>
      <c r="AR523" s="15"/>
      <c r="AS523" s="15">
        <v>0</v>
      </c>
      <c r="AT523" s="15">
        <v>0</v>
      </c>
      <c r="AU523" s="15"/>
      <c r="AV523" s="15">
        <v>0</v>
      </c>
      <c r="AW523" s="15"/>
      <c r="AX523" s="15">
        <v>0</v>
      </c>
      <c r="AY523" s="15"/>
      <c r="AZ523" s="17">
        <f t="shared" si="137"/>
        <v>0</v>
      </c>
      <c r="BB523" s="32"/>
      <c r="BC523" s="86"/>
      <c r="BD523" s="32"/>
      <c r="BE523" s="86"/>
      <c r="BF523" s="32"/>
      <c r="BG523" s="86"/>
      <c r="BH523" s="32"/>
      <c r="BI523" s="86"/>
      <c r="BJ523" s="32"/>
      <c r="BK523" s="86"/>
      <c r="BL523" s="31"/>
      <c r="BM523" s="3"/>
      <c r="BN523" s="3"/>
      <c r="BO523" s="3"/>
    </row>
    <row r="524" spans="1:67" x14ac:dyDescent="0.2">
      <c r="B524" s="3" t="s">
        <v>79</v>
      </c>
      <c r="C524" s="15">
        <v>0</v>
      </c>
      <c r="D524" s="15"/>
      <c r="E524" s="15">
        <v>0</v>
      </c>
      <c r="F524" s="15"/>
      <c r="G524" s="15">
        <v>0</v>
      </c>
      <c r="H524" s="15"/>
      <c r="I524" s="15">
        <v>0</v>
      </c>
      <c r="J524" s="15"/>
      <c r="K524" s="15">
        <v>0</v>
      </c>
      <c r="L524" s="15"/>
      <c r="M524" s="15">
        <v>0</v>
      </c>
      <c r="N524" s="15"/>
      <c r="O524" s="15">
        <v>0</v>
      </c>
      <c r="P524" s="15"/>
      <c r="Q524" s="15">
        <v>0</v>
      </c>
      <c r="R524" s="15"/>
      <c r="S524" s="15">
        <v>0</v>
      </c>
      <c r="T524" s="15"/>
      <c r="U524" s="15">
        <v>0</v>
      </c>
      <c r="V524" s="15"/>
      <c r="W524" s="15">
        <v>0</v>
      </c>
      <c r="X524" s="15"/>
      <c r="Y524" s="15">
        <v>0</v>
      </c>
      <c r="Z524" s="15"/>
      <c r="AA524" s="15">
        <v>0</v>
      </c>
      <c r="AB524" s="15"/>
      <c r="AC524" s="15">
        <v>0</v>
      </c>
      <c r="AD524" s="15"/>
      <c r="AE524" s="15">
        <v>0</v>
      </c>
      <c r="AF524" s="15"/>
      <c r="AG524" s="15">
        <v>0</v>
      </c>
      <c r="AH524" s="15"/>
      <c r="AI524" s="15">
        <v>0</v>
      </c>
      <c r="AJ524" s="15"/>
      <c r="AK524" s="15">
        <v>0</v>
      </c>
      <c r="AL524" s="15"/>
      <c r="AM524" s="15">
        <v>0</v>
      </c>
      <c r="AN524" s="15"/>
      <c r="AO524" s="15">
        <v>0</v>
      </c>
      <c r="AP524" s="15"/>
      <c r="AQ524" s="15">
        <v>0</v>
      </c>
      <c r="AR524" s="15"/>
      <c r="AS524" s="15">
        <v>0</v>
      </c>
      <c r="AT524" s="15">
        <v>0</v>
      </c>
      <c r="AU524" s="15"/>
      <c r="AV524" s="15">
        <v>0</v>
      </c>
      <c r="AW524" s="15"/>
      <c r="AX524" s="15">
        <v>0</v>
      </c>
      <c r="AY524" s="15"/>
      <c r="AZ524" s="17">
        <f t="shared" si="137"/>
        <v>0</v>
      </c>
      <c r="BB524" s="32"/>
      <c r="BC524" s="86"/>
      <c r="BD524" s="32"/>
      <c r="BE524" s="86"/>
      <c r="BF524" s="32"/>
      <c r="BG524" s="86"/>
      <c r="BH524" s="32"/>
      <c r="BI524" s="86"/>
      <c r="BJ524" s="32"/>
      <c r="BK524" s="86"/>
      <c r="BL524" s="31"/>
      <c r="BM524" s="3"/>
      <c r="BN524" s="3"/>
      <c r="BO524" s="3"/>
    </row>
    <row r="525" spans="1:67" x14ac:dyDescent="0.2">
      <c r="B525" s="3" t="s">
        <v>22</v>
      </c>
      <c r="C525" s="15">
        <v>0</v>
      </c>
      <c r="D525" s="15"/>
      <c r="E525" s="15">
        <v>0</v>
      </c>
      <c r="F525" s="15"/>
      <c r="G525" s="15">
        <v>0</v>
      </c>
      <c r="H525" s="15"/>
      <c r="I525" s="15">
        <v>0</v>
      </c>
      <c r="J525" s="15"/>
      <c r="K525" s="15">
        <v>0</v>
      </c>
      <c r="L525" s="15"/>
      <c r="M525" s="15">
        <v>0</v>
      </c>
      <c r="N525" s="15"/>
      <c r="O525" s="15">
        <v>0</v>
      </c>
      <c r="P525" s="15"/>
      <c r="Q525" s="15">
        <v>0</v>
      </c>
      <c r="R525" s="15"/>
      <c r="S525" s="15">
        <v>0</v>
      </c>
      <c r="T525" s="15"/>
      <c r="U525" s="15">
        <v>0</v>
      </c>
      <c r="V525" s="15"/>
      <c r="W525" s="15">
        <v>0</v>
      </c>
      <c r="X525" s="15"/>
      <c r="Y525" s="15">
        <v>0</v>
      </c>
      <c r="Z525" s="15"/>
      <c r="AB525" s="15"/>
      <c r="AD525" s="15"/>
      <c r="AE525" s="15">
        <v>0</v>
      </c>
      <c r="AF525" s="15"/>
      <c r="AG525" s="15">
        <v>0</v>
      </c>
      <c r="AH525" s="15"/>
      <c r="AI525" s="15">
        <v>0</v>
      </c>
      <c r="AJ525" s="15"/>
      <c r="AK525" s="15">
        <v>0</v>
      </c>
      <c r="AL525" s="15"/>
      <c r="AM525" s="15">
        <v>0</v>
      </c>
      <c r="AN525" s="15"/>
      <c r="AO525" s="15">
        <v>0</v>
      </c>
      <c r="AP525" s="15"/>
      <c r="AQ525" s="15">
        <v>0</v>
      </c>
      <c r="AR525" s="15"/>
      <c r="AS525" s="15">
        <v>0</v>
      </c>
      <c r="AT525" s="15">
        <v>0</v>
      </c>
      <c r="AU525" s="15"/>
      <c r="AV525" s="15">
        <v>0</v>
      </c>
      <c r="AW525" s="15"/>
      <c r="AX525" s="15">
        <v>0</v>
      </c>
      <c r="AY525" s="15"/>
      <c r="AZ525" s="17">
        <f t="shared" si="137"/>
        <v>0</v>
      </c>
      <c r="BB525" s="32"/>
      <c r="BC525" s="86"/>
      <c r="BD525" s="32"/>
      <c r="BE525" s="86"/>
      <c r="BF525" s="32"/>
      <c r="BG525" s="86"/>
      <c r="BH525" s="32"/>
      <c r="BI525" s="86"/>
      <c r="BJ525" s="32"/>
      <c r="BK525" s="86"/>
      <c r="BL525" s="31"/>
      <c r="BM525" s="3"/>
      <c r="BN525" s="3"/>
      <c r="BO525" s="3"/>
    </row>
    <row r="526" spans="1:67" x14ac:dyDescent="0.2">
      <c r="B526" s="3" t="s">
        <v>80</v>
      </c>
      <c r="C526" s="15">
        <v>0</v>
      </c>
      <c r="D526" s="15"/>
      <c r="E526" s="15">
        <v>0</v>
      </c>
      <c r="F526" s="15"/>
      <c r="G526" s="15">
        <v>0</v>
      </c>
      <c r="H526" s="15"/>
      <c r="I526" s="15">
        <v>0</v>
      </c>
      <c r="J526" s="15"/>
      <c r="K526" s="15">
        <v>0</v>
      </c>
      <c r="L526" s="15"/>
      <c r="M526" s="15">
        <v>0</v>
      </c>
      <c r="N526" s="15"/>
      <c r="O526" s="15">
        <v>0</v>
      </c>
      <c r="P526" s="15"/>
      <c r="Q526" s="15">
        <v>0</v>
      </c>
      <c r="R526" s="15"/>
      <c r="S526" s="15">
        <v>0</v>
      </c>
      <c r="T526" s="15"/>
      <c r="U526" s="15">
        <v>0</v>
      </c>
      <c r="V526" s="15"/>
      <c r="W526" s="15">
        <v>0</v>
      </c>
      <c r="X526" s="15"/>
      <c r="Y526" s="15">
        <v>0</v>
      </c>
      <c r="Z526" s="15"/>
      <c r="AA526" s="15">
        <v>0</v>
      </c>
      <c r="AB526" s="15"/>
      <c r="AC526" s="15">
        <v>0</v>
      </c>
      <c r="AD526" s="15"/>
      <c r="AE526" s="15">
        <v>0</v>
      </c>
      <c r="AF526" s="15"/>
      <c r="AG526" s="15">
        <v>0</v>
      </c>
      <c r="AH526" s="15"/>
      <c r="AI526" s="15">
        <v>0</v>
      </c>
      <c r="AJ526" s="15"/>
      <c r="AK526" s="15">
        <v>0</v>
      </c>
      <c r="AL526" s="15"/>
      <c r="AM526" s="15">
        <v>0</v>
      </c>
      <c r="AN526" s="15"/>
      <c r="AO526" s="15">
        <v>0</v>
      </c>
      <c r="AP526" s="15"/>
      <c r="AQ526" s="15">
        <v>0</v>
      </c>
      <c r="AR526" s="15"/>
      <c r="AS526" s="15">
        <v>0</v>
      </c>
      <c r="AT526" s="15">
        <v>0</v>
      </c>
      <c r="AU526" s="15"/>
      <c r="AV526" s="15">
        <v>0</v>
      </c>
      <c r="AW526" s="15"/>
      <c r="AX526" s="15">
        <v>0</v>
      </c>
      <c r="AY526" s="15"/>
      <c r="AZ526" s="17">
        <f t="shared" si="137"/>
        <v>0</v>
      </c>
      <c r="BB526" s="32"/>
      <c r="BC526" s="86"/>
      <c r="BD526" s="32"/>
      <c r="BE526" s="86"/>
      <c r="BF526" s="32"/>
      <c r="BG526" s="86"/>
      <c r="BH526" s="32"/>
      <c r="BI526" s="86"/>
      <c r="BJ526" s="32"/>
      <c r="BK526" s="86"/>
      <c r="BL526" s="31"/>
      <c r="BM526" s="3"/>
      <c r="BN526" s="3"/>
      <c r="BO526" s="3"/>
    </row>
    <row r="527" spans="1:67" x14ac:dyDescent="0.2">
      <c r="B527" s="3" t="s">
        <v>23</v>
      </c>
      <c r="C527" s="15">
        <v>0</v>
      </c>
      <c r="D527" s="15"/>
      <c r="E527" s="15">
        <v>0</v>
      </c>
      <c r="F527" s="15"/>
      <c r="G527" s="15">
        <v>0</v>
      </c>
      <c r="H527" s="15"/>
      <c r="I527" s="15">
        <v>0</v>
      </c>
      <c r="J527" s="15"/>
      <c r="K527" s="15">
        <v>0</v>
      </c>
      <c r="L527" s="15"/>
      <c r="M527" s="15">
        <v>0</v>
      </c>
      <c r="N527" s="15"/>
      <c r="O527" s="15">
        <v>0</v>
      </c>
      <c r="P527" s="15"/>
      <c r="Q527" s="15">
        <v>0</v>
      </c>
      <c r="R527" s="15"/>
      <c r="S527" s="15">
        <v>0</v>
      </c>
      <c r="T527" s="15"/>
      <c r="U527" s="15">
        <v>0</v>
      </c>
      <c r="V527" s="15"/>
      <c r="W527" s="15">
        <v>0</v>
      </c>
      <c r="X527" s="15"/>
      <c r="Y527" s="15">
        <v>0</v>
      </c>
      <c r="Z527" s="15"/>
      <c r="AA527" s="15">
        <v>0</v>
      </c>
      <c r="AB527" s="15"/>
      <c r="AC527" s="15">
        <v>0</v>
      </c>
      <c r="AD527" s="15"/>
      <c r="AE527" s="15">
        <v>0</v>
      </c>
      <c r="AF527" s="15"/>
      <c r="AG527" s="15">
        <v>0</v>
      </c>
      <c r="AH527" s="15"/>
      <c r="AI527" s="15">
        <v>0</v>
      </c>
      <c r="AJ527" s="15"/>
      <c r="AK527" s="15"/>
      <c r="AL527" s="15"/>
      <c r="AM527" s="15">
        <v>76448.429999999993</v>
      </c>
      <c r="AN527" s="15"/>
      <c r="AO527" s="15">
        <v>0</v>
      </c>
      <c r="AP527" s="15"/>
      <c r="AQ527" s="15">
        <v>0</v>
      </c>
      <c r="AR527" s="15"/>
      <c r="AS527" s="15">
        <v>0</v>
      </c>
      <c r="AT527" s="15">
        <v>0</v>
      </c>
      <c r="AU527" s="15"/>
      <c r="AV527" s="15">
        <v>0</v>
      </c>
      <c r="AW527" s="15"/>
      <c r="AX527" s="15">
        <v>0</v>
      </c>
      <c r="AY527" s="15"/>
      <c r="AZ527" s="17">
        <f t="shared" si="137"/>
        <v>76448.429999999993</v>
      </c>
      <c r="BB527" s="32"/>
      <c r="BC527" s="86"/>
      <c r="BD527" s="32"/>
      <c r="BE527" s="86"/>
      <c r="BF527" s="32"/>
      <c r="BG527" s="86"/>
      <c r="BH527" s="32"/>
      <c r="BI527" s="86"/>
      <c r="BJ527" s="32"/>
      <c r="BK527" s="86"/>
      <c r="BL527" s="31"/>
      <c r="BM527" s="3"/>
      <c r="BN527" s="3"/>
      <c r="BO527" s="3"/>
    </row>
    <row r="528" spans="1:67" x14ac:dyDescent="0.2">
      <c r="B528" s="3" t="s">
        <v>81</v>
      </c>
      <c r="C528" s="15">
        <v>0</v>
      </c>
      <c r="D528" s="15"/>
      <c r="E528" s="15">
        <v>0</v>
      </c>
      <c r="F528" s="15"/>
      <c r="G528" s="15">
        <v>0</v>
      </c>
      <c r="H528" s="15"/>
      <c r="I528" s="15">
        <v>0</v>
      </c>
      <c r="J528" s="15"/>
      <c r="K528" s="15">
        <v>0</v>
      </c>
      <c r="L528" s="15"/>
      <c r="M528" s="15">
        <v>0</v>
      </c>
      <c r="N528" s="15"/>
      <c r="O528" s="15">
        <v>0</v>
      </c>
      <c r="P528" s="15"/>
      <c r="Q528" s="15">
        <v>0</v>
      </c>
      <c r="R528" s="15"/>
      <c r="S528" s="15">
        <v>0</v>
      </c>
      <c r="T528" s="15"/>
      <c r="U528" s="15">
        <v>0</v>
      </c>
      <c r="V528" s="15"/>
      <c r="W528" s="15">
        <v>0</v>
      </c>
      <c r="X528" s="15"/>
      <c r="Y528" s="15">
        <v>0</v>
      </c>
      <c r="Z528" s="15"/>
      <c r="AA528" s="15">
        <v>0</v>
      </c>
      <c r="AB528" s="15"/>
      <c r="AC528" s="15">
        <v>0</v>
      </c>
      <c r="AD528" s="15"/>
      <c r="AE528" s="15">
        <v>0</v>
      </c>
      <c r="AF528" s="15"/>
      <c r="AG528" s="15">
        <v>0</v>
      </c>
      <c r="AH528" s="15"/>
      <c r="AI528" s="15">
        <v>0</v>
      </c>
      <c r="AJ528" s="15"/>
      <c r="AK528" s="17">
        <v>0</v>
      </c>
      <c r="AL528" s="17"/>
      <c r="AM528" s="17">
        <v>0</v>
      </c>
      <c r="AN528" s="17"/>
      <c r="AO528" s="17">
        <v>0</v>
      </c>
      <c r="AP528" s="17"/>
      <c r="AQ528" s="17">
        <v>0</v>
      </c>
      <c r="AR528" s="17"/>
      <c r="AS528" s="17">
        <v>0</v>
      </c>
      <c r="AT528" s="17">
        <v>0</v>
      </c>
      <c r="AU528" s="17"/>
      <c r="AV528" s="17">
        <v>0</v>
      </c>
      <c r="AW528" s="17"/>
      <c r="AX528" s="17">
        <v>0</v>
      </c>
      <c r="AY528" s="17"/>
      <c r="AZ528" s="17">
        <f t="shared" si="137"/>
        <v>0</v>
      </c>
      <c r="BB528" s="32"/>
      <c r="BC528" s="86"/>
      <c r="BD528" s="32"/>
      <c r="BE528" s="86"/>
      <c r="BF528" s="32"/>
      <c r="BG528" s="86"/>
      <c r="BH528" s="32"/>
      <c r="BI528" s="86"/>
      <c r="BJ528" s="32"/>
      <c r="BK528" s="86"/>
      <c r="BL528" s="31"/>
      <c r="BM528" s="3"/>
      <c r="BN528" s="3"/>
      <c r="BO528" s="3"/>
    </row>
    <row r="529" spans="1:67" x14ac:dyDescent="0.2">
      <c r="B529" s="3" t="s">
        <v>24</v>
      </c>
      <c r="C529" s="15">
        <v>0</v>
      </c>
      <c r="D529" s="15"/>
      <c r="E529" s="15">
        <v>-84317.440000000002</v>
      </c>
      <c r="F529" s="15"/>
      <c r="G529" s="15">
        <v>0</v>
      </c>
      <c r="H529" s="15"/>
      <c r="I529" s="17">
        <v>0</v>
      </c>
      <c r="J529" s="15"/>
      <c r="K529" s="15">
        <v>0</v>
      </c>
      <c r="L529" s="15"/>
      <c r="M529" s="15">
        <v>0</v>
      </c>
      <c r="N529" s="15"/>
      <c r="O529" s="15">
        <v>0</v>
      </c>
      <c r="P529" s="15"/>
      <c r="Q529" s="15">
        <v>0</v>
      </c>
      <c r="R529" s="15"/>
      <c r="S529" s="15">
        <v>78082.61</v>
      </c>
      <c r="T529" s="15"/>
      <c r="U529" s="15">
        <v>0</v>
      </c>
      <c r="V529" s="15"/>
      <c r="W529" s="15">
        <v>-15783.33</v>
      </c>
      <c r="X529" s="15"/>
      <c r="Y529" s="15">
        <v>0</v>
      </c>
      <c r="Z529" s="15"/>
      <c r="AA529" s="15">
        <v>0</v>
      </c>
      <c r="AB529" s="15"/>
      <c r="AC529" s="15">
        <v>-26305.55</v>
      </c>
      <c r="AD529" s="15"/>
      <c r="AE529" s="15">
        <v>0</v>
      </c>
      <c r="AF529" s="15"/>
      <c r="AG529" s="15">
        <v>0</v>
      </c>
      <c r="AH529" s="15"/>
      <c r="AI529" s="15">
        <v>0</v>
      </c>
      <c r="AJ529" s="15"/>
      <c r="AK529" s="15">
        <v>-23.88</v>
      </c>
      <c r="AL529" s="15"/>
      <c r="AM529" s="15">
        <v>0</v>
      </c>
      <c r="AN529" s="15"/>
      <c r="AO529" s="15">
        <v>0</v>
      </c>
      <c r="AP529" s="15"/>
      <c r="AQ529" s="15">
        <v>0</v>
      </c>
      <c r="AR529" s="15"/>
      <c r="AS529" s="15">
        <v>0</v>
      </c>
      <c r="AT529" s="15">
        <v>0</v>
      </c>
      <c r="AU529" s="15"/>
      <c r="AV529" s="15">
        <v>0</v>
      </c>
      <c r="AW529" s="15"/>
      <c r="AX529" s="15">
        <v>0</v>
      </c>
      <c r="AY529" s="15"/>
      <c r="AZ529" s="17">
        <f t="shared" si="137"/>
        <v>-48347.590000000004</v>
      </c>
      <c r="BB529" s="32"/>
      <c r="BC529" s="86"/>
      <c r="BD529" s="32"/>
      <c r="BE529" s="86"/>
      <c r="BF529" s="32"/>
      <c r="BG529" s="86"/>
      <c r="BH529" s="32"/>
      <c r="BI529" s="86"/>
      <c r="BJ529" s="32"/>
      <c r="BK529" s="86"/>
      <c r="BL529" s="31"/>
      <c r="BM529" s="3"/>
      <c r="BN529" s="3"/>
      <c r="BO529" s="3"/>
    </row>
    <row r="530" spans="1:67" x14ac:dyDescent="0.2">
      <c r="B530" s="3" t="s">
        <v>82</v>
      </c>
      <c r="C530" s="15">
        <v>0</v>
      </c>
      <c r="D530" s="15"/>
      <c r="E530" s="15">
        <v>0</v>
      </c>
      <c r="F530" s="15"/>
      <c r="G530" s="15">
        <v>0</v>
      </c>
      <c r="H530" s="15"/>
      <c r="I530" s="15">
        <v>0</v>
      </c>
      <c r="J530" s="15"/>
      <c r="K530" s="15">
        <v>0</v>
      </c>
      <c r="L530" s="15"/>
      <c r="M530" s="15">
        <v>0</v>
      </c>
      <c r="N530" s="15"/>
      <c r="O530" s="15">
        <v>0</v>
      </c>
      <c r="P530" s="15"/>
      <c r="Q530" s="15">
        <v>0</v>
      </c>
      <c r="R530" s="15"/>
      <c r="S530" s="15">
        <v>0</v>
      </c>
      <c r="T530" s="15"/>
      <c r="U530" s="15">
        <v>0</v>
      </c>
      <c r="V530" s="15"/>
      <c r="W530" s="15">
        <v>0</v>
      </c>
      <c r="X530" s="15"/>
      <c r="Y530" s="15">
        <v>0</v>
      </c>
      <c r="Z530" s="15"/>
      <c r="AA530" s="15">
        <v>0</v>
      </c>
      <c r="AB530" s="15"/>
      <c r="AC530" s="15">
        <v>0</v>
      </c>
      <c r="AD530" s="15"/>
      <c r="AE530" s="15">
        <v>0</v>
      </c>
      <c r="AF530" s="15"/>
      <c r="AG530" s="15">
        <v>0</v>
      </c>
      <c r="AH530" s="15"/>
      <c r="AI530" s="15">
        <v>0</v>
      </c>
      <c r="AJ530" s="15"/>
      <c r="AK530" s="15">
        <v>0</v>
      </c>
      <c r="AL530" s="15"/>
      <c r="AM530" s="15">
        <v>0</v>
      </c>
      <c r="AN530" s="15"/>
      <c r="AO530" s="15">
        <v>0</v>
      </c>
      <c r="AP530" s="15"/>
      <c r="AQ530" s="15">
        <v>0</v>
      </c>
      <c r="AR530" s="15"/>
      <c r="AS530" s="15">
        <v>0</v>
      </c>
      <c r="AT530" s="15">
        <v>0</v>
      </c>
      <c r="AU530" s="15"/>
      <c r="AV530" s="15">
        <v>0</v>
      </c>
      <c r="AW530" s="15"/>
      <c r="AX530" s="15">
        <v>0</v>
      </c>
      <c r="AY530" s="15"/>
      <c r="AZ530" s="17">
        <f t="shared" si="137"/>
        <v>0</v>
      </c>
      <c r="BB530" s="32"/>
      <c r="BC530" s="86"/>
      <c r="BD530" s="32"/>
      <c r="BE530" s="86"/>
      <c r="BF530" s="32"/>
      <c r="BG530" s="86"/>
      <c r="BH530" s="32"/>
      <c r="BI530" s="86"/>
      <c r="BJ530" s="32"/>
      <c r="BK530" s="86"/>
      <c r="BL530" s="31"/>
      <c r="BM530" s="3"/>
      <c r="BN530" s="3"/>
      <c r="BO530" s="3"/>
    </row>
    <row r="531" spans="1:67" x14ac:dyDescent="0.2">
      <c r="B531" s="3" t="s">
        <v>27</v>
      </c>
      <c r="C531" s="15">
        <v>0</v>
      </c>
      <c r="D531" s="15"/>
      <c r="E531" s="15">
        <v>0</v>
      </c>
      <c r="F531" s="15"/>
      <c r="G531" s="15">
        <v>0</v>
      </c>
      <c r="H531" s="15"/>
      <c r="I531" s="15">
        <v>0</v>
      </c>
      <c r="J531" s="15"/>
      <c r="K531" s="15">
        <v>0</v>
      </c>
      <c r="L531" s="15"/>
      <c r="M531" s="15">
        <v>0</v>
      </c>
      <c r="N531" s="15"/>
      <c r="O531" s="15">
        <v>0</v>
      </c>
      <c r="P531" s="15"/>
      <c r="Q531" s="15">
        <v>0</v>
      </c>
      <c r="R531" s="15"/>
      <c r="S531" s="15">
        <v>0</v>
      </c>
      <c r="T531" s="15"/>
      <c r="U531" s="15">
        <v>0</v>
      </c>
      <c r="V531" s="15"/>
      <c r="W531" s="15">
        <v>0</v>
      </c>
      <c r="X531" s="15"/>
      <c r="Y531" s="15">
        <v>0</v>
      </c>
      <c r="Z531" s="15"/>
      <c r="AA531" s="15">
        <v>0</v>
      </c>
      <c r="AB531" s="15"/>
      <c r="AC531" s="15">
        <v>0</v>
      </c>
      <c r="AD531" s="15"/>
      <c r="AE531" s="15">
        <v>0</v>
      </c>
      <c r="AF531" s="15"/>
      <c r="AG531" s="15">
        <v>0</v>
      </c>
      <c r="AH531" s="15"/>
      <c r="AI531" s="15">
        <v>0</v>
      </c>
      <c r="AJ531" s="15"/>
      <c r="AK531" s="15">
        <v>0</v>
      </c>
      <c r="AL531" s="15"/>
      <c r="AM531" s="15">
        <v>0</v>
      </c>
      <c r="AN531" s="15"/>
      <c r="AO531" s="15">
        <v>0</v>
      </c>
      <c r="AP531" s="15"/>
      <c r="AQ531" s="15">
        <v>0</v>
      </c>
      <c r="AR531" s="15"/>
      <c r="AS531" s="15">
        <v>0</v>
      </c>
      <c r="AT531" s="15">
        <v>-962.14</v>
      </c>
      <c r="AU531" s="15"/>
      <c r="AV531" s="15">
        <v>0</v>
      </c>
      <c r="AW531" s="15"/>
      <c r="AX531" s="15">
        <v>0</v>
      </c>
      <c r="AY531" s="15"/>
      <c r="AZ531" s="17">
        <f t="shared" si="137"/>
        <v>-962.14</v>
      </c>
      <c r="BB531" s="32"/>
      <c r="BC531" s="86"/>
      <c r="BD531" s="32"/>
      <c r="BE531" s="86"/>
      <c r="BF531" s="32"/>
      <c r="BG531" s="86"/>
      <c r="BH531" s="32"/>
      <c r="BI531" s="86"/>
      <c r="BJ531" s="32"/>
      <c r="BK531" s="86"/>
      <c r="BL531" s="31"/>
      <c r="BM531" s="3"/>
      <c r="BN531" s="3"/>
      <c r="BO531" s="3"/>
    </row>
    <row r="532" spans="1:67" x14ac:dyDescent="0.2">
      <c r="B532" s="3" t="s">
        <v>83</v>
      </c>
      <c r="C532" s="15">
        <v>0</v>
      </c>
      <c r="D532" s="15"/>
      <c r="E532" s="15">
        <v>0</v>
      </c>
      <c r="F532" s="15"/>
      <c r="G532" s="15">
        <v>0</v>
      </c>
      <c r="H532" s="15"/>
      <c r="I532" s="15">
        <v>0</v>
      </c>
      <c r="J532" s="15"/>
      <c r="K532" s="15">
        <v>0</v>
      </c>
      <c r="L532" s="15"/>
      <c r="M532" s="15">
        <v>0</v>
      </c>
      <c r="N532" s="15"/>
      <c r="O532" s="15">
        <v>0</v>
      </c>
      <c r="P532" s="15"/>
      <c r="Q532" s="15">
        <v>0</v>
      </c>
      <c r="R532" s="15"/>
      <c r="S532" s="15">
        <v>0</v>
      </c>
      <c r="T532" s="15"/>
      <c r="U532" s="15">
        <v>0</v>
      </c>
      <c r="V532" s="15"/>
      <c r="W532" s="15">
        <v>0</v>
      </c>
      <c r="X532" s="15"/>
      <c r="Y532" s="15">
        <v>0</v>
      </c>
      <c r="Z532" s="15"/>
      <c r="AA532" s="15">
        <v>0</v>
      </c>
      <c r="AB532" s="15"/>
      <c r="AC532" s="15">
        <v>0</v>
      </c>
      <c r="AD532" s="15"/>
      <c r="AE532" s="15">
        <v>0</v>
      </c>
      <c r="AF532" s="15"/>
      <c r="AG532" s="15">
        <v>0</v>
      </c>
      <c r="AH532" s="15"/>
      <c r="AI532" s="15">
        <v>0</v>
      </c>
      <c r="AJ532" s="15"/>
      <c r="AK532" s="15">
        <v>0</v>
      </c>
      <c r="AL532" s="15"/>
      <c r="AM532" s="15">
        <v>0</v>
      </c>
      <c r="AN532" s="15"/>
      <c r="AO532" s="15">
        <v>0</v>
      </c>
      <c r="AP532" s="15"/>
      <c r="AQ532" s="15">
        <v>0</v>
      </c>
      <c r="AR532" s="15"/>
      <c r="AS532" s="15">
        <v>0</v>
      </c>
      <c r="AT532" s="15">
        <v>0</v>
      </c>
      <c r="AU532" s="15"/>
      <c r="AV532" s="15">
        <v>0</v>
      </c>
      <c r="AW532" s="15"/>
      <c r="AX532" s="15">
        <v>0</v>
      </c>
      <c r="AY532" s="15"/>
      <c r="AZ532" s="17">
        <f t="shared" si="137"/>
        <v>0</v>
      </c>
      <c r="BB532" s="32"/>
      <c r="BC532" s="86"/>
      <c r="BD532" s="32"/>
      <c r="BE532" s="86"/>
      <c r="BF532" s="32"/>
      <c r="BG532" s="86"/>
      <c r="BH532" s="32"/>
      <c r="BI532" s="86"/>
      <c r="BJ532" s="32"/>
      <c r="BK532" s="86"/>
      <c r="BL532" s="31"/>
      <c r="BM532" s="3"/>
      <c r="BN532" s="3"/>
      <c r="BO532" s="3"/>
    </row>
    <row r="533" spans="1:67" x14ac:dyDescent="0.2">
      <c r="B533" s="3" t="s">
        <v>28</v>
      </c>
      <c r="C533" s="15">
        <v>0</v>
      </c>
      <c r="D533" s="15"/>
      <c r="E533" s="15">
        <v>0</v>
      </c>
      <c r="F533" s="15"/>
      <c r="G533" s="15">
        <v>0</v>
      </c>
      <c r="H533" s="15"/>
      <c r="I533" s="15">
        <v>0</v>
      </c>
      <c r="J533" s="15"/>
      <c r="K533" s="15">
        <v>0</v>
      </c>
      <c r="L533" s="15"/>
      <c r="M533" s="15">
        <v>0</v>
      </c>
      <c r="N533" s="15"/>
      <c r="O533" s="15">
        <v>0</v>
      </c>
      <c r="P533" s="15"/>
      <c r="Q533" s="15">
        <v>0</v>
      </c>
      <c r="R533" s="15"/>
      <c r="S533" s="15">
        <v>0</v>
      </c>
      <c r="T533" s="15"/>
      <c r="U533" s="15">
        <v>0</v>
      </c>
      <c r="V533" s="15"/>
      <c r="W533" s="15">
        <v>-2996.91</v>
      </c>
      <c r="X533" s="15"/>
      <c r="Y533" s="15">
        <v>0</v>
      </c>
      <c r="Z533" s="15"/>
      <c r="AA533" s="15">
        <v>0</v>
      </c>
      <c r="AB533" s="15"/>
      <c r="AC533" s="15">
        <v>0</v>
      </c>
      <c r="AD533" s="15"/>
      <c r="AE533" s="15">
        <v>0</v>
      </c>
      <c r="AF533" s="15"/>
      <c r="AG533" s="15">
        <v>0</v>
      </c>
      <c r="AH533" s="15"/>
      <c r="AI533" s="15">
        <v>0</v>
      </c>
      <c r="AJ533" s="15"/>
      <c r="AK533" s="15">
        <v>0</v>
      </c>
      <c r="AL533" s="15"/>
      <c r="AM533" s="15">
        <v>0</v>
      </c>
      <c r="AN533" s="15"/>
      <c r="AO533" s="15">
        <v>0</v>
      </c>
      <c r="AP533" s="15"/>
      <c r="AQ533" s="15">
        <v>0</v>
      </c>
      <c r="AR533" s="15"/>
      <c r="AS533" s="15">
        <v>0</v>
      </c>
      <c r="AT533" s="15">
        <v>0</v>
      </c>
      <c r="AU533" s="15"/>
      <c r="AV533" s="15">
        <v>0</v>
      </c>
      <c r="AW533" s="15"/>
      <c r="AX533" s="15">
        <v>0</v>
      </c>
      <c r="AY533" s="15"/>
      <c r="AZ533" s="17">
        <f t="shared" si="137"/>
        <v>-2996.91</v>
      </c>
      <c r="BB533" s="32"/>
      <c r="BC533" s="86"/>
      <c r="BD533" s="32"/>
      <c r="BE533" s="86"/>
      <c r="BF533" s="32"/>
      <c r="BG533" s="86"/>
      <c r="BH533" s="32"/>
      <c r="BI533" s="86"/>
      <c r="BJ533" s="32"/>
      <c r="BK533" s="86"/>
      <c r="BL533" s="31"/>
      <c r="BM533" s="3"/>
      <c r="BN533" s="3"/>
      <c r="BO533" s="3"/>
    </row>
    <row r="534" spans="1:67" x14ac:dyDescent="0.2">
      <c r="B534" s="3" t="s">
        <v>30</v>
      </c>
      <c r="C534" s="15">
        <v>0</v>
      </c>
      <c r="D534" s="15"/>
      <c r="E534" s="15">
        <v>0</v>
      </c>
      <c r="F534" s="15"/>
      <c r="G534" s="15">
        <v>0</v>
      </c>
      <c r="H534" s="15"/>
      <c r="I534" s="15">
        <v>0</v>
      </c>
      <c r="J534" s="15"/>
      <c r="K534" s="15">
        <v>0</v>
      </c>
      <c r="L534" s="15"/>
      <c r="M534" s="15">
        <v>0</v>
      </c>
      <c r="N534" s="15"/>
      <c r="O534" s="15">
        <v>0</v>
      </c>
      <c r="P534" s="15"/>
      <c r="Q534" s="15">
        <v>0</v>
      </c>
      <c r="R534" s="15"/>
      <c r="S534" s="15">
        <v>0</v>
      </c>
      <c r="T534" s="15"/>
      <c r="U534" s="15">
        <v>0</v>
      </c>
      <c r="V534" s="15"/>
      <c r="W534" s="15">
        <v>2996.91</v>
      </c>
      <c r="X534" s="15"/>
      <c r="Y534" s="15">
        <v>0</v>
      </c>
      <c r="Z534" s="15"/>
      <c r="AA534" s="15">
        <v>0</v>
      </c>
      <c r="AB534" s="15"/>
      <c r="AC534" s="15">
        <v>0</v>
      </c>
      <c r="AD534" s="15"/>
      <c r="AE534" s="15">
        <v>0</v>
      </c>
      <c r="AF534" s="15"/>
      <c r="AG534" s="15">
        <v>0</v>
      </c>
      <c r="AH534" s="15"/>
      <c r="AI534" s="15">
        <v>0</v>
      </c>
      <c r="AJ534" s="15"/>
      <c r="AK534" s="15">
        <v>0</v>
      </c>
      <c r="AL534" s="15"/>
      <c r="AM534" s="15">
        <v>0</v>
      </c>
      <c r="AN534" s="15"/>
      <c r="AO534" s="15">
        <v>0</v>
      </c>
      <c r="AP534" s="15"/>
      <c r="AQ534" s="15">
        <v>0</v>
      </c>
      <c r="AR534" s="15"/>
      <c r="AS534" s="15">
        <v>0</v>
      </c>
      <c r="AT534" s="15">
        <v>0</v>
      </c>
      <c r="AU534" s="15"/>
      <c r="AV534" s="15">
        <v>-380.24</v>
      </c>
      <c r="AW534" s="15"/>
      <c r="AX534" s="15">
        <v>0</v>
      </c>
      <c r="AY534" s="15"/>
      <c r="AZ534" s="17">
        <f t="shared" si="137"/>
        <v>2616.67</v>
      </c>
      <c r="BB534" s="32"/>
      <c r="BC534" s="86"/>
      <c r="BD534" s="32"/>
      <c r="BE534" s="86"/>
      <c r="BF534" s="32"/>
      <c r="BG534" s="86"/>
      <c r="BH534" s="32"/>
      <c r="BI534" s="86"/>
      <c r="BJ534" s="32"/>
      <c r="BK534" s="86"/>
      <c r="BL534" s="31"/>
      <c r="BM534" s="3"/>
      <c r="BN534" s="3"/>
      <c r="BO534" s="3"/>
    </row>
    <row r="535" spans="1:67" x14ac:dyDescent="0.2">
      <c r="B535" s="3" t="s">
        <v>84</v>
      </c>
      <c r="C535" s="15">
        <v>0</v>
      </c>
      <c r="D535" s="15"/>
      <c r="E535" s="15">
        <v>0</v>
      </c>
      <c r="F535" s="15"/>
      <c r="G535" s="15">
        <v>0</v>
      </c>
      <c r="H535" s="15"/>
      <c r="I535" s="15">
        <v>0</v>
      </c>
      <c r="J535" s="15"/>
      <c r="K535" s="15">
        <v>0</v>
      </c>
      <c r="L535" s="15"/>
      <c r="M535" s="15">
        <v>0</v>
      </c>
      <c r="N535" s="15"/>
      <c r="O535" s="15">
        <v>0</v>
      </c>
      <c r="P535" s="15"/>
      <c r="Q535" s="15">
        <v>0</v>
      </c>
      <c r="R535" s="15"/>
      <c r="S535" s="15">
        <v>0</v>
      </c>
      <c r="T535" s="15"/>
      <c r="U535" s="15">
        <v>0</v>
      </c>
      <c r="V535" s="15"/>
      <c r="W535" s="15">
        <v>0</v>
      </c>
      <c r="X535" s="15"/>
      <c r="Y535" s="15">
        <v>0</v>
      </c>
      <c r="Z535" s="15"/>
      <c r="AA535" s="15">
        <v>0</v>
      </c>
      <c r="AB535" s="15"/>
      <c r="AC535" s="15">
        <v>0</v>
      </c>
      <c r="AD535" s="15"/>
      <c r="AE535" s="15">
        <v>0</v>
      </c>
      <c r="AF535" s="15"/>
      <c r="AG535" s="15">
        <v>0</v>
      </c>
      <c r="AH535" s="15"/>
      <c r="AI535" s="15">
        <v>0</v>
      </c>
      <c r="AJ535" s="15"/>
      <c r="AK535" s="15">
        <v>0</v>
      </c>
      <c r="AL535" s="15"/>
      <c r="AM535" s="15">
        <v>0</v>
      </c>
      <c r="AN535" s="15"/>
      <c r="AO535" s="15">
        <v>0</v>
      </c>
      <c r="AP535" s="15"/>
      <c r="AQ535" s="15">
        <v>0</v>
      </c>
      <c r="AR535" s="15"/>
      <c r="AS535" s="15">
        <v>0</v>
      </c>
      <c r="AT535" s="15">
        <v>0</v>
      </c>
      <c r="AU535" s="15"/>
      <c r="AV535" s="15">
        <v>0</v>
      </c>
      <c r="AW535" s="15"/>
      <c r="AX535" s="15">
        <v>0</v>
      </c>
      <c r="AY535" s="15"/>
      <c r="AZ535" s="17">
        <f t="shared" si="137"/>
        <v>0</v>
      </c>
      <c r="BB535" s="32"/>
      <c r="BC535" s="86"/>
      <c r="BD535" s="32"/>
      <c r="BE535" s="86"/>
      <c r="BF535" s="32"/>
      <c r="BG535" s="86"/>
      <c r="BH535" s="32"/>
      <c r="BI535" s="86"/>
      <c r="BJ535" s="32"/>
      <c r="BK535" s="86"/>
      <c r="BL535" s="31"/>
      <c r="BM535" s="3"/>
      <c r="BN535" s="3"/>
      <c r="BO535" s="3"/>
    </row>
    <row r="536" spans="1:67" x14ac:dyDescent="0.2">
      <c r="B536" s="3" t="s">
        <v>51</v>
      </c>
      <c r="C536" s="17">
        <v>0</v>
      </c>
      <c r="D536" s="17"/>
      <c r="E536" s="17">
        <v>0</v>
      </c>
      <c r="F536" s="17"/>
      <c r="G536" s="17">
        <v>0</v>
      </c>
      <c r="H536" s="17"/>
      <c r="I536" s="17">
        <v>0</v>
      </c>
      <c r="J536" s="17"/>
      <c r="K536" s="17">
        <v>0</v>
      </c>
      <c r="L536" s="17"/>
      <c r="M536" s="17">
        <v>0</v>
      </c>
      <c r="N536" s="17"/>
      <c r="O536" s="17">
        <v>0</v>
      </c>
      <c r="P536" s="17"/>
      <c r="Q536" s="17">
        <v>0</v>
      </c>
      <c r="R536" s="17"/>
      <c r="S536" s="17">
        <v>0</v>
      </c>
      <c r="T536" s="17"/>
      <c r="U536" s="17">
        <v>0</v>
      </c>
      <c r="V536" s="17"/>
      <c r="W536" s="17">
        <v>0</v>
      </c>
      <c r="X536" s="17"/>
      <c r="Y536" s="17">
        <v>0</v>
      </c>
      <c r="Z536" s="17"/>
      <c r="AA536" s="17">
        <v>0</v>
      </c>
      <c r="AB536" s="17"/>
      <c r="AC536" s="17">
        <v>0</v>
      </c>
      <c r="AD536" s="17"/>
      <c r="AE536" s="17">
        <v>0</v>
      </c>
      <c r="AF536" s="17"/>
      <c r="AG536" s="17">
        <v>0</v>
      </c>
      <c r="AH536" s="17"/>
      <c r="AI536" s="17">
        <v>0</v>
      </c>
      <c r="AJ536" s="17"/>
      <c r="AK536" s="17">
        <v>0</v>
      </c>
      <c r="AL536" s="17"/>
      <c r="AM536" s="17">
        <v>0</v>
      </c>
      <c r="AN536" s="17"/>
      <c r="AO536" s="17">
        <v>0</v>
      </c>
      <c r="AP536" s="17"/>
      <c r="AQ536" s="17">
        <v>0</v>
      </c>
      <c r="AR536" s="17"/>
      <c r="AS536" s="17">
        <v>0</v>
      </c>
      <c r="AT536" s="17">
        <v>0</v>
      </c>
      <c r="AU536" s="17"/>
      <c r="AV536" s="17">
        <v>0</v>
      </c>
      <c r="AW536" s="17"/>
      <c r="AX536" s="17">
        <v>0</v>
      </c>
      <c r="AY536" s="17"/>
      <c r="AZ536" s="17">
        <f t="shared" si="137"/>
        <v>0</v>
      </c>
      <c r="BB536" s="32"/>
      <c r="BC536" s="86"/>
      <c r="BD536" s="32"/>
      <c r="BE536" s="86"/>
      <c r="BF536" s="32"/>
      <c r="BG536" s="86"/>
      <c r="BH536" s="32"/>
      <c r="BI536" s="86"/>
      <c r="BJ536" s="32"/>
      <c r="BK536" s="86"/>
      <c r="BL536" s="31"/>
      <c r="BM536" s="3"/>
      <c r="BN536" s="3"/>
      <c r="BO536" s="3"/>
    </row>
    <row r="537" spans="1:67" x14ac:dyDescent="0.2">
      <c r="B537" s="3" t="s">
        <v>31</v>
      </c>
      <c r="C537" s="17">
        <v>0</v>
      </c>
      <c r="D537" s="17"/>
      <c r="E537" s="17">
        <v>0</v>
      </c>
      <c r="F537" s="17"/>
      <c r="G537" s="17">
        <v>0</v>
      </c>
      <c r="H537" s="17"/>
      <c r="I537" s="17">
        <v>0</v>
      </c>
      <c r="J537" s="17"/>
      <c r="K537" s="17">
        <v>0</v>
      </c>
      <c r="L537" s="17"/>
      <c r="M537" s="17">
        <v>0</v>
      </c>
      <c r="N537" s="17"/>
      <c r="O537" s="17">
        <v>0</v>
      </c>
      <c r="P537" s="17"/>
      <c r="Q537" s="17">
        <v>0</v>
      </c>
      <c r="R537" s="17"/>
      <c r="S537" s="17">
        <v>0</v>
      </c>
      <c r="T537" s="17"/>
      <c r="U537" s="17">
        <v>0</v>
      </c>
      <c r="V537" s="17"/>
      <c r="W537" s="17">
        <v>0</v>
      </c>
      <c r="X537" s="17"/>
      <c r="Y537" s="17">
        <v>0</v>
      </c>
      <c r="Z537" s="17"/>
      <c r="AA537" s="17">
        <v>0</v>
      </c>
      <c r="AB537" s="17"/>
      <c r="AC537" s="17">
        <v>0</v>
      </c>
      <c r="AD537" s="17"/>
      <c r="AE537" s="17">
        <v>0</v>
      </c>
      <c r="AF537" s="17"/>
      <c r="AG537" s="17">
        <v>0</v>
      </c>
      <c r="AH537" s="17"/>
      <c r="AI537" s="17">
        <v>0</v>
      </c>
      <c r="AJ537" s="17"/>
      <c r="AK537" s="17">
        <v>0</v>
      </c>
      <c r="AL537" s="17"/>
      <c r="AM537" s="17">
        <v>0</v>
      </c>
      <c r="AN537" s="17"/>
      <c r="AO537" s="17">
        <v>0</v>
      </c>
      <c r="AP537" s="17"/>
      <c r="AQ537" s="17">
        <v>0</v>
      </c>
      <c r="AR537" s="17"/>
      <c r="AS537" s="17">
        <v>0</v>
      </c>
      <c r="AT537" s="17">
        <v>0</v>
      </c>
      <c r="AU537" s="17"/>
      <c r="AV537" s="17">
        <v>0</v>
      </c>
      <c r="AW537" s="17"/>
      <c r="AX537" s="17">
        <v>0</v>
      </c>
      <c r="AY537" s="17"/>
      <c r="AZ537" s="17">
        <f t="shared" si="137"/>
        <v>0</v>
      </c>
      <c r="BB537" s="32"/>
      <c r="BC537" s="86"/>
      <c r="BD537" s="32"/>
      <c r="BE537" s="86"/>
      <c r="BF537" s="32"/>
      <c r="BG537" s="86"/>
      <c r="BH537" s="32"/>
      <c r="BI537" s="86"/>
      <c r="BJ537" s="32"/>
      <c r="BK537" s="86"/>
      <c r="BL537" s="31"/>
      <c r="BM537" s="3"/>
      <c r="BN537" s="3"/>
      <c r="BO537" s="3"/>
    </row>
    <row r="538" spans="1:67" x14ac:dyDescent="0.2">
      <c r="B538" s="22" t="s">
        <v>85</v>
      </c>
      <c r="C538" s="17">
        <v>0</v>
      </c>
      <c r="D538" s="17"/>
      <c r="E538" s="17">
        <v>0</v>
      </c>
      <c r="F538" s="17"/>
      <c r="G538" s="17">
        <v>0</v>
      </c>
      <c r="H538" s="17"/>
      <c r="I538" s="17">
        <v>0</v>
      </c>
      <c r="J538" s="17"/>
      <c r="K538" s="17">
        <v>0</v>
      </c>
      <c r="L538" s="17"/>
      <c r="M538" s="17">
        <v>0</v>
      </c>
      <c r="N538" s="17"/>
      <c r="O538" s="17">
        <v>0</v>
      </c>
      <c r="P538" s="17"/>
      <c r="Q538" s="17">
        <v>0</v>
      </c>
      <c r="R538" s="17"/>
      <c r="S538" s="17">
        <v>0</v>
      </c>
      <c r="T538" s="17"/>
      <c r="U538" s="17">
        <v>0</v>
      </c>
      <c r="V538" s="17"/>
      <c r="W538" s="17">
        <v>0</v>
      </c>
      <c r="X538" s="17"/>
      <c r="Y538" s="17">
        <v>0</v>
      </c>
      <c r="Z538" s="17"/>
      <c r="AA538" s="17">
        <v>0</v>
      </c>
      <c r="AB538" s="17"/>
      <c r="AC538" s="17">
        <v>0</v>
      </c>
      <c r="AD538" s="17"/>
      <c r="AE538" s="17">
        <v>0</v>
      </c>
      <c r="AF538" s="17"/>
      <c r="AG538" s="17">
        <v>0</v>
      </c>
      <c r="AH538" s="17"/>
      <c r="AI538" s="17">
        <v>0</v>
      </c>
      <c r="AJ538" s="17"/>
      <c r="AK538" s="17">
        <v>0</v>
      </c>
      <c r="AL538" s="17"/>
      <c r="AM538" s="17">
        <v>0</v>
      </c>
      <c r="AN538" s="17"/>
      <c r="AO538" s="17">
        <v>0</v>
      </c>
      <c r="AP538" s="17"/>
      <c r="AQ538" s="17">
        <v>0</v>
      </c>
      <c r="AR538" s="17"/>
      <c r="AS538" s="17">
        <v>0</v>
      </c>
      <c r="AT538" s="17">
        <v>0</v>
      </c>
      <c r="AU538" s="17"/>
      <c r="AV538" s="17">
        <v>0</v>
      </c>
      <c r="AW538" s="17"/>
      <c r="AX538" s="17">
        <v>0</v>
      </c>
      <c r="AY538" s="17"/>
      <c r="AZ538" s="17">
        <f t="shared" si="137"/>
        <v>0</v>
      </c>
      <c r="BB538" s="32"/>
      <c r="BC538" s="86"/>
      <c r="BD538" s="32"/>
      <c r="BE538" s="86"/>
      <c r="BF538" s="32"/>
      <c r="BG538" s="86"/>
      <c r="BH538" s="32"/>
      <c r="BI538" s="86"/>
      <c r="BJ538" s="32"/>
      <c r="BK538" s="86"/>
      <c r="BL538" s="31"/>
      <c r="BM538" s="3"/>
      <c r="BN538" s="3"/>
      <c r="BO538" s="3"/>
    </row>
    <row r="539" spans="1:67" x14ac:dyDescent="0.2">
      <c r="B539" s="22" t="s">
        <v>86</v>
      </c>
      <c r="C539" s="17">
        <v>0</v>
      </c>
      <c r="D539" s="17"/>
      <c r="E539" s="17">
        <v>0</v>
      </c>
      <c r="F539" s="17"/>
      <c r="G539" s="17">
        <v>0</v>
      </c>
      <c r="H539" s="17"/>
      <c r="I539" s="17">
        <v>0</v>
      </c>
      <c r="J539" s="17"/>
      <c r="K539" s="17">
        <v>0</v>
      </c>
      <c r="L539" s="17"/>
      <c r="M539" s="17">
        <v>0</v>
      </c>
      <c r="N539" s="17"/>
      <c r="O539" s="17">
        <v>0</v>
      </c>
      <c r="P539" s="17"/>
      <c r="Q539" s="17">
        <v>0</v>
      </c>
      <c r="R539" s="17"/>
      <c r="S539" s="17">
        <v>0</v>
      </c>
      <c r="T539" s="17"/>
      <c r="U539" s="17">
        <v>0</v>
      </c>
      <c r="V539" s="17"/>
      <c r="W539" s="17">
        <v>0</v>
      </c>
      <c r="X539" s="17"/>
      <c r="Y539" s="17">
        <v>0</v>
      </c>
      <c r="Z539" s="17"/>
      <c r="AA539" s="17">
        <v>0</v>
      </c>
      <c r="AB539" s="17"/>
      <c r="AC539" s="17">
        <v>0</v>
      </c>
      <c r="AD539" s="17"/>
      <c r="AE539" s="17">
        <v>0</v>
      </c>
      <c r="AF539" s="17"/>
      <c r="AG539" s="17">
        <v>0</v>
      </c>
      <c r="AH539" s="17"/>
      <c r="AI539" s="17">
        <v>0</v>
      </c>
      <c r="AJ539" s="17"/>
      <c r="AK539" s="17">
        <v>0</v>
      </c>
      <c r="AL539" s="17"/>
      <c r="AM539" s="17">
        <v>0</v>
      </c>
      <c r="AN539" s="17"/>
      <c r="AO539" s="17">
        <v>0</v>
      </c>
      <c r="AP539" s="17"/>
      <c r="AQ539" s="17">
        <v>0</v>
      </c>
      <c r="AR539" s="17"/>
      <c r="AS539" s="17">
        <v>0</v>
      </c>
      <c r="AT539" s="17">
        <v>0</v>
      </c>
      <c r="AU539" s="17"/>
      <c r="AV539" s="17">
        <v>0</v>
      </c>
      <c r="AW539" s="17"/>
      <c r="AX539" s="17">
        <v>0</v>
      </c>
      <c r="AY539" s="17"/>
      <c r="AZ539" s="17">
        <f t="shared" si="137"/>
        <v>0</v>
      </c>
      <c r="BB539" s="32"/>
      <c r="BC539" s="86"/>
      <c r="BD539" s="32"/>
      <c r="BE539" s="86"/>
      <c r="BF539" s="32"/>
      <c r="BG539" s="86"/>
      <c r="BH539" s="32"/>
      <c r="BI539" s="86"/>
      <c r="BJ539" s="32"/>
      <c r="BK539" s="86"/>
      <c r="BL539" s="31"/>
      <c r="BM539" s="3"/>
      <c r="BN539" s="3"/>
      <c r="BO539" s="3"/>
    </row>
    <row r="540" spans="1:67" x14ac:dyDescent="0.2">
      <c r="B540" s="22" t="s">
        <v>88</v>
      </c>
      <c r="C540" s="17">
        <v>0</v>
      </c>
      <c r="D540" s="17"/>
      <c r="E540" s="17">
        <v>0</v>
      </c>
      <c r="F540" s="17"/>
      <c r="G540" s="17">
        <v>0</v>
      </c>
      <c r="H540" s="17"/>
      <c r="I540" s="17">
        <v>0</v>
      </c>
      <c r="J540" s="17"/>
      <c r="K540" s="17">
        <v>0</v>
      </c>
      <c r="L540" s="17"/>
      <c r="M540" s="17">
        <v>0</v>
      </c>
      <c r="N540" s="17"/>
      <c r="O540" s="17">
        <v>0</v>
      </c>
      <c r="P540" s="17"/>
      <c r="Q540" s="17">
        <v>0</v>
      </c>
      <c r="R540" s="17"/>
      <c r="S540" s="17">
        <v>0</v>
      </c>
      <c r="T540" s="17"/>
      <c r="U540" s="17">
        <v>0</v>
      </c>
      <c r="V540" s="17"/>
      <c r="W540" s="17">
        <v>0</v>
      </c>
      <c r="X540" s="17"/>
      <c r="Y540" s="17">
        <v>0</v>
      </c>
      <c r="Z540" s="17"/>
      <c r="AA540" s="17">
        <v>0</v>
      </c>
      <c r="AB540" s="17"/>
      <c r="AC540" s="17">
        <v>0</v>
      </c>
      <c r="AD540" s="17"/>
      <c r="AE540" s="17">
        <v>0</v>
      </c>
      <c r="AF540" s="17"/>
      <c r="AG540" s="17">
        <v>0</v>
      </c>
      <c r="AH540" s="17"/>
      <c r="AI540" s="17">
        <v>0</v>
      </c>
      <c r="AJ540" s="17"/>
      <c r="AK540" s="17">
        <v>1.49</v>
      </c>
      <c r="AL540" s="17"/>
      <c r="AM540" s="17">
        <v>0</v>
      </c>
      <c r="AN540" s="17"/>
      <c r="AO540" s="17">
        <v>0</v>
      </c>
      <c r="AP540" s="17"/>
      <c r="AQ540" s="17">
        <v>0</v>
      </c>
      <c r="AR540" s="17"/>
      <c r="AS540" s="17">
        <v>0</v>
      </c>
      <c r="AT540" s="17">
        <v>0</v>
      </c>
      <c r="AU540" s="17"/>
      <c r="AV540" s="17">
        <v>0</v>
      </c>
      <c r="AW540" s="17"/>
      <c r="AX540" s="17">
        <v>0</v>
      </c>
      <c r="AY540" s="17"/>
      <c r="AZ540" s="17">
        <f t="shared" si="137"/>
        <v>1.49</v>
      </c>
      <c r="BB540" s="32"/>
      <c r="BC540" s="86"/>
      <c r="BD540" s="32"/>
      <c r="BE540" s="86"/>
      <c r="BF540" s="32"/>
      <c r="BG540" s="86"/>
      <c r="BH540" s="32"/>
      <c r="BI540" s="86"/>
      <c r="BJ540" s="32"/>
      <c r="BK540" s="86"/>
      <c r="BL540" s="31"/>
      <c r="BM540" s="3"/>
      <c r="BN540" s="3"/>
      <c r="BO540" s="3"/>
    </row>
    <row r="541" spans="1:67" x14ac:dyDescent="0.2">
      <c r="B541" s="3" t="s">
        <v>242</v>
      </c>
      <c r="C541" s="20">
        <f>SUM(C517:C540)</f>
        <v>0</v>
      </c>
      <c r="D541" s="17"/>
      <c r="E541" s="20">
        <f>SUM(E517:E540)</f>
        <v>0</v>
      </c>
      <c r="F541" s="17"/>
      <c r="G541" s="20">
        <f>SUM(G517:G540)</f>
        <v>-973.36</v>
      </c>
      <c r="H541" s="17"/>
      <c r="I541" s="20">
        <f>SUM(I517:I540)</f>
        <v>-16682.18</v>
      </c>
      <c r="J541" s="17"/>
      <c r="K541" s="20">
        <f>SUM(K517:K540)</f>
        <v>973.36</v>
      </c>
      <c r="L541" s="17"/>
      <c r="M541" s="20">
        <f>SUM(M517:M540)</f>
        <v>0</v>
      </c>
      <c r="N541" s="17"/>
      <c r="O541" s="20">
        <f>SUM(O517:O540)</f>
        <v>0</v>
      </c>
      <c r="P541" s="17"/>
      <c r="Q541" s="20">
        <f>SUM(Q517:Q540)</f>
        <v>0</v>
      </c>
      <c r="R541" s="17"/>
      <c r="S541" s="20">
        <f>SUM(S517:S540)</f>
        <v>0</v>
      </c>
      <c r="T541" s="20"/>
      <c r="U541" s="20">
        <f>SUM(U517:U540)</f>
        <v>27.28</v>
      </c>
      <c r="V541" s="20"/>
      <c r="W541" s="20">
        <f>SUM(W517:W540)</f>
        <v>0</v>
      </c>
      <c r="X541" s="17"/>
      <c r="Y541" s="20">
        <f>SUM(Y517:Y540)</f>
        <v>0</v>
      </c>
      <c r="Z541" s="17"/>
      <c r="AA541" s="20">
        <f>SUM(AA517:AA540)</f>
        <v>0</v>
      </c>
      <c r="AB541" s="17"/>
      <c r="AC541" s="20">
        <f>SUM(AC517:AC540)</f>
        <v>0</v>
      </c>
      <c r="AD541" s="17"/>
      <c r="AE541" s="20">
        <f>SUM(AE517:AE540)</f>
        <v>0</v>
      </c>
      <c r="AF541" s="17"/>
      <c r="AG541" s="20">
        <f>SUM(AG517:AG540)</f>
        <v>0</v>
      </c>
      <c r="AH541" s="17"/>
      <c r="AI541" s="20">
        <f>SUM(AI517:AI540)</f>
        <v>0</v>
      </c>
      <c r="AJ541" s="17"/>
      <c r="AK541" s="20">
        <f>SUM(AK517:AK540)</f>
        <v>1.49</v>
      </c>
      <c r="AL541" s="20"/>
      <c r="AM541" s="20">
        <f>SUM(AM517:AM540)</f>
        <v>76448.429999999993</v>
      </c>
      <c r="AN541" s="20"/>
      <c r="AO541" s="20">
        <f>SUM(AO517:AO540)</f>
        <v>0</v>
      </c>
      <c r="AP541" s="20"/>
      <c r="AQ541" s="20">
        <f>SUM(AQ517:AQ540)</f>
        <v>0</v>
      </c>
      <c r="AR541" s="20"/>
      <c r="AS541" s="20">
        <f>SUM(AS517:AS540)</f>
        <v>0</v>
      </c>
      <c r="AT541" s="20">
        <f>SUM(AT517:AT540)</f>
        <v>0</v>
      </c>
      <c r="AU541" s="20"/>
      <c r="AV541" s="20">
        <f>SUM(AV517:AV540)</f>
        <v>0</v>
      </c>
      <c r="AW541" s="20"/>
      <c r="AX541" s="20">
        <f>SUM(AX517:AX540)</f>
        <v>-353540</v>
      </c>
      <c r="AY541" s="20"/>
      <c r="AZ541" s="20">
        <f>SUM(AZ517:AZ540)</f>
        <v>-293744.9800000001</v>
      </c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31"/>
      <c r="BM541" s="3"/>
      <c r="BN541" s="3"/>
      <c r="BO541" s="3"/>
    </row>
    <row r="542" spans="1:67" x14ac:dyDescent="0.2">
      <c r="B542" s="19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31"/>
      <c r="BM542" s="3"/>
      <c r="BN542" s="3"/>
      <c r="BO542" s="3"/>
    </row>
    <row r="543" spans="1:67" ht="15" x14ac:dyDescent="0.35">
      <c r="A543" s="10" t="s">
        <v>89</v>
      </c>
      <c r="C543" s="34"/>
      <c r="D543" s="34"/>
      <c r="E543" s="34"/>
      <c r="F543" s="35"/>
      <c r="G543" s="34"/>
      <c r="H543" s="34"/>
      <c r="I543" s="34"/>
      <c r="J543" s="35"/>
      <c r="K543" s="34"/>
      <c r="L543" s="35"/>
      <c r="M543" s="34"/>
      <c r="N543" s="35"/>
      <c r="O543" s="34"/>
      <c r="P543" s="35"/>
      <c r="Q543" s="34"/>
      <c r="R543" s="35"/>
      <c r="S543" s="34"/>
      <c r="T543" s="34"/>
      <c r="U543" s="34"/>
      <c r="V543" s="34"/>
      <c r="W543" s="34"/>
      <c r="X543" s="35"/>
      <c r="Y543" s="34"/>
      <c r="Z543" s="35"/>
      <c r="AA543" s="34"/>
      <c r="AB543" s="35"/>
      <c r="AC543" s="34"/>
      <c r="AD543" s="35"/>
      <c r="AE543" s="34"/>
      <c r="AF543" s="35"/>
      <c r="AG543" s="34"/>
      <c r="AH543" s="35"/>
      <c r="AI543" s="34"/>
      <c r="AJ543" s="35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31"/>
      <c r="BM543" s="3"/>
      <c r="BN543" s="3"/>
      <c r="BO543" s="3"/>
    </row>
    <row r="544" spans="1:67" x14ac:dyDescent="0.2"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31"/>
      <c r="BM544" s="3"/>
      <c r="BN544" s="3"/>
      <c r="BO544" s="3"/>
    </row>
    <row r="545" spans="1:67" x14ac:dyDescent="0.2">
      <c r="B545" s="3" t="s">
        <v>14</v>
      </c>
      <c r="C545" s="17">
        <v>0</v>
      </c>
      <c r="D545" s="17"/>
      <c r="E545" s="17">
        <v>0</v>
      </c>
      <c r="F545" s="17"/>
      <c r="G545" s="17">
        <v>0</v>
      </c>
      <c r="H545" s="17"/>
      <c r="I545" s="17">
        <v>0</v>
      </c>
      <c r="J545" s="17"/>
      <c r="K545" s="17">
        <v>-973.36</v>
      </c>
      <c r="L545" s="17"/>
      <c r="M545" s="17">
        <v>0</v>
      </c>
      <c r="N545" s="17"/>
      <c r="O545" s="17">
        <v>0</v>
      </c>
      <c r="P545" s="17"/>
      <c r="Q545" s="17">
        <v>0</v>
      </c>
      <c r="R545" s="17"/>
      <c r="S545" s="17">
        <v>0</v>
      </c>
      <c r="T545" s="17"/>
      <c r="U545" s="17">
        <v>0</v>
      </c>
      <c r="V545" s="17"/>
      <c r="W545" s="17">
        <v>0</v>
      </c>
      <c r="X545" s="17"/>
      <c r="Y545" s="17">
        <v>0</v>
      </c>
      <c r="Z545" s="17"/>
      <c r="AA545" s="17">
        <v>0</v>
      </c>
      <c r="AB545" s="17"/>
      <c r="AC545" s="17">
        <v>0</v>
      </c>
      <c r="AD545" s="17"/>
      <c r="AE545" s="17">
        <v>0</v>
      </c>
      <c r="AF545" s="17"/>
      <c r="AG545" s="17">
        <v>0</v>
      </c>
      <c r="AH545" s="17"/>
      <c r="AI545" s="17">
        <v>0</v>
      </c>
      <c r="AJ545" s="17"/>
      <c r="AK545" s="17">
        <v>0</v>
      </c>
      <c r="AL545" s="17"/>
      <c r="AM545" s="17">
        <v>0</v>
      </c>
      <c r="AN545" s="17"/>
      <c r="AO545" s="17">
        <v>0</v>
      </c>
      <c r="AP545" s="17"/>
      <c r="AQ545" s="17">
        <v>0</v>
      </c>
      <c r="AR545" s="17"/>
      <c r="AS545" s="17">
        <v>0</v>
      </c>
      <c r="AT545" s="17">
        <v>63.76</v>
      </c>
      <c r="AU545" s="17"/>
      <c r="AV545" s="17">
        <v>1.72</v>
      </c>
      <c r="AW545" s="17"/>
      <c r="AX545" s="17">
        <v>0</v>
      </c>
      <c r="AY545" s="17"/>
      <c r="AZ545" s="17">
        <f t="shared" ref="AZ545:AZ557" si="138">SUM(C545:AY545)</f>
        <v>-907.88</v>
      </c>
      <c r="BB545" s="32"/>
      <c r="BC545" s="86"/>
      <c r="BD545" s="32"/>
      <c r="BE545" s="86"/>
      <c r="BF545" s="32"/>
      <c r="BG545" s="86"/>
      <c r="BH545" s="32"/>
      <c r="BI545" s="86"/>
      <c r="BJ545" s="32"/>
      <c r="BK545" s="86"/>
      <c r="BL545" s="31"/>
      <c r="BM545" s="3"/>
      <c r="BN545" s="3"/>
      <c r="BO545" s="3"/>
    </row>
    <row r="546" spans="1:67" x14ac:dyDescent="0.2">
      <c r="B546" s="3" t="s">
        <v>18</v>
      </c>
      <c r="C546" s="17">
        <v>0</v>
      </c>
      <c r="D546" s="17"/>
      <c r="E546" s="17">
        <v>14563.35</v>
      </c>
      <c r="F546" s="17"/>
      <c r="G546" s="17">
        <v>0</v>
      </c>
      <c r="H546" s="17"/>
      <c r="I546" s="17">
        <v>0</v>
      </c>
      <c r="J546" s="17"/>
      <c r="K546" s="17">
        <v>0</v>
      </c>
      <c r="L546" s="17"/>
      <c r="M546" s="17">
        <v>0</v>
      </c>
      <c r="N546" s="17"/>
      <c r="O546" s="17">
        <v>0</v>
      </c>
      <c r="P546" s="17"/>
      <c r="Q546" s="17">
        <v>0</v>
      </c>
      <c r="R546" s="17"/>
      <c r="S546" s="17">
        <v>976.88</v>
      </c>
      <c r="T546" s="17"/>
      <c r="U546" s="17">
        <v>0</v>
      </c>
      <c r="V546" s="17"/>
      <c r="W546" s="17">
        <v>2742.04</v>
      </c>
      <c r="X546" s="17"/>
      <c r="Y546" s="17">
        <v>0</v>
      </c>
      <c r="Z546" s="17"/>
      <c r="AA546" s="17">
        <v>0</v>
      </c>
      <c r="AB546" s="17"/>
      <c r="AC546" s="17">
        <v>5761.78</v>
      </c>
      <c r="AD546" s="17"/>
      <c r="AE546" s="17">
        <v>0</v>
      </c>
      <c r="AF546" s="17"/>
      <c r="AG546" s="17">
        <v>0</v>
      </c>
      <c r="AH546" s="17"/>
      <c r="AI546" s="17">
        <v>0</v>
      </c>
      <c r="AJ546" s="17"/>
      <c r="AK546" s="17">
        <v>7.46</v>
      </c>
      <c r="AL546" s="17"/>
      <c r="AM546" s="17">
        <v>0</v>
      </c>
      <c r="AN546" s="17"/>
      <c r="AO546" s="17">
        <v>0</v>
      </c>
      <c r="AP546" s="17"/>
      <c r="AQ546" s="17">
        <v>0</v>
      </c>
      <c r="AR546" s="17"/>
      <c r="AS546" s="17">
        <v>0</v>
      </c>
      <c r="AT546" s="17">
        <v>0</v>
      </c>
      <c r="AU546" s="17"/>
      <c r="AV546" s="17">
        <v>0</v>
      </c>
      <c r="AW546" s="17"/>
      <c r="AX546" s="17">
        <v>0</v>
      </c>
      <c r="AY546" s="17"/>
      <c r="AZ546" s="17">
        <f t="shared" si="138"/>
        <v>24051.51</v>
      </c>
      <c r="BB546" s="32"/>
      <c r="BC546" s="86"/>
      <c r="BD546" s="32"/>
      <c r="BE546" s="86"/>
      <c r="BF546" s="32"/>
      <c r="BG546" s="86"/>
      <c r="BH546" s="32"/>
      <c r="BI546" s="86"/>
      <c r="BJ546" s="32"/>
      <c r="BK546" s="86"/>
      <c r="BL546" s="31"/>
      <c r="BM546" s="3"/>
      <c r="BN546" s="3"/>
      <c r="BO546" s="3"/>
    </row>
    <row r="547" spans="1:67" x14ac:dyDescent="0.2">
      <c r="B547" s="3" t="s">
        <v>19</v>
      </c>
      <c r="C547" s="17">
        <v>0</v>
      </c>
      <c r="D547" s="17"/>
      <c r="E547" s="17">
        <v>0</v>
      </c>
      <c r="F547" s="17"/>
      <c r="G547" s="17">
        <v>0</v>
      </c>
      <c r="H547" s="17"/>
      <c r="I547" s="17">
        <v>0</v>
      </c>
      <c r="J547" s="17"/>
      <c r="K547" s="17">
        <v>0</v>
      </c>
      <c r="L547" s="17"/>
      <c r="M547" s="17">
        <v>0</v>
      </c>
      <c r="N547" s="17"/>
      <c r="O547" s="17">
        <v>0</v>
      </c>
      <c r="P547" s="17"/>
      <c r="Q547" s="17">
        <v>0</v>
      </c>
      <c r="R547" s="17"/>
      <c r="S547" s="17">
        <v>0</v>
      </c>
      <c r="T547" s="17"/>
      <c r="U547" s="17">
        <v>0</v>
      </c>
      <c r="V547" s="17"/>
      <c r="W547" s="17">
        <v>0</v>
      </c>
      <c r="X547" s="17"/>
      <c r="Y547" s="17">
        <v>0</v>
      </c>
      <c r="Z547" s="17"/>
      <c r="AA547" s="17">
        <v>0</v>
      </c>
      <c r="AB547" s="17"/>
      <c r="AC547" s="17">
        <v>0</v>
      </c>
      <c r="AD547" s="17"/>
      <c r="AE547" s="17">
        <v>0</v>
      </c>
      <c r="AF547" s="17"/>
      <c r="AG547" s="17">
        <v>0</v>
      </c>
      <c r="AH547" s="17"/>
      <c r="AI547" s="17">
        <v>0</v>
      </c>
      <c r="AJ547" s="17"/>
      <c r="AK547" s="17">
        <v>0</v>
      </c>
      <c r="AL547" s="17"/>
      <c r="AM547" s="17">
        <v>0</v>
      </c>
      <c r="AN547" s="17"/>
      <c r="AO547" s="17">
        <v>0</v>
      </c>
      <c r="AP547" s="17"/>
      <c r="AQ547" s="17">
        <v>0</v>
      </c>
      <c r="AR547" s="17"/>
      <c r="AS547" s="17">
        <v>0</v>
      </c>
      <c r="AT547" s="17">
        <v>0</v>
      </c>
      <c r="AU547" s="17"/>
      <c r="AV547" s="17">
        <v>0</v>
      </c>
      <c r="AW547" s="17"/>
      <c r="AX547" s="17">
        <v>0</v>
      </c>
      <c r="AY547" s="17"/>
      <c r="AZ547" s="17">
        <f t="shared" si="138"/>
        <v>0</v>
      </c>
      <c r="BB547" s="32"/>
      <c r="BC547" s="86"/>
      <c r="BD547" s="32"/>
      <c r="BE547" s="86"/>
      <c r="BF547" s="32"/>
      <c r="BG547" s="86"/>
      <c r="BH547" s="32"/>
      <c r="BI547" s="86"/>
      <c r="BJ547" s="32"/>
      <c r="BK547" s="86"/>
      <c r="BL547" s="31"/>
      <c r="BM547" s="3"/>
      <c r="BN547" s="3"/>
      <c r="BO547" s="3"/>
    </row>
    <row r="548" spans="1:67" x14ac:dyDescent="0.2">
      <c r="B548" s="3" t="s">
        <v>20</v>
      </c>
      <c r="C548" s="17">
        <v>0</v>
      </c>
      <c r="D548" s="17"/>
      <c r="E548" s="17">
        <v>0</v>
      </c>
      <c r="F548" s="17"/>
      <c r="G548" s="17">
        <v>0</v>
      </c>
      <c r="H548" s="17"/>
      <c r="I548" s="17">
        <v>0</v>
      </c>
      <c r="J548" s="17"/>
      <c r="K548" s="17">
        <v>0</v>
      </c>
      <c r="L548" s="17"/>
      <c r="M548" s="17">
        <v>0</v>
      </c>
      <c r="N548" s="17"/>
      <c r="O548" s="17">
        <v>0</v>
      </c>
      <c r="P548" s="17"/>
      <c r="Q548" s="17">
        <v>0</v>
      </c>
      <c r="R548" s="17"/>
      <c r="S548" s="17">
        <v>0</v>
      </c>
      <c r="T548" s="17"/>
      <c r="U548" s="17">
        <v>0</v>
      </c>
      <c r="V548" s="17"/>
      <c r="W548" s="17">
        <v>0</v>
      </c>
      <c r="X548" s="17"/>
      <c r="Y548" s="17">
        <v>0</v>
      </c>
      <c r="Z548" s="17"/>
      <c r="AA548" s="17">
        <v>0</v>
      </c>
      <c r="AB548" s="17"/>
      <c r="AC548" s="17">
        <v>0</v>
      </c>
      <c r="AD548" s="17"/>
      <c r="AE548" s="17">
        <v>0</v>
      </c>
      <c r="AF548" s="17"/>
      <c r="AG548" s="17">
        <v>0</v>
      </c>
      <c r="AH548" s="17"/>
      <c r="AI548" s="17">
        <v>0</v>
      </c>
      <c r="AJ548" s="17"/>
      <c r="AK548" s="17">
        <v>0</v>
      </c>
      <c r="AL548" s="17"/>
      <c r="AM548" s="17">
        <v>0</v>
      </c>
      <c r="AN548" s="17"/>
      <c r="AO548" s="17">
        <v>0</v>
      </c>
      <c r="AP548" s="17"/>
      <c r="AQ548" s="17">
        <v>0</v>
      </c>
      <c r="AR548" s="17"/>
      <c r="AS548" s="17">
        <v>0</v>
      </c>
      <c r="AT548" s="17">
        <v>0</v>
      </c>
      <c r="AU548" s="17"/>
      <c r="AV548" s="17">
        <v>0</v>
      </c>
      <c r="AW548" s="17"/>
      <c r="AX548" s="17">
        <v>0</v>
      </c>
      <c r="AY548" s="17"/>
      <c r="AZ548" s="17">
        <f t="shared" si="138"/>
        <v>0</v>
      </c>
      <c r="BB548" s="32"/>
      <c r="BC548" s="86"/>
      <c r="BD548" s="32"/>
      <c r="BE548" s="86"/>
      <c r="BF548" s="32"/>
      <c r="BG548" s="86"/>
      <c r="BH548" s="32"/>
      <c r="BI548" s="86"/>
      <c r="BJ548" s="32"/>
      <c r="BK548" s="86"/>
      <c r="BL548" s="31"/>
      <c r="BM548" s="3"/>
      <c r="BN548" s="3"/>
      <c r="BO548" s="3"/>
    </row>
    <row r="549" spans="1:67" x14ac:dyDescent="0.2">
      <c r="B549" s="3" t="s">
        <v>22</v>
      </c>
      <c r="C549" s="17">
        <v>0</v>
      </c>
      <c r="D549" s="17"/>
      <c r="E549" s="17">
        <v>0</v>
      </c>
      <c r="F549" s="17"/>
      <c r="G549" s="17">
        <v>0</v>
      </c>
      <c r="H549" s="17"/>
      <c r="I549" s="17">
        <v>0</v>
      </c>
      <c r="J549" s="17"/>
      <c r="K549" s="17">
        <v>0</v>
      </c>
      <c r="L549" s="17"/>
      <c r="M549" s="17">
        <v>0</v>
      </c>
      <c r="N549" s="17"/>
      <c r="O549" s="17">
        <v>0</v>
      </c>
      <c r="P549" s="17"/>
      <c r="Q549" s="17">
        <v>0</v>
      </c>
      <c r="R549" s="17"/>
      <c r="S549" s="17">
        <v>0</v>
      </c>
      <c r="T549" s="17"/>
      <c r="U549" s="17">
        <v>0</v>
      </c>
      <c r="V549" s="17"/>
      <c r="W549" s="17">
        <v>0</v>
      </c>
      <c r="X549" s="17"/>
      <c r="Y549" s="17">
        <v>0</v>
      </c>
      <c r="Z549" s="17"/>
      <c r="AA549" s="17">
        <v>0</v>
      </c>
      <c r="AB549" s="17"/>
      <c r="AC549" s="17">
        <v>0</v>
      </c>
      <c r="AD549" s="17"/>
      <c r="AE549" s="17">
        <v>0</v>
      </c>
      <c r="AF549" s="17"/>
      <c r="AG549" s="17">
        <v>0</v>
      </c>
      <c r="AH549" s="17"/>
      <c r="AI549" s="17">
        <v>0</v>
      </c>
      <c r="AJ549" s="17"/>
      <c r="AK549" s="17">
        <v>0</v>
      </c>
      <c r="AL549" s="17"/>
      <c r="AM549" s="17">
        <v>0</v>
      </c>
      <c r="AN549" s="17"/>
      <c r="AO549" s="17">
        <v>0</v>
      </c>
      <c r="AP549" s="17"/>
      <c r="AQ549" s="17">
        <v>0</v>
      </c>
      <c r="AR549" s="17"/>
      <c r="AS549" s="17">
        <v>0</v>
      </c>
      <c r="AT549" s="17">
        <v>0</v>
      </c>
      <c r="AU549" s="17"/>
      <c r="AV549" s="17">
        <v>0</v>
      </c>
      <c r="AW549" s="17"/>
      <c r="AX549" s="17">
        <v>0</v>
      </c>
      <c r="AY549" s="17"/>
      <c r="AZ549" s="17">
        <f t="shared" si="138"/>
        <v>0</v>
      </c>
      <c r="BB549" s="32"/>
      <c r="BC549" s="86"/>
      <c r="BD549" s="32"/>
      <c r="BE549" s="86"/>
      <c r="BF549" s="32"/>
      <c r="BG549" s="86"/>
      <c r="BH549" s="32"/>
      <c r="BI549" s="86"/>
      <c r="BJ549" s="32"/>
      <c r="BK549" s="86"/>
      <c r="BL549" s="31"/>
      <c r="BM549" s="3"/>
      <c r="BN549" s="3"/>
      <c r="BO549" s="3"/>
    </row>
    <row r="550" spans="1:67" x14ac:dyDescent="0.2">
      <c r="B550" s="3" t="s">
        <v>23</v>
      </c>
      <c r="C550" s="17">
        <v>0</v>
      </c>
      <c r="D550" s="17"/>
      <c r="E550" s="17">
        <v>0</v>
      </c>
      <c r="F550" s="17"/>
      <c r="G550" s="17">
        <v>0</v>
      </c>
      <c r="H550" s="17"/>
      <c r="I550" s="17">
        <v>0</v>
      </c>
      <c r="J550" s="17"/>
      <c r="K550" s="17">
        <v>0</v>
      </c>
      <c r="L550" s="17"/>
      <c r="M550" s="17">
        <v>0</v>
      </c>
      <c r="N550" s="17"/>
      <c r="O550" s="17">
        <v>0</v>
      </c>
      <c r="P550" s="17"/>
      <c r="Q550" s="17">
        <v>0</v>
      </c>
      <c r="R550" s="17"/>
      <c r="S550" s="17">
        <v>0</v>
      </c>
      <c r="T550" s="17"/>
      <c r="U550" s="17">
        <v>0</v>
      </c>
      <c r="V550" s="17"/>
      <c r="W550" s="17">
        <v>0</v>
      </c>
      <c r="X550" s="17"/>
      <c r="Y550" s="17">
        <v>0</v>
      </c>
      <c r="Z550" s="17"/>
      <c r="AA550" s="17">
        <v>0</v>
      </c>
      <c r="AB550" s="17"/>
      <c r="AC550" s="17">
        <v>0</v>
      </c>
      <c r="AD550" s="17"/>
      <c r="AE550" s="17">
        <v>0</v>
      </c>
      <c r="AF550" s="17"/>
      <c r="AG550" s="17">
        <v>0</v>
      </c>
      <c r="AH550" s="17"/>
      <c r="AI550" s="17">
        <v>0</v>
      </c>
      <c r="AJ550" s="17"/>
      <c r="AK550" s="17">
        <v>0</v>
      </c>
      <c r="AL550" s="17"/>
      <c r="AM550" s="17">
        <v>0</v>
      </c>
      <c r="AN550" s="17"/>
      <c r="AO550" s="17">
        <v>0</v>
      </c>
      <c r="AP550" s="17"/>
      <c r="AQ550" s="17">
        <v>0</v>
      </c>
      <c r="AR550" s="17"/>
      <c r="AS550" s="17">
        <v>0</v>
      </c>
      <c r="AT550" s="17">
        <v>0</v>
      </c>
      <c r="AU550" s="17"/>
      <c r="AV550" s="17">
        <v>0</v>
      </c>
      <c r="AW550" s="17"/>
      <c r="AX550" s="17">
        <v>0</v>
      </c>
      <c r="AY550" s="17"/>
      <c r="AZ550" s="17">
        <f t="shared" si="138"/>
        <v>0</v>
      </c>
      <c r="BB550" s="32"/>
      <c r="BC550" s="86"/>
      <c r="BD550" s="32"/>
      <c r="BE550" s="86"/>
      <c r="BF550" s="32"/>
      <c r="BG550" s="86"/>
      <c r="BH550" s="32"/>
      <c r="BI550" s="86"/>
      <c r="BJ550" s="32"/>
      <c r="BK550" s="86"/>
      <c r="BL550" s="31"/>
      <c r="BM550" s="3"/>
      <c r="BN550" s="3"/>
      <c r="BO550" s="3"/>
    </row>
    <row r="551" spans="1:67" x14ac:dyDescent="0.2">
      <c r="B551" s="3" t="s">
        <v>24</v>
      </c>
      <c r="C551" s="17">
        <v>26900</v>
      </c>
      <c r="D551" s="17"/>
      <c r="E551" s="17">
        <v>-14563.35</v>
      </c>
      <c r="F551" s="17"/>
      <c r="G551" s="17">
        <v>0</v>
      </c>
      <c r="H551" s="17"/>
      <c r="I551" s="17">
        <v>0</v>
      </c>
      <c r="J551" s="17"/>
      <c r="K551" s="17">
        <v>0</v>
      </c>
      <c r="L551" s="17"/>
      <c r="M551" s="17">
        <v>0</v>
      </c>
      <c r="N551" s="17"/>
      <c r="O551" s="17">
        <v>0</v>
      </c>
      <c r="P551" s="17"/>
      <c r="Q551" s="17">
        <v>0</v>
      </c>
      <c r="R551" s="17"/>
      <c r="S551" s="17">
        <v>-976.88</v>
      </c>
      <c r="T551" s="17"/>
      <c r="U551" s="17">
        <v>0</v>
      </c>
      <c r="V551" s="17"/>
      <c r="W551" s="17">
        <v>-2742.04</v>
      </c>
      <c r="X551" s="17"/>
      <c r="Y551" s="17">
        <v>0</v>
      </c>
      <c r="Z551" s="17"/>
      <c r="AA551" s="17">
        <v>0</v>
      </c>
      <c r="AB551" s="17"/>
      <c r="AC551" s="17">
        <v>-5761.78</v>
      </c>
      <c r="AD551" s="17"/>
      <c r="AE551" s="17">
        <v>0</v>
      </c>
      <c r="AF551" s="17"/>
      <c r="AG551" s="17">
        <v>0</v>
      </c>
      <c r="AH551" s="17"/>
      <c r="AI551" s="17">
        <v>0</v>
      </c>
      <c r="AJ551" s="17"/>
      <c r="AK551" s="17">
        <v>-7.46</v>
      </c>
      <c r="AL551" s="17"/>
      <c r="AM551" s="17">
        <v>0</v>
      </c>
      <c r="AN551" s="17"/>
      <c r="AO551" s="17">
        <v>0</v>
      </c>
      <c r="AP551" s="17"/>
      <c r="AQ551" s="17">
        <v>0</v>
      </c>
      <c r="AR551" s="17"/>
      <c r="AS551" s="17">
        <v>0</v>
      </c>
      <c r="AT551" s="17">
        <v>0</v>
      </c>
      <c r="AU551" s="17"/>
      <c r="AV551" s="17">
        <v>0</v>
      </c>
      <c r="AW551" s="17"/>
      <c r="AX551" s="17">
        <v>0</v>
      </c>
      <c r="AY551" s="17"/>
      <c r="AZ551" s="17">
        <f t="shared" si="138"/>
        <v>2848.49</v>
      </c>
      <c r="BB551" s="32"/>
      <c r="BC551" s="86"/>
      <c r="BD551" s="32"/>
      <c r="BE551" s="86"/>
      <c r="BF551" s="32"/>
      <c r="BG551" s="86"/>
      <c r="BH551" s="32"/>
      <c r="BI551" s="86"/>
      <c r="BJ551" s="32"/>
      <c r="BK551" s="86"/>
      <c r="BL551" s="31"/>
      <c r="BM551" s="3"/>
      <c r="BN551" s="3"/>
      <c r="BO551" s="3"/>
    </row>
    <row r="552" spans="1:67" x14ac:dyDescent="0.2">
      <c r="B552" s="3" t="s">
        <v>27</v>
      </c>
      <c r="C552" s="17">
        <v>0</v>
      </c>
      <c r="D552" s="17"/>
      <c r="E552" s="17">
        <v>0</v>
      </c>
      <c r="F552" s="17"/>
      <c r="G552" s="17">
        <v>0</v>
      </c>
      <c r="H552" s="17"/>
      <c r="I552" s="17">
        <v>0</v>
      </c>
      <c r="J552" s="17"/>
      <c r="K552" s="17">
        <v>0</v>
      </c>
      <c r="L552" s="17"/>
      <c r="M552" s="17">
        <v>0</v>
      </c>
      <c r="N552" s="17"/>
      <c r="O552" s="17">
        <v>0</v>
      </c>
      <c r="P552" s="17"/>
      <c r="Q552" s="17">
        <v>0</v>
      </c>
      <c r="R552" s="17"/>
      <c r="S552" s="17">
        <v>0</v>
      </c>
      <c r="T552" s="17"/>
      <c r="U552" s="17">
        <v>0</v>
      </c>
      <c r="V552" s="17"/>
      <c r="W552" s="17">
        <v>0</v>
      </c>
      <c r="X552" s="17"/>
      <c r="Y552" s="17">
        <v>0</v>
      </c>
      <c r="Z552" s="17"/>
      <c r="AA552" s="17">
        <v>0</v>
      </c>
      <c r="AB552" s="17"/>
      <c r="AC552" s="17">
        <v>0</v>
      </c>
      <c r="AD552" s="17"/>
      <c r="AE552" s="17">
        <v>0</v>
      </c>
      <c r="AF552" s="17"/>
      <c r="AG552" s="17">
        <v>0</v>
      </c>
      <c r="AH552" s="17"/>
      <c r="AI552" s="17">
        <v>0</v>
      </c>
      <c r="AJ552" s="17"/>
      <c r="AK552" s="17">
        <v>0</v>
      </c>
      <c r="AL552" s="17"/>
      <c r="AM552" s="17">
        <v>0</v>
      </c>
      <c r="AN552" s="17"/>
      <c r="AO552" s="17">
        <v>0</v>
      </c>
      <c r="AP552" s="17"/>
      <c r="AQ552" s="17">
        <v>0</v>
      </c>
      <c r="AR552" s="17"/>
      <c r="AS552" s="17">
        <v>0</v>
      </c>
      <c r="AT552" s="17">
        <v>-63.76</v>
      </c>
      <c r="AU552" s="17"/>
      <c r="AV552" s="17">
        <v>0</v>
      </c>
      <c r="AW552" s="17"/>
      <c r="AX552" s="17">
        <v>0</v>
      </c>
      <c r="AY552" s="17"/>
      <c r="AZ552" s="17">
        <f t="shared" si="138"/>
        <v>-63.76</v>
      </c>
      <c r="BB552" s="32"/>
      <c r="BC552" s="86"/>
      <c r="BD552" s="32"/>
      <c r="BE552" s="86"/>
      <c r="BF552" s="32"/>
      <c r="BG552" s="86"/>
      <c r="BH552" s="32"/>
      <c r="BI552" s="86"/>
      <c r="BJ552" s="32"/>
      <c r="BK552" s="86"/>
      <c r="BL552" s="31"/>
      <c r="BM552" s="3"/>
      <c r="BN552" s="3"/>
      <c r="BO552" s="3"/>
    </row>
    <row r="553" spans="1:67" x14ac:dyDescent="0.2">
      <c r="B553" s="3" t="s">
        <v>28</v>
      </c>
      <c r="C553" s="17">
        <v>0</v>
      </c>
      <c r="D553" s="17"/>
      <c r="E553" s="17">
        <v>0</v>
      </c>
      <c r="F553" s="17"/>
      <c r="G553" s="17">
        <v>0</v>
      </c>
      <c r="H553" s="17"/>
      <c r="I553" s="17">
        <v>0</v>
      </c>
      <c r="J553" s="17"/>
      <c r="K553" s="17">
        <v>0</v>
      </c>
      <c r="L553" s="17"/>
      <c r="M553" s="17">
        <v>0</v>
      </c>
      <c r="N553" s="17"/>
      <c r="O553" s="17">
        <v>0</v>
      </c>
      <c r="P553" s="17"/>
      <c r="Q553" s="17">
        <v>0</v>
      </c>
      <c r="R553" s="17"/>
      <c r="S553" s="17">
        <v>0</v>
      </c>
      <c r="T553" s="17"/>
      <c r="U553" s="17">
        <v>0</v>
      </c>
      <c r="V553" s="17"/>
      <c r="W553" s="17">
        <v>0</v>
      </c>
      <c r="X553" s="17"/>
      <c r="Y553" s="17">
        <v>0</v>
      </c>
      <c r="Z553" s="17"/>
      <c r="AA553" s="17">
        <v>0</v>
      </c>
      <c r="AB553" s="17"/>
      <c r="AC553" s="17">
        <v>0</v>
      </c>
      <c r="AD553" s="17"/>
      <c r="AE553" s="17">
        <v>0</v>
      </c>
      <c r="AF553" s="17"/>
      <c r="AG553" s="17">
        <v>0</v>
      </c>
      <c r="AH553" s="17"/>
      <c r="AI553" s="17">
        <v>0</v>
      </c>
      <c r="AJ553" s="17"/>
      <c r="AK553" s="17">
        <v>0</v>
      </c>
      <c r="AL553" s="17"/>
      <c r="AM553" s="17">
        <v>0</v>
      </c>
      <c r="AN553" s="17"/>
      <c r="AO553" s="17">
        <v>1545.44</v>
      </c>
      <c r="AP553" s="17"/>
      <c r="AQ553" s="17"/>
      <c r="AR553" s="17"/>
      <c r="AS553" s="17"/>
      <c r="AT553" s="17">
        <v>0</v>
      </c>
      <c r="AU553" s="17"/>
      <c r="AV553" s="17">
        <v>0</v>
      </c>
      <c r="AW553" s="17"/>
      <c r="AX553" s="17">
        <v>0</v>
      </c>
      <c r="AY553" s="17"/>
      <c r="AZ553" s="17">
        <f t="shared" si="138"/>
        <v>1545.44</v>
      </c>
      <c r="BB553" s="32"/>
      <c r="BC553" s="86"/>
      <c r="BD553" s="32"/>
      <c r="BE553" s="86"/>
      <c r="BF553" s="32"/>
      <c r="BG553" s="86"/>
      <c r="BH553" s="32"/>
      <c r="BI553" s="86"/>
      <c r="BJ553" s="32"/>
      <c r="BK553" s="86"/>
      <c r="BL553" s="31"/>
      <c r="BM553" s="3"/>
      <c r="BN553" s="3"/>
      <c r="BO553" s="3"/>
    </row>
    <row r="554" spans="1:67" x14ac:dyDescent="0.2">
      <c r="B554" s="3" t="s">
        <v>30</v>
      </c>
      <c r="C554" s="17">
        <v>0</v>
      </c>
      <c r="D554" s="17"/>
      <c r="E554" s="17">
        <v>0</v>
      </c>
      <c r="F554" s="17"/>
      <c r="G554" s="17">
        <v>0</v>
      </c>
      <c r="H554" s="17"/>
      <c r="I554" s="17">
        <v>0</v>
      </c>
      <c r="J554" s="17"/>
      <c r="K554" s="17">
        <v>0</v>
      </c>
      <c r="L554" s="17"/>
      <c r="M554" s="17">
        <v>0</v>
      </c>
      <c r="N554" s="17"/>
      <c r="O554" s="17">
        <v>0</v>
      </c>
      <c r="P554" s="17"/>
      <c r="Q554" s="17">
        <v>0</v>
      </c>
      <c r="R554" s="17"/>
      <c r="S554" s="17">
        <v>0</v>
      </c>
      <c r="T554" s="17"/>
      <c r="U554" s="17">
        <v>0</v>
      </c>
      <c r="V554" s="17"/>
      <c r="W554" s="17">
        <v>0</v>
      </c>
      <c r="X554" s="17"/>
      <c r="Y554" s="17">
        <v>0</v>
      </c>
      <c r="Z554" s="17"/>
      <c r="AA554" s="17">
        <v>0</v>
      </c>
      <c r="AB554" s="17"/>
      <c r="AC554" s="17">
        <v>0</v>
      </c>
      <c r="AD554" s="17"/>
      <c r="AE554" s="17">
        <v>0</v>
      </c>
      <c r="AF554" s="17"/>
      <c r="AG554" s="17">
        <v>0</v>
      </c>
      <c r="AH554" s="17"/>
      <c r="AI554" s="17">
        <v>0</v>
      </c>
      <c r="AJ554" s="17"/>
      <c r="AK554" s="17">
        <v>0</v>
      </c>
      <c r="AL554" s="17"/>
      <c r="AM554" s="17">
        <v>0</v>
      </c>
      <c r="AN554" s="17"/>
      <c r="AO554" s="17">
        <v>0</v>
      </c>
      <c r="AP554" s="17"/>
      <c r="AQ554" s="17">
        <v>0</v>
      </c>
      <c r="AR554" s="17"/>
      <c r="AS554" s="17">
        <v>0</v>
      </c>
      <c r="AT554" s="17">
        <v>0</v>
      </c>
      <c r="AU554" s="17"/>
      <c r="AV554" s="17">
        <v>-1.72</v>
      </c>
      <c r="AW554" s="17"/>
      <c r="AX554" s="17">
        <v>0</v>
      </c>
      <c r="AY554" s="17"/>
      <c r="AZ554" s="17">
        <f t="shared" si="138"/>
        <v>-1.72</v>
      </c>
      <c r="BB554" s="32"/>
      <c r="BC554" s="86"/>
      <c r="BD554" s="32"/>
      <c r="BE554" s="86"/>
      <c r="BF554" s="32"/>
      <c r="BG554" s="86"/>
      <c r="BH554" s="32"/>
      <c r="BI554" s="86"/>
      <c r="BJ554" s="32"/>
      <c r="BK554" s="86"/>
      <c r="BL554" s="31"/>
      <c r="BM554" s="3"/>
      <c r="BN554" s="3"/>
      <c r="BO554" s="3"/>
    </row>
    <row r="555" spans="1:67" x14ac:dyDescent="0.2">
      <c r="B555" s="3" t="s">
        <v>51</v>
      </c>
      <c r="C555" s="17">
        <v>0</v>
      </c>
      <c r="D555" s="17"/>
      <c r="E555" s="17">
        <v>0</v>
      </c>
      <c r="F555" s="17"/>
      <c r="G555" s="17">
        <v>0</v>
      </c>
      <c r="H555" s="17"/>
      <c r="I555" s="17">
        <v>0</v>
      </c>
      <c r="J555" s="17"/>
      <c r="K555" s="17">
        <v>0</v>
      </c>
      <c r="L555" s="17"/>
      <c r="M555" s="17">
        <v>0</v>
      </c>
      <c r="N555" s="17"/>
      <c r="O555" s="17">
        <v>0</v>
      </c>
      <c r="P555" s="17"/>
      <c r="Q555" s="17">
        <v>0</v>
      </c>
      <c r="R555" s="17"/>
      <c r="S555" s="17">
        <v>0</v>
      </c>
      <c r="T555" s="17"/>
      <c r="U555" s="17">
        <v>0</v>
      </c>
      <c r="V555" s="17"/>
      <c r="W555" s="17">
        <v>0</v>
      </c>
      <c r="X555" s="17"/>
      <c r="Y555" s="17">
        <v>0</v>
      </c>
      <c r="Z555" s="17"/>
      <c r="AA555" s="17">
        <v>0</v>
      </c>
      <c r="AB555" s="17"/>
      <c r="AC555" s="17">
        <v>0</v>
      </c>
      <c r="AD555" s="17"/>
      <c r="AE555" s="17">
        <v>0</v>
      </c>
      <c r="AF555" s="17"/>
      <c r="AG555" s="17">
        <v>0</v>
      </c>
      <c r="AH555" s="17"/>
      <c r="AI555" s="17">
        <v>0</v>
      </c>
      <c r="AJ555" s="17"/>
      <c r="AK555" s="17">
        <v>0</v>
      </c>
      <c r="AL555" s="17"/>
      <c r="AM555" s="17">
        <v>0</v>
      </c>
      <c r="AN555" s="17"/>
      <c r="AO555" s="17">
        <v>0</v>
      </c>
      <c r="AP555" s="17"/>
      <c r="AQ555" s="17">
        <v>0</v>
      </c>
      <c r="AR555" s="17"/>
      <c r="AS555" s="17">
        <v>0</v>
      </c>
      <c r="AT555" s="17">
        <v>0</v>
      </c>
      <c r="AU555" s="17"/>
      <c r="AV555" s="17">
        <v>0</v>
      </c>
      <c r="AW555" s="17"/>
      <c r="AX555" s="17">
        <v>0</v>
      </c>
      <c r="AY555" s="17"/>
      <c r="AZ555" s="17">
        <f t="shared" si="138"/>
        <v>0</v>
      </c>
      <c r="BB555" s="32"/>
      <c r="BC555" s="86"/>
      <c r="BD555" s="32"/>
      <c r="BE555" s="86"/>
      <c r="BF555" s="32"/>
      <c r="BG555" s="86"/>
      <c r="BH555" s="32"/>
      <c r="BI555" s="86"/>
      <c r="BJ555" s="32"/>
      <c r="BK555" s="86"/>
      <c r="BL555" s="31"/>
      <c r="BM555" s="3"/>
      <c r="BN555" s="3"/>
      <c r="BO555" s="3"/>
    </row>
    <row r="556" spans="1:67" x14ac:dyDescent="0.2">
      <c r="B556" s="3" t="s">
        <v>31</v>
      </c>
      <c r="C556" s="17">
        <v>0</v>
      </c>
      <c r="D556" s="17"/>
      <c r="E556" s="17">
        <v>0</v>
      </c>
      <c r="F556" s="17"/>
      <c r="G556" s="17">
        <v>0</v>
      </c>
      <c r="H556" s="17"/>
      <c r="I556" s="17">
        <v>0</v>
      </c>
      <c r="J556" s="17"/>
      <c r="K556" s="17">
        <v>0</v>
      </c>
      <c r="L556" s="17"/>
      <c r="M556" s="17">
        <v>0</v>
      </c>
      <c r="N556" s="17"/>
      <c r="O556" s="17">
        <v>0</v>
      </c>
      <c r="P556" s="17"/>
      <c r="Q556" s="17">
        <v>0</v>
      </c>
      <c r="R556" s="17"/>
      <c r="S556" s="17">
        <v>0</v>
      </c>
      <c r="T556" s="17"/>
      <c r="U556" s="17">
        <v>0</v>
      </c>
      <c r="V556" s="17"/>
      <c r="W556" s="17">
        <v>0</v>
      </c>
      <c r="X556" s="17"/>
      <c r="Y556" s="17">
        <v>0</v>
      </c>
      <c r="Z556" s="17"/>
      <c r="AA556" s="17">
        <v>0</v>
      </c>
      <c r="AB556" s="17"/>
      <c r="AC556" s="17">
        <v>0</v>
      </c>
      <c r="AD556" s="17"/>
      <c r="AE556" s="17">
        <v>0</v>
      </c>
      <c r="AF556" s="17"/>
      <c r="AG556" s="17">
        <v>0</v>
      </c>
      <c r="AH556" s="17"/>
      <c r="AI556" s="17">
        <v>0</v>
      </c>
      <c r="AJ556" s="17"/>
      <c r="AK556" s="17">
        <v>0</v>
      </c>
      <c r="AL556" s="17"/>
      <c r="AM556" s="17">
        <v>0</v>
      </c>
      <c r="AN556" s="17"/>
      <c r="AO556" s="17">
        <v>0</v>
      </c>
      <c r="AP556" s="17"/>
      <c r="AQ556" s="17">
        <v>0</v>
      </c>
      <c r="AR556" s="17"/>
      <c r="AS556" s="17">
        <v>0</v>
      </c>
      <c r="AT556" s="17">
        <v>0</v>
      </c>
      <c r="AU556" s="17"/>
      <c r="AV556" s="17">
        <v>0</v>
      </c>
      <c r="AW556" s="17"/>
      <c r="AX556" s="17">
        <v>0</v>
      </c>
      <c r="AY556" s="17"/>
      <c r="AZ556" s="17">
        <f t="shared" si="138"/>
        <v>0</v>
      </c>
      <c r="BB556" s="32"/>
      <c r="BC556" s="86"/>
      <c r="BD556" s="32"/>
      <c r="BE556" s="86"/>
      <c r="BF556" s="32"/>
      <c r="BG556" s="86"/>
      <c r="BH556" s="32"/>
      <c r="BI556" s="86"/>
      <c r="BJ556" s="32"/>
      <c r="BK556" s="86"/>
      <c r="BL556" s="31"/>
      <c r="BM556" s="3"/>
      <c r="BN556" s="3"/>
      <c r="BO556" s="3"/>
    </row>
    <row r="557" spans="1:67" x14ac:dyDescent="0.2">
      <c r="B557" s="124" t="s">
        <v>445</v>
      </c>
      <c r="C557" s="16">
        <v>0</v>
      </c>
      <c r="D557" s="17"/>
      <c r="E557" s="16">
        <v>0</v>
      </c>
      <c r="F557" s="17"/>
      <c r="G557" s="16">
        <v>0</v>
      </c>
      <c r="H557" s="17"/>
      <c r="I557" s="16">
        <v>0</v>
      </c>
      <c r="J557" s="17"/>
      <c r="K557" s="16">
        <v>0</v>
      </c>
      <c r="L557" s="17">
        <v>0</v>
      </c>
      <c r="M557" s="16">
        <v>0</v>
      </c>
      <c r="N557" s="17"/>
      <c r="O557" s="16">
        <v>0</v>
      </c>
      <c r="P557" s="17"/>
      <c r="Q557" s="16">
        <v>0</v>
      </c>
      <c r="R557" s="17"/>
      <c r="S557" s="16">
        <v>0</v>
      </c>
      <c r="T557" s="16"/>
      <c r="U557" s="16">
        <v>0</v>
      </c>
      <c r="V557" s="16"/>
      <c r="W557" s="16">
        <v>0</v>
      </c>
      <c r="X557" s="17"/>
      <c r="Y557" s="16">
        <v>0</v>
      </c>
      <c r="Z557" s="17"/>
      <c r="AA557" s="16">
        <v>0</v>
      </c>
      <c r="AB557" s="17"/>
      <c r="AC557" s="16">
        <v>0</v>
      </c>
      <c r="AD557" s="17"/>
      <c r="AE557" s="16"/>
      <c r="AF557" s="17"/>
      <c r="AG557" s="16"/>
      <c r="AH557" s="17"/>
      <c r="AI557" s="16"/>
      <c r="AJ557" s="17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7">
        <f t="shared" si="138"/>
        <v>0</v>
      </c>
      <c r="BB557" s="32"/>
      <c r="BC557" s="86"/>
      <c r="BD557" s="32"/>
      <c r="BE557" s="86"/>
      <c r="BF557" s="32"/>
      <c r="BG557" s="86"/>
      <c r="BH557" s="32"/>
      <c r="BI557" s="86"/>
      <c r="BJ557" s="32"/>
      <c r="BK557" s="86"/>
      <c r="BL557" s="31"/>
      <c r="BM557" s="3"/>
      <c r="BN557" s="3"/>
      <c r="BO557" s="3"/>
    </row>
    <row r="558" spans="1:67" x14ac:dyDescent="0.2">
      <c r="B558" s="3" t="s">
        <v>242</v>
      </c>
      <c r="C558" s="17">
        <f>SUM(C544:C557)</f>
        <v>26900</v>
      </c>
      <c r="D558" s="17"/>
      <c r="E558" s="17">
        <f>SUM(E544:E557)</f>
        <v>0</v>
      </c>
      <c r="F558" s="17"/>
      <c r="G558" s="17">
        <f>SUM(G544:G557)</f>
        <v>0</v>
      </c>
      <c r="H558" s="17"/>
      <c r="I558" s="17">
        <f>SUM(I544:I557)</f>
        <v>0</v>
      </c>
      <c r="J558" s="17"/>
      <c r="K558" s="17">
        <f>SUM(K544:K557)</f>
        <v>-973.36</v>
      </c>
      <c r="L558" s="17"/>
      <c r="M558" s="17">
        <f>SUM(M544:M557)</f>
        <v>0</v>
      </c>
      <c r="N558" s="17"/>
      <c r="O558" s="17">
        <f>SUM(O544:O557)</f>
        <v>0</v>
      </c>
      <c r="P558" s="17"/>
      <c r="Q558" s="17">
        <f>SUM(Q544:Q557)</f>
        <v>0</v>
      </c>
      <c r="R558" s="17"/>
      <c r="S558" s="17">
        <f>SUM(S544:S557)</f>
        <v>0</v>
      </c>
      <c r="T558" s="17"/>
      <c r="U558" s="17">
        <f>SUM(U544:U557)</f>
        <v>0</v>
      </c>
      <c r="V558" s="17"/>
      <c r="W558" s="17">
        <f>SUM(W544:W557)</f>
        <v>0</v>
      </c>
      <c r="X558" s="17"/>
      <c r="Y558" s="17">
        <f>SUM(Y544:Y557)</f>
        <v>0</v>
      </c>
      <c r="Z558" s="17"/>
      <c r="AA558" s="17">
        <f>SUM(AA544:AA557)</f>
        <v>0</v>
      </c>
      <c r="AB558" s="17"/>
      <c r="AC558" s="17">
        <f>SUM(AC544:AC557)</f>
        <v>0</v>
      </c>
      <c r="AD558" s="17"/>
      <c r="AE558" s="17">
        <f>SUM(AE544:AE556)</f>
        <v>0</v>
      </c>
      <c r="AF558" s="17"/>
      <c r="AG558" s="17">
        <f>SUM(AG544:AG556)</f>
        <v>0</v>
      </c>
      <c r="AH558" s="17"/>
      <c r="AI558" s="17">
        <f>SUM(AI544:AI556)</f>
        <v>0</v>
      </c>
      <c r="AJ558" s="17"/>
      <c r="AK558" s="17">
        <f>SUM(AK544:AK556)</f>
        <v>0</v>
      </c>
      <c r="AL558" s="17"/>
      <c r="AM558" s="17">
        <f>SUM(AM544:AM556)</f>
        <v>0</v>
      </c>
      <c r="AN558" s="17"/>
      <c r="AO558" s="17">
        <f>SUM(AO544:AO556)</f>
        <v>1545.44</v>
      </c>
      <c r="AP558" s="17"/>
      <c r="AQ558" s="17">
        <f>SUM(AQ544:AQ556)</f>
        <v>0</v>
      </c>
      <c r="AR558" s="17"/>
      <c r="AS558" s="17">
        <f>SUM(AS544:AS556)</f>
        <v>0</v>
      </c>
      <c r="AT558" s="17">
        <f>SUM(AT544:AT556)</f>
        <v>0</v>
      </c>
      <c r="AU558" s="17"/>
      <c r="AV558" s="17">
        <f>SUM(AV544:AV556)</f>
        <v>0</v>
      </c>
      <c r="AW558" s="17"/>
      <c r="AX558" s="17">
        <f>SUM(AX544:AX556)</f>
        <v>0</v>
      </c>
      <c r="AY558" s="17"/>
      <c r="AZ558" s="20">
        <f>SUM(AZ544:AZ557)</f>
        <v>27472.079999999994</v>
      </c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31"/>
      <c r="BM558" s="3"/>
      <c r="BN558" s="3"/>
      <c r="BO558" s="3"/>
    </row>
    <row r="559" spans="1:67" x14ac:dyDescent="0.2">
      <c r="B559" s="19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31"/>
      <c r="BM559" s="3"/>
      <c r="BN559" s="3"/>
      <c r="BO559" s="3"/>
    </row>
    <row r="560" spans="1:67" ht="15" x14ac:dyDescent="0.35">
      <c r="A560" s="10" t="s">
        <v>90</v>
      </c>
      <c r="C560" s="34"/>
      <c r="D560" s="34"/>
      <c r="E560" s="34"/>
      <c r="F560" s="35"/>
      <c r="G560" s="34"/>
      <c r="H560" s="34"/>
      <c r="I560" s="34"/>
      <c r="J560" s="35"/>
      <c r="K560" s="34"/>
      <c r="L560" s="35"/>
      <c r="M560" s="34"/>
      <c r="N560" s="35"/>
      <c r="O560" s="34"/>
      <c r="P560" s="35"/>
      <c r="Q560" s="34"/>
      <c r="R560" s="35"/>
      <c r="S560" s="34"/>
      <c r="T560" s="34"/>
      <c r="U560" s="34"/>
      <c r="V560" s="34"/>
      <c r="W560" s="34"/>
      <c r="X560" s="35"/>
      <c r="Y560" s="34"/>
      <c r="Z560" s="35"/>
      <c r="AA560" s="34"/>
      <c r="AB560" s="35"/>
      <c r="AC560" s="34"/>
      <c r="AD560" s="35"/>
      <c r="AE560" s="34"/>
      <c r="AF560" s="35"/>
      <c r="AG560" s="34"/>
      <c r="AH560" s="35"/>
      <c r="AI560" s="34"/>
      <c r="AJ560" s="35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31"/>
      <c r="BM560" s="3"/>
      <c r="BN560" s="3"/>
      <c r="BO560" s="3"/>
    </row>
    <row r="561" spans="1:67" x14ac:dyDescent="0.2">
      <c r="B561" s="3" t="s">
        <v>14</v>
      </c>
      <c r="C561" s="17">
        <v>0</v>
      </c>
      <c r="D561" s="17"/>
      <c r="E561" s="17">
        <v>0</v>
      </c>
      <c r="F561" s="17"/>
      <c r="G561" s="17">
        <v>0</v>
      </c>
      <c r="H561" s="17"/>
      <c r="I561" s="17">
        <v>0</v>
      </c>
      <c r="J561" s="17"/>
      <c r="K561" s="17">
        <v>0</v>
      </c>
      <c r="L561" s="17"/>
      <c r="M561" s="17">
        <v>0</v>
      </c>
      <c r="N561" s="17"/>
      <c r="O561" s="17">
        <v>0</v>
      </c>
      <c r="P561" s="17"/>
      <c r="Q561" s="17">
        <v>0</v>
      </c>
      <c r="R561" s="17"/>
      <c r="S561" s="17">
        <v>0</v>
      </c>
      <c r="T561" s="17"/>
      <c r="U561" s="17">
        <v>0</v>
      </c>
      <c r="V561" s="17"/>
      <c r="W561" s="17">
        <v>0</v>
      </c>
      <c r="X561" s="17"/>
      <c r="Y561" s="17">
        <v>0</v>
      </c>
      <c r="Z561" s="17"/>
      <c r="AA561" s="17">
        <v>0</v>
      </c>
      <c r="AB561" s="17"/>
      <c r="AC561" s="17">
        <v>0</v>
      </c>
      <c r="AD561" s="17"/>
      <c r="AE561" s="17">
        <v>0</v>
      </c>
      <c r="AF561" s="17"/>
      <c r="AG561" s="17">
        <v>0</v>
      </c>
      <c r="AH561" s="17"/>
      <c r="AI561" s="17">
        <v>0</v>
      </c>
      <c r="AJ561" s="17"/>
      <c r="AK561" s="17">
        <v>0</v>
      </c>
      <c r="AL561" s="17"/>
      <c r="AM561" s="17">
        <v>0</v>
      </c>
      <c r="AN561" s="17"/>
      <c r="AO561" s="17">
        <v>0</v>
      </c>
      <c r="AP561" s="17"/>
      <c r="AQ561" s="17">
        <v>0</v>
      </c>
      <c r="AR561" s="17"/>
      <c r="AS561" s="17">
        <v>0</v>
      </c>
      <c r="AT561" s="17">
        <v>0</v>
      </c>
      <c r="AU561" s="17"/>
      <c r="AV561" s="17">
        <v>0</v>
      </c>
      <c r="AW561" s="17"/>
      <c r="AX561" s="17">
        <v>0</v>
      </c>
      <c r="AY561" s="17"/>
      <c r="AZ561" s="17">
        <f t="shared" ref="AZ561:AZ573" si="139">SUM(C561:AY561)</f>
        <v>0</v>
      </c>
      <c r="BB561" s="32"/>
      <c r="BC561" s="86"/>
      <c r="BD561" s="32"/>
      <c r="BE561" s="86"/>
      <c r="BF561" s="32"/>
      <c r="BG561" s="86"/>
      <c r="BH561" s="32"/>
      <c r="BI561" s="86"/>
      <c r="BJ561" s="32"/>
      <c r="BK561" s="86"/>
      <c r="BL561" s="31"/>
      <c r="BM561" s="3"/>
      <c r="BN561" s="3"/>
      <c r="BO561" s="3"/>
    </row>
    <row r="562" spans="1:67" x14ac:dyDescent="0.2">
      <c r="B562" s="3" t="s">
        <v>18</v>
      </c>
      <c r="C562" s="17">
        <v>0</v>
      </c>
      <c r="D562" s="17"/>
      <c r="E562" s="17">
        <v>0</v>
      </c>
      <c r="F562" s="17"/>
      <c r="G562" s="17">
        <v>0</v>
      </c>
      <c r="H562" s="17"/>
      <c r="I562" s="17">
        <v>0</v>
      </c>
      <c r="J562" s="17"/>
      <c r="K562" s="17">
        <v>0</v>
      </c>
      <c r="L562" s="17"/>
      <c r="M562" s="17">
        <v>0</v>
      </c>
      <c r="N562" s="17"/>
      <c r="O562" s="17">
        <v>0</v>
      </c>
      <c r="P562" s="17"/>
      <c r="Q562" s="17">
        <v>0</v>
      </c>
      <c r="R562" s="17"/>
      <c r="S562" s="17">
        <v>0</v>
      </c>
      <c r="T562" s="17"/>
      <c r="U562" s="17">
        <v>0</v>
      </c>
      <c r="V562" s="17"/>
      <c r="W562" s="17">
        <v>0</v>
      </c>
      <c r="X562" s="17"/>
      <c r="Y562" s="17">
        <v>0</v>
      </c>
      <c r="Z562" s="17"/>
      <c r="AA562" s="17">
        <v>0</v>
      </c>
      <c r="AB562" s="17"/>
      <c r="AC562" s="17">
        <v>0</v>
      </c>
      <c r="AD562" s="17"/>
      <c r="AE562" s="17">
        <v>0</v>
      </c>
      <c r="AF562" s="17"/>
      <c r="AG562" s="17">
        <v>0</v>
      </c>
      <c r="AH562" s="17"/>
      <c r="AI562" s="17">
        <v>0</v>
      </c>
      <c r="AJ562" s="17"/>
      <c r="AK562" s="17">
        <v>0</v>
      </c>
      <c r="AL562" s="17"/>
      <c r="AM562" s="17">
        <v>0</v>
      </c>
      <c r="AN562" s="17"/>
      <c r="AO562" s="17">
        <v>0</v>
      </c>
      <c r="AP562" s="17"/>
      <c r="AQ562" s="17">
        <v>0</v>
      </c>
      <c r="AR562" s="17"/>
      <c r="AS562" s="17">
        <v>0</v>
      </c>
      <c r="AT562" s="17">
        <v>0</v>
      </c>
      <c r="AU562" s="17"/>
      <c r="AV562" s="17">
        <v>0</v>
      </c>
      <c r="AW562" s="17"/>
      <c r="AX562" s="17">
        <v>0</v>
      </c>
      <c r="AY562" s="17"/>
      <c r="AZ562" s="17">
        <f t="shared" si="139"/>
        <v>0</v>
      </c>
      <c r="BB562" s="32"/>
      <c r="BC562" s="86"/>
      <c r="BD562" s="32"/>
      <c r="BE562" s="86"/>
      <c r="BF562" s="32"/>
      <c r="BG562" s="86"/>
      <c r="BH562" s="32"/>
      <c r="BI562" s="86"/>
      <c r="BJ562" s="32"/>
      <c r="BK562" s="86"/>
      <c r="BL562" s="31"/>
      <c r="BM562" s="3"/>
      <c r="BN562" s="3"/>
      <c r="BO562" s="3"/>
    </row>
    <row r="563" spans="1:67" x14ac:dyDescent="0.2">
      <c r="B563" s="3" t="s">
        <v>19</v>
      </c>
      <c r="C563" s="17">
        <v>0</v>
      </c>
      <c r="D563" s="17"/>
      <c r="E563" s="17">
        <v>0</v>
      </c>
      <c r="F563" s="17"/>
      <c r="G563" s="17">
        <v>0</v>
      </c>
      <c r="H563" s="17"/>
      <c r="I563" s="17">
        <v>0</v>
      </c>
      <c r="J563" s="17"/>
      <c r="K563" s="17">
        <v>0</v>
      </c>
      <c r="L563" s="17"/>
      <c r="M563" s="17">
        <v>0</v>
      </c>
      <c r="N563" s="17"/>
      <c r="O563" s="17">
        <v>0</v>
      </c>
      <c r="P563" s="17"/>
      <c r="Q563" s="17">
        <v>0</v>
      </c>
      <c r="R563" s="17"/>
      <c r="S563" s="17">
        <v>0</v>
      </c>
      <c r="T563" s="17"/>
      <c r="U563" s="17">
        <v>0</v>
      </c>
      <c r="V563" s="17"/>
      <c r="W563" s="17">
        <v>0</v>
      </c>
      <c r="X563" s="17"/>
      <c r="Y563" s="17">
        <v>0</v>
      </c>
      <c r="Z563" s="17"/>
      <c r="AA563" s="17">
        <v>0</v>
      </c>
      <c r="AB563" s="17"/>
      <c r="AC563" s="17">
        <v>0</v>
      </c>
      <c r="AD563" s="17"/>
      <c r="AE563" s="17">
        <v>0</v>
      </c>
      <c r="AF563" s="17"/>
      <c r="AG563" s="17">
        <v>0</v>
      </c>
      <c r="AH563" s="17"/>
      <c r="AI563" s="17">
        <v>0</v>
      </c>
      <c r="AJ563" s="17"/>
      <c r="AK563" s="17">
        <v>0</v>
      </c>
      <c r="AL563" s="17"/>
      <c r="AM563" s="17">
        <v>0</v>
      </c>
      <c r="AN563" s="17"/>
      <c r="AO563" s="17">
        <v>0</v>
      </c>
      <c r="AP563" s="17"/>
      <c r="AQ563" s="17">
        <v>0</v>
      </c>
      <c r="AR563" s="17"/>
      <c r="AS563" s="17">
        <v>0</v>
      </c>
      <c r="AT563" s="17">
        <v>0</v>
      </c>
      <c r="AU563" s="17"/>
      <c r="AV563" s="17">
        <v>0</v>
      </c>
      <c r="AW563" s="17"/>
      <c r="AX563" s="17">
        <v>0</v>
      </c>
      <c r="AY563" s="17"/>
      <c r="AZ563" s="17">
        <f t="shared" si="139"/>
        <v>0</v>
      </c>
      <c r="BB563" s="32"/>
      <c r="BC563" s="86"/>
      <c r="BD563" s="32"/>
      <c r="BE563" s="86"/>
      <c r="BF563" s="32"/>
      <c r="BG563" s="86"/>
      <c r="BH563" s="32"/>
      <c r="BI563" s="86"/>
      <c r="BJ563" s="32"/>
      <c r="BK563" s="86"/>
      <c r="BL563" s="31"/>
      <c r="BM563" s="3"/>
      <c r="BN563" s="3"/>
      <c r="BO563" s="3"/>
    </row>
    <row r="564" spans="1:67" x14ac:dyDescent="0.2">
      <c r="B564" s="3" t="s">
        <v>20</v>
      </c>
      <c r="C564" s="17">
        <v>0</v>
      </c>
      <c r="D564" s="17"/>
      <c r="E564" s="17">
        <v>0</v>
      </c>
      <c r="F564" s="17"/>
      <c r="G564" s="17">
        <v>0</v>
      </c>
      <c r="H564" s="17"/>
      <c r="I564" s="17">
        <v>0</v>
      </c>
      <c r="J564" s="17"/>
      <c r="K564" s="17">
        <v>0</v>
      </c>
      <c r="L564" s="17"/>
      <c r="M564" s="17">
        <v>0</v>
      </c>
      <c r="N564" s="17"/>
      <c r="O564" s="17">
        <v>0</v>
      </c>
      <c r="P564" s="17"/>
      <c r="Q564" s="17">
        <v>0</v>
      </c>
      <c r="R564" s="17"/>
      <c r="S564" s="17">
        <v>0</v>
      </c>
      <c r="T564" s="17"/>
      <c r="U564" s="17">
        <v>0</v>
      </c>
      <c r="V564" s="17"/>
      <c r="W564" s="17">
        <v>0</v>
      </c>
      <c r="X564" s="17"/>
      <c r="Y564" s="17">
        <v>0</v>
      </c>
      <c r="Z564" s="17"/>
      <c r="AA564" s="17">
        <v>0</v>
      </c>
      <c r="AB564" s="17"/>
      <c r="AC564" s="17">
        <v>0</v>
      </c>
      <c r="AD564" s="17"/>
      <c r="AE564" s="17">
        <v>0</v>
      </c>
      <c r="AF564" s="17"/>
      <c r="AG564" s="17">
        <v>0</v>
      </c>
      <c r="AH564" s="17"/>
      <c r="AI564" s="17">
        <v>0</v>
      </c>
      <c r="AJ564" s="17"/>
      <c r="AK564" s="17">
        <v>0</v>
      </c>
      <c r="AL564" s="17"/>
      <c r="AM564" s="17">
        <v>0</v>
      </c>
      <c r="AN564" s="17"/>
      <c r="AO564" s="17">
        <v>0</v>
      </c>
      <c r="AP564" s="17"/>
      <c r="AQ564" s="17">
        <v>0</v>
      </c>
      <c r="AR564" s="17"/>
      <c r="AS564" s="17">
        <v>0</v>
      </c>
      <c r="AT564" s="17">
        <v>0</v>
      </c>
      <c r="AU564" s="17"/>
      <c r="AV564" s="17">
        <v>0</v>
      </c>
      <c r="AW564" s="17"/>
      <c r="AX564" s="17">
        <v>0</v>
      </c>
      <c r="AY564" s="17"/>
      <c r="AZ564" s="17">
        <f t="shared" si="139"/>
        <v>0</v>
      </c>
      <c r="BB564" s="32"/>
      <c r="BC564" s="86"/>
      <c r="BD564" s="32"/>
      <c r="BE564" s="86"/>
      <c r="BF564" s="32"/>
      <c r="BG564" s="86"/>
      <c r="BH564" s="32"/>
      <c r="BI564" s="86"/>
      <c r="BJ564" s="32"/>
      <c r="BK564" s="86"/>
      <c r="BL564" s="31"/>
      <c r="BM564" s="3"/>
      <c r="BN564" s="3"/>
      <c r="BO564" s="3"/>
    </row>
    <row r="565" spans="1:67" x14ac:dyDescent="0.2">
      <c r="B565" s="3" t="s">
        <v>22</v>
      </c>
      <c r="C565" s="17">
        <v>0</v>
      </c>
      <c r="D565" s="17"/>
      <c r="E565" s="17">
        <v>0</v>
      </c>
      <c r="F565" s="17"/>
      <c r="G565" s="17">
        <v>0</v>
      </c>
      <c r="H565" s="17"/>
      <c r="I565" s="17">
        <v>0</v>
      </c>
      <c r="J565" s="17"/>
      <c r="K565" s="17">
        <v>0</v>
      </c>
      <c r="L565" s="17"/>
      <c r="M565" s="17">
        <v>0</v>
      </c>
      <c r="N565" s="17"/>
      <c r="O565" s="17">
        <v>0</v>
      </c>
      <c r="P565" s="17"/>
      <c r="Q565" s="17">
        <v>0</v>
      </c>
      <c r="R565" s="17"/>
      <c r="S565" s="17">
        <v>0</v>
      </c>
      <c r="T565" s="17"/>
      <c r="U565" s="17">
        <v>0</v>
      </c>
      <c r="V565" s="17"/>
      <c r="W565" s="17">
        <v>0</v>
      </c>
      <c r="X565" s="17"/>
      <c r="Y565" s="17">
        <v>0</v>
      </c>
      <c r="Z565" s="17"/>
      <c r="AA565" s="17">
        <v>0</v>
      </c>
      <c r="AB565" s="17"/>
      <c r="AC565" s="17">
        <v>0</v>
      </c>
      <c r="AD565" s="17"/>
      <c r="AE565" s="17">
        <v>0</v>
      </c>
      <c r="AF565" s="17"/>
      <c r="AG565" s="17">
        <v>0</v>
      </c>
      <c r="AH565" s="17"/>
      <c r="AI565" s="17">
        <v>0</v>
      </c>
      <c r="AJ565" s="17"/>
      <c r="AK565" s="17">
        <v>0</v>
      </c>
      <c r="AL565" s="17"/>
      <c r="AM565" s="17">
        <v>0</v>
      </c>
      <c r="AN565" s="17"/>
      <c r="AO565" s="17">
        <v>0</v>
      </c>
      <c r="AP565" s="17"/>
      <c r="AQ565" s="17">
        <v>0</v>
      </c>
      <c r="AR565" s="17"/>
      <c r="AS565" s="17">
        <v>0</v>
      </c>
      <c r="AT565" s="17">
        <v>0</v>
      </c>
      <c r="AU565" s="17"/>
      <c r="AV565" s="17">
        <v>0</v>
      </c>
      <c r="AW565" s="17"/>
      <c r="AX565" s="17">
        <v>0</v>
      </c>
      <c r="AY565" s="17"/>
      <c r="AZ565" s="17">
        <f t="shared" si="139"/>
        <v>0</v>
      </c>
      <c r="BB565" s="32"/>
      <c r="BC565" s="86"/>
      <c r="BD565" s="32"/>
      <c r="BE565" s="86"/>
      <c r="BF565" s="32"/>
      <c r="BG565" s="86"/>
      <c r="BH565" s="32"/>
      <c r="BI565" s="86"/>
      <c r="BJ565" s="32"/>
      <c r="BK565" s="86"/>
      <c r="BL565" s="31"/>
      <c r="BM565" s="3"/>
      <c r="BN565" s="3"/>
      <c r="BO565" s="3"/>
    </row>
    <row r="566" spans="1:67" x14ac:dyDescent="0.2">
      <c r="B566" s="3" t="s">
        <v>23</v>
      </c>
      <c r="C566" s="17">
        <v>0</v>
      </c>
      <c r="D566" s="17"/>
      <c r="E566" s="17">
        <v>0</v>
      </c>
      <c r="F566" s="17"/>
      <c r="G566" s="17">
        <v>0</v>
      </c>
      <c r="H566" s="17"/>
      <c r="I566" s="17">
        <v>0</v>
      </c>
      <c r="J566" s="17"/>
      <c r="K566" s="17">
        <v>0</v>
      </c>
      <c r="L566" s="17"/>
      <c r="M566" s="17">
        <v>0</v>
      </c>
      <c r="N566" s="17"/>
      <c r="O566" s="17">
        <v>0</v>
      </c>
      <c r="P566" s="17"/>
      <c r="Q566" s="17">
        <v>0</v>
      </c>
      <c r="R566" s="17"/>
      <c r="S566" s="17">
        <v>0</v>
      </c>
      <c r="T566" s="17"/>
      <c r="U566" s="17">
        <v>0</v>
      </c>
      <c r="V566" s="17"/>
      <c r="W566" s="17">
        <v>0</v>
      </c>
      <c r="X566" s="17"/>
      <c r="Y566" s="17">
        <v>0</v>
      </c>
      <c r="Z566" s="17"/>
      <c r="AA566" s="17">
        <v>0</v>
      </c>
      <c r="AB566" s="17"/>
      <c r="AC566" s="17">
        <v>0</v>
      </c>
      <c r="AD566" s="17"/>
      <c r="AE566" s="17">
        <v>0</v>
      </c>
      <c r="AF566" s="17"/>
      <c r="AG566" s="17">
        <v>0</v>
      </c>
      <c r="AH566" s="17"/>
      <c r="AI566" s="17">
        <v>0</v>
      </c>
      <c r="AJ566" s="17"/>
      <c r="AK566" s="17">
        <v>0</v>
      </c>
      <c r="AL566" s="17"/>
      <c r="AM566" s="17">
        <v>0</v>
      </c>
      <c r="AN566" s="17"/>
      <c r="AO566" s="17">
        <v>0</v>
      </c>
      <c r="AP566" s="17"/>
      <c r="AQ566" s="17">
        <v>0</v>
      </c>
      <c r="AR566" s="17"/>
      <c r="AS566" s="17">
        <v>0</v>
      </c>
      <c r="AT566" s="17">
        <v>0</v>
      </c>
      <c r="AU566" s="17"/>
      <c r="AV566" s="17">
        <v>0</v>
      </c>
      <c r="AW566" s="17"/>
      <c r="AX566" s="17">
        <v>0</v>
      </c>
      <c r="AY566" s="17"/>
      <c r="AZ566" s="17">
        <f t="shared" si="139"/>
        <v>0</v>
      </c>
      <c r="BB566" s="32"/>
      <c r="BC566" s="86"/>
      <c r="BD566" s="32"/>
      <c r="BE566" s="86"/>
      <c r="BF566" s="32"/>
      <c r="BG566" s="86"/>
      <c r="BH566" s="32"/>
      <c r="BI566" s="86"/>
      <c r="BJ566" s="32"/>
      <c r="BK566" s="86"/>
      <c r="BL566" s="31"/>
      <c r="BM566" s="3"/>
      <c r="BN566" s="3"/>
      <c r="BO566" s="3"/>
    </row>
    <row r="567" spans="1:67" x14ac:dyDescent="0.2">
      <c r="B567" s="3" t="s">
        <v>24</v>
      </c>
      <c r="C567" s="17">
        <v>0</v>
      </c>
      <c r="D567" s="17"/>
      <c r="E567" s="17">
        <v>0</v>
      </c>
      <c r="F567" s="17"/>
      <c r="G567" s="17">
        <v>0</v>
      </c>
      <c r="H567" s="17"/>
      <c r="I567" s="17"/>
      <c r="J567" s="17"/>
      <c r="K567" s="17">
        <v>0</v>
      </c>
      <c r="L567" s="17"/>
      <c r="M567" s="17">
        <v>0</v>
      </c>
      <c r="N567" s="17"/>
      <c r="O567" s="17">
        <v>0</v>
      </c>
      <c r="P567" s="17"/>
      <c r="Q567" s="17">
        <v>0</v>
      </c>
      <c r="R567" s="17"/>
      <c r="S567" s="17">
        <v>0</v>
      </c>
      <c r="T567" s="17"/>
      <c r="U567" s="17">
        <v>0</v>
      </c>
      <c r="V567" s="17"/>
      <c r="W567" s="17">
        <v>0</v>
      </c>
      <c r="X567" s="17"/>
      <c r="Y567" s="17">
        <v>0</v>
      </c>
      <c r="Z567" s="17"/>
      <c r="AA567" s="17">
        <v>0</v>
      </c>
      <c r="AB567" s="17"/>
      <c r="AC567" s="17">
        <v>0</v>
      </c>
      <c r="AD567" s="17"/>
      <c r="AE567" s="17">
        <v>0</v>
      </c>
      <c r="AF567" s="17"/>
      <c r="AG567" s="17">
        <v>0</v>
      </c>
      <c r="AH567" s="17"/>
      <c r="AI567" s="17">
        <v>0</v>
      </c>
      <c r="AJ567" s="17"/>
      <c r="AK567" s="17">
        <v>0</v>
      </c>
      <c r="AL567" s="17"/>
      <c r="AM567" s="17">
        <v>0</v>
      </c>
      <c r="AN567" s="17"/>
      <c r="AO567" s="17">
        <v>0</v>
      </c>
      <c r="AP567" s="17"/>
      <c r="AQ567" s="17">
        <v>0</v>
      </c>
      <c r="AR567" s="17"/>
      <c r="AS567" s="17">
        <v>0</v>
      </c>
      <c r="AT567" s="17">
        <v>0</v>
      </c>
      <c r="AU567" s="17"/>
      <c r="AV567" s="17">
        <v>0</v>
      </c>
      <c r="AW567" s="17"/>
      <c r="AX567" s="17">
        <v>0</v>
      </c>
      <c r="AY567" s="17"/>
      <c r="AZ567" s="17">
        <f t="shared" si="139"/>
        <v>0</v>
      </c>
      <c r="BB567" s="32"/>
      <c r="BC567" s="86"/>
      <c r="BD567" s="32"/>
      <c r="BE567" s="86"/>
      <c r="BF567" s="32"/>
      <c r="BG567" s="86"/>
      <c r="BH567" s="32"/>
      <c r="BI567" s="86"/>
      <c r="BJ567" s="32"/>
      <c r="BK567" s="86"/>
      <c r="BL567" s="31"/>
      <c r="BM567" s="3"/>
      <c r="BN567" s="3"/>
      <c r="BO567" s="3"/>
    </row>
    <row r="568" spans="1:67" x14ac:dyDescent="0.2">
      <c r="B568" s="3" t="s">
        <v>27</v>
      </c>
      <c r="C568" s="17">
        <v>0</v>
      </c>
      <c r="D568" s="17"/>
      <c r="E568" s="17">
        <v>0</v>
      </c>
      <c r="F568" s="17"/>
      <c r="G568" s="17">
        <v>0</v>
      </c>
      <c r="H568" s="17"/>
      <c r="I568" s="17">
        <v>0</v>
      </c>
      <c r="J568" s="17"/>
      <c r="K568" s="17">
        <v>0</v>
      </c>
      <c r="L568" s="17"/>
      <c r="M568" s="17">
        <v>0</v>
      </c>
      <c r="N568" s="17"/>
      <c r="O568" s="17">
        <v>0</v>
      </c>
      <c r="P568" s="17"/>
      <c r="Q568" s="17">
        <v>0</v>
      </c>
      <c r="R568" s="17"/>
      <c r="S568" s="17">
        <v>0</v>
      </c>
      <c r="T568" s="17"/>
      <c r="U568" s="17">
        <v>0</v>
      </c>
      <c r="V568" s="17"/>
      <c r="W568" s="17">
        <v>0</v>
      </c>
      <c r="X568" s="17"/>
      <c r="Y568" s="17">
        <v>0</v>
      </c>
      <c r="Z568" s="17"/>
      <c r="AA568" s="17">
        <v>0</v>
      </c>
      <c r="AB568" s="17"/>
      <c r="AC568" s="17">
        <v>0</v>
      </c>
      <c r="AD568" s="17"/>
      <c r="AE568" s="17">
        <v>0</v>
      </c>
      <c r="AF568" s="17"/>
      <c r="AG568" s="17">
        <v>0</v>
      </c>
      <c r="AH568" s="17"/>
      <c r="AI568" s="17">
        <v>0</v>
      </c>
      <c r="AJ568" s="17"/>
      <c r="AK568" s="17">
        <v>0</v>
      </c>
      <c r="AL568" s="17"/>
      <c r="AM568" s="17">
        <v>0</v>
      </c>
      <c r="AN568" s="17"/>
      <c r="AO568" s="17">
        <v>0</v>
      </c>
      <c r="AP568" s="17"/>
      <c r="AQ568" s="17">
        <v>0</v>
      </c>
      <c r="AR568" s="17"/>
      <c r="AS568" s="17">
        <v>0</v>
      </c>
      <c r="AT568" s="17">
        <v>0</v>
      </c>
      <c r="AU568" s="17"/>
      <c r="AV568" s="17">
        <v>0</v>
      </c>
      <c r="AW568" s="17"/>
      <c r="AX568" s="17">
        <v>0</v>
      </c>
      <c r="AY568" s="17"/>
      <c r="AZ568" s="17">
        <f t="shared" si="139"/>
        <v>0</v>
      </c>
      <c r="BB568" s="32"/>
      <c r="BC568" s="86"/>
      <c r="BD568" s="32"/>
      <c r="BE568" s="86"/>
      <c r="BF568" s="32"/>
      <c r="BG568" s="86"/>
      <c r="BH568" s="32"/>
      <c r="BI568" s="86"/>
      <c r="BJ568" s="32"/>
      <c r="BK568" s="86"/>
      <c r="BL568" s="31"/>
      <c r="BM568" s="3"/>
      <c r="BN568" s="3"/>
      <c r="BO568" s="3"/>
    </row>
    <row r="569" spans="1:67" x14ac:dyDescent="0.2">
      <c r="B569" s="3" t="s">
        <v>28</v>
      </c>
      <c r="C569" s="17">
        <v>0</v>
      </c>
      <c r="D569" s="17"/>
      <c r="E569" s="17">
        <v>0</v>
      </c>
      <c r="F569" s="17"/>
      <c r="G569" s="17">
        <v>0</v>
      </c>
      <c r="H569" s="17"/>
      <c r="I569" s="17">
        <v>0</v>
      </c>
      <c r="J569" s="17"/>
      <c r="K569" s="17">
        <v>0</v>
      </c>
      <c r="L569" s="17"/>
      <c r="M569" s="17">
        <v>0</v>
      </c>
      <c r="N569" s="17"/>
      <c r="O569" s="17">
        <v>0</v>
      </c>
      <c r="P569" s="17"/>
      <c r="Q569" s="17">
        <v>0</v>
      </c>
      <c r="R569" s="17"/>
      <c r="S569" s="17">
        <v>0</v>
      </c>
      <c r="T569" s="17"/>
      <c r="U569" s="17">
        <v>0</v>
      </c>
      <c r="V569" s="17"/>
      <c r="W569" s="17">
        <v>0</v>
      </c>
      <c r="X569" s="17"/>
      <c r="Y569" s="17">
        <v>0</v>
      </c>
      <c r="Z569" s="17"/>
      <c r="AA569" s="17">
        <v>0</v>
      </c>
      <c r="AB569" s="17"/>
      <c r="AC569" s="17">
        <v>0</v>
      </c>
      <c r="AD569" s="17"/>
      <c r="AE569" s="17">
        <v>0</v>
      </c>
      <c r="AF569" s="17"/>
      <c r="AG569" s="17">
        <v>0</v>
      </c>
      <c r="AH569" s="17"/>
      <c r="AI569" s="17">
        <v>0</v>
      </c>
      <c r="AJ569" s="17"/>
      <c r="AK569" s="17">
        <v>0</v>
      </c>
      <c r="AL569" s="17"/>
      <c r="AM569" s="17">
        <v>0</v>
      </c>
      <c r="AN569" s="17"/>
      <c r="AO569" s="17">
        <v>43607.11</v>
      </c>
      <c r="AP569" s="17"/>
      <c r="AQ569" s="17">
        <v>0</v>
      </c>
      <c r="AR569" s="17"/>
      <c r="AS569" s="17">
        <v>0</v>
      </c>
      <c r="AT569" s="17">
        <v>0</v>
      </c>
      <c r="AU569" s="17"/>
      <c r="AV569" s="17">
        <v>0</v>
      </c>
      <c r="AW569" s="17"/>
      <c r="AX569" s="17">
        <v>0</v>
      </c>
      <c r="AY569" s="17"/>
      <c r="AZ569" s="17">
        <f t="shared" si="139"/>
        <v>43607.11</v>
      </c>
      <c r="BB569" s="32"/>
      <c r="BC569" s="86"/>
      <c r="BD569" s="32"/>
      <c r="BE569" s="86"/>
      <c r="BF569" s="32"/>
      <c r="BG569" s="86"/>
      <c r="BH569" s="32"/>
      <c r="BI569" s="86"/>
      <c r="BJ569" s="32"/>
      <c r="BK569" s="86"/>
      <c r="BL569" s="31"/>
      <c r="BM569" s="3"/>
      <c r="BN569" s="3"/>
      <c r="BO569" s="3"/>
    </row>
    <row r="570" spans="1:67" x14ac:dyDescent="0.2">
      <c r="B570" s="3" t="s">
        <v>30</v>
      </c>
      <c r="C570" s="17">
        <v>0</v>
      </c>
      <c r="D570" s="17"/>
      <c r="E570" s="17">
        <v>0</v>
      </c>
      <c r="F570" s="17"/>
      <c r="G570" s="17">
        <v>0</v>
      </c>
      <c r="H570" s="17"/>
      <c r="I570" s="17">
        <v>0</v>
      </c>
      <c r="J570" s="17"/>
      <c r="K570" s="17">
        <v>0</v>
      </c>
      <c r="L570" s="17"/>
      <c r="M570" s="17">
        <v>0</v>
      </c>
      <c r="N570" s="17"/>
      <c r="O570" s="17">
        <v>0</v>
      </c>
      <c r="P570" s="17"/>
      <c r="Q570" s="17">
        <v>0</v>
      </c>
      <c r="R570" s="17"/>
      <c r="S570" s="17">
        <v>0</v>
      </c>
      <c r="T570" s="17"/>
      <c r="U570" s="17">
        <v>0</v>
      </c>
      <c r="V570" s="17"/>
      <c r="W570" s="17">
        <v>0</v>
      </c>
      <c r="X570" s="17"/>
      <c r="Y570" s="17">
        <v>0</v>
      </c>
      <c r="Z570" s="17"/>
      <c r="AA570" s="17">
        <v>0</v>
      </c>
      <c r="AB570" s="17"/>
      <c r="AC570" s="17">
        <v>0</v>
      </c>
      <c r="AD570" s="17"/>
      <c r="AE570" s="17">
        <v>0</v>
      </c>
      <c r="AF570" s="17"/>
      <c r="AG570" s="17">
        <v>0</v>
      </c>
      <c r="AH570" s="17"/>
      <c r="AI570" s="17">
        <v>0</v>
      </c>
      <c r="AJ570" s="17"/>
      <c r="AK570" s="17">
        <v>0</v>
      </c>
      <c r="AL570" s="17"/>
      <c r="AM570" s="17">
        <v>0</v>
      </c>
      <c r="AN570" s="17"/>
      <c r="AO570" s="17">
        <v>0</v>
      </c>
      <c r="AP570" s="17"/>
      <c r="AQ570" s="17">
        <v>0</v>
      </c>
      <c r="AR570" s="17"/>
      <c r="AS570" s="17">
        <v>0</v>
      </c>
      <c r="AT570" s="17">
        <v>0</v>
      </c>
      <c r="AU570" s="17"/>
      <c r="AV570" s="17">
        <v>0</v>
      </c>
      <c r="AW570" s="17"/>
      <c r="AX570" s="17">
        <v>0</v>
      </c>
      <c r="AY570" s="17"/>
      <c r="AZ570" s="17">
        <f t="shared" si="139"/>
        <v>0</v>
      </c>
      <c r="BB570" s="32"/>
      <c r="BC570" s="86"/>
      <c r="BD570" s="32"/>
      <c r="BE570" s="86"/>
      <c r="BF570" s="32"/>
      <c r="BG570" s="86"/>
      <c r="BH570" s="32"/>
      <c r="BI570" s="86"/>
      <c r="BJ570" s="32"/>
      <c r="BK570" s="86"/>
      <c r="BL570" s="31"/>
      <c r="BM570" s="3"/>
      <c r="BN570" s="3"/>
      <c r="BO570" s="3"/>
    </row>
    <row r="571" spans="1:67" x14ac:dyDescent="0.2">
      <c r="B571" s="3" t="s">
        <v>51</v>
      </c>
      <c r="C571" s="17">
        <v>0</v>
      </c>
      <c r="D571" s="17"/>
      <c r="E571" s="17">
        <v>0</v>
      </c>
      <c r="F571" s="17"/>
      <c r="G571" s="17">
        <v>0</v>
      </c>
      <c r="H571" s="17"/>
      <c r="I571" s="17">
        <v>0</v>
      </c>
      <c r="J571" s="17"/>
      <c r="K571" s="17">
        <v>0</v>
      </c>
      <c r="L571" s="17"/>
      <c r="M571" s="17">
        <v>0</v>
      </c>
      <c r="N571" s="17"/>
      <c r="O571" s="17">
        <v>0</v>
      </c>
      <c r="P571" s="17"/>
      <c r="Q571" s="17">
        <v>0</v>
      </c>
      <c r="R571" s="17"/>
      <c r="S571" s="17">
        <v>0</v>
      </c>
      <c r="T571" s="17"/>
      <c r="U571" s="17">
        <v>0</v>
      </c>
      <c r="V571" s="17"/>
      <c r="W571" s="17">
        <v>0</v>
      </c>
      <c r="X571" s="17"/>
      <c r="Y571" s="17">
        <v>0</v>
      </c>
      <c r="Z571" s="17"/>
      <c r="AA571" s="17">
        <v>0</v>
      </c>
      <c r="AB571" s="17"/>
      <c r="AC571" s="17">
        <v>0</v>
      </c>
      <c r="AD571" s="17"/>
      <c r="AE571" s="17">
        <v>0</v>
      </c>
      <c r="AF571" s="17"/>
      <c r="AG571" s="17">
        <v>0</v>
      </c>
      <c r="AH571" s="17"/>
      <c r="AI571" s="17">
        <v>0</v>
      </c>
      <c r="AJ571" s="17"/>
      <c r="AK571" s="17">
        <v>0</v>
      </c>
      <c r="AL571" s="17"/>
      <c r="AM571" s="17">
        <v>0</v>
      </c>
      <c r="AN571" s="17"/>
      <c r="AO571" s="17">
        <v>0</v>
      </c>
      <c r="AP571" s="17"/>
      <c r="AQ571" s="17">
        <v>0</v>
      </c>
      <c r="AR571" s="17"/>
      <c r="AS571" s="17">
        <v>0</v>
      </c>
      <c r="AT571" s="17">
        <v>0</v>
      </c>
      <c r="AU571" s="17"/>
      <c r="AV571" s="17">
        <v>0</v>
      </c>
      <c r="AW571" s="17"/>
      <c r="AX571" s="17">
        <v>0</v>
      </c>
      <c r="AY571" s="17"/>
      <c r="AZ571" s="17">
        <f t="shared" si="139"/>
        <v>0</v>
      </c>
      <c r="BB571" s="32"/>
      <c r="BC571" s="86"/>
      <c r="BD571" s="32"/>
      <c r="BE571" s="86"/>
      <c r="BF571" s="32"/>
      <c r="BG571" s="86"/>
      <c r="BH571" s="32"/>
      <c r="BI571" s="86"/>
      <c r="BJ571" s="32"/>
      <c r="BK571" s="86"/>
      <c r="BL571" s="31"/>
      <c r="BM571" s="3"/>
      <c r="BN571" s="3"/>
      <c r="BO571" s="3"/>
    </row>
    <row r="572" spans="1:67" x14ac:dyDescent="0.2">
      <c r="B572" s="3" t="s">
        <v>31</v>
      </c>
      <c r="C572" s="17">
        <v>0</v>
      </c>
      <c r="D572" s="17"/>
      <c r="E572" s="17">
        <v>0</v>
      </c>
      <c r="F572" s="17"/>
      <c r="G572" s="17">
        <v>0</v>
      </c>
      <c r="H572" s="17"/>
      <c r="I572" s="17">
        <v>0</v>
      </c>
      <c r="J572" s="17"/>
      <c r="K572" s="17">
        <v>0</v>
      </c>
      <c r="L572" s="17"/>
      <c r="M572" s="17">
        <v>0</v>
      </c>
      <c r="N572" s="17"/>
      <c r="O572" s="17">
        <v>0</v>
      </c>
      <c r="P572" s="17"/>
      <c r="Q572" s="17">
        <v>0</v>
      </c>
      <c r="R572" s="17"/>
      <c r="S572" s="17">
        <v>0</v>
      </c>
      <c r="T572" s="17"/>
      <c r="U572" s="17">
        <v>0</v>
      </c>
      <c r="V572" s="17"/>
      <c r="W572" s="17">
        <v>0</v>
      </c>
      <c r="X572" s="17"/>
      <c r="Y572" s="17">
        <v>0</v>
      </c>
      <c r="Z572" s="17"/>
      <c r="AA572" s="17">
        <v>0</v>
      </c>
      <c r="AB572" s="17"/>
      <c r="AC572" s="17">
        <v>0</v>
      </c>
      <c r="AD572" s="17"/>
      <c r="AE572" s="17">
        <v>0</v>
      </c>
      <c r="AF572" s="17"/>
      <c r="AG572" s="17">
        <v>0</v>
      </c>
      <c r="AH572" s="17"/>
      <c r="AI572" s="17">
        <v>0</v>
      </c>
      <c r="AJ572" s="17"/>
      <c r="AK572" s="17">
        <v>0</v>
      </c>
      <c r="AL572" s="17"/>
      <c r="AM572" s="17">
        <v>0</v>
      </c>
      <c r="AN572" s="17"/>
      <c r="AO572" s="17">
        <v>0</v>
      </c>
      <c r="AP572" s="17"/>
      <c r="AQ572" s="17">
        <v>0</v>
      </c>
      <c r="AR572" s="17"/>
      <c r="AS572" s="17">
        <v>0</v>
      </c>
      <c r="AT572" s="17">
        <v>0</v>
      </c>
      <c r="AU572" s="17"/>
      <c r="AV572" s="17">
        <v>0</v>
      </c>
      <c r="AW572" s="17"/>
      <c r="AX572" s="17">
        <v>0</v>
      </c>
      <c r="AY572" s="17"/>
      <c r="AZ572" s="17">
        <f t="shared" si="139"/>
        <v>0</v>
      </c>
      <c r="BB572" s="32"/>
      <c r="BC572" s="86"/>
      <c r="BD572" s="32"/>
      <c r="BE572" s="86"/>
      <c r="BF572" s="32"/>
      <c r="BG572" s="86"/>
      <c r="BH572" s="32"/>
      <c r="BI572" s="86"/>
      <c r="BJ572" s="32"/>
      <c r="BK572" s="86"/>
      <c r="BL572" s="31"/>
      <c r="BM572" s="3"/>
      <c r="BN572" s="3"/>
      <c r="BO572" s="3"/>
    </row>
    <row r="573" spans="1:67" x14ac:dyDescent="0.2">
      <c r="B573" s="3" t="s">
        <v>54</v>
      </c>
      <c r="C573" s="16">
        <v>0</v>
      </c>
      <c r="D573" s="17"/>
      <c r="E573" s="16">
        <v>0</v>
      </c>
      <c r="F573" s="17"/>
      <c r="G573" s="16">
        <v>0</v>
      </c>
      <c r="H573" s="17"/>
      <c r="I573" s="16">
        <v>0</v>
      </c>
      <c r="J573" s="17"/>
      <c r="K573" s="16">
        <v>0</v>
      </c>
      <c r="L573" s="17"/>
      <c r="M573" s="16">
        <v>0</v>
      </c>
      <c r="N573" s="17"/>
      <c r="O573" s="16">
        <v>0</v>
      </c>
      <c r="P573" s="17"/>
      <c r="Q573" s="16">
        <v>0</v>
      </c>
      <c r="R573" s="17"/>
      <c r="S573" s="16">
        <v>0</v>
      </c>
      <c r="T573" s="16"/>
      <c r="U573" s="16">
        <v>0</v>
      </c>
      <c r="V573" s="16"/>
      <c r="W573" s="16">
        <v>0</v>
      </c>
      <c r="X573" s="17"/>
      <c r="Y573" s="16">
        <v>0</v>
      </c>
      <c r="Z573" s="17"/>
      <c r="AA573" s="16">
        <v>0</v>
      </c>
      <c r="AB573" s="17"/>
      <c r="AC573" s="16">
        <v>0</v>
      </c>
      <c r="AD573" s="17"/>
      <c r="AE573" s="16">
        <v>0</v>
      </c>
      <c r="AF573" s="17"/>
      <c r="AG573" s="16">
        <v>0</v>
      </c>
      <c r="AH573" s="17"/>
      <c r="AI573" s="16">
        <v>0</v>
      </c>
      <c r="AJ573" s="17"/>
      <c r="AK573" s="16">
        <v>0</v>
      </c>
      <c r="AL573" s="16"/>
      <c r="AM573" s="16">
        <v>0</v>
      </c>
      <c r="AN573" s="16"/>
      <c r="AO573" s="16">
        <v>0</v>
      </c>
      <c r="AP573" s="16"/>
      <c r="AQ573" s="16">
        <v>0</v>
      </c>
      <c r="AR573" s="16"/>
      <c r="AS573" s="16">
        <v>0</v>
      </c>
      <c r="AT573" s="16">
        <v>0</v>
      </c>
      <c r="AU573" s="16"/>
      <c r="AV573" s="16">
        <v>0</v>
      </c>
      <c r="AW573" s="16"/>
      <c r="AX573" s="16">
        <v>0</v>
      </c>
      <c r="AY573" s="16"/>
      <c r="AZ573" s="17">
        <f t="shared" si="139"/>
        <v>0</v>
      </c>
      <c r="BB573" s="32"/>
      <c r="BC573" s="86"/>
      <c r="BD573" s="32"/>
      <c r="BE573" s="86"/>
      <c r="BF573" s="32"/>
      <c r="BG573" s="86"/>
      <c r="BH573" s="32"/>
      <c r="BI573" s="86"/>
      <c r="BJ573" s="32"/>
      <c r="BK573" s="86"/>
      <c r="BL573" s="31"/>
      <c r="BM573" s="3"/>
      <c r="BN573" s="3"/>
      <c r="BO573" s="3"/>
    </row>
    <row r="574" spans="1:67" x14ac:dyDescent="0.2">
      <c r="B574" s="19"/>
      <c r="C574" s="17">
        <f>SUM(C561:C573)</f>
        <v>0</v>
      </c>
      <c r="D574" s="17"/>
      <c r="E574" s="17">
        <f>SUM(E561:E573)</f>
        <v>0</v>
      </c>
      <c r="F574" s="17"/>
      <c r="G574" s="17">
        <f>SUM(G561:G573)</f>
        <v>0</v>
      </c>
      <c r="H574" s="17"/>
      <c r="I574" s="17">
        <f>SUM(I561:I573)</f>
        <v>0</v>
      </c>
      <c r="J574" s="17"/>
      <c r="K574" s="17">
        <f>SUM(K561:K573)</f>
        <v>0</v>
      </c>
      <c r="L574" s="17"/>
      <c r="M574" s="17">
        <f>SUM(M561:M573)</f>
        <v>0</v>
      </c>
      <c r="N574" s="17"/>
      <c r="O574" s="17">
        <f>SUM(O561:O573)</f>
        <v>0</v>
      </c>
      <c r="P574" s="17"/>
      <c r="Q574" s="17">
        <f>SUM(Q561:Q573)</f>
        <v>0</v>
      </c>
      <c r="R574" s="17"/>
      <c r="S574" s="17">
        <f>SUM(S561:S573)</f>
        <v>0</v>
      </c>
      <c r="T574" s="17"/>
      <c r="U574" s="17">
        <f>SUM(U561:U573)</f>
        <v>0</v>
      </c>
      <c r="V574" s="17"/>
      <c r="W574" s="17">
        <f>SUM(W561:W573)</f>
        <v>0</v>
      </c>
      <c r="X574" s="17"/>
      <c r="Y574" s="17">
        <f>SUM(Y561:Y573)</f>
        <v>0</v>
      </c>
      <c r="Z574" s="17"/>
      <c r="AA574" s="17">
        <f>SUM(AA561:AA573)</f>
        <v>0</v>
      </c>
      <c r="AB574" s="17"/>
      <c r="AC574" s="17">
        <f>SUM(AC561:AC573)</f>
        <v>0</v>
      </c>
      <c r="AD574" s="17"/>
      <c r="AE574" s="17">
        <f>SUM(AE561:AE573)</f>
        <v>0</v>
      </c>
      <c r="AF574" s="17"/>
      <c r="AG574" s="17">
        <f>SUM(AG561:AG573)</f>
        <v>0</v>
      </c>
      <c r="AH574" s="17"/>
      <c r="AI574" s="17">
        <f>SUM(AI561:AI573)</f>
        <v>0</v>
      </c>
      <c r="AJ574" s="17"/>
      <c r="AK574" s="17">
        <f>SUM(AK561:AK573)</f>
        <v>0</v>
      </c>
      <c r="AL574" s="17"/>
      <c r="AM574" s="17">
        <f>SUM(AM561:AM573)</f>
        <v>0</v>
      </c>
      <c r="AN574" s="17"/>
      <c r="AO574" s="17">
        <f>SUM(AO561:AO573)</f>
        <v>43607.11</v>
      </c>
      <c r="AP574" s="17"/>
      <c r="AQ574" s="17">
        <f>SUM(AQ561:AQ573)</f>
        <v>0</v>
      </c>
      <c r="AR574" s="17"/>
      <c r="AS574" s="17">
        <f>SUM(AS561:AS573)</f>
        <v>0</v>
      </c>
      <c r="AT574" s="17">
        <f>SUM(AT561:AT573)</f>
        <v>0</v>
      </c>
      <c r="AU574" s="17"/>
      <c r="AV574" s="17">
        <f>SUM(AV561:AV573)</f>
        <v>0</v>
      </c>
      <c r="AW574" s="17"/>
      <c r="AX574" s="17">
        <f>SUM(AX561:AX573)</f>
        <v>0</v>
      </c>
      <c r="AY574" s="17"/>
      <c r="AZ574" s="20">
        <f>SUM(AZ561:AZ573)</f>
        <v>43607.11</v>
      </c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31"/>
      <c r="BM574" s="3"/>
      <c r="BN574" s="3"/>
      <c r="BO574" s="3"/>
    </row>
    <row r="575" spans="1:67" x14ac:dyDescent="0.2"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31"/>
      <c r="BM575" s="3"/>
      <c r="BN575" s="3"/>
      <c r="BO575" s="3"/>
    </row>
    <row r="576" spans="1:67" x14ac:dyDescent="0.2">
      <c r="A576" s="10" t="s">
        <v>91</v>
      </c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31"/>
      <c r="BM576" s="3"/>
      <c r="BN576" s="3"/>
      <c r="BO576" s="3"/>
    </row>
    <row r="577" spans="1:67" x14ac:dyDescent="0.2">
      <c r="B577" s="3" t="s">
        <v>13</v>
      </c>
      <c r="C577" s="15">
        <f>C561+C545+C518+C519+C573+C556++C539+C540</f>
        <v>0</v>
      </c>
      <c r="D577" s="15"/>
      <c r="E577" s="15">
        <f>E561+E545+E518+E519+E573+E556++E539+E540</f>
        <v>0</v>
      </c>
      <c r="F577" s="15"/>
      <c r="G577" s="15">
        <f>G561+G545+G518+G519+G573+G556++G539+G540</f>
        <v>-973.36</v>
      </c>
      <c r="H577" s="15"/>
      <c r="I577" s="15">
        <f>I561+I545+I518+I519+I573+I556++I539+I540</f>
        <v>0</v>
      </c>
      <c r="J577" s="15"/>
      <c r="K577" s="15">
        <f>K561+K545+K518+K519+K573+K556++K539+K540</f>
        <v>0</v>
      </c>
      <c r="L577" s="15"/>
      <c r="M577" s="15">
        <f>M561+M545+M518+M519+M573+M556++M539+M540</f>
        <v>0</v>
      </c>
      <c r="N577" s="15"/>
      <c r="O577" s="15">
        <f>O561+O545+O518+O519+O573+O557++O539+O540</f>
        <v>0</v>
      </c>
      <c r="P577" s="15"/>
      <c r="Q577" s="15">
        <f>Q561+Q545+Q518+Q519+Q573+Q556++Q539+Q540</f>
        <v>0</v>
      </c>
      <c r="R577" s="15"/>
      <c r="S577" s="15">
        <f>S561+S545+S518+S519+S573+S556++S539+S540</f>
        <v>0</v>
      </c>
      <c r="T577" s="15"/>
      <c r="U577" s="15">
        <f>U561+U545+U518+U519+U573+U556++U539+U540</f>
        <v>0</v>
      </c>
      <c r="V577" s="15"/>
      <c r="W577" s="15">
        <f>W561+W545+W518+W519+W573+W556++W539+W540</f>
        <v>0</v>
      </c>
      <c r="X577" s="15"/>
      <c r="Y577" s="15">
        <f>Y561+Y545+Y518+Y519+Y573+Y556++Y539+Y540</f>
        <v>0</v>
      </c>
      <c r="Z577" s="15"/>
      <c r="AA577" s="15">
        <f>AA561+AA545+AA518+AA519+AA573+AA556++AA539+AA540</f>
        <v>0</v>
      </c>
      <c r="AB577" s="15"/>
      <c r="AC577" s="15">
        <f>AC561+AC545+AC518+AC519+AC573+AC556++AC539+AC540</f>
        <v>0</v>
      </c>
      <c r="AD577" s="15"/>
      <c r="AE577" s="15">
        <f>AE561+AE545+AE518+AE519+AE573+AE556++AE539+AE540</f>
        <v>0</v>
      </c>
      <c r="AF577" s="15"/>
      <c r="AG577" s="15">
        <f>AG561+AG545+AG518+AG519+AG573+AG556++AG539+AG540</f>
        <v>0</v>
      </c>
      <c r="AH577" s="15"/>
      <c r="AI577" s="15">
        <f>AI561+AI545+AI518+AI519+AI573+AI556++AI539+AI540</f>
        <v>0</v>
      </c>
      <c r="AJ577" s="15"/>
      <c r="AK577" s="15">
        <f>AK561+AK545+AK518+AK519+AK573+AK556++AK539+AK540</f>
        <v>1.49</v>
      </c>
      <c r="AL577" s="15"/>
      <c r="AM577" s="15">
        <f>AM561+AM545+AM518+AM519+AM573+AM556++AM539+AM540</f>
        <v>0</v>
      </c>
      <c r="AN577" s="15"/>
      <c r="AO577" s="15">
        <f>AO561+AO545+AO518+AO519+AO573+AO556++AO539+AO540</f>
        <v>0</v>
      </c>
      <c r="AP577" s="15"/>
      <c r="AQ577" s="15">
        <f>AQ561+AQ545+AQ518+AQ519+AQ573+AQ556++AQ539+AQ540</f>
        <v>0</v>
      </c>
      <c r="AR577" s="15"/>
      <c r="AS577" s="15">
        <f>AS561+AS545+AS518+AS519+AS573+AS556++AS539+AS540</f>
        <v>0</v>
      </c>
      <c r="AT577" s="15">
        <f>AT561+AT545+AT518+AT519+AT573+AT556++AT539+AT540</f>
        <v>1025.9000000000001</v>
      </c>
      <c r="AU577" s="15"/>
      <c r="AV577" s="15">
        <f>AV561+AV545+AV518+AV519+AV573+AV556++AV539+AV540</f>
        <v>381.96000000000004</v>
      </c>
      <c r="AW577" s="15"/>
      <c r="AX577" s="15">
        <f>AX561+AX545+AX518+AX519+AX573+AX556++AX539+AX540</f>
        <v>0</v>
      </c>
      <c r="AY577" s="15"/>
      <c r="AZ577" s="17">
        <f>SUM(C577:AY577)</f>
        <v>435.99000000000012</v>
      </c>
      <c r="BB577" s="32"/>
      <c r="BC577" s="86"/>
      <c r="BD577" s="32"/>
      <c r="BE577" s="86"/>
      <c r="BF577" s="32"/>
      <c r="BG577" s="86"/>
      <c r="BH577" s="32"/>
      <c r="BI577" s="86"/>
      <c r="BJ577" s="32"/>
      <c r="BK577" s="86"/>
      <c r="BL577" s="31"/>
      <c r="BM577" s="3"/>
      <c r="BN577" s="3"/>
      <c r="BO577" s="3"/>
    </row>
    <row r="578" spans="1:67" x14ac:dyDescent="0.2">
      <c r="B578" s="3" t="s">
        <v>17</v>
      </c>
      <c r="C578" s="17">
        <f>C562+C563+C564+C565+C566+C567+C546+C547+C548+C549+C550+C519+C520+C521+C522+C523+C524+C525+C526+C527+C528+C529+C551+C530</f>
        <v>26900</v>
      </c>
      <c r="D578" s="17"/>
      <c r="E578" s="17">
        <f>E562+E563+E564+E565+E566+E567+E546+E547+E548+E549+E550+E519+E520+E521+E522+E523+E524+E525+E526+E527+E528+E529+E551+E530</f>
        <v>5.4569682106375694E-12</v>
      </c>
      <c r="F578" s="17"/>
      <c r="G578" s="17">
        <f>G562+G563+G564+G565+G566+G567+G546+G547+G548+G549+G550+G519+G520+G521+G522+G523+G524+G525+G526+G527+G528+G529+G551+G530</f>
        <v>0</v>
      </c>
      <c r="H578" s="17"/>
      <c r="I578" s="17">
        <f>I562+I563+I564+I565+I566+I567+I546+I547+I548+I549+I550+I519+I520+I521+I522+I523+I524+I525+I526+I527+I528+I529+I551+I530</f>
        <v>-16682.18</v>
      </c>
      <c r="J578" s="17"/>
      <c r="K578" s="17">
        <f>K562+K563+K564+K565+K566+K567+K546+K547+K548+K549+K550+K519+K520+K521+K522+K523+K524+K525+K526+K527+K528+K529+K551+K530</f>
        <v>0</v>
      </c>
      <c r="L578" s="17"/>
      <c r="M578" s="17">
        <f>M562+M563+M564+M565+M566+M567+M546+M547+M548+M549+M550+M519+M520+M521+M522+M523+M524+M525+M526+M527+M528+M529+M551+M530</f>
        <v>0</v>
      </c>
      <c r="N578" s="17"/>
      <c r="O578" s="17">
        <f>O562+O563+O564+O565+O566+O567+O546+O547+O548+O549+O550+O519+O520+O521+O522+O523+O524+O525+O526+O527+O528+O529+O551+O530</f>
        <v>0</v>
      </c>
      <c r="P578" s="17"/>
      <c r="Q578" s="17">
        <f>Q562+Q563+Q564+Q565+Q566+Q567+Q546+Q547+Q548+Q549+Q550+Q519+Q520+Q521+Q522+Q523+Q524+Q525+Q526+Q527+Q528+Q529+Q551+Q530</f>
        <v>0</v>
      </c>
      <c r="R578" s="17"/>
      <c r="S578" s="17">
        <f>S562+S563+S564+S565+S566+S567+S546+S547+S548+S549+S550+S519+S520+S521+S522+S523+S524+S525+S526+S527+S528+S529+S551+S530</f>
        <v>4.6611603465862572E-12</v>
      </c>
      <c r="T578" s="17"/>
      <c r="U578" s="17">
        <f>U562+U563+U564+U565+U566+U567+U546+U547+U548+U549+U550+U519+U520+U521+U522+U523+U524+U525+U526+U527+U528+U529+U551+U530</f>
        <v>27.28</v>
      </c>
      <c r="V578" s="17"/>
      <c r="W578" s="17">
        <f>W562+W563+W564+W565+W566+W567+W546+W547+W548+W549+W550+W519+W520+W521+W522+W523+W524+W525+W526+W527+W528+W529+W551+W530</f>
        <v>-9.0949470177292824E-13</v>
      </c>
      <c r="X578" s="17"/>
      <c r="Y578" s="17">
        <f>Y562+Y563+Y564+Y565+Y566+Y567+Y546+Y547+Y548+Y549+Y550+Y519+Y520+Y521+Y522+Y523+Y524+Y525+Y526+Y527+Y528+Y529+Y551+Y530</f>
        <v>0</v>
      </c>
      <c r="Z578" s="17"/>
      <c r="AA578" s="17">
        <f>AA562+AA563+AA564+AA565+AA566+AA567+AA546+AA547+AA548+AA549+AA550+AA519+AA520+AA521+AA522+AA523+AA524+AA525+AA526+AA527+AA528+AA529+AA551+AA530</f>
        <v>0</v>
      </c>
      <c r="AB578" s="17"/>
      <c r="AC578" s="17">
        <f>AC562+AC563+AC564+AC565+AC566+AC567+AC546+AC547+AC548+AC549+AC550+AC519+AC520+AC521+AC522+AC523+AC524+AC525+AC526+AC527+AC528+AC529+AC551+AC530</f>
        <v>-9.0949470177292824E-13</v>
      </c>
      <c r="AD578" s="17"/>
      <c r="AE578" s="17">
        <f>AE562+AE563+AE564+AE565+AE566+AE567+AE546+AE547+AE548+AE549+AE550+AE519+AE520+AE521+AE522+AE523+AE524+AE525+AE526+AE527+AE528+AE529+AE551+AE530</f>
        <v>0</v>
      </c>
      <c r="AF578" s="17"/>
      <c r="AG578" s="17">
        <f>AG562+AG563+AG564+AG565+AG566+AG567+AG546+AG547+AG548+AG549+AG550+AG519+AG520+AG521+AG522+AG523+AG524+AG525+AG526+AG527+AG528+AG529+AG551+AG530</f>
        <v>0</v>
      </c>
      <c r="AH578" s="17"/>
      <c r="AI578" s="17">
        <f>AI562+AI563+AI564+AI565+AI566+AI567+AI546+AI547+AI548+AI549+AI550+AI519+AI520+AI521+AI522+AI523+AI524+AI525+AI526+AI527+AI528+AI529+AI551+AI530</f>
        <v>0</v>
      </c>
      <c r="AJ578" s="17"/>
      <c r="AK578" s="17">
        <f>AK562+AK563+AK564+AK565+AK566+AK567+AK546+AK547+AK548+AK549+AK550+AK519+AK520+AK521+AK522+AK523+AK524+AK525+AK526+AK527+AK528+AK529+AK551+AK530</f>
        <v>8.8817841970012523E-16</v>
      </c>
      <c r="AL578" s="17"/>
      <c r="AM578" s="17">
        <f>AM562+AM563+AM564+AM565+AM566+AM567+AM546+AM547+AM548+AM549+AM550+AM519+AM520+AM521+AM522+AM523+AM524+AM525+AM526+AM527+AM528+AM529+AM551+AM530</f>
        <v>76448.429999999993</v>
      </c>
      <c r="AN578" s="17"/>
      <c r="AO578" s="17">
        <f>AO562+AO563+AO564+AO565+AO566+AO567+AO546+AO547+AO548+AO549+AO550+AO519+AO520+AO521+AO522+AO523+AO524+AO525+AO526+AO527+AO528+AO529+AO551+AO530</f>
        <v>0</v>
      </c>
      <c r="AP578" s="17"/>
      <c r="AQ578" s="17">
        <f>AQ562+AQ563+AQ564+AQ565+AQ566+AQ567+AQ546+AQ547+AQ548+AQ549+AQ550+AQ519+AQ520+AQ521+AQ522+AQ523+AQ524+AQ525+AQ526+AQ527+AQ528+AQ529+AQ551+AQ530</f>
        <v>0</v>
      </c>
      <c r="AR578" s="17"/>
      <c r="AS578" s="17">
        <f>AS562+AS563+AS564+AS565+AS566+AS567+AS546+AS547+AS548+AS549+AS550+AS519+AS520+AS521+AS522+AS523+AS524+AS525+AS526+AS527+AS528+AS529+AS551+AS530</f>
        <v>0</v>
      </c>
      <c r="AT578" s="17">
        <f>AT562+AT563+AT564+AT565+AT566+AT567+AT546+AT547+AT548+AT549+AT550+AT519+AT520+AT521+AT522+AT523+AT524+AT525+AT526+AT527+AT528+AT529+AT551+AT530</f>
        <v>0</v>
      </c>
      <c r="AU578" s="17"/>
      <c r="AV578" s="17">
        <f>AV562+AV563+AV564+AV565+AV566+AV567+AV546+AV547+AV548+AV549+AV550+AV519+AV520+AV521+AV522+AV523+AV524+AV525+AV526+AV527+AV528+AV529+AV551+AV530</f>
        <v>0</v>
      </c>
      <c r="AW578" s="17"/>
      <c r="AX578" s="17">
        <f>AX562+AX563+AX564+AX565+AX566+AX567+AX546+AX547+AX548+AX549+AX550+AX519+AX520+AX521+AX522+AX523+AX524+AX525+AX526+AX527+AX528+AX529+AX551+AX530</f>
        <v>-353540</v>
      </c>
      <c r="AY578" s="17"/>
      <c r="AZ578" s="17">
        <f>SUM(C578:AY578)</f>
        <v>-266846.46999999997</v>
      </c>
      <c r="BB578" s="32"/>
      <c r="BC578" s="86"/>
      <c r="BD578" s="32"/>
      <c r="BE578" s="86"/>
      <c r="BF578" s="32"/>
      <c r="BG578" s="86"/>
      <c r="BH578" s="32"/>
      <c r="BI578" s="86"/>
      <c r="BJ578" s="32"/>
      <c r="BK578" s="86"/>
      <c r="BL578" s="31"/>
      <c r="BM578" s="3"/>
      <c r="BN578" s="3"/>
      <c r="BO578" s="3"/>
    </row>
    <row r="579" spans="1:67" x14ac:dyDescent="0.2">
      <c r="B579" s="3" t="s">
        <v>26</v>
      </c>
      <c r="C579" s="16">
        <f>C568+C569+C570+C571+C572+C552+C553+C554+C555+C531+C532+C533+C534+C535+C536+C556+C537+C538</f>
        <v>0</v>
      </c>
      <c r="D579" s="17"/>
      <c r="E579" s="16">
        <f>E568+E569+E570+E571+E572+E552+E553+E554+E555+E531+E532+E533+E534+E535+E536+E556+E537+E538</f>
        <v>0</v>
      </c>
      <c r="F579" s="17"/>
      <c r="G579" s="16">
        <f>G568+G569+G570+G571+G572+G552+G553+G554+G555+G531+G532+G533+G534+G535+G536+G556+G537+G538</f>
        <v>0</v>
      </c>
      <c r="H579" s="17"/>
      <c r="I579" s="16">
        <f>I568+I569+I570+I571+I572+I552+I553+I554+I555+I531+I532+I533+I534+I535+I536+I556+I537+I538</f>
        <v>0</v>
      </c>
      <c r="J579" s="17"/>
      <c r="K579" s="16">
        <f>K568+K569+K570+K571+K572+K552+K553+K554+K555+K531+K532+K533+K534+K535+K536+K556+K537+K538</f>
        <v>0</v>
      </c>
      <c r="L579" s="17"/>
      <c r="M579" s="16">
        <f>M568+M569+M570+M571+M572+M552+M553+M554+M555+M531+M532+M533+M534+M535+M536+M556+M537+M538</f>
        <v>0</v>
      </c>
      <c r="N579" s="17"/>
      <c r="O579" s="16">
        <f>O568+O569+O570+O571+O572+O552+O553+O554+O555+O531+O532+O533+O534+O535+O536+O556+O537+O538</f>
        <v>0</v>
      </c>
      <c r="P579" s="17"/>
      <c r="Q579" s="16">
        <f>Q568+Q569+Q570+Q571+Q572+Q552+Q553+Q554+Q555+Q531+Q532+Q533+Q534+Q535+Q536+Q556+Q537+Q538</f>
        <v>0</v>
      </c>
      <c r="R579" s="17"/>
      <c r="S579" s="16">
        <f>S568+S569+S570+S571+S572+S552+S553+S554+S555+S531+S532+S533+S534+S535+S536+S556+S537+S538</f>
        <v>0</v>
      </c>
      <c r="T579" s="16"/>
      <c r="U579" s="16">
        <f>U568+U569+U570+U571+U572+U552+U553+U554+U555+U531+U532+U533+U534+U535+U536+U556+U537+U538</f>
        <v>0</v>
      </c>
      <c r="V579" s="16"/>
      <c r="W579" s="16">
        <f>W568+W569+W570+W571+W572+W552+W553+W554+W555+W531+W532+W533+W534+W535+W536+W556+W537+W538</f>
        <v>0</v>
      </c>
      <c r="X579" s="17"/>
      <c r="Y579" s="16">
        <f>Y568+Y569+Y570+Y571+Y572+Y552+Y553+Y554+Y555+Y531+Y532+Y533+Y534+Y535+Y536+Y556+Y537+Y538</f>
        <v>0</v>
      </c>
      <c r="Z579" s="17"/>
      <c r="AA579" s="16">
        <f>AA568+AA569+AA570+AA571+AA572+AA552+AA553+AA554+AA555+AA531+AA532+AA533+AA534+AA535+AA536+AA556+AA537+AA538</f>
        <v>0</v>
      </c>
      <c r="AB579" s="17"/>
      <c r="AC579" s="16">
        <f>AC568+AC569+AC570+AC571+AC572+AC552+AC553+AC554+AC555+AC531+AC532+AC533+AC534+AC535+AC536+AC556+AC537+AC538</f>
        <v>0</v>
      </c>
      <c r="AD579" s="17"/>
      <c r="AE579" s="16">
        <f>AE568+AE569+AE570+AE571+AE572+AE552+AE553+AE554+AE555+AE531+AE532+AE533+AE534+AE535+AE536+AE556+AE537+AE538</f>
        <v>0</v>
      </c>
      <c r="AF579" s="17"/>
      <c r="AG579" s="16">
        <f>AG568+AG569+AG570+AG571+AG572+AG552+AG553+AG554+AG555+AG531+AG532+AG533+AG534+AG535+AG536+AG556+AG537+AG538</f>
        <v>0</v>
      </c>
      <c r="AH579" s="17"/>
      <c r="AI579" s="16">
        <f>AI568+AI569+AI570+AI571+AI572+AI552+AI553+AI554+AI555+AI531+AI532+AI533+AI534+AI535+AI536+AI556+AI537+AI538</f>
        <v>0</v>
      </c>
      <c r="AJ579" s="17"/>
      <c r="AK579" s="16">
        <f>AK568+AK569+AK570+AK571+AK572+AK552+AK553+AK554+AK555+AK531+AK532+AK533+AK534+AK535+AK536+AK556+AK537+AK538</f>
        <v>0</v>
      </c>
      <c r="AL579" s="16"/>
      <c r="AM579" s="16">
        <f>AM568+AM569+AM570+AM571+AM572+AM552+AM553+AM554+AM555+AM531+AM532+AM533+AM534+AM535+AM536+AM556+AM537+AM538</f>
        <v>0</v>
      </c>
      <c r="AN579" s="16"/>
      <c r="AO579" s="16">
        <f>AO568+AO569+AO570+AO571+AO572+AO552+AO553+AO554+AO555+AO531+AO532+AO533+AO534+AO535+AO536+AO556+AO537+AO538</f>
        <v>45152.55</v>
      </c>
      <c r="AP579" s="16"/>
      <c r="AQ579" s="16">
        <f>AQ568+AQ569+AQ570+AQ571+AQ572+AQ552+AQ553+AQ554+AQ555+AQ531+AQ532+AQ533+AQ534+AQ535+AQ536+AQ556+AQ537+AQ538</f>
        <v>0</v>
      </c>
      <c r="AR579" s="16"/>
      <c r="AS579" s="16">
        <f>AS568+AS569+AS570+AS571+AS572+AS552+AS553+AS554+AS555+AS531+AS532+AS533+AS534+AS535+AS536+AS556+AS537+AS538</f>
        <v>0</v>
      </c>
      <c r="AT579" s="16">
        <f>AT568+AT569+AT570+AT571+AT572+AT552+AT553+AT554+AT555+AT531+AT532+AT533+AT534+AT535+AT536+AT556+AT537+AT538</f>
        <v>-1025.9000000000001</v>
      </c>
      <c r="AU579" s="16"/>
      <c r="AV579" s="16">
        <f>AV568+AV569+AV570+AV571+AV572+AV552+AV553+AV554+AV555+AV531+AV532+AV533+AV534+AV535+AV536+AV556+AV537+AV538</f>
        <v>-381.96000000000004</v>
      </c>
      <c r="AW579" s="16"/>
      <c r="AX579" s="16">
        <f>AX568+AX569+AX570+AX571+AX572+AX552+AX553+AX554+AX555+AX531+AX532+AX533+AX534+AX535+AX536+AX556+AX537+AX538</f>
        <v>0</v>
      </c>
      <c r="AY579" s="16"/>
      <c r="AZ579" s="17">
        <f>SUM(C579:AY579)</f>
        <v>43744.69</v>
      </c>
      <c r="BB579" s="32"/>
      <c r="BC579" s="86"/>
      <c r="BD579" s="32"/>
      <c r="BE579" s="86"/>
      <c r="BF579" s="32"/>
      <c r="BG579" s="86"/>
      <c r="BH579" s="32"/>
      <c r="BI579" s="86"/>
      <c r="BJ579" s="32"/>
      <c r="BK579" s="86"/>
      <c r="BL579" s="31"/>
      <c r="BM579" s="3"/>
      <c r="BN579" s="3"/>
      <c r="BO579" s="3"/>
    </row>
    <row r="580" spans="1:67" x14ac:dyDescent="0.2">
      <c r="B580" s="19"/>
      <c r="C580" s="17">
        <f>SUM(C577:C579)</f>
        <v>26900</v>
      </c>
      <c r="D580" s="17"/>
      <c r="E580" s="17">
        <f>SUM(E577:E579)</f>
        <v>5.4569682106375694E-12</v>
      </c>
      <c r="F580" s="17"/>
      <c r="G580" s="17">
        <f>SUM(G577:G579)</f>
        <v>-973.36</v>
      </c>
      <c r="H580" s="17"/>
      <c r="I580" s="17">
        <f>SUM(I577:I579)</f>
        <v>-16682.18</v>
      </c>
      <c r="J580" s="17"/>
      <c r="K580" s="17">
        <f>SUM(K577:K579)</f>
        <v>0</v>
      </c>
      <c r="L580" s="17"/>
      <c r="M580" s="17">
        <f>SUM(M577:M579)</f>
        <v>0</v>
      </c>
      <c r="N580" s="17"/>
      <c r="O580" s="17">
        <f>SUM(O577:O579)</f>
        <v>0</v>
      </c>
      <c r="P580" s="17"/>
      <c r="Q580" s="17">
        <f>SUM(Q577:Q579)</f>
        <v>0</v>
      </c>
      <c r="R580" s="17"/>
      <c r="S580" s="17">
        <f>SUM(S577:S579)</f>
        <v>4.6611603465862572E-12</v>
      </c>
      <c r="T580" s="17"/>
      <c r="U580" s="17">
        <f>SUM(U577:U579)</f>
        <v>27.28</v>
      </c>
      <c r="V580" s="17"/>
      <c r="W580" s="17">
        <f>SUM(W577:W579)</f>
        <v>-9.0949470177292824E-13</v>
      </c>
      <c r="X580" s="17"/>
      <c r="Y580" s="17">
        <f>SUM(Y577:Y579)</f>
        <v>0</v>
      </c>
      <c r="Z580" s="17"/>
      <c r="AA580" s="17">
        <f>SUM(AA577:AA579)</f>
        <v>0</v>
      </c>
      <c r="AB580" s="17"/>
      <c r="AC580" s="17">
        <f>SUM(AC577:AC579)</f>
        <v>-9.0949470177292824E-13</v>
      </c>
      <c r="AD580" s="17"/>
      <c r="AE580" s="17">
        <f>SUM(AE577:AE579)</f>
        <v>0</v>
      </c>
      <c r="AF580" s="17"/>
      <c r="AG580" s="17">
        <f>SUM(AG577:AG579)</f>
        <v>0</v>
      </c>
      <c r="AH580" s="17"/>
      <c r="AI580" s="17">
        <f>SUM(AI577:AI579)</f>
        <v>0</v>
      </c>
      <c r="AJ580" s="17"/>
      <c r="AK580" s="17">
        <f>SUM(AK577:AK579)</f>
        <v>1.4900000000000009</v>
      </c>
      <c r="AL580" s="17"/>
      <c r="AM580" s="17">
        <f>SUM(AM577:AM579)</f>
        <v>76448.429999999993</v>
      </c>
      <c r="AN580" s="17"/>
      <c r="AO580" s="17">
        <f>SUM(AO577:AO579)</f>
        <v>45152.55</v>
      </c>
      <c r="AP580" s="17"/>
      <c r="AQ580" s="17">
        <f>SUM(AQ577:AQ579)</f>
        <v>0</v>
      </c>
      <c r="AR580" s="17"/>
      <c r="AS580" s="17">
        <f>SUM(AS577:AS579)</f>
        <v>0</v>
      </c>
      <c r="AT580" s="17">
        <f>SUM(AT577:AT579)</f>
        <v>0</v>
      </c>
      <c r="AU580" s="17"/>
      <c r="AV580" s="17">
        <f>SUM(AV577:AV579)</f>
        <v>0</v>
      </c>
      <c r="AW580" s="17"/>
      <c r="AX580" s="17">
        <f>SUM(AX577:AX579)</f>
        <v>-353540</v>
      </c>
      <c r="AY580" s="17"/>
      <c r="AZ580" s="20">
        <f>SUM(AZ577:AZ579)</f>
        <v>-222665.78999999998</v>
      </c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31"/>
      <c r="BM580" s="3"/>
      <c r="BN580" s="3"/>
      <c r="BO580" s="3"/>
    </row>
    <row r="581" spans="1:67" x14ac:dyDescent="0.2"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31"/>
      <c r="BM581" s="3"/>
      <c r="BN581" s="3"/>
      <c r="BO581" s="3"/>
    </row>
    <row r="582" spans="1:67" x14ac:dyDescent="0.2">
      <c r="A582" s="10" t="s">
        <v>93</v>
      </c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31"/>
      <c r="BM582" s="3"/>
      <c r="BN582" s="3"/>
      <c r="BO582" s="3"/>
    </row>
    <row r="583" spans="1:67" x14ac:dyDescent="0.2">
      <c r="B583" s="3" t="s">
        <v>13</v>
      </c>
      <c r="C583" s="15">
        <v>0</v>
      </c>
      <c r="D583" s="15"/>
      <c r="E583" s="15">
        <v>0</v>
      </c>
      <c r="F583" s="15"/>
      <c r="G583" s="15">
        <v>0</v>
      </c>
      <c r="H583" s="15"/>
      <c r="I583" s="15">
        <v>0</v>
      </c>
      <c r="J583" s="15"/>
      <c r="K583" s="15">
        <v>0</v>
      </c>
      <c r="L583" s="15"/>
      <c r="M583" s="15">
        <v>0</v>
      </c>
      <c r="N583" s="15"/>
      <c r="O583" s="15">
        <v>0</v>
      </c>
      <c r="P583" s="15"/>
      <c r="Q583" s="15">
        <v>0</v>
      </c>
      <c r="R583" s="15"/>
      <c r="S583" s="15">
        <v>0</v>
      </c>
      <c r="T583" s="15"/>
      <c r="U583" s="15">
        <v>0</v>
      </c>
      <c r="V583" s="15"/>
      <c r="W583" s="15">
        <v>0</v>
      </c>
      <c r="X583" s="15"/>
      <c r="Y583" s="15">
        <v>0</v>
      </c>
      <c r="Z583" s="15"/>
      <c r="AA583" s="15">
        <v>0</v>
      </c>
      <c r="AB583" s="15"/>
      <c r="AC583" s="15">
        <v>0</v>
      </c>
      <c r="AD583" s="15"/>
      <c r="AE583" s="15">
        <v>0</v>
      </c>
      <c r="AF583" s="15"/>
      <c r="AG583" s="15">
        <v>0</v>
      </c>
      <c r="AH583" s="15"/>
      <c r="AI583" s="15">
        <v>0</v>
      </c>
      <c r="AJ583" s="15"/>
      <c r="AK583" s="15">
        <v>0</v>
      </c>
      <c r="AL583" s="15"/>
      <c r="AM583" s="15">
        <v>0</v>
      </c>
      <c r="AN583" s="15"/>
      <c r="AO583" s="15">
        <v>0</v>
      </c>
      <c r="AP583" s="15"/>
      <c r="AQ583" s="15">
        <v>0</v>
      </c>
      <c r="AR583" s="15"/>
      <c r="AS583" s="15">
        <v>0</v>
      </c>
      <c r="AT583" s="15">
        <v>0</v>
      </c>
      <c r="AU583" s="15"/>
      <c r="AV583" s="15">
        <v>0</v>
      </c>
      <c r="AW583" s="15"/>
      <c r="AX583" s="15">
        <v>0</v>
      </c>
      <c r="AY583" s="15"/>
      <c r="AZ583" s="17">
        <f>SUM(C583:AY583)</f>
        <v>0</v>
      </c>
      <c r="BA583" s="54"/>
      <c r="BB583" s="32"/>
      <c r="BC583" s="86"/>
      <c r="BD583" s="32"/>
      <c r="BE583" s="86"/>
      <c r="BF583" s="32"/>
      <c r="BG583" s="86"/>
      <c r="BH583" s="32"/>
      <c r="BI583" s="86"/>
      <c r="BJ583" s="32"/>
      <c r="BK583" s="86"/>
      <c r="BL583" s="31"/>
      <c r="BM583" s="3"/>
      <c r="BN583" s="3"/>
      <c r="BO583" s="3"/>
    </row>
    <row r="584" spans="1:67" x14ac:dyDescent="0.2">
      <c r="B584" s="3" t="s">
        <v>17</v>
      </c>
      <c r="C584" s="15">
        <v>0</v>
      </c>
      <c r="D584" s="15"/>
      <c r="E584" s="15">
        <v>0</v>
      </c>
      <c r="F584" s="15"/>
      <c r="G584" s="15">
        <v>0</v>
      </c>
      <c r="H584" s="15"/>
      <c r="I584" s="15">
        <v>9160.81</v>
      </c>
      <c r="J584" s="125"/>
      <c r="K584" s="15">
        <v>0</v>
      </c>
      <c r="L584" s="125"/>
      <c r="M584" s="15">
        <v>0</v>
      </c>
      <c r="N584" s="15"/>
      <c r="O584" s="15">
        <v>0</v>
      </c>
      <c r="P584" s="15"/>
      <c r="Q584" s="15">
        <v>0</v>
      </c>
      <c r="R584" s="15"/>
      <c r="S584" s="15">
        <v>0</v>
      </c>
      <c r="T584" s="15"/>
      <c r="U584" s="15">
        <v>0</v>
      </c>
      <c r="V584" s="15"/>
      <c r="W584" s="15">
        <v>0</v>
      </c>
      <c r="X584" s="15"/>
      <c r="Y584" s="15">
        <v>0</v>
      </c>
      <c r="Z584" s="15"/>
      <c r="AA584" s="15">
        <v>0</v>
      </c>
      <c r="AB584" s="15"/>
      <c r="AC584" s="15">
        <v>0</v>
      </c>
      <c r="AD584" s="15"/>
      <c r="AE584" s="15">
        <v>0</v>
      </c>
      <c r="AF584" s="15"/>
      <c r="AG584" s="15">
        <v>0</v>
      </c>
      <c r="AH584" s="15"/>
      <c r="AI584" s="15">
        <v>0</v>
      </c>
      <c r="AJ584" s="15"/>
      <c r="AK584" s="15">
        <v>0</v>
      </c>
      <c r="AL584" s="15"/>
      <c r="AM584" s="15">
        <v>0</v>
      </c>
      <c r="AN584" s="15"/>
      <c r="AO584" s="15">
        <v>0</v>
      </c>
      <c r="AP584" s="15"/>
      <c r="AQ584" s="15">
        <v>0</v>
      </c>
      <c r="AR584" s="15"/>
      <c r="AS584" s="15">
        <v>0</v>
      </c>
      <c r="AT584" s="15">
        <v>0</v>
      </c>
      <c r="AU584" s="15"/>
      <c r="AV584" s="15">
        <v>0</v>
      </c>
      <c r="AW584" s="15"/>
      <c r="AX584" s="15">
        <v>0</v>
      </c>
      <c r="AY584" s="15"/>
      <c r="AZ584" s="17">
        <f>SUM(C584:AY584)</f>
        <v>9160.81</v>
      </c>
      <c r="BA584" s="54"/>
      <c r="BB584" s="32"/>
      <c r="BC584" s="86"/>
      <c r="BD584" s="32"/>
      <c r="BE584" s="86"/>
      <c r="BF584" s="32"/>
      <c r="BG584" s="86"/>
      <c r="BH584" s="32"/>
      <c r="BI584" s="86"/>
      <c r="BJ584" s="32"/>
      <c r="BK584" s="86"/>
      <c r="BL584" s="31"/>
      <c r="BM584" s="3"/>
      <c r="BN584" s="3"/>
      <c r="BO584" s="3"/>
    </row>
    <row r="585" spans="1:67" x14ac:dyDescent="0.2">
      <c r="B585" s="3" t="s">
        <v>26</v>
      </c>
      <c r="C585" s="15">
        <v>0</v>
      </c>
      <c r="D585" s="15"/>
      <c r="E585" s="15">
        <v>0</v>
      </c>
      <c r="F585" s="15"/>
      <c r="G585" s="15">
        <v>0</v>
      </c>
      <c r="H585" s="15"/>
      <c r="I585" s="16">
        <v>0</v>
      </c>
      <c r="J585" s="125"/>
      <c r="K585" s="15">
        <v>0</v>
      </c>
      <c r="L585" s="15"/>
      <c r="M585" s="15">
        <v>0</v>
      </c>
      <c r="N585" s="15"/>
      <c r="O585" s="15">
        <v>0</v>
      </c>
      <c r="P585" s="15"/>
      <c r="Q585" s="15">
        <v>0</v>
      </c>
      <c r="R585" s="15"/>
      <c r="S585" s="15">
        <v>0</v>
      </c>
      <c r="T585" s="15"/>
      <c r="U585" s="15">
        <v>0</v>
      </c>
      <c r="V585" s="15"/>
      <c r="W585" s="15">
        <v>0</v>
      </c>
      <c r="X585" s="15"/>
      <c r="Y585" s="15">
        <v>0</v>
      </c>
      <c r="Z585" s="15"/>
      <c r="AA585" s="15">
        <v>0</v>
      </c>
      <c r="AB585" s="15"/>
      <c r="AC585" s="15">
        <v>0</v>
      </c>
      <c r="AD585" s="15"/>
      <c r="AE585" s="15">
        <v>0</v>
      </c>
      <c r="AF585" s="15"/>
      <c r="AG585" s="15">
        <v>0</v>
      </c>
      <c r="AH585" s="15"/>
      <c r="AI585" s="15">
        <v>0</v>
      </c>
      <c r="AJ585" s="15"/>
      <c r="AK585" s="15">
        <v>0</v>
      </c>
      <c r="AL585" s="15"/>
      <c r="AM585" s="15">
        <v>0</v>
      </c>
      <c r="AN585" s="15"/>
      <c r="AO585" s="15">
        <v>0</v>
      </c>
      <c r="AP585" s="15"/>
      <c r="AQ585" s="15">
        <v>0</v>
      </c>
      <c r="AR585" s="15"/>
      <c r="AS585" s="15">
        <v>0</v>
      </c>
      <c r="AT585" s="15">
        <v>0</v>
      </c>
      <c r="AU585" s="15"/>
      <c r="AV585" s="15">
        <v>0</v>
      </c>
      <c r="AW585" s="15"/>
      <c r="AX585" s="15">
        <v>0</v>
      </c>
      <c r="AY585" s="15"/>
      <c r="AZ585" s="17">
        <f>SUM(C585:AY585)</f>
        <v>0</v>
      </c>
      <c r="BA585" s="54"/>
      <c r="BB585" s="32"/>
      <c r="BC585" s="86"/>
      <c r="BD585" s="32"/>
      <c r="BE585" s="86"/>
      <c r="BF585" s="32"/>
      <c r="BG585" s="86"/>
      <c r="BH585" s="32"/>
      <c r="BI585" s="86"/>
      <c r="BJ585" s="32"/>
      <c r="BK585" s="86"/>
      <c r="BL585" s="31"/>
      <c r="BM585" s="3"/>
      <c r="BN585" s="3"/>
      <c r="BO585" s="3"/>
    </row>
    <row r="586" spans="1:67" x14ac:dyDescent="0.2">
      <c r="B586" s="19"/>
      <c r="C586" s="21">
        <f>SUM(C583:C585)</f>
        <v>0</v>
      </c>
      <c r="D586" s="17"/>
      <c r="E586" s="21">
        <f>SUM(E583:E585)</f>
        <v>0</v>
      </c>
      <c r="F586" s="15"/>
      <c r="G586" s="21">
        <f>SUM(G583:G585)</f>
        <v>0</v>
      </c>
      <c r="H586" s="17"/>
      <c r="I586" s="21">
        <f>SUM(I583:I585)</f>
        <v>9160.81</v>
      </c>
      <c r="J586" s="15"/>
      <c r="K586" s="21">
        <f>SUM(K583:K585)</f>
        <v>0</v>
      </c>
      <c r="L586" s="15"/>
      <c r="M586" s="21">
        <f>SUM(M583:M585)</f>
        <v>0</v>
      </c>
      <c r="N586" s="15"/>
      <c r="O586" s="21">
        <f>SUM(O583:O585)</f>
        <v>0</v>
      </c>
      <c r="P586" s="15"/>
      <c r="Q586" s="21">
        <f>SUM(Q583:Q585)</f>
        <v>0</v>
      </c>
      <c r="R586" s="15"/>
      <c r="S586" s="21">
        <f>SUM(S583:S585)</f>
        <v>0</v>
      </c>
      <c r="T586" s="21"/>
      <c r="U586" s="21">
        <f>SUM(U583:U585)</f>
        <v>0</v>
      </c>
      <c r="V586" s="21"/>
      <c r="W586" s="21">
        <f>SUM(W583:W585)</f>
        <v>0</v>
      </c>
      <c r="X586" s="15"/>
      <c r="Y586" s="21">
        <f>SUM(Y583:Y585)</f>
        <v>0</v>
      </c>
      <c r="Z586" s="15"/>
      <c r="AA586" s="21">
        <f>SUM(AA583:AA585)</f>
        <v>0</v>
      </c>
      <c r="AB586" s="15"/>
      <c r="AC586" s="21">
        <f>SUM(AC583:AC585)</f>
        <v>0</v>
      </c>
      <c r="AD586" s="15"/>
      <c r="AE586" s="21">
        <f>SUM(AE583:AE585)</f>
        <v>0</v>
      </c>
      <c r="AF586" s="15"/>
      <c r="AG586" s="21">
        <f>SUM(AG583:AG585)</f>
        <v>0</v>
      </c>
      <c r="AH586" s="15"/>
      <c r="AI586" s="21">
        <f>SUM(AI583:AI585)</f>
        <v>0</v>
      </c>
      <c r="AJ586" s="15"/>
      <c r="AK586" s="21">
        <f>SUM(AK583:AK585)</f>
        <v>0</v>
      </c>
      <c r="AL586" s="21"/>
      <c r="AM586" s="21">
        <f>SUM(AM583:AM585)</f>
        <v>0</v>
      </c>
      <c r="AN586" s="21"/>
      <c r="AO586" s="21">
        <f>SUM(AO583:AO585)</f>
        <v>0</v>
      </c>
      <c r="AP586" s="21"/>
      <c r="AQ586" s="21">
        <f>SUM(AQ583:AQ585)</f>
        <v>0</v>
      </c>
      <c r="AR586" s="21"/>
      <c r="AS586" s="21">
        <f>SUM(AS583:AS585)</f>
        <v>0</v>
      </c>
      <c r="AT586" s="21">
        <f>SUM(AT583:AT585)</f>
        <v>0</v>
      </c>
      <c r="AU586" s="21"/>
      <c r="AV586" s="21">
        <f>SUM(AV583:AV585)</f>
        <v>0</v>
      </c>
      <c r="AW586" s="21"/>
      <c r="AX586" s="21">
        <f>SUM(AX583:AX585)</f>
        <v>0</v>
      </c>
      <c r="AY586" s="21"/>
      <c r="AZ586" s="21">
        <f>SUM(AZ583:AZ585)</f>
        <v>9160.81</v>
      </c>
      <c r="BA586" s="54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31"/>
      <c r="BM586" s="3"/>
      <c r="BN586" s="3"/>
      <c r="BO586" s="3"/>
    </row>
    <row r="587" spans="1:67" x14ac:dyDescent="0.2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54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31"/>
      <c r="BM587" s="3"/>
      <c r="BN587" s="3"/>
      <c r="BO587" s="3"/>
    </row>
    <row r="588" spans="1:67" x14ac:dyDescent="0.2">
      <c r="B588" s="19" t="s">
        <v>94</v>
      </c>
      <c r="C588" s="16">
        <f>C580+C586</f>
        <v>26900</v>
      </c>
      <c r="D588" s="17"/>
      <c r="E588" s="16">
        <f>E580+E586</f>
        <v>5.4569682106375694E-12</v>
      </c>
      <c r="F588" s="15"/>
      <c r="G588" s="16">
        <f>G580+G586</f>
        <v>-973.36</v>
      </c>
      <c r="H588" s="17"/>
      <c r="I588" s="16">
        <f>I580+I586</f>
        <v>-7521.3700000000008</v>
      </c>
      <c r="J588" s="15"/>
      <c r="K588" s="16">
        <f>K580+K586</f>
        <v>0</v>
      </c>
      <c r="L588" s="15"/>
      <c r="M588" s="16">
        <f>M580+M586</f>
        <v>0</v>
      </c>
      <c r="N588" s="15"/>
      <c r="O588" s="16">
        <f>O580+O586</f>
        <v>0</v>
      </c>
      <c r="P588" s="15"/>
      <c r="Q588" s="16">
        <f>Q580+Q586</f>
        <v>0</v>
      </c>
      <c r="R588" s="15"/>
      <c r="S588" s="16">
        <f>S580+S586</f>
        <v>4.6611603465862572E-12</v>
      </c>
      <c r="T588" s="16"/>
      <c r="U588" s="16">
        <f>U580+U586</f>
        <v>27.28</v>
      </c>
      <c r="V588" s="16"/>
      <c r="W588" s="16">
        <f>W580+W586</f>
        <v>-9.0949470177292824E-13</v>
      </c>
      <c r="X588" s="15"/>
      <c r="Y588" s="16">
        <f>Y580+Y586</f>
        <v>0</v>
      </c>
      <c r="Z588" s="15"/>
      <c r="AA588" s="16">
        <f>AA580+AA586</f>
        <v>0</v>
      </c>
      <c r="AB588" s="15"/>
      <c r="AC588" s="16">
        <f>AC580+AC586</f>
        <v>-9.0949470177292824E-13</v>
      </c>
      <c r="AD588" s="15"/>
      <c r="AE588" s="16">
        <f>AE580+AE586</f>
        <v>0</v>
      </c>
      <c r="AF588" s="15"/>
      <c r="AG588" s="16">
        <f>AG580+AG586</f>
        <v>0</v>
      </c>
      <c r="AH588" s="15"/>
      <c r="AI588" s="16">
        <f>AI580+AI586</f>
        <v>0</v>
      </c>
      <c r="AJ588" s="15"/>
      <c r="AK588" s="16">
        <f>AK580+AK586</f>
        <v>1.4900000000000009</v>
      </c>
      <c r="AL588" s="16"/>
      <c r="AM588" s="16">
        <f>AM580+AM586</f>
        <v>76448.429999999993</v>
      </c>
      <c r="AN588" s="16"/>
      <c r="AO588" s="16">
        <f>AO580+AO586</f>
        <v>45152.55</v>
      </c>
      <c r="AP588" s="16"/>
      <c r="AQ588" s="16">
        <f>AQ580+AQ586</f>
        <v>0</v>
      </c>
      <c r="AR588" s="16"/>
      <c r="AS588" s="16">
        <f>AS580+AS586</f>
        <v>0</v>
      </c>
      <c r="AT588" s="16">
        <f>AT580+AT586</f>
        <v>0</v>
      </c>
      <c r="AU588" s="16"/>
      <c r="AV588" s="16">
        <f>AV580+AV586</f>
        <v>0</v>
      </c>
      <c r="AW588" s="16"/>
      <c r="AX588" s="16">
        <f>AX580+AX586</f>
        <v>-353540</v>
      </c>
      <c r="AY588" s="16"/>
      <c r="AZ588" s="16">
        <f>AZ580+AZ586</f>
        <v>-213504.97999999998</v>
      </c>
      <c r="BA588" s="54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31"/>
      <c r="BM588" s="3"/>
      <c r="BN588" s="3"/>
      <c r="BO588" s="3"/>
    </row>
    <row r="589" spans="1:67" x14ac:dyDescent="0.2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54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31"/>
      <c r="BM589" s="3"/>
      <c r="BN589" s="3"/>
      <c r="BO589" s="3"/>
    </row>
    <row r="590" spans="1:67" x14ac:dyDescent="0.2">
      <c r="A590" s="10" t="s">
        <v>95</v>
      </c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54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31"/>
      <c r="BM590" s="3"/>
      <c r="BN590" s="3"/>
      <c r="BO590" s="3"/>
    </row>
    <row r="591" spans="1:67" x14ac:dyDescent="0.2">
      <c r="B591" s="3" t="s">
        <v>13</v>
      </c>
      <c r="C591" s="15">
        <v>0</v>
      </c>
      <c r="D591" s="15"/>
      <c r="E591" s="15">
        <v>0</v>
      </c>
      <c r="F591" s="15"/>
      <c r="G591" s="15">
        <v>0</v>
      </c>
      <c r="H591" s="15"/>
      <c r="I591" s="15">
        <v>0</v>
      </c>
      <c r="J591" s="15"/>
      <c r="K591" s="15">
        <v>0</v>
      </c>
      <c r="L591" s="15"/>
      <c r="M591" s="15">
        <v>0</v>
      </c>
      <c r="N591" s="15"/>
      <c r="O591" s="15">
        <v>0</v>
      </c>
      <c r="P591" s="15"/>
      <c r="Q591" s="15">
        <v>0</v>
      </c>
      <c r="R591" s="15"/>
      <c r="S591" s="15">
        <v>0</v>
      </c>
      <c r="T591" s="15"/>
      <c r="U591" s="15">
        <v>0</v>
      </c>
      <c r="V591" s="15"/>
      <c r="W591" s="15">
        <v>0</v>
      </c>
      <c r="X591" s="15"/>
      <c r="Y591" s="15">
        <v>0</v>
      </c>
      <c r="Z591" s="15"/>
      <c r="AA591" s="15">
        <v>0</v>
      </c>
      <c r="AB591" s="15"/>
      <c r="AC591" s="15">
        <v>0</v>
      </c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7">
        <f>SUM(C591:AY591)</f>
        <v>0</v>
      </c>
      <c r="BA591" s="54"/>
      <c r="BB591" s="32"/>
      <c r="BC591" s="86"/>
      <c r="BD591" s="32"/>
      <c r="BE591" s="86"/>
      <c r="BF591" s="32"/>
      <c r="BG591" s="86"/>
      <c r="BH591" s="32"/>
      <c r="BI591" s="86"/>
      <c r="BJ591" s="32"/>
      <c r="BK591" s="86"/>
      <c r="BL591" s="31"/>
      <c r="BM591" s="3"/>
      <c r="BN591" s="3"/>
      <c r="BO591" s="3"/>
    </row>
    <row r="592" spans="1:67" x14ac:dyDescent="0.2">
      <c r="B592" s="3" t="s">
        <v>17</v>
      </c>
      <c r="C592" s="15">
        <v>0</v>
      </c>
      <c r="D592" s="15"/>
      <c r="E592" s="15">
        <v>0</v>
      </c>
      <c r="F592" s="15"/>
      <c r="G592" s="15">
        <v>0</v>
      </c>
      <c r="H592" s="15"/>
      <c r="I592" s="15">
        <v>0</v>
      </c>
      <c r="J592" s="15"/>
      <c r="K592" s="15">
        <v>0</v>
      </c>
      <c r="L592" s="15"/>
      <c r="M592" s="15">
        <v>0</v>
      </c>
      <c r="N592" s="15"/>
      <c r="O592" s="15">
        <v>0</v>
      </c>
      <c r="P592" s="15"/>
      <c r="Q592" s="15">
        <v>0</v>
      </c>
      <c r="R592" s="15"/>
      <c r="S592" s="15">
        <v>0</v>
      </c>
      <c r="T592" s="15"/>
      <c r="U592" s="15">
        <v>0</v>
      </c>
      <c r="V592" s="15"/>
      <c r="W592" s="15">
        <v>0</v>
      </c>
      <c r="X592" s="15"/>
      <c r="Y592" s="15">
        <v>0</v>
      </c>
      <c r="Z592" s="15"/>
      <c r="AA592" s="15">
        <v>0</v>
      </c>
      <c r="AB592" s="15"/>
      <c r="AC592" s="15">
        <v>0</v>
      </c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7">
        <f>SUM(C592:AY592)</f>
        <v>0</v>
      </c>
      <c r="BA592" s="54"/>
      <c r="BB592" s="32"/>
      <c r="BC592" s="86"/>
      <c r="BD592" s="32"/>
      <c r="BE592" s="86"/>
      <c r="BF592" s="32"/>
      <c r="BG592" s="86"/>
      <c r="BH592" s="32"/>
      <c r="BI592" s="86"/>
      <c r="BJ592" s="32"/>
      <c r="BK592" s="86"/>
      <c r="BL592" s="31"/>
      <c r="BM592" s="3"/>
      <c r="BN592" s="3"/>
      <c r="BO592" s="3"/>
    </row>
    <row r="593" spans="1:67" x14ac:dyDescent="0.2">
      <c r="B593" s="3" t="s">
        <v>26</v>
      </c>
      <c r="C593" s="16">
        <v>0</v>
      </c>
      <c r="D593" s="17"/>
      <c r="E593" s="16">
        <v>0</v>
      </c>
      <c r="F593" s="15"/>
      <c r="G593" s="16">
        <v>0</v>
      </c>
      <c r="H593" s="17"/>
      <c r="I593" s="16">
        <v>0</v>
      </c>
      <c r="J593" s="15"/>
      <c r="K593" s="16">
        <v>0</v>
      </c>
      <c r="L593" s="15"/>
      <c r="M593" s="16">
        <v>0</v>
      </c>
      <c r="N593" s="15"/>
      <c r="O593" s="16">
        <v>0</v>
      </c>
      <c r="P593" s="15"/>
      <c r="Q593" s="16">
        <v>0</v>
      </c>
      <c r="R593" s="15"/>
      <c r="S593" s="16">
        <v>0</v>
      </c>
      <c r="T593" s="16"/>
      <c r="U593" s="16">
        <v>0</v>
      </c>
      <c r="V593" s="16"/>
      <c r="W593" s="16">
        <v>0</v>
      </c>
      <c r="X593" s="15"/>
      <c r="Y593" s="16">
        <v>0</v>
      </c>
      <c r="Z593" s="15"/>
      <c r="AA593" s="16">
        <v>0</v>
      </c>
      <c r="AB593" s="15"/>
      <c r="AC593" s="16">
        <v>0</v>
      </c>
      <c r="AD593" s="15"/>
      <c r="AE593" s="16"/>
      <c r="AF593" s="15"/>
      <c r="AG593" s="16"/>
      <c r="AH593" s="15"/>
      <c r="AI593" s="16"/>
      <c r="AJ593" s="15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7">
        <f>SUM(C593:AY593)</f>
        <v>0</v>
      </c>
      <c r="BA593" s="54"/>
      <c r="BB593" s="32"/>
      <c r="BC593" s="86"/>
      <c r="BD593" s="32"/>
      <c r="BE593" s="86"/>
      <c r="BF593" s="32"/>
      <c r="BG593" s="86"/>
      <c r="BH593" s="32"/>
      <c r="BI593" s="86"/>
      <c r="BJ593" s="32"/>
      <c r="BK593" s="86"/>
      <c r="BL593" s="31"/>
      <c r="BM593" s="3"/>
      <c r="BN593" s="3"/>
      <c r="BO593" s="3"/>
    </row>
    <row r="594" spans="1:67" x14ac:dyDescent="0.2">
      <c r="B594" s="19" t="s">
        <v>99</v>
      </c>
      <c r="C594" s="17">
        <f>SUM(C591:C593)</f>
        <v>0</v>
      </c>
      <c r="D594" s="17"/>
      <c r="E594" s="17">
        <f>SUM(E591:E593)</f>
        <v>0</v>
      </c>
      <c r="F594" s="17"/>
      <c r="G594" s="17">
        <f>SUM(G591:G593)</f>
        <v>0</v>
      </c>
      <c r="H594" s="17"/>
      <c r="I594" s="17">
        <f>SUM(I591:I593)</f>
        <v>0</v>
      </c>
      <c r="J594" s="17"/>
      <c r="K594" s="17">
        <f>SUM(K591:K593)</f>
        <v>0</v>
      </c>
      <c r="L594" s="17"/>
      <c r="M594" s="17">
        <f>SUM(M591:M593)</f>
        <v>0</v>
      </c>
      <c r="N594" s="17"/>
      <c r="O594" s="17">
        <f>SUM(O591:O593)</f>
        <v>0</v>
      </c>
      <c r="P594" s="17"/>
      <c r="Q594" s="17">
        <f>SUM(Q591:Q593)</f>
        <v>0</v>
      </c>
      <c r="R594" s="17"/>
      <c r="S594" s="17">
        <f>SUM(S591:S593)</f>
        <v>0</v>
      </c>
      <c r="T594" s="17"/>
      <c r="U594" s="17">
        <f>SUM(U591:U593)</f>
        <v>0</v>
      </c>
      <c r="V594" s="17"/>
      <c r="W594" s="17">
        <f>SUM(W591:W593)</f>
        <v>0</v>
      </c>
      <c r="X594" s="17"/>
      <c r="Y594" s="17">
        <f>SUM(Y591:Y593)</f>
        <v>0</v>
      </c>
      <c r="Z594" s="17"/>
      <c r="AA594" s="17">
        <f>SUM(AA591:AA593)</f>
        <v>0</v>
      </c>
      <c r="AB594" s="17"/>
      <c r="AC594" s="17">
        <f>SUM(AC591:AC593)</f>
        <v>0</v>
      </c>
      <c r="AD594" s="17"/>
      <c r="AE594" s="17">
        <f>SUM(AE591:AE593)</f>
        <v>0</v>
      </c>
      <c r="AF594" s="17"/>
      <c r="AG594" s="17">
        <f>SUM(AG591:AG593)</f>
        <v>0</v>
      </c>
      <c r="AH594" s="17"/>
      <c r="AI594" s="17">
        <f>SUM(AI591:AI593)</f>
        <v>0</v>
      </c>
      <c r="AJ594" s="17"/>
      <c r="AK594" s="17">
        <f>SUM(AK591:AK593)</f>
        <v>0</v>
      </c>
      <c r="AL594" s="17"/>
      <c r="AM594" s="17">
        <f>SUM(AM591:AM593)</f>
        <v>0</v>
      </c>
      <c r="AN594" s="17"/>
      <c r="AO594" s="17">
        <f>SUM(AO591:AO593)</f>
        <v>0</v>
      </c>
      <c r="AP594" s="17"/>
      <c r="AQ594" s="17">
        <f>SUM(AQ591:AQ593)</f>
        <v>0</v>
      </c>
      <c r="AR594" s="17"/>
      <c r="AS594" s="17">
        <f>SUM(AS591:AS593)</f>
        <v>0</v>
      </c>
      <c r="AT594" s="17">
        <f>SUM(AT591:AT593)</f>
        <v>0</v>
      </c>
      <c r="AU594" s="17"/>
      <c r="AV594" s="17">
        <f>SUM(AV591:AV593)</f>
        <v>0</v>
      </c>
      <c r="AW594" s="17"/>
      <c r="AX594" s="17">
        <f>SUM(AX591:AX593)</f>
        <v>0</v>
      </c>
      <c r="AY594" s="17"/>
      <c r="AZ594" s="17">
        <f>SUM(AZ591:AZ593)</f>
        <v>0</v>
      </c>
      <c r="BA594" s="3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31"/>
      <c r="BM594" s="3"/>
      <c r="BN594" s="3"/>
      <c r="BO594" s="3"/>
    </row>
    <row r="595" spans="1:67" x14ac:dyDescent="0.2">
      <c r="B595" s="19"/>
      <c r="C595" s="17"/>
      <c r="D595" s="17"/>
      <c r="E595" s="17"/>
      <c r="F595" s="15"/>
      <c r="G595" s="17"/>
      <c r="H595" s="17"/>
      <c r="I595" s="17"/>
      <c r="J595" s="15"/>
      <c r="K595" s="17"/>
      <c r="L595" s="15"/>
      <c r="M595" s="17"/>
      <c r="N595" s="15"/>
      <c r="O595" s="17"/>
      <c r="P595" s="15"/>
      <c r="Q595" s="17"/>
      <c r="R595" s="15"/>
      <c r="S595" s="17"/>
      <c r="T595" s="17"/>
      <c r="U595" s="17"/>
      <c r="V595" s="17"/>
      <c r="W595" s="17"/>
      <c r="X595" s="15"/>
      <c r="Y595" s="17"/>
      <c r="Z595" s="15"/>
      <c r="AA595" s="17"/>
      <c r="AB595" s="15"/>
      <c r="AC595" s="17"/>
      <c r="AD595" s="15"/>
      <c r="AE595" s="17"/>
      <c r="AF595" s="15"/>
      <c r="AG595" s="17"/>
      <c r="AH595" s="15"/>
      <c r="AI595" s="17"/>
      <c r="AJ595" s="15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54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31"/>
      <c r="BM595" s="3"/>
      <c r="BN595" s="3"/>
      <c r="BO595" s="3"/>
    </row>
    <row r="596" spans="1:67" x14ac:dyDescent="0.2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54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31"/>
      <c r="BM596" s="3"/>
      <c r="BN596" s="3"/>
      <c r="BO596" s="3"/>
    </row>
    <row r="597" spans="1:67" ht="13.5" thickBot="1" x14ac:dyDescent="0.25">
      <c r="B597" s="19" t="s">
        <v>100</v>
      </c>
      <c r="C597" s="41">
        <f>C588+C594</f>
        <v>26900</v>
      </c>
      <c r="D597" s="17"/>
      <c r="E597" s="41">
        <f>E588+E594</f>
        <v>5.4569682106375694E-12</v>
      </c>
      <c r="F597" s="15"/>
      <c r="G597" s="41">
        <f>G588+G594</f>
        <v>-973.36</v>
      </c>
      <c r="H597" s="17"/>
      <c r="I597" s="41">
        <f>I588+I594</f>
        <v>-7521.3700000000008</v>
      </c>
      <c r="J597" s="15"/>
      <c r="K597" s="41">
        <f>K588+K594</f>
        <v>0</v>
      </c>
      <c r="L597" s="15"/>
      <c r="M597" s="41">
        <f>M588+M594</f>
        <v>0</v>
      </c>
      <c r="N597" s="15"/>
      <c r="O597" s="41">
        <f>O588+O594</f>
        <v>0</v>
      </c>
      <c r="P597" s="15"/>
      <c r="Q597" s="41">
        <f>Q588+Q594</f>
        <v>0</v>
      </c>
      <c r="R597" s="15"/>
      <c r="S597" s="41">
        <f>S588+S594</f>
        <v>4.6611603465862572E-12</v>
      </c>
      <c r="T597" s="41"/>
      <c r="U597" s="41">
        <f>U588+U594</f>
        <v>27.28</v>
      </c>
      <c r="V597" s="41"/>
      <c r="W597" s="41">
        <f>W588+W594</f>
        <v>-9.0949470177292824E-13</v>
      </c>
      <c r="X597" s="15"/>
      <c r="Y597" s="41">
        <f>Y588+Y594</f>
        <v>0</v>
      </c>
      <c r="Z597" s="15"/>
      <c r="AA597" s="41">
        <f>AA588+AA594</f>
        <v>0</v>
      </c>
      <c r="AB597" s="15"/>
      <c r="AC597" s="41">
        <f>AC588+AC594</f>
        <v>-9.0949470177292824E-13</v>
      </c>
      <c r="AD597" s="15"/>
      <c r="AE597" s="41">
        <f>AE588+AE594</f>
        <v>0</v>
      </c>
      <c r="AF597" s="15"/>
      <c r="AG597" s="41">
        <f>AG588+AG594</f>
        <v>0</v>
      </c>
      <c r="AH597" s="15"/>
      <c r="AI597" s="41">
        <f>AI588+AI594</f>
        <v>0</v>
      </c>
      <c r="AJ597" s="15"/>
      <c r="AK597" s="41">
        <f>AK588+AK594</f>
        <v>1.4900000000000009</v>
      </c>
      <c r="AL597" s="41"/>
      <c r="AM597" s="41">
        <f>AM588+AM594</f>
        <v>76448.429999999993</v>
      </c>
      <c r="AN597" s="41"/>
      <c r="AO597" s="41">
        <f>AO588+AO594</f>
        <v>45152.55</v>
      </c>
      <c r="AP597" s="41"/>
      <c r="AQ597" s="41">
        <f>AQ588+AQ594</f>
        <v>0</v>
      </c>
      <c r="AR597" s="41"/>
      <c r="AS597" s="41">
        <f>AS588+AS594</f>
        <v>0</v>
      </c>
      <c r="AT597" s="41">
        <f>AT588+AT594</f>
        <v>0</v>
      </c>
      <c r="AU597" s="41"/>
      <c r="AV597" s="41">
        <f>AV588+AV594</f>
        <v>0</v>
      </c>
      <c r="AW597" s="41"/>
      <c r="AX597" s="41">
        <f>AX588+AX594</f>
        <v>-353540</v>
      </c>
      <c r="AY597" s="41"/>
      <c r="AZ597" s="41">
        <f>AZ588+AZ594</f>
        <v>-213504.97999999998</v>
      </c>
      <c r="BA597" s="54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31"/>
      <c r="BM597" s="3"/>
      <c r="BN597" s="3"/>
      <c r="BO597" s="3"/>
    </row>
    <row r="598" spans="1:67" ht="13.5" thickTop="1" x14ac:dyDescent="0.2">
      <c r="B598" s="19"/>
      <c r="C598" s="17"/>
      <c r="D598" s="17"/>
      <c r="E598" s="17"/>
      <c r="F598" s="15"/>
      <c r="G598" s="17"/>
      <c r="H598" s="17"/>
      <c r="I598" s="17"/>
      <c r="J598" s="15"/>
      <c r="K598" s="17"/>
      <c r="L598" s="15"/>
      <c r="M598" s="17"/>
      <c r="N598" s="15"/>
      <c r="O598" s="17"/>
      <c r="P598" s="15"/>
      <c r="Q598" s="17"/>
      <c r="R598" s="15"/>
      <c r="S598" s="17"/>
      <c r="T598" s="17"/>
      <c r="U598" s="17"/>
      <c r="V598" s="17"/>
      <c r="W598" s="17"/>
      <c r="X598" s="15"/>
      <c r="Y598" s="17"/>
      <c r="Z598" s="15"/>
      <c r="AA598" s="17"/>
      <c r="AB598" s="15"/>
      <c r="AC598" s="17"/>
      <c r="AD598" s="15"/>
      <c r="AE598" s="17"/>
      <c r="AF598" s="15"/>
      <c r="AG598" s="17"/>
      <c r="AH598" s="15"/>
      <c r="AI598" s="17"/>
      <c r="AJ598" s="15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54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31"/>
      <c r="BM598" s="3"/>
      <c r="BN598" s="3"/>
      <c r="BO598" s="3"/>
    </row>
    <row r="599" spans="1:67" x14ac:dyDescent="0.2">
      <c r="A599" s="77" t="s">
        <v>446</v>
      </c>
      <c r="B599" s="22" t="s">
        <v>447</v>
      </c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54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31"/>
      <c r="BM599" s="3"/>
      <c r="BN599" s="3"/>
      <c r="BO599" s="3"/>
    </row>
    <row r="600" spans="1:67" x14ac:dyDescent="0.2">
      <c r="A600" s="75" t="s">
        <v>219</v>
      </c>
      <c r="B600" s="22" t="s">
        <v>448</v>
      </c>
      <c r="C600" s="54"/>
      <c r="D600" s="54"/>
      <c r="E600" s="54"/>
      <c r="F600" s="54"/>
      <c r="G600" s="54"/>
      <c r="H600" s="54"/>
      <c r="I600" s="54"/>
      <c r="J600" s="54"/>
      <c r="K600" s="54"/>
      <c r="BB600" s="37"/>
      <c r="BC600" s="37"/>
      <c r="BD600" s="37"/>
      <c r="BE600" s="37"/>
      <c r="BL600" s="3"/>
      <c r="BM600" s="3"/>
      <c r="BN600" s="3"/>
      <c r="BO600" s="3"/>
    </row>
    <row r="601" spans="1:67" x14ac:dyDescent="0.2">
      <c r="A601" s="126" t="s">
        <v>449</v>
      </c>
      <c r="B601" s="196" t="s">
        <v>450</v>
      </c>
      <c r="C601" s="54"/>
      <c r="D601" s="54"/>
      <c r="E601" s="54"/>
      <c r="F601" s="54"/>
      <c r="G601" s="54"/>
      <c r="H601" s="54"/>
      <c r="I601" s="54"/>
      <c r="J601" s="54"/>
      <c r="K601" s="54"/>
      <c r="BB601" s="37"/>
      <c r="BC601" s="37"/>
      <c r="BD601" s="37"/>
      <c r="BE601" s="37"/>
      <c r="BL601" s="3"/>
      <c r="BM601" s="3"/>
      <c r="BN601" s="3"/>
      <c r="BO601" s="3"/>
    </row>
    <row r="602" spans="1:67" x14ac:dyDescent="0.2">
      <c r="A602" s="126" t="s">
        <v>451</v>
      </c>
      <c r="B602" s="22" t="s">
        <v>452</v>
      </c>
      <c r="C602" s="54"/>
      <c r="D602" s="54"/>
      <c r="E602" s="54"/>
      <c r="F602" s="54"/>
      <c r="G602" s="54"/>
      <c r="H602" s="54"/>
      <c r="I602" s="54"/>
      <c r="J602" s="54"/>
      <c r="K602" s="54"/>
      <c r="BB602" s="37"/>
      <c r="BC602" s="37"/>
      <c r="BD602" s="37"/>
      <c r="BE602" s="37"/>
      <c r="BL602" s="3"/>
      <c r="BM602" s="3"/>
      <c r="BN602" s="3"/>
      <c r="BO602" s="3"/>
    </row>
    <row r="603" spans="1:67" x14ac:dyDescent="0.2">
      <c r="A603" s="126" t="s">
        <v>221</v>
      </c>
      <c r="B603" s="196" t="s">
        <v>453</v>
      </c>
      <c r="C603" s="54"/>
      <c r="D603" s="54"/>
      <c r="E603" s="54"/>
      <c r="F603" s="54"/>
      <c r="G603" s="54"/>
      <c r="H603" s="54"/>
      <c r="I603" s="54"/>
      <c r="J603" s="54"/>
      <c r="K603" s="54"/>
      <c r="BB603" s="37"/>
      <c r="BC603" s="37"/>
      <c r="BD603" s="37"/>
      <c r="BE603" s="37"/>
      <c r="BL603" s="3"/>
      <c r="BM603" s="3"/>
      <c r="BN603" s="3"/>
      <c r="BO603" s="3"/>
    </row>
    <row r="604" spans="1:67" x14ac:dyDescent="0.2">
      <c r="A604" s="126" t="s">
        <v>222</v>
      </c>
      <c r="B604" s="22" t="s">
        <v>448</v>
      </c>
      <c r="C604" s="54"/>
      <c r="D604" s="54"/>
      <c r="E604" s="54"/>
      <c r="F604" s="54"/>
      <c r="G604" s="54"/>
      <c r="H604" s="54"/>
      <c r="I604" s="54"/>
      <c r="J604" s="54"/>
      <c r="K604" s="54"/>
      <c r="BB604" s="37"/>
      <c r="BC604" s="37"/>
      <c r="BD604" s="37"/>
      <c r="BE604" s="37"/>
      <c r="BL604" s="3"/>
      <c r="BM604" s="3"/>
      <c r="BN604" s="3"/>
      <c r="BO604" s="3"/>
    </row>
    <row r="605" spans="1:67" x14ac:dyDescent="0.2">
      <c r="A605" s="126" t="s">
        <v>223</v>
      </c>
      <c r="B605" s="22" t="s">
        <v>454</v>
      </c>
      <c r="C605" s="54"/>
      <c r="D605" s="54"/>
      <c r="E605" s="54"/>
      <c r="F605" s="54"/>
      <c r="G605" s="54"/>
      <c r="H605" s="54"/>
      <c r="I605" s="54"/>
      <c r="J605" s="54"/>
      <c r="K605" s="54"/>
      <c r="BB605" s="37"/>
      <c r="BC605" s="37"/>
      <c r="BD605" s="37"/>
      <c r="BE605" s="37"/>
      <c r="BL605" s="3"/>
      <c r="BM605" s="3"/>
      <c r="BN605" s="3"/>
      <c r="BO605" s="3"/>
    </row>
    <row r="606" spans="1:67" x14ac:dyDescent="0.2">
      <c r="A606" s="126" t="s">
        <v>455</v>
      </c>
      <c r="B606" s="22" t="s">
        <v>448</v>
      </c>
      <c r="C606" s="54"/>
      <c r="D606" s="54"/>
      <c r="E606" s="54"/>
      <c r="F606" s="54"/>
      <c r="G606" s="54"/>
      <c r="H606" s="54"/>
      <c r="I606" s="54"/>
      <c r="J606" s="54"/>
      <c r="K606" s="54"/>
      <c r="BB606" s="37"/>
      <c r="BC606" s="37"/>
      <c r="BD606" s="37"/>
      <c r="BE606" s="37"/>
      <c r="BL606" s="3"/>
      <c r="BM606" s="3"/>
      <c r="BN606" s="3"/>
      <c r="BO606" s="3"/>
    </row>
    <row r="607" spans="1:67" x14ac:dyDescent="0.2">
      <c r="A607" s="126" t="s">
        <v>456</v>
      </c>
      <c r="B607" s="22" t="s">
        <v>457</v>
      </c>
      <c r="C607" s="54"/>
      <c r="D607" s="54"/>
      <c r="E607" s="54"/>
      <c r="F607" s="54"/>
      <c r="G607" s="54"/>
      <c r="H607" s="54"/>
      <c r="I607" s="54"/>
      <c r="J607" s="54"/>
      <c r="K607" s="54"/>
      <c r="BB607" s="37"/>
      <c r="BC607" s="37"/>
      <c r="BD607" s="37"/>
      <c r="BE607" s="37"/>
      <c r="BL607" s="3"/>
      <c r="BM607" s="3"/>
      <c r="BN607" s="3"/>
      <c r="BO607" s="3"/>
    </row>
    <row r="608" spans="1:67" x14ac:dyDescent="0.2">
      <c r="A608" s="126" t="s">
        <v>458</v>
      </c>
      <c r="B608" s="127" t="s">
        <v>459</v>
      </c>
      <c r="C608" s="54"/>
      <c r="D608" s="54"/>
      <c r="E608" s="54"/>
      <c r="F608" s="54"/>
      <c r="G608" s="102"/>
      <c r="H608" s="54"/>
      <c r="I608" s="54"/>
      <c r="J608" s="54"/>
      <c r="K608" s="54"/>
      <c r="BB608" s="37"/>
      <c r="BC608" s="37"/>
      <c r="BD608" s="37"/>
      <c r="BE608" s="37"/>
      <c r="BL608" s="3"/>
      <c r="BM608" s="3"/>
      <c r="BN608" s="3"/>
      <c r="BO608" s="3"/>
    </row>
    <row r="609" spans="1:67" x14ac:dyDescent="0.2">
      <c r="A609" s="128" t="s">
        <v>227</v>
      </c>
      <c r="B609" s="22" t="s">
        <v>448</v>
      </c>
      <c r="C609" s="54"/>
      <c r="D609" s="54"/>
      <c r="E609" s="54"/>
      <c r="F609" s="54"/>
      <c r="G609" s="54"/>
      <c r="H609" s="54"/>
      <c r="I609" s="54"/>
      <c r="J609" s="54"/>
      <c r="K609" s="54"/>
      <c r="BB609" s="37"/>
      <c r="BC609" s="37"/>
      <c r="BD609" s="37"/>
      <c r="BE609" s="37"/>
      <c r="BL609" s="3"/>
      <c r="BM609" s="3"/>
      <c r="BN609" s="3"/>
      <c r="BO609" s="3"/>
    </row>
    <row r="610" spans="1:67" x14ac:dyDescent="0.2">
      <c r="A610" s="128" t="s">
        <v>228</v>
      </c>
      <c r="B610" s="22" t="s">
        <v>460</v>
      </c>
      <c r="C610" s="54"/>
      <c r="D610" s="54"/>
      <c r="E610" s="54"/>
      <c r="F610" s="54"/>
      <c r="G610" s="54"/>
      <c r="H610" s="54"/>
      <c r="I610" s="54"/>
      <c r="J610" s="54"/>
      <c r="K610" s="54"/>
      <c r="BB610" s="37"/>
      <c r="BC610" s="37"/>
      <c r="BD610" s="37"/>
      <c r="BE610" s="37"/>
      <c r="BL610" s="3"/>
      <c r="BM610" s="3"/>
      <c r="BN610" s="3"/>
      <c r="BO610" s="3"/>
    </row>
    <row r="611" spans="1:67" x14ac:dyDescent="0.2">
      <c r="A611" s="128" t="s">
        <v>229</v>
      </c>
      <c r="B611" s="22" t="s">
        <v>461</v>
      </c>
      <c r="C611" s="54"/>
      <c r="D611" s="54"/>
      <c r="E611" s="54"/>
      <c r="F611" s="54"/>
      <c r="G611" s="54"/>
      <c r="H611" s="54"/>
      <c r="I611" s="54"/>
      <c r="J611" s="54"/>
      <c r="K611" s="54"/>
      <c r="BB611" s="37"/>
      <c r="BC611" s="37"/>
      <c r="BD611" s="37"/>
      <c r="BE611" s="37"/>
      <c r="BL611" s="3"/>
      <c r="BM611" s="3"/>
      <c r="BN611" s="3"/>
      <c r="BO611" s="3"/>
    </row>
    <row r="612" spans="1:67" x14ac:dyDescent="0.2">
      <c r="A612" s="128" t="s">
        <v>462</v>
      </c>
      <c r="B612" s="22" t="s">
        <v>448</v>
      </c>
      <c r="C612" s="54"/>
      <c r="D612" s="54"/>
      <c r="E612" s="54"/>
      <c r="F612" s="54"/>
      <c r="G612" s="54"/>
      <c r="H612" s="54"/>
      <c r="I612" s="54"/>
      <c r="J612" s="54"/>
      <c r="K612" s="54"/>
      <c r="BB612" s="37"/>
      <c r="BC612" s="37"/>
      <c r="BD612" s="37"/>
      <c r="BE612" s="37"/>
      <c r="BL612" s="3"/>
      <c r="BM612" s="3"/>
      <c r="BN612" s="3"/>
      <c r="BO612" s="3"/>
    </row>
    <row r="613" spans="1:67" x14ac:dyDescent="0.2">
      <c r="A613" s="128" t="s">
        <v>463</v>
      </c>
      <c r="B613" s="22" t="s">
        <v>464</v>
      </c>
      <c r="C613" s="54"/>
      <c r="D613" s="54"/>
      <c r="E613" s="54"/>
      <c r="F613" s="54"/>
      <c r="G613" s="54"/>
      <c r="H613" s="54"/>
      <c r="I613" s="54"/>
      <c r="J613" s="54"/>
      <c r="K613" s="54"/>
      <c r="BB613" s="37"/>
      <c r="BC613" s="37"/>
      <c r="BD613" s="37"/>
      <c r="BE613" s="37"/>
      <c r="BL613" s="3"/>
      <c r="BM613" s="3"/>
      <c r="BN613" s="3"/>
      <c r="BO613" s="3"/>
    </row>
    <row r="614" spans="1:67" x14ac:dyDescent="0.2">
      <c r="A614" s="128" t="s">
        <v>465</v>
      </c>
      <c r="B614" s="22" t="s">
        <v>464</v>
      </c>
      <c r="C614" s="54"/>
      <c r="D614" s="54"/>
      <c r="E614" s="54"/>
      <c r="F614" s="54"/>
      <c r="G614" s="54"/>
      <c r="H614" s="54"/>
      <c r="I614" s="54"/>
      <c r="J614" s="54"/>
      <c r="K614" s="54"/>
      <c r="BB614" s="37"/>
      <c r="BC614" s="37"/>
      <c r="BD614" s="37"/>
      <c r="BE614" s="37"/>
      <c r="BL614" s="3"/>
      <c r="BM614" s="3"/>
      <c r="BN614" s="3"/>
      <c r="BO614" s="3"/>
    </row>
    <row r="615" spans="1:67" x14ac:dyDescent="0.2">
      <c r="A615" s="75" t="s">
        <v>233</v>
      </c>
      <c r="B615" s="22" t="s">
        <v>448</v>
      </c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37"/>
      <c r="BC615" s="37"/>
      <c r="BD615" s="37"/>
      <c r="BE615" s="37"/>
      <c r="BL615" s="3"/>
      <c r="BM615" s="3"/>
      <c r="BN615" s="3"/>
      <c r="BO615" s="3"/>
    </row>
    <row r="616" spans="1:67" x14ac:dyDescent="0.2">
      <c r="A616" s="75" t="s">
        <v>466</v>
      </c>
      <c r="B616" s="22" t="s">
        <v>448</v>
      </c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37"/>
      <c r="BC616" s="37"/>
      <c r="BD616" s="37"/>
      <c r="BE616" s="37"/>
      <c r="BL616" s="3"/>
      <c r="BM616" s="3"/>
      <c r="BN616" s="3"/>
      <c r="BO616" s="3"/>
    </row>
    <row r="617" spans="1:67" x14ac:dyDescent="0.2">
      <c r="A617" s="75" t="s">
        <v>467</v>
      </c>
      <c r="B617" s="22" t="s">
        <v>468</v>
      </c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37"/>
      <c r="BC617" s="37"/>
      <c r="BD617" s="37"/>
      <c r="BE617" s="37"/>
      <c r="BL617" s="3"/>
      <c r="BM617" s="3"/>
      <c r="BN617" s="3"/>
      <c r="BO617" s="3"/>
    </row>
    <row r="618" spans="1:67" x14ac:dyDescent="0.2">
      <c r="A618" s="75" t="s">
        <v>236</v>
      </c>
      <c r="B618" s="22" t="s">
        <v>469</v>
      </c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37"/>
      <c r="BC618" s="37"/>
      <c r="BD618" s="37"/>
      <c r="BE618" s="37"/>
      <c r="BL618" s="3"/>
      <c r="BM618" s="3"/>
      <c r="BN618" s="3"/>
      <c r="BO618" s="3"/>
    </row>
    <row r="619" spans="1:67" x14ac:dyDescent="0.2">
      <c r="A619" s="108" t="s">
        <v>237</v>
      </c>
      <c r="B619" s="22" t="s">
        <v>464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37"/>
      <c r="BC619" s="37"/>
      <c r="BD619" s="37"/>
      <c r="BE619" s="37"/>
      <c r="BL619" s="3"/>
      <c r="BM619" s="3"/>
      <c r="BN619" s="3"/>
      <c r="BO619" s="3"/>
    </row>
    <row r="620" spans="1:67" x14ac:dyDescent="0.2">
      <c r="A620" s="108" t="s">
        <v>238</v>
      </c>
      <c r="B620" s="22" t="s">
        <v>464</v>
      </c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37"/>
      <c r="BC620" s="37"/>
      <c r="BD620" s="37"/>
      <c r="BE620" s="37"/>
      <c r="BL620" s="3"/>
      <c r="BM620" s="3"/>
      <c r="BN620" s="3"/>
      <c r="BO620" s="3"/>
    </row>
    <row r="621" spans="1:67" x14ac:dyDescent="0.2">
      <c r="A621" s="129" t="s">
        <v>239</v>
      </c>
      <c r="B621" s="22" t="s">
        <v>470</v>
      </c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37"/>
      <c r="BC621" s="37"/>
      <c r="BD621" s="37"/>
      <c r="BE621" s="37"/>
      <c r="BL621" s="3"/>
      <c r="BM621" s="3"/>
      <c r="BN621" s="3"/>
      <c r="BO621" s="3"/>
    </row>
    <row r="622" spans="1:67" x14ac:dyDescent="0.2">
      <c r="A622" s="129" t="s">
        <v>240</v>
      </c>
      <c r="B622" s="22" t="s">
        <v>470</v>
      </c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37"/>
      <c r="BC622" s="37"/>
      <c r="BD622" s="37"/>
      <c r="BE622" s="37"/>
      <c r="BL622" s="3"/>
      <c r="BM622" s="3"/>
      <c r="BN622" s="3"/>
      <c r="BO622" s="3"/>
    </row>
    <row r="623" spans="1:67" x14ac:dyDescent="0.2">
      <c r="A623" s="1" t="s">
        <v>471</v>
      </c>
      <c r="B623" s="22" t="s">
        <v>472</v>
      </c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37"/>
      <c r="BC623" s="37"/>
      <c r="BD623" s="37"/>
      <c r="BE623" s="37"/>
      <c r="BL623" s="3"/>
      <c r="BM623" s="3"/>
      <c r="BN623" s="3"/>
      <c r="BO623" s="3"/>
    </row>
    <row r="624" spans="1:67" x14ac:dyDescent="0.2">
      <c r="A624" s="129"/>
      <c r="B624" s="10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37"/>
      <c r="BC624" s="37"/>
      <c r="BD624" s="37"/>
      <c r="BE624" s="37"/>
      <c r="BL624" s="3"/>
      <c r="BM624" s="3"/>
      <c r="BN624" s="3"/>
      <c r="BO624" s="3"/>
    </row>
    <row r="625" spans="1:67" x14ac:dyDescent="0.2">
      <c r="A625" s="1"/>
      <c r="B625" s="10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37"/>
      <c r="BC625" s="37"/>
      <c r="BD625" s="37"/>
      <c r="BE625" s="37"/>
      <c r="BL625" s="3"/>
      <c r="BM625" s="3"/>
      <c r="BN625" s="3"/>
      <c r="BO625" s="3"/>
    </row>
    <row r="626" spans="1:67" x14ac:dyDescent="0.2">
      <c r="A626" s="130"/>
      <c r="B626" s="10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37"/>
      <c r="BC626" s="37"/>
      <c r="BD626" s="37"/>
      <c r="BE626" s="37"/>
      <c r="BL626" s="3"/>
      <c r="BM626" s="3"/>
      <c r="BN626" s="3"/>
      <c r="BO626" s="3"/>
    </row>
    <row r="627" spans="1:67" x14ac:dyDescent="0.2"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37"/>
      <c r="BC627" s="37"/>
      <c r="BD627" s="37"/>
      <c r="BE627" s="37"/>
      <c r="BL627" s="3"/>
      <c r="BM627" s="3"/>
      <c r="BN627" s="3"/>
      <c r="BO627" s="3"/>
    </row>
    <row r="628" spans="1:67" x14ac:dyDescent="0.2">
      <c r="A628" s="130"/>
      <c r="B628" s="10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37"/>
      <c r="BC628" s="37"/>
      <c r="BD628" s="37"/>
      <c r="BE628" s="37"/>
      <c r="BL628" s="3"/>
      <c r="BM628" s="3"/>
      <c r="BN628" s="3"/>
      <c r="BO628" s="3"/>
    </row>
    <row r="629" spans="1:67" x14ac:dyDescent="0.2"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37"/>
      <c r="BC629" s="37"/>
      <c r="BD629" s="37"/>
      <c r="BE629" s="37"/>
      <c r="BL629" s="3"/>
      <c r="BM629" s="3"/>
      <c r="BN629" s="3"/>
      <c r="BO629" s="3"/>
    </row>
    <row r="630" spans="1:67" x14ac:dyDescent="0.2">
      <c r="A630" s="10"/>
      <c r="B630" s="10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37"/>
      <c r="BC630" s="37"/>
      <c r="BD630" s="37"/>
      <c r="BE630" s="37"/>
      <c r="BL630" s="3"/>
      <c r="BM630" s="3"/>
      <c r="BN630" s="3"/>
      <c r="BO630" s="3"/>
    </row>
    <row r="631" spans="1:67" x14ac:dyDescent="0.2">
      <c r="A631" s="10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37"/>
      <c r="BC631" s="37"/>
      <c r="BD631" s="37"/>
      <c r="BE631" s="37"/>
      <c r="BL631" s="3"/>
      <c r="BM631" s="3"/>
      <c r="BN631" s="3"/>
      <c r="BO631" s="3"/>
    </row>
    <row r="632" spans="1:67" x14ac:dyDescent="0.2">
      <c r="A632" s="10"/>
      <c r="B632" s="10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37"/>
      <c r="BC632" s="37"/>
      <c r="BD632" s="37"/>
      <c r="BE632" s="37"/>
      <c r="BL632" s="3"/>
      <c r="BM632" s="3"/>
      <c r="BN632" s="3"/>
      <c r="BO632" s="3"/>
    </row>
    <row r="633" spans="1:67" x14ac:dyDescent="0.2"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37"/>
      <c r="BC633" s="37"/>
      <c r="BD633" s="37"/>
      <c r="BE633" s="37"/>
      <c r="BL633" s="3"/>
      <c r="BM633" s="3"/>
      <c r="BN633" s="3"/>
      <c r="BO633" s="3"/>
    </row>
    <row r="634" spans="1:67" x14ac:dyDescent="0.2">
      <c r="A634" s="108"/>
      <c r="B634" s="10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37"/>
      <c r="BC634" s="37"/>
      <c r="BD634" s="37"/>
      <c r="BE634" s="37"/>
      <c r="BL634" s="3"/>
      <c r="BM634" s="3"/>
      <c r="BN634" s="3"/>
      <c r="BO634" s="3"/>
    </row>
    <row r="635" spans="1:67" x14ac:dyDescent="0.2"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37"/>
      <c r="BC635" s="37"/>
      <c r="BD635" s="37"/>
      <c r="BE635" s="37"/>
      <c r="BL635" s="3"/>
      <c r="BM635" s="3"/>
      <c r="BN635" s="3"/>
      <c r="BO635" s="3"/>
    </row>
    <row r="636" spans="1:67" x14ac:dyDescent="0.2">
      <c r="A636" s="108"/>
      <c r="B636" s="10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37"/>
      <c r="BC636" s="37"/>
      <c r="BD636" s="37"/>
      <c r="BE636" s="37"/>
      <c r="BL636" s="3"/>
      <c r="BM636" s="3"/>
      <c r="BN636" s="3"/>
      <c r="BO636" s="3"/>
    </row>
    <row r="637" spans="1:67" x14ac:dyDescent="0.2"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37"/>
      <c r="BC637" s="37"/>
      <c r="BD637" s="37"/>
      <c r="BE637" s="37"/>
      <c r="BL637" s="3"/>
      <c r="BM637" s="3"/>
      <c r="BN637" s="3"/>
      <c r="BO637" s="3"/>
    </row>
    <row r="638" spans="1:67" x14ac:dyDescent="0.2">
      <c r="A638" s="130"/>
      <c r="B638" s="10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37"/>
      <c r="BC638" s="37"/>
      <c r="BD638" s="37"/>
      <c r="BE638" s="37"/>
      <c r="BL638" s="3"/>
      <c r="BM638" s="3"/>
      <c r="BN638" s="3"/>
      <c r="BO638" s="3"/>
    </row>
    <row r="639" spans="1:67" x14ac:dyDescent="0.2"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37"/>
      <c r="BC639" s="37"/>
      <c r="BD639" s="37"/>
      <c r="BE639" s="37"/>
      <c r="BL639" s="3"/>
      <c r="BM639" s="3"/>
      <c r="BN639" s="3"/>
      <c r="BO639" s="3"/>
    </row>
    <row r="640" spans="1:67" x14ac:dyDescent="0.2">
      <c r="A640" s="130"/>
      <c r="B640" s="10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37"/>
      <c r="BC640" s="37"/>
      <c r="BD640" s="37"/>
      <c r="BE640" s="37"/>
      <c r="BL640" s="3"/>
      <c r="BM640" s="3"/>
      <c r="BN640" s="3"/>
      <c r="BO640" s="3"/>
    </row>
    <row r="641" spans="1:67" x14ac:dyDescent="0.2"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37"/>
      <c r="BC641" s="37"/>
      <c r="BD641" s="37"/>
      <c r="BE641" s="37"/>
      <c r="BL641" s="3"/>
      <c r="BM641" s="3"/>
      <c r="BN641" s="3"/>
      <c r="BO641" s="3"/>
    </row>
    <row r="642" spans="1:67" x14ac:dyDescent="0.2">
      <c r="A642" s="130"/>
      <c r="B642" s="10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37"/>
      <c r="BC642" s="37"/>
      <c r="BD642" s="37"/>
      <c r="BE642" s="37"/>
      <c r="BL642" s="3"/>
      <c r="BM642" s="3"/>
      <c r="BN642" s="3"/>
      <c r="BO642" s="3"/>
    </row>
    <row r="643" spans="1:67" x14ac:dyDescent="0.2"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37"/>
      <c r="BC643" s="37"/>
      <c r="BD643" s="37"/>
      <c r="BE643" s="37"/>
      <c r="BL643" s="3"/>
      <c r="BM643" s="3"/>
      <c r="BN643" s="3"/>
      <c r="BO643" s="3"/>
    </row>
    <row r="644" spans="1:67" x14ac:dyDescent="0.2">
      <c r="A644" s="130"/>
      <c r="B644" s="10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37"/>
      <c r="BC644" s="37"/>
      <c r="BD644" s="37"/>
      <c r="BE644" s="37"/>
      <c r="BL644" s="3"/>
      <c r="BM644" s="3"/>
      <c r="BN644" s="3"/>
      <c r="BO644" s="3"/>
    </row>
    <row r="645" spans="1:67" x14ac:dyDescent="0.2"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37"/>
      <c r="BC645" s="37"/>
      <c r="BD645" s="37"/>
      <c r="BE645" s="37"/>
      <c r="BL645" s="3"/>
      <c r="BM645" s="3"/>
      <c r="BN645" s="3"/>
      <c r="BO645" s="3"/>
    </row>
    <row r="646" spans="1:67" x14ac:dyDescent="0.2">
      <c r="A646" s="10"/>
      <c r="B646" s="10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37"/>
      <c r="BC646" s="37"/>
      <c r="BD646" s="37"/>
      <c r="BE646" s="37"/>
      <c r="BL646" s="3"/>
      <c r="BM646" s="3"/>
      <c r="BN646" s="3"/>
      <c r="BO646" s="3"/>
    </row>
    <row r="647" spans="1:67" x14ac:dyDescent="0.2"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37"/>
      <c r="BC647" s="37"/>
      <c r="BD647" s="37"/>
      <c r="BE647" s="37"/>
      <c r="BL647" s="3"/>
      <c r="BM647" s="3"/>
      <c r="BN647" s="3"/>
      <c r="BO647" s="3"/>
    </row>
    <row r="648" spans="1:67" x14ac:dyDescent="0.2"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37"/>
      <c r="BC648" s="37"/>
      <c r="BD648" s="37"/>
      <c r="BE648" s="37"/>
      <c r="BL648" s="3"/>
      <c r="BM648" s="3"/>
      <c r="BN648" s="3"/>
      <c r="BO648" s="3"/>
    </row>
    <row r="649" spans="1:67" x14ac:dyDescent="0.2"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37"/>
      <c r="BC649" s="37"/>
      <c r="BD649" s="37"/>
      <c r="BE649" s="37"/>
      <c r="BL649" s="3"/>
      <c r="BM649" s="3"/>
      <c r="BN649" s="3"/>
      <c r="BO649" s="3"/>
    </row>
    <row r="650" spans="1:67" x14ac:dyDescent="0.2"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37"/>
      <c r="BC650" s="37"/>
      <c r="BD650" s="37"/>
      <c r="BE650" s="37"/>
      <c r="BL650" s="3"/>
      <c r="BM650" s="3"/>
      <c r="BN650" s="3"/>
      <c r="BO650" s="3"/>
    </row>
    <row r="651" spans="1:67" x14ac:dyDescent="0.2"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37"/>
      <c r="BC651" s="37"/>
      <c r="BD651" s="37"/>
      <c r="BE651" s="37"/>
      <c r="BL651" s="3"/>
      <c r="BM651" s="3"/>
      <c r="BN651" s="3"/>
      <c r="BO651" s="3"/>
    </row>
    <row r="652" spans="1:67" x14ac:dyDescent="0.2"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37"/>
      <c r="BC652" s="37"/>
      <c r="BD652" s="37"/>
      <c r="BE652" s="37"/>
      <c r="BL652" s="3"/>
      <c r="BM652" s="3"/>
      <c r="BN652" s="3"/>
      <c r="BO652" s="3"/>
    </row>
    <row r="653" spans="1:67" x14ac:dyDescent="0.2"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37"/>
      <c r="BC653" s="37"/>
      <c r="BD653" s="37"/>
      <c r="BE653" s="37"/>
      <c r="BL653" s="3"/>
      <c r="BM653" s="3"/>
      <c r="BN653" s="3"/>
      <c r="BO653" s="3"/>
    </row>
    <row r="654" spans="1:67" x14ac:dyDescent="0.2"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37"/>
      <c r="BC654" s="37"/>
      <c r="BD654" s="37"/>
      <c r="BE654" s="37"/>
      <c r="BL654" s="3"/>
      <c r="BM654" s="3"/>
      <c r="BN654" s="3"/>
      <c r="BO654" s="3"/>
    </row>
    <row r="655" spans="1:67" x14ac:dyDescent="0.2"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37"/>
      <c r="BC655" s="37"/>
      <c r="BD655" s="37"/>
      <c r="BE655" s="37"/>
      <c r="BL655" s="3"/>
      <c r="BM655" s="3"/>
      <c r="BN655" s="3"/>
      <c r="BO655" s="3"/>
    </row>
    <row r="656" spans="1:67" x14ac:dyDescent="0.2"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37"/>
      <c r="BC656" s="37"/>
      <c r="BD656" s="37"/>
      <c r="BE656" s="37"/>
      <c r="BL656" s="3"/>
      <c r="BM656" s="3"/>
      <c r="BN656" s="3"/>
      <c r="BO656" s="3"/>
    </row>
    <row r="657" spans="3:67" x14ac:dyDescent="0.2"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37"/>
      <c r="BC657" s="37"/>
      <c r="BD657" s="37"/>
      <c r="BE657" s="37"/>
      <c r="BL657" s="3"/>
      <c r="BM657" s="3"/>
      <c r="BN657" s="3"/>
      <c r="BO657" s="3"/>
    </row>
    <row r="658" spans="3:67" x14ac:dyDescent="0.2"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37"/>
      <c r="BC658" s="37"/>
      <c r="BD658" s="37"/>
      <c r="BE658" s="37"/>
      <c r="BL658" s="3"/>
      <c r="BM658" s="3"/>
      <c r="BN658" s="3"/>
      <c r="BO658" s="3"/>
    </row>
    <row r="659" spans="3:67" x14ac:dyDescent="0.2"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37"/>
      <c r="BC659" s="37"/>
      <c r="BD659" s="37"/>
      <c r="BE659" s="37"/>
      <c r="BL659" s="3"/>
      <c r="BM659" s="3"/>
      <c r="BN659" s="3"/>
      <c r="BO659" s="3"/>
    </row>
    <row r="660" spans="3:67" x14ac:dyDescent="0.2"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37"/>
      <c r="BC660" s="37"/>
      <c r="BD660" s="37"/>
      <c r="BE660" s="37"/>
      <c r="BL660" s="3"/>
      <c r="BM660" s="3"/>
      <c r="BN660" s="3"/>
      <c r="BO660" s="3"/>
    </row>
    <row r="661" spans="3:67" x14ac:dyDescent="0.2"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37"/>
      <c r="BC661" s="37"/>
      <c r="BD661" s="37"/>
      <c r="BE661" s="37"/>
      <c r="BL661" s="3"/>
      <c r="BM661" s="3"/>
      <c r="BN661" s="3"/>
      <c r="BO661" s="3"/>
    </row>
    <row r="662" spans="3:67" x14ac:dyDescent="0.2"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37"/>
      <c r="BC662" s="37"/>
      <c r="BD662" s="37"/>
      <c r="BE662" s="37"/>
      <c r="BL662" s="3"/>
      <c r="BM662" s="3"/>
      <c r="BN662" s="3"/>
      <c r="BO662" s="3"/>
    </row>
    <row r="663" spans="3:67" x14ac:dyDescent="0.2"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37"/>
      <c r="BC663" s="37"/>
      <c r="BD663" s="37"/>
      <c r="BE663" s="37"/>
      <c r="BL663" s="3"/>
      <c r="BM663" s="3"/>
      <c r="BN663" s="3"/>
      <c r="BO663" s="3"/>
    </row>
    <row r="664" spans="3:67" x14ac:dyDescent="0.2"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37"/>
      <c r="BC664" s="37"/>
      <c r="BD664" s="37"/>
      <c r="BE664" s="37"/>
      <c r="BL664" s="3"/>
      <c r="BM664" s="3"/>
      <c r="BN664" s="3"/>
      <c r="BO664" s="3"/>
    </row>
    <row r="665" spans="3:67" x14ac:dyDescent="0.2"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37"/>
      <c r="BC665" s="37"/>
      <c r="BD665" s="37"/>
      <c r="BE665" s="37"/>
      <c r="BL665" s="3"/>
      <c r="BM665" s="3"/>
      <c r="BN665" s="3"/>
      <c r="BO665" s="3"/>
    </row>
    <row r="666" spans="3:67" x14ac:dyDescent="0.2"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37"/>
      <c r="BC666" s="37"/>
      <c r="BD666" s="37"/>
      <c r="BE666" s="37"/>
      <c r="BL666" s="3"/>
      <c r="BM666" s="3"/>
      <c r="BN666" s="3"/>
      <c r="BO666" s="3"/>
    </row>
    <row r="667" spans="3:67" x14ac:dyDescent="0.2"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37"/>
      <c r="BC667" s="37"/>
      <c r="BD667" s="37"/>
      <c r="BE667" s="37"/>
      <c r="BL667" s="3"/>
      <c r="BM667" s="3"/>
      <c r="BN667" s="3"/>
      <c r="BO667" s="3"/>
    </row>
    <row r="668" spans="3:67" x14ac:dyDescent="0.2"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37"/>
      <c r="BC668" s="37"/>
      <c r="BD668" s="37"/>
      <c r="BE668" s="37"/>
      <c r="BL668" s="3"/>
      <c r="BM668" s="3"/>
      <c r="BN668" s="3"/>
      <c r="BO668" s="3"/>
    </row>
    <row r="669" spans="3:67" x14ac:dyDescent="0.2"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37"/>
      <c r="BC669" s="37"/>
      <c r="BD669" s="37"/>
      <c r="BE669" s="37"/>
      <c r="BL669" s="3"/>
      <c r="BM669" s="3"/>
      <c r="BN669" s="3"/>
      <c r="BO669" s="3"/>
    </row>
    <row r="670" spans="3:67" x14ac:dyDescent="0.2"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37"/>
      <c r="BC670" s="37"/>
      <c r="BD670" s="37"/>
      <c r="BE670" s="37"/>
      <c r="BL670" s="3"/>
      <c r="BM670" s="3"/>
      <c r="BN670" s="3"/>
      <c r="BO670" s="3"/>
    </row>
    <row r="671" spans="3:67" x14ac:dyDescent="0.2"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37"/>
      <c r="BC671" s="37"/>
      <c r="BD671" s="37"/>
      <c r="BE671" s="37"/>
      <c r="BL671" s="3"/>
      <c r="BM671" s="3"/>
      <c r="BN671" s="3"/>
      <c r="BO671" s="3"/>
    </row>
    <row r="672" spans="3:67" x14ac:dyDescent="0.2"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37"/>
      <c r="BC672" s="37"/>
      <c r="BD672" s="37"/>
      <c r="BE672" s="37"/>
      <c r="BL672" s="3"/>
      <c r="BM672" s="3"/>
      <c r="BN672" s="3"/>
      <c r="BO672" s="3"/>
    </row>
    <row r="673" spans="3:67" x14ac:dyDescent="0.2"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37"/>
      <c r="BC673" s="37"/>
      <c r="BD673" s="37"/>
      <c r="BE673" s="37"/>
      <c r="BL673" s="3"/>
      <c r="BM673" s="3"/>
      <c r="BN673" s="3"/>
      <c r="BO673" s="3"/>
    </row>
    <row r="674" spans="3:67" x14ac:dyDescent="0.2"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37"/>
      <c r="BC674" s="37"/>
      <c r="BD674" s="37"/>
      <c r="BE674" s="37"/>
      <c r="BL674" s="3"/>
      <c r="BM674" s="3"/>
      <c r="BN674" s="3"/>
      <c r="BO674" s="3"/>
    </row>
    <row r="675" spans="3:67" x14ac:dyDescent="0.2"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37"/>
      <c r="BC675" s="37"/>
      <c r="BD675" s="37"/>
      <c r="BE675" s="37"/>
      <c r="BL675" s="3"/>
      <c r="BM675" s="3"/>
      <c r="BN675" s="3"/>
      <c r="BO675" s="3"/>
    </row>
    <row r="676" spans="3:67" x14ac:dyDescent="0.2"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37"/>
      <c r="BC676" s="37"/>
      <c r="BD676" s="37"/>
      <c r="BE676" s="37"/>
      <c r="BL676" s="3"/>
      <c r="BM676" s="3"/>
      <c r="BN676" s="3"/>
      <c r="BO676" s="3"/>
    </row>
    <row r="677" spans="3:67" x14ac:dyDescent="0.2"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37"/>
      <c r="BC677" s="37"/>
      <c r="BD677" s="37"/>
      <c r="BE677" s="37"/>
      <c r="BL677" s="3"/>
      <c r="BM677" s="3"/>
      <c r="BN677" s="3"/>
      <c r="BO677" s="3"/>
    </row>
    <row r="678" spans="3:67" x14ac:dyDescent="0.2"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37"/>
      <c r="BC678" s="37"/>
      <c r="BD678" s="37"/>
      <c r="BE678" s="37"/>
      <c r="BL678" s="3"/>
      <c r="BM678" s="3"/>
      <c r="BN678" s="3"/>
      <c r="BO678" s="3"/>
    </row>
    <row r="679" spans="3:67" x14ac:dyDescent="0.2"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37"/>
      <c r="BC679" s="37"/>
      <c r="BD679" s="37"/>
      <c r="BE679" s="37"/>
      <c r="BL679" s="3"/>
      <c r="BM679" s="3"/>
      <c r="BN679" s="3"/>
      <c r="BO679" s="3"/>
    </row>
    <row r="680" spans="3:67" x14ac:dyDescent="0.2"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37"/>
      <c r="BC680" s="37"/>
      <c r="BD680" s="37"/>
      <c r="BE680" s="37"/>
      <c r="BL680" s="3"/>
      <c r="BM680" s="3"/>
      <c r="BN680" s="3"/>
      <c r="BO680" s="3"/>
    </row>
    <row r="681" spans="3:67" x14ac:dyDescent="0.2"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37"/>
      <c r="BC681" s="37"/>
      <c r="BD681" s="37"/>
      <c r="BE681" s="37"/>
      <c r="BL681" s="3"/>
      <c r="BM681" s="3"/>
      <c r="BN681" s="3"/>
      <c r="BO681" s="3"/>
    </row>
    <row r="682" spans="3:67" x14ac:dyDescent="0.2"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37"/>
      <c r="BC682" s="37"/>
      <c r="BD682" s="37"/>
      <c r="BE682" s="37"/>
      <c r="BL682" s="3"/>
      <c r="BM682" s="3"/>
      <c r="BN682" s="3"/>
      <c r="BO682" s="3"/>
    </row>
    <row r="683" spans="3:67" x14ac:dyDescent="0.2"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37"/>
      <c r="BC683" s="37"/>
      <c r="BD683" s="37"/>
      <c r="BE683" s="37"/>
      <c r="BL683" s="3"/>
      <c r="BM683" s="3"/>
      <c r="BN683" s="3"/>
      <c r="BO683" s="3"/>
    </row>
    <row r="684" spans="3:67" x14ac:dyDescent="0.2"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37"/>
      <c r="BC684" s="37"/>
      <c r="BD684" s="37"/>
      <c r="BE684" s="37"/>
      <c r="BL684" s="3"/>
      <c r="BM684" s="3"/>
      <c r="BN684" s="3"/>
      <c r="BO684" s="3"/>
    </row>
    <row r="685" spans="3:67" x14ac:dyDescent="0.2"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37"/>
      <c r="BC685" s="37"/>
      <c r="BD685" s="37"/>
      <c r="BE685" s="37"/>
      <c r="BL685" s="3"/>
      <c r="BM685" s="3"/>
      <c r="BN685" s="3"/>
      <c r="BO685" s="3"/>
    </row>
    <row r="686" spans="3:67" x14ac:dyDescent="0.2"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37"/>
      <c r="BC686" s="37"/>
      <c r="BD686" s="37"/>
      <c r="BE686" s="37"/>
      <c r="BL686" s="3"/>
      <c r="BM686" s="3"/>
      <c r="BN686" s="3"/>
      <c r="BO686" s="3"/>
    </row>
    <row r="687" spans="3:67" x14ac:dyDescent="0.2"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37"/>
      <c r="BC687" s="37"/>
      <c r="BD687" s="37"/>
      <c r="BE687" s="37"/>
      <c r="BL687" s="3"/>
      <c r="BM687" s="3"/>
      <c r="BN687" s="3"/>
      <c r="BO687" s="3"/>
    </row>
    <row r="688" spans="3:67" x14ac:dyDescent="0.2"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37"/>
      <c r="BC688" s="37"/>
      <c r="BD688" s="37"/>
      <c r="BE688" s="37"/>
      <c r="BL688" s="3"/>
      <c r="BM688" s="3"/>
      <c r="BN688" s="3"/>
      <c r="BO688" s="3"/>
    </row>
    <row r="689" spans="3:67" x14ac:dyDescent="0.2"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37"/>
      <c r="BC689" s="37"/>
      <c r="BD689" s="37"/>
      <c r="BE689" s="37"/>
      <c r="BL689" s="3"/>
      <c r="BM689" s="3"/>
      <c r="BN689" s="3"/>
      <c r="BO689" s="3"/>
    </row>
    <row r="690" spans="3:67" x14ac:dyDescent="0.2"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37"/>
      <c r="BC690" s="37"/>
      <c r="BD690" s="37"/>
      <c r="BE690" s="37"/>
      <c r="BL690" s="3"/>
      <c r="BM690" s="3"/>
      <c r="BN690" s="3"/>
      <c r="BO690" s="3"/>
    </row>
    <row r="691" spans="3:67" x14ac:dyDescent="0.2"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37"/>
      <c r="BC691" s="37"/>
      <c r="BD691" s="37"/>
      <c r="BE691" s="37"/>
      <c r="BL691" s="3"/>
      <c r="BM691" s="3"/>
      <c r="BN691" s="3"/>
      <c r="BO691" s="3"/>
    </row>
    <row r="692" spans="3:67" x14ac:dyDescent="0.2"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37"/>
      <c r="BC692" s="37"/>
      <c r="BD692" s="37"/>
      <c r="BE692" s="37"/>
      <c r="BL692" s="3"/>
      <c r="BM692" s="3"/>
      <c r="BN692" s="3"/>
      <c r="BO692" s="3"/>
    </row>
    <row r="693" spans="3:67" x14ac:dyDescent="0.2"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37"/>
      <c r="BC693" s="37"/>
      <c r="BD693" s="37"/>
      <c r="BE693" s="37"/>
      <c r="BL693" s="3"/>
      <c r="BM693" s="3"/>
      <c r="BN693" s="3"/>
      <c r="BO693" s="3"/>
    </row>
    <row r="694" spans="3:67" x14ac:dyDescent="0.2"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37"/>
      <c r="BC694" s="37"/>
      <c r="BD694" s="37"/>
      <c r="BE694" s="37"/>
      <c r="BL694" s="3"/>
      <c r="BM694" s="3"/>
      <c r="BN694" s="3"/>
      <c r="BO694" s="3"/>
    </row>
    <row r="695" spans="3:67" x14ac:dyDescent="0.2"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37"/>
      <c r="BC695" s="37"/>
      <c r="BD695" s="37"/>
      <c r="BE695" s="37"/>
      <c r="BL695" s="3"/>
      <c r="BM695" s="3"/>
      <c r="BN695" s="3"/>
      <c r="BO695" s="3"/>
    </row>
    <row r="696" spans="3:67" x14ac:dyDescent="0.2"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37"/>
      <c r="BC696" s="37"/>
      <c r="BD696" s="37"/>
      <c r="BE696" s="37"/>
      <c r="BL696" s="3"/>
      <c r="BM696" s="3"/>
      <c r="BN696" s="3"/>
      <c r="BO696" s="3"/>
    </row>
    <row r="697" spans="3:67" x14ac:dyDescent="0.2"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37"/>
      <c r="BC697" s="37"/>
      <c r="BD697" s="37"/>
      <c r="BE697" s="37"/>
      <c r="BL697" s="3"/>
      <c r="BM697" s="3"/>
      <c r="BN697" s="3"/>
      <c r="BO697" s="3"/>
    </row>
    <row r="698" spans="3:67" x14ac:dyDescent="0.2"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37"/>
      <c r="BC698" s="37"/>
      <c r="BD698" s="37"/>
      <c r="BE698" s="37"/>
      <c r="BL698" s="3"/>
      <c r="BM698" s="3"/>
      <c r="BN698" s="3"/>
      <c r="BO698" s="3"/>
    </row>
    <row r="699" spans="3:67" x14ac:dyDescent="0.2"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37"/>
      <c r="BC699" s="37"/>
      <c r="BD699" s="37"/>
      <c r="BE699" s="37"/>
      <c r="BL699" s="3"/>
      <c r="BM699" s="3"/>
      <c r="BN699" s="3"/>
      <c r="BO699" s="3"/>
    </row>
    <row r="700" spans="3:67" x14ac:dyDescent="0.2"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37"/>
      <c r="BC700" s="37"/>
      <c r="BD700" s="37"/>
      <c r="BE700" s="37"/>
      <c r="BL700" s="3"/>
      <c r="BM700" s="3"/>
      <c r="BN700" s="3"/>
      <c r="BO700" s="3"/>
    </row>
    <row r="701" spans="3:67" x14ac:dyDescent="0.2"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37"/>
      <c r="BC701" s="37"/>
      <c r="BD701" s="37"/>
      <c r="BE701" s="37"/>
      <c r="BL701" s="3"/>
      <c r="BM701" s="3"/>
      <c r="BN701" s="3"/>
      <c r="BO701" s="3"/>
    </row>
    <row r="702" spans="3:67" x14ac:dyDescent="0.2"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37"/>
      <c r="BC702" s="37"/>
      <c r="BD702" s="37"/>
      <c r="BE702" s="37"/>
      <c r="BL702" s="3"/>
      <c r="BM702" s="3"/>
      <c r="BN702" s="3"/>
      <c r="BO702" s="3"/>
    </row>
    <row r="703" spans="3:67" x14ac:dyDescent="0.2"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37"/>
      <c r="BC703" s="37"/>
      <c r="BD703" s="37"/>
      <c r="BE703" s="37"/>
      <c r="BL703" s="3"/>
      <c r="BM703" s="3"/>
      <c r="BN703" s="3"/>
      <c r="BO703" s="3"/>
    </row>
    <row r="704" spans="3:67" x14ac:dyDescent="0.2"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37"/>
      <c r="BC704" s="37"/>
      <c r="BD704" s="37"/>
      <c r="BE704" s="37"/>
      <c r="BL704" s="3"/>
      <c r="BM704" s="3"/>
      <c r="BN704" s="3"/>
      <c r="BO704" s="3"/>
    </row>
    <row r="705" spans="3:67" x14ac:dyDescent="0.2"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37"/>
      <c r="BC705" s="37"/>
      <c r="BD705" s="37"/>
      <c r="BE705" s="37"/>
      <c r="BL705" s="3"/>
      <c r="BM705" s="3"/>
      <c r="BN705" s="3"/>
      <c r="BO705" s="3"/>
    </row>
  </sheetData>
  <dataValidations count="1">
    <dataValidation type="list" allowBlank="1" showInputMessage="1" showErrorMessage="1" sqref="C10 AG10 AC10 AI10 AE10 Y10 E10 Q10 O10 M10 K10 I10 G10 AA10 S10:W10 AK10:AY10">
      <formula1>$BL$1:$BL$4</formula1>
    </dataValidation>
  </dataValidation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60"/>
  <sheetViews>
    <sheetView workbookViewId="0">
      <selection sqref="A1:N1"/>
    </sheetView>
  </sheetViews>
  <sheetFormatPr defaultRowHeight="15.75" x14ac:dyDescent="0.25"/>
  <cols>
    <col min="1" max="1" width="12.140625" style="175" customWidth="1"/>
    <col min="2" max="2" width="28.5703125" style="175" bestFit="1" customWidth="1"/>
    <col min="3" max="3" width="4" style="175" customWidth="1"/>
    <col min="4" max="4" width="14.42578125" style="179" customWidth="1"/>
    <col min="5" max="5" width="2.85546875" style="179" customWidth="1"/>
    <col min="6" max="6" width="14.5703125" style="179" customWidth="1"/>
    <col min="7" max="7" width="2.85546875" style="179" customWidth="1"/>
    <col min="8" max="8" width="14.7109375" style="179" customWidth="1"/>
    <col min="9" max="9" width="2.7109375" style="179" customWidth="1"/>
    <col min="10" max="10" width="15.28515625" style="179" bestFit="1" customWidth="1"/>
    <col min="11" max="11" width="2.28515625" style="175" customWidth="1"/>
    <col min="12" max="12" width="15.42578125" style="179" bestFit="1" customWidth="1"/>
    <col min="13" max="13" width="2.42578125" style="175" customWidth="1"/>
    <col min="14" max="14" width="12.7109375" style="175" bestFit="1" customWidth="1"/>
    <col min="15" max="15" width="12" style="175" bestFit="1" customWidth="1"/>
    <col min="16" max="16384" width="9.140625" style="175"/>
  </cols>
  <sheetData>
    <row r="1" spans="1:15" x14ac:dyDescent="0.25">
      <c r="A1" s="206" t="s">
        <v>473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x14ac:dyDescent="0.25">
      <c r="A2" s="207" t="s">
        <v>474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x14ac:dyDescent="0.25">
      <c r="A3" s="176"/>
      <c r="B3" s="176"/>
      <c r="C3" s="176"/>
      <c r="D3" s="177"/>
      <c r="E3" s="177"/>
      <c r="F3" s="177"/>
      <c r="G3" s="177"/>
      <c r="H3" s="177"/>
      <c r="I3" s="177"/>
      <c r="J3" s="177"/>
      <c r="K3" s="176"/>
      <c r="L3" s="177"/>
    </row>
    <row r="5" spans="1:15" x14ac:dyDescent="0.25">
      <c r="A5" s="178"/>
    </row>
    <row r="6" spans="1:15" x14ac:dyDescent="0.25">
      <c r="D6" s="180" t="s">
        <v>475</v>
      </c>
      <c r="H6" s="180" t="s">
        <v>476</v>
      </c>
      <c r="N6" s="181" t="s">
        <v>477</v>
      </c>
      <c r="O6" s="181" t="s">
        <v>478</v>
      </c>
    </row>
    <row r="7" spans="1:15" ht="18" x14ac:dyDescent="0.4">
      <c r="D7" s="182" t="s">
        <v>479</v>
      </c>
      <c r="E7" s="180"/>
      <c r="F7" s="183" t="s">
        <v>480</v>
      </c>
      <c r="G7" s="180"/>
      <c r="H7" s="182" t="s">
        <v>481</v>
      </c>
      <c r="I7" s="180"/>
      <c r="J7" s="182" t="s">
        <v>67</v>
      </c>
      <c r="K7" s="181"/>
      <c r="L7" s="182" t="s">
        <v>482</v>
      </c>
      <c r="N7" s="184" t="s">
        <v>483</v>
      </c>
      <c r="O7" s="184" t="s">
        <v>484</v>
      </c>
    </row>
    <row r="8" spans="1:15" x14ac:dyDescent="0.25">
      <c r="L8" s="185"/>
    </row>
    <row r="9" spans="1:15" x14ac:dyDescent="0.25">
      <c r="A9" s="131">
        <v>42416</v>
      </c>
      <c r="B9" s="175" t="s">
        <v>485</v>
      </c>
      <c r="D9" s="179">
        <v>3671.69</v>
      </c>
      <c r="J9" s="179">
        <v>-26900</v>
      </c>
      <c r="L9" s="185">
        <f>J9+D9</f>
        <v>-23228.31</v>
      </c>
      <c r="N9" s="179">
        <v>26900</v>
      </c>
      <c r="O9" s="181" t="s">
        <v>486</v>
      </c>
    </row>
    <row r="10" spans="1:15" x14ac:dyDescent="0.25">
      <c r="A10" s="186">
        <v>42476</v>
      </c>
      <c r="B10" s="175" t="s">
        <v>487</v>
      </c>
      <c r="D10" s="187">
        <v>16682.18</v>
      </c>
      <c r="J10" s="179">
        <v>-9160.81</v>
      </c>
      <c r="K10" s="179"/>
      <c r="L10" s="185">
        <f>J10+D10</f>
        <v>7521.3700000000008</v>
      </c>
      <c r="N10" s="179">
        <v>10450</v>
      </c>
      <c r="O10" s="181" t="s">
        <v>486</v>
      </c>
    </row>
    <row r="11" spans="1:15" x14ac:dyDescent="0.25">
      <c r="A11" s="186">
        <v>42644</v>
      </c>
      <c r="B11" s="175" t="s">
        <v>488</v>
      </c>
      <c r="D11" s="187">
        <v>0</v>
      </c>
      <c r="J11" s="179">
        <f>-45152.55</f>
        <v>-45152.55</v>
      </c>
      <c r="K11" s="179"/>
      <c r="L11" s="185">
        <f>J11+D11</f>
        <v>-45152.55</v>
      </c>
      <c r="N11" s="179">
        <v>0</v>
      </c>
      <c r="O11" s="181" t="s">
        <v>486</v>
      </c>
    </row>
    <row r="12" spans="1:15" x14ac:dyDescent="0.25">
      <c r="D12" s="175"/>
      <c r="E12" s="175"/>
      <c r="F12" s="175"/>
      <c r="G12" s="175"/>
      <c r="H12" s="175"/>
      <c r="I12" s="175"/>
      <c r="J12" s="175"/>
      <c r="L12" s="175"/>
    </row>
    <row r="13" spans="1:15" x14ac:dyDescent="0.25">
      <c r="A13" s="188"/>
    </row>
    <row r="14" spans="1:15" x14ac:dyDescent="0.25">
      <c r="D14" s="189">
        <f>SUM(D9:D13)</f>
        <v>20353.87</v>
      </c>
      <c r="E14" s="189"/>
      <c r="F14" s="189">
        <f>SUM(F9:F13)</f>
        <v>0</v>
      </c>
      <c r="G14" s="189"/>
      <c r="H14" s="189">
        <f>SUM(H9:H13)</f>
        <v>0</v>
      </c>
      <c r="I14" s="189"/>
      <c r="J14" s="189">
        <f>SUM(J9:J13)</f>
        <v>-81213.36</v>
      </c>
      <c r="K14" s="190"/>
      <c r="L14" s="189">
        <f>SUM(L9:L13)</f>
        <v>-60859.490000000005</v>
      </c>
    </row>
    <row r="15" spans="1:15" x14ac:dyDescent="0.25">
      <c r="D15" s="185"/>
      <c r="E15" s="185"/>
      <c r="F15" s="185"/>
      <c r="G15" s="185"/>
      <c r="H15" s="185"/>
      <c r="I15" s="185"/>
      <c r="J15" s="185"/>
      <c r="K15" s="191"/>
      <c r="L15" s="185"/>
    </row>
    <row r="16" spans="1:15" x14ac:dyDescent="0.25">
      <c r="L16" s="185"/>
    </row>
    <row r="17" spans="1:15" x14ac:dyDescent="0.25">
      <c r="D17" s="185"/>
      <c r="E17" s="185"/>
      <c r="F17" s="185"/>
      <c r="G17" s="185"/>
      <c r="H17" s="185"/>
      <c r="I17" s="185"/>
      <c r="J17" s="185"/>
      <c r="K17" s="191"/>
      <c r="L17" s="185"/>
    </row>
    <row r="18" spans="1:15" x14ac:dyDescent="0.25">
      <c r="D18" s="185"/>
      <c r="E18" s="185"/>
      <c r="F18" s="185"/>
      <c r="G18" s="185"/>
      <c r="H18" s="185"/>
      <c r="I18" s="185"/>
      <c r="J18" s="185"/>
      <c r="K18" s="191"/>
      <c r="L18" s="185"/>
    </row>
    <row r="19" spans="1:15" x14ac:dyDescent="0.25">
      <c r="D19" s="185"/>
      <c r="E19" s="185"/>
      <c r="F19" s="185"/>
      <c r="G19" s="185"/>
      <c r="H19" s="185"/>
      <c r="I19" s="185"/>
      <c r="J19" s="185"/>
      <c r="K19" s="191"/>
      <c r="L19" s="185"/>
    </row>
    <row r="20" spans="1:15" x14ac:dyDescent="0.25">
      <c r="A20" s="186"/>
      <c r="L20" s="185"/>
      <c r="N20" s="179"/>
      <c r="O20" s="181"/>
    </row>
    <row r="21" spans="1:15" s="191" customFormat="1" x14ac:dyDescent="0.25">
      <c r="B21" s="192"/>
      <c r="D21" s="185"/>
      <c r="E21" s="185"/>
      <c r="F21" s="185"/>
      <c r="G21" s="185"/>
      <c r="H21" s="185"/>
      <c r="I21" s="185"/>
      <c r="J21" s="185"/>
      <c r="L21" s="185"/>
    </row>
    <row r="22" spans="1:15" s="191" customFormat="1" x14ac:dyDescent="0.25">
      <c r="D22" s="185"/>
      <c r="E22" s="185"/>
      <c r="F22" s="185"/>
      <c r="G22" s="185"/>
      <c r="H22" s="185"/>
      <c r="I22" s="185"/>
      <c r="J22" s="185"/>
      <c r="L22" s="185"/>
    </row>
    <row r="23" spans="1:15" s="191" customFormat="1" x14ac:dyDescent="0.25">
      <c r="D23" s="185"/>
      <c r="E23" s="185"/>
      <c r="F23" s="185"/>
      <c r="G23" s="185"/>
      <c r="H23" s="185"/>
      <c r="I23" s="185"/>
      <c r="J23" s="185"/>
      <c r="L23" s="185"/>
    </row>
    <row r="24" spans="1:15" s="191" customFormat="1" x14ac:dyDescent="0.25">
      <c r="D24" s="185"/>
      <c r="E24" s="185"/>
      <c r="F24" s="185"/>
      <c r="G24" s="185"/>
      <c r="H24" s="185"/>
      <c r="I24" s="185"/>
      <c r="J24" s="185"/>
      <c r="L24" s="185"/>
    </row>
    <row r="25" spans="1:15" s="191" customFormat="1" x14ac:dyDescent="0.25">
      <c r="D25" s="185"/>
      <c r="E25" s="185"/>
      <c r="F25" s="185"/>
      <c r="G25" s="185"/>
      <c r="H25" s="185"/>
      <c r="I25" s="185"/>
      <c r="J25" s="185"/>
      <c r="L25" s="185"/>
    </row>
    <row r="26" spans="1:15" s="191" customFormat="1" x14ac:dyDescent="0.25">
      <c r="D26" s="185"/>
      <c r="E26" s="185"/>
      <c r="F26" s="185"/>
      <c r="G26" s="185"/>
      <c r="H26" s="185"/>
      <c r="I26" s="185"/>
      <c r="J26" s="185"/>
      <c r="L26" s="185"/>
    </row>
    <row r="27" spans="1:15" s="191" customFormat="1" x14ac:dyDescent="0.25">
      <c r="D27" s="185"/>
      <c r="E27" s="185"/>
      <c r="F27" s="185"/>
      <c r="G27" s="185"/>
      <c r="H27" s="185"/>
      <c r="I27" s="185"/>
      <c r="J27" s="185"/>
      <c r="L27" s="185"/>
    </row>
    <row r="28" spans="1:15" s="191" customFormat="1" x14ac:dyDescent="0.25">
      <c r="D28" s="185"/>
      <c r="E28" s="185"/>
      <c r="F28" s="185"/>
      <c r="G28" s="185"/>
      <c r="H28" s="185"/>
      <c r="I28" s="185"/>
      <c r="J28" s="185"/>
      <c r="L28" s="185"/>
    </row>
    <row r="29" spans="1:15" s="191" customFormat="1" x14ac:dyDescent="0.25">
      <c r="D29" s="185"/>
      <c r="E29" s="185"/>
      <c r="F29" s="185"/>
      <c r="G29" s="185"/>
      <c r="H29" s="185"/>
      <c r="I29" s="185"/>
      <c r="J29" s="185"/>
      <c r="L29" s="185"/>
    </row>
    <row r="30" spans="1:15" s="191" customFormat="1" x14ac:dyDescent="0.25">
      <c r="D30" s="185"/>
      <c r="E30" s="185"/>
      <c r="F30" s="185"/>
      <c r="G30" s="185"/>
      <c r="H30" s="185"/>
      <c r="I30" s="185"/>
      <c r="J30" s="185"/>
      <c r="L30" s="185"/>
    </row>
    <row r="31" spans="1:15" s="191" customFormat="1" x14ac:dyDescent="0.25">
      <c r="D31" s="185"/>
      <c r="E31" s="185"/>
      <c r="F31" s="185"/>
      <c r="G31" s="185"/>
      <c r="H31" s="185"/>
      <c r="I31" s="185"/>
      <c r="J31" s="185"/>
      <c r="L31" s="185"/>
    </row>
    <row r="32" spans="1:15" s="191" customFormat="1" x14ac:dyDescent="0.25">
      <c r="D32" s="185"/>
      <c r="E32" s="185"/>
      <c r="F32" s="185"/>
      <c r="G32" s="185"/>
      <c r="H32" s="185"/>
      <c r="I32" s="185"/>
      <c r="J32" s="185"/>
      <c r="L32" s="185"/>
    </row>
    <row r="33" spans="4:12" s="191" customFormat="1" x14ac:dyDescent="0.25">
      <c r="D33" s="185"/>
      <c r="E33" s="185"/>
      <c r="F33" s="185"/>
      <c r="G33" s="185"/>
      <c r="H33" s="185"/>
      <c r="I33" s="185"/>
      <c r="J33" s="185"/>
      <c r="L33" s="185"/>
    </row>
    <row r="34" spans="4:12" s="191" customFormat="1" x14ac:dyDescent="0.25">
      <c r="D34" s="185"/>
      <c r="E34" s="185"/>
      <c r="F34" s="185"/>
      <c r="G34" s="185"/>
      <c r="H34" s="185"/>
      <c r="I34" s="185"/>
      <c r="J34" s="185"/>
      <c r="L34" s="185"/>
    </row>
    <row r="35" spans="4:12" s="191" customFormat="1" x14ac:dyDescent="0.25">
      <c r="D35" s="185"/>
      <c r="E35" s="185"/>
      <c r="F35" s="185"/>
      <c r="G35" s="185"/>
      <c r="H35" s="185"/>
      <c r="I35" s="185"/>
      <c r="J35" s="185"/>
      <c r="L35" s="185"/>
    </row>
    <row r="36" spans="4:12" s="191" customFormat="1" x14ac:dyDescent="0.25">
      <c r="D36" s="185"/>
      <c r="E36" s="185"/>
      <c r="F36" s="185"/>
      <c r="G36" s="185"/>
      <c r="H36" s="185"/>
      <c r="I36" s="185"/>
      <c r="J36" s="185"/>
      <c r="L36" s="185"/>
    </row>
    <row r="37" spans="4:12" s="191" customFormat="1" x14ac:dyDescent="0.25">
      <c r="D37" s="185"/>
      <c r="E37" s="185"/>
      <c r="F37" s="185"/>
      <c r="G37" s="185"/>
      <c r="H37" s="185"/>
      <c r="I37" s="185"/>
      <c r="J37" s="185"/>
      <c r="L37" s="185"/>
    </row>
    <row r="38" spans="4:12" s="191" customFormat="1" x14ac:dyDescent="0.25">
      <c r="D38" s="185"/>
      <c r="E38" s="185"/>
      <c r="F38" s="185"/>
      <c r="G38" s="185"/>
      <c r="H38" s="185"/>
      <c r="I38" s="185"/>
      <c r="J38" s="185"/>
      <c r="L38" s="185"/>
    </row>
    <row r="39" spans="4:12" s="191" customFormat="1" x14ac:dyDescent="0.25">
      <c r="D39" s="185"/>
      <c r="E39" s="185"/>
      <c r="F39" s="185"/>
      <c r="G39" s="185"/>
      <c r="H39" s="185"/>
      <c r="I39" s="185"/>
      <c r="J39" s="185"/>
      <c r="L39" s="185"/>
    </row>
    <row r="40" spans="4:12" s="191" customFormat="1" x14ac:dyDescent="0.25">
      <c r="D40" s="185"/>
      <c r="E40" s="185"/>
      <c r="F40" s="185"/>
      <c r="G40" s="185"/>
      <c r="H40" s="185"/>
      <c r="I40" s="185"/>
      <c r="J40" s="185"/>
      <c r="L40" s="185"/>
    </row>
    <row r="41" spans="4:12" s="191" customFormat="1" x14ac:dyDescent="0.25">
      <c r="D41" s="185"/>
      <c r="E41" s="185"/>
      <c r="F41" s="185"/>
      <c r="G41" s="185"/>
      <c r="H41" s="185"/>
      <c r="I41" s="185"/>
      <c r="J41" s="185"/>
      <c r="L41" s="185"/>
    </row>
    <row r="42" spans="4:12" s="191" customFormat="1" x14ac:dyDescent="0.25">
      <c r="D42" s="185"/>
      <c r="E42" s="185"/>
      <c r="F42" s="185"/>
      <c r="G42" s="185"/>
      <c r="H42" s="185"/>
      <c r="I42" s="185"/>
      <c r="J42" s="185"/>
      <c r="L42" s="185"/>
    </row>
    <row r="43" spans="4:12" s="191" customFormat="1" x14ac:dyDescent="0.25">
      <c r="D43" s="185"/>
      <c r="E43" s="185"/>
      <c r="F43" s="185"/>
      <c r="G43" s="185"/>
      <c r="H43" s="185"/>
      <c r="I43" s="185"/>
      <c r="J43" s="185"/>
      <c r="L43" s="185"/>
    </row>
    <row r="44" spans="4:12" s="191" customFormat="1" x14ac:dyDescent="0.25">
      <c r="D44" s="185"/>
      <c r="E44" s="185"/>
      <c r="F44" s="185"/>
      <c r="G44" s="185"/>
      <c r="H44" s="185"/>
      <c r="I44" s="185"/>
      <c r="J44" s="185"/>
      <c r="L44" s="185"/>
    </row>
    <row r="45" spans="4:12" s="191" customFormat="1" x14ac:dyDescent="0.25">
      <c r="D45" s="185"/>
      <c r="E45" s="185"/>
      <c r="F45" s="185"/>
      <c r="G45" s="185"/>
      <c r="H45" s="185"/>
      <c r="I45" s="185"/>
      <c r="J45" s="185"/>
      <c r="L45" s="185"/>
    </row>
    <row r="46" spans="4:12" s="191" customFormat="1" x14ac:dyDescent="0.25">
      <c r="D46" s="185"/>
      <c r="E46" s="185"/>
      <c r="F46" s="185"/>
      <c r="G46" s="185"/>
      <c r="H46" s="185"/>
      <c r="I46" s="185"/>
      <c r="J46" s="185"/>
      <c r="L46" s="185"/>
    </row>
    <row r="47" spans="4:12" s="191" customFormat="1" x14ac:dyDescent="0.25">
      <c r="D47" s="185"/>
      <c r="E47" s="185"/>
      <c r="F47" s="185"/>
      <c r="G47" s="185"/>
      <c r="H47" s="185"/>
      <c r="I47" s="185"/>
      <c r="J47" s="185"/>
      <c r="L47" s="185"/>
    </row>
    <row r="48" spans="4:12" s="191" customFormat="1" x14ac:dyDescent="0.25">
      <c r="D48" s="185"/>
      <c r="E48" s="185"/>
      <c r="F48" s="185"/>
      <c r="G48" s="185"/>
      <c r="H48" s="185"/>
      <c r="I48" s="185"/>
      <c r="J48" s="185"/>
      <c r="L48" s="185"/>
    </row>
    <row r="49" spans="4:12" s="191" customFormat="1" x14ac:dyDescent="0.25">
      <c r="D49" s="185"/>
      <c r="E49" s="185"/>
      <c r="F49" s="185"/>
      <c r="G49" s="185"/>
      <c r="H49" s="185"/>
      <c r="I49" s="185"/>
      <c r="J49" s="185"/>
      <c r="L49" s="185"/>
    </row>
    <row r="50" spans="4:12" s="191" customFormat="1" x14ac:dyDescent="0.25">
      <c r="D50" s="185"/>
      <c r="E50" s="185"/>
      <c r="F50" s="185"/>
      <c r="G50" s="185"/>
      <c r="H50" s="185"/>
      <c r="I50" s="185"/>
      <c r="J50" s="185"/>
      <c r="L50" s="185"/>
    </row>
    <row r="51" spans="4:12" s="191" customFormat="1" x14ac:dyDescent="0.25">
      <c r="D51" s="185"/>
      <c r="E51" s="185"/>
      <c r="F51" s="185"/>
      <c r="G51" s="185"/>
      <c r="H51" s="185"/>
      <c r="I51" s="185"/>
      <c r="J51" s="185"/>
      <c r="L51" s="185"/>
    </row>
    <row r="52" spans="4:12" s="191" customFormat="1" x14ac:dyDescent="0.25">
      <c r="D52" s="185"/>
      <c r="E52" s="185"/>
      <c r="F52" s="185"/>
      <c r="G52" s="185"/>
      <c r="H52" s="185"/>
      <c r="I52" s="185"/>
      <c r="J52" s="185"/>
      <c r="L52" s="185"/>
    </row>
    <row r="53" spans="4:12" s="191" customFormat="1" x14ac:dyDescent="0.25">
      <c r="D53" s="185"/>
      <c r="E53" s="185"/>
      <c r="F53" s="185"/>
      <c r="G53" s="185"/>
      <c r="H53" s="185"/>
      <c r="I53" s="185"/>
      <c r="J53" s="185"/>
      <c r="L53" s="185"/>
    </row>
    <row r="54" spans="4:12" s="191" customFormat="1" x14ac:dyDescent="0.25">
      <c r="D54" s="185"/>
      <c r="E54" s="185"/>
      <c r="F54" s="185"/>
      <c r="G54" s="185"/>
      <c r="H54" s="185"/>
      <c r="I54" s="185"/>
      <c r="J54" s="185"/>
      <c r="L54" s="185"/>
    </row>
    <row r="55" spans="4:12" s="191" customFormat="1" x14ac:dyDescent="0.25">
      <c r="D55" s="185"/>
      <c r="E55" s="185"/>
      <c r="F55" s="185"/>
      <c r="G55" s="185"/>
      <c r="H55" s="185"/>
      <c r="I55" s="185"/>
      <c r="J55" s="185"/>
      <c r="L55" s="185"/>
    </row>
    <row r="56" spans="4:12" s="191" customFormat="1" x14ac:dyDescent="0.25">
      <c r="D56" s="185"/>
      <c r="E56" s="185"/>
      <c r="F56" s="185"/>
      <c r="G56" s="185"/>
      <c r="H56" s="185"/>
      <c r="I56" s="185"/>
      <c r="J56" s="185"/>
      <c r="L56" s="185"/>
    </row>
    <row r="57" spans="4:12" s="191" customFormat="1" x14ac:dyDescent="0.25">
      <c r="D57" s="185"/>
      <c r="E57" s="185"/>
      <c r="F57" s="185"/>
      <c r="G57" s="185"/>
      <c r="H57" s="185"/>
      <c r="I57" s="185"/>
      <c r="J57" s="185"/>
      <c r="L57" s="185"/>
    </row>
    <row r="58" spans="4:12" s="191" customFormat="1" x14ac:dyDescent="0.25">
      <c r="D58" s="185"/>
      <c r="E58" s="185"/>
      <c r="F58" s="185"/>
      <c r="G58" s="185"/>
      <c r="H58" s="185"/>
      <c r="I58" s="185"/>
      <c r="J58" s="185"/>
      <c r="L58" s="185"/>
    </row>
    <row r="59" spans="4:12" s="191" customFormat="1" x14ac:dyDescent="0.25">
      <c r="D59" s="185"/>
      <c r="E59" s="185"/>
      <c r="F59" s="185"/>
      <c r="G59" s="185"/>
      <c r="H59" s="185"/>
      <c r="I59" s="185"/>
      <c r="J59" s="185"/>
      <c r="L59" s="185"/>
    </row>
    <row r="60" spans="4:12" s="191" customFormat="1" x14ac:dyDescent="0.25">
      <c r="D60" s="185"/>
      <c r="E60" s="185"/>
      <c r="F60" s="185"/>
      <c r="G60" s="185"/>
      <c r="H60" s="185"/>
      <c r="I60" s="185"/>
      <c r="J60" s="185"/>
      <c r="L60" s="185"/>
    </row>
  </sheetData>
  <mergeCells count="2">
    <mergeCell ref="A1:O1"/>
    <mergeCell ref="A2:O2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020"/>
  <sheetViews>
    <sheetView workbookViewId="0">
      <selection sqref="A1:N1"/>
    </sheetView>
  </sheetViews>
  <sheetFormatPr defaultRowHeight="12.75" x14ac:dyDescent="0.2"/>
  <cols>
    <col min="1" max="1" width="15.28515625" style="93" bestFit="1" customWidth="1"/>
    <col min="2" max="2" width="36.28515625" style="93" bestFit="1" customWidth="1"/>
    <col min="3" max="3" width="19.85546875" style="37" customWidth="1"/>
    <col min="4" max="16384" width="9.140625" style="3"/>
  </cols>
  <sheetData>
    <row r="1" spans="1:17" x14ac:dyDescent="0.2">
      <c r="A1" s="203" t="s">
        <v>0</v>
      </c>
      <c r="B1" s="203"/>
      <c r="C1" s="203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x14ac:dyDescent="0.2">
      <c r="A2" s="208" t="s">
        <v>489</v>
      </c>
      <c r="B2" s="203"/>
      <c r="C2" s="203"/>
    </row>
    <row r="3" spans="1:17" x14ac:dyDescent="0.2">
      <c r="A3" s="203" t="s">
        <v>3450</v>
      </c>
      <c r="B3" s="203"/>
      <c r="C3" s="203"/>
    </row>
    <row r="5" spans="1:17" x14ac:dyDescent="0.2">
      <c r="A5" s="171" t="s">
        <v>490</v>
      </c>
      <c r="B5" s="171" t="s">
        <v>491</v>
      </c>
      <c r="C5" s="172" t="s">
        <v>492</v>
      </c>
    </row>
    <row r="6" spans="1:17" x14ac:dyDescent="0.2">
      <c r="A6" s="173" t="s">
        <v>493</v>
      </c>
      <c r="B6" s="3" t="s">
        <v>494</v>
      </c>
      <c r="C6" s="15">
        <v>303064.60000000003</v>
      </c>
    </row>
    <row r="7" spans="1:17" x14ac:dyDescent="0.2">
      <c r="A7" s="173" t="s">
        <v>495</v>
      </c>
      <c r="B7" s="3" t="s">
        <v>496</v>
      </c>
      <c r="C7" s="15">
        <v>3271.6000000000004</v>
      </c>
    </row>
    <row r="8" spans="1:17" x14ac:dyDescent="0.2">
      <c r="A8" s="173" t="s">
        <v>497</v>
      </c>
      <c r="B8" s="3" t="s">
        <v>498</v>
      </c>
      <c r="C8" s="15">
        <v>32099.91999999998</v>
      </c>
    </row>
    <row r="9" spans="1:17" x14ac:dyDescent="0.2">
      <c r="A9" s="173" t="s">
        <v>499</v>
      </c>
      <c r="B9" s="3" t="s">
        <v>500</v>
      </c>
      <c r="C9" s="15">
        <v>19622.589999999997</v>
      </c>
    </row>
    <row r="10" spans="1:17" x14ac:dyDescent="0.2">
      <c r="A10" s="173" t="s">
        <v>501</v>
      </c>
      <c r="B10" s="3" t="s">
        <v>502</v>
      </c>
      <c r="C10" s="15">
        <v>194294.0499999999</v>
      </c>
    </row>
    <row r="11" spans="1:17" x14ac:dyDescent="0.2">
      <c r="A11" s="173" t="s">
        <v>503</v>
      </c>
      <c r="B11" s="3" t="s">
        <v>504</v>
      </c>
      <c r="C11" s="15">
        <v>340.03999999999996</v>
      </c>
    </row>
    <row r="12" spans="1:17" x14ac:dyDescent="0.2">
      <c r="A12" s="173" t="s">
        <v>505</v>
      </c>
      <c r="B12" s="3" t="s">
        <v>506</v>
      </c>
      <c r="C12" s="15">
        <v>333.83999999999992</v>
      </c>
    </row>
    <row r="13" spans="1:17" x14ac:dyDescent="0.2">
      <c r="A13" s="173" t="s">
        <v>507</v>
      </c>
      <c r="B13" s="3" t="s">
        <v>508</v>
      </c>
      <c r="C13" s="15">
        <v>63839.32999999998</v>
      </c>
    </row>
    <row r="14" spans="1:17" x14ac:dyDescent="0.2">
      <c r="A14" s="173" t="s">
        <v>509</v>
      </c>
      <c r="B14" s="3" t="s">
        <v>510</v>
      </c>
      <c r="C14" s="15">
        <v>11574.220000000001</v>
      </c>
    </row>
    <row r="15" spans="1:17" x14ac:dyDescent="0.2">
      <c r="A15" s="173" t="s">
        <v>511</v>
      </c>
      <c r="B15" s="3" t="s">
        <v>512</v>
      </c>
      <c r="C15" s="15">
        <v>195657.91000000003</v>
      </c>
    </row>
    <row r="16" spans="1:17" x14ac:dyDescent="0.2">
      <c r="A16" s="173" t="s">
        <v>513</v>
      </c>
      <c r="B16" s="3" t="s">
        <v>514</v>
      </c>
      <c r="C16" s="15">
        <v>-438.68000000000046</v>
      </c>
    </row>
    <row r="17" spans="1:3" x14ac:dyDescent="0.2">
      <c r="A17" s="173" t="s">
        <v>515</v>
      </c>
      <c r="B17" s="3" t="s">
        <v>516</v>
      </c>
      <c r="C17" s="15">
        <v>163770.09</v>
      </c>
    </row>
    <row r="18" spans="1:3" x14ac:dyDescent="0.2">
      <c r="A18" s="173" t="s">
        <v>517</v>
      </c>
      <c r="B18" s="3" t="s">
        <v>518</v>
      </c>
      <c r="C18" s="15">
        <v>0</v>
      </c>
    </row>
    <row r="19" spans="1:3" x14ac:dyDescent="0.2">
      <c r="A19" s="173" t="s">
        <v>519</v>
      </c>
      <c r="B19" s="3" t="s">
        <v>520</v>
      </c>
      <c r="C19" s="15">
        <v>95888.919999999984</v>
      </c>
    </row>
    <row r="20" spans="1:3" x14ac:dyDescent="0.2">
      <c r="A20" s="173" t="s">
        <v>521</v>
      </c>
      <c r="B20" s="3" t="s">
        <v>522</v>
      </c>
      <c r="C20" s="15">
        <v>73347.5</v>
      </c>
    </row>
    <row r="21" spans="1:3" x14ac:dyDescent="0.2">
      <c r="A21" s="173" t="s">
        <v>523</v>
      </c>
      <c r="B21" s="3" t="s">
        <v>524</v>
      </c>
      <c r="C21" s="15">
        <v>8769.34</v>
      </c>
    </row>
    <row r="22" spans="1:3" x14ac:dyDescent="0.2">
      <c r="A22" s="173" t="s">
        <v>525</v>
      </c>
      <c r="B22" s="3" t="s">
        <v>526</v>
      </c>
      <c r="C22" s="15">
        <v>868207.2899999998</v>
      </c>
    </row>
    <row r="23" spans="1:3" x14ac:dyDescent="0.2">
      <c r="A23" s="173" t="s">
        <v>527</v>
      </c>
      <c r="B23" s="3" t="s">
        <v>528</v>
      </c>
      <c r="C23" s="15">
        <v>7532.8</v>
      </c>
    </row>
    <row r="24" spans="1:3" x14ac:dyDescent="0.2">
      <c r="A24" s="173" t="s">
        <v>529</v>
      </c>
      <c r="B24" s="3" t="s">
        <v>530</v>
      </c>
      <c r="C24" s="15">
        <v>105746.3</v>
      </c>
    </row>
    <row r="25" spans="1:3" x14ac:dyDescent="0.2">
      <c r="A25" s="173" t="s">
        <v>531</v>
      </c>
      <c r="B25" s="3" t="s">
        <v>532</v>
      </c>
      <c r="C25" s="15">
        <v>27299.809999999998</v>
      </c>
    </row>
    <row r="26" spans="1:3" x14ac:dyDescent="0.2">
      <c r="A26" s="173" t="s">
        <v>533</v>
      </c>
      <c r="B26" s="3" t="s">
        <v>534</v>
      </c>
      <c r="C26" s="15">
        <v>1702.0900000000001</v>
      </c>
    </row>
    <row r="27" spans="1:3" x14ac:dyDescent="0.2">
      <c r="A27" s="173" t="s">
        <v>535</v>
      </c>
      <c r="B27" s="3" t="s">
        <v>536</v>
      </c>
      <c r="C27" s="15">
        <v>24694.860000000004</v>
      </c>
    </row>
    <row r="28" spans="1:3" x14ac:dyDescent="0.2">
      <c r="A28" s="173" t="s">
        <v>537</v>
      </c>
      <c r="B28" s="3" t="s">
        <v>538</v>
      </c>
      <c r="C28" s="15">
        <v>2032.4200000000005</v>
      </c>
    </row>
    <row r="29" spans="1:3" x14ac:dyDescent="0.2">
      <c r="A29" s="173" t="s">
        <v>539</v>
      </c>
      <c r="B29" s="3" t="s">
        <v>540</v>
      </c>
      <c r="C29" s="15">
        <v>11341.78</v>
      </c>
    </row>
    <row r="30" spans="1:3" x14ac:dyDescent="0.2">
      <c r="A30" s="173" t="s">
        <v>541</v>
      </c>
      <c r="B30" s="3" t="s">
        <v>542</v>
      </c>
      <c r="C30" s="15">
        <v>50770.939999999995</v>
      </c>
    </row>
    <row r="31" spans="1:3" x14ac:dyDescent="0.2">
      <c r="A31" s="173" t="s">
        <v>543</v>
      </c>
      <c r="B31" s="3" t="s">
        <v>544</v>
      </c>
      <c r="C31" s="15">
        <v>139175.54000000004</v>
      </c>
    </row>
    <row r="32" spans="1:3" x14ac:dyDescent="0.2">
      <c r="A32" s="173" t="s">
        <v>545</v>
      </c>
      <c r="B32" s="3" t="s">
        <v>546</v>
      </c>
      <c r="C32" s="15">
        <v>1363.5</v>
      </c>
    </row>
    <row r="33" spans="1:3" x14ac:dyDescent="0.2">
      <c r="A33" s="173" t="s">
        <v>547</v>
      </c>
      <c r="B33" s="3" t="s">
        <v>548</v>
      </c>
      <c r="C33" s="15">
        <v>18586.879999999994</v>
      </c>
    </row>
    <row r="34" spans="1:3" x14ac:dyDescent="0.2">
      <c r="A34" s="173" t="s">
        <v>549</v>
      </c>
      <c r="B34" s="3" t="s">
        <v>550</v>
      </c>
      <c r="C34" s="15">
        <v>1329981.4999999995</v>
      </c>
    </row>
    <row r="35" spans="1:3" x14ac:dyDescent="0.2">
      <c r="A35" s="173" t="s">
        <v>551</v>
      </c>
      <c r="B35" s="3" t="s">
        <v>552</v>
      </c>
      <c r="C35" s="15">
        <v>482194.9499999999</v>
      </c>
    </row>
    <row r="36" spans="1:3" x14ac:dyDescent="0.2">
      <c r="A36" s="173" t="s">
        <v>553</v>
      </c>
      <c r="B36" s="3" t="s">
        <v>554</v>
      </c>
      <c r="C36" s="15">
        <v>0</v>
      </c>
    </row>
    <row r="37" spans="1:3" x14ac:dyDescent="0.2">
      <c r="A37" s="173" t="s">
        <v>555</v>
      </c>
      <c r="B37" s="3" t="s">
        <v>556</v>
      </c>
      <c r="C37" s="15">
        <v>0</v>
      </c>
    </row>
    <row r="38" spans="1:3" x14ac:dyDescent="0.2">
      <c r="A38" s="173" t="s">
        <v>557</v>
      </c>
      <c r="B38" s="3" t="s">
        <v>558</v>
      </c>
      <c r="C38" s="15">
        <v>79023.069999999992</v>
      </c>
    </row>
    <row r="39" spans="1:3" x14ac:dyDescent="0.2">
      <c r="A39" s="173" t="s">
        <v>559</v>
      </c>
      <c r="B39" s="3" t="s">
        <v>560</v>
      </c>
      <c r="C39" s="15">
        <v>0</v>
      </c>
    </row>
    <row r="40" spans="1:3" x14ac:dyDescent="0.2">
      <c r="A40" s="173" t="s">
        <v>561</v>
      </c>
      <c r="B40" s="3" t="s">
        <v>562</v>
      </c>
      <c r="C40" s="15">
        <v>12860.880000000001</v>
      </c>
    </row>
    <row r="41" spans="1:3" x14ac:dyDescent="0.2">
      <c r="A41" s="173" t="s">
        <v>563</v>
      </c>
      <c r="B41" s="3" t="s">
        <v>564</v>
      </c>
      <c r="C41" s="15">
        <v>19633.16</v>
      </c>
    </row>
    <row r="42" spans="1:3" x14ac:dyDescent="0.2">
      <c r="A42" s="173" t="s">
        <v>565</v>
      </c>
      <c r="B42" s="3" t="s">
        <v>566</v>
      </c>
      <c r="C42" s="15">
        <v>52818.880000000005</v>
      </c>
    </row>
    <row r="43" spans="1:3" x14ac:dyDescent="0.2">
      <c r="A43" s="173" t="s">
        <v>567</v>
      </c>
      <c r="B43" s="3" t="s">
        <v>568</v>
      </c>
      <c r="C43" s="15">
        <v>-3736.68</v>
      </c>
    </row>
    <row r="44" spans="1:3" x14ac:dyDescent="0.2">
      <c r="A44" s="173" t="s">
        <v>569</v>
      </c>
      <c r="B44" s="3" t="s">
        <v>570</v>
      </c>
      <c r="C44" s="15">
        <v>-87559.16</v>
      </c>
    </row>
    <row r="45" spans="1:3" x14ac:dyDescent="0.2">
      <c r="A45" s="173" t="s">
        <v>571</v>
      </c>
      <c r="B45" s="3" t="s">
        <v>572</v>
      </c>
      <c r="C45" s="15">
        <v>132704.62999999995</v>
      </c>
    </row>
    <row r="46" spans="1:3" x14ac:dyDescent="0.2">
      <c r="A46" s="173" t="s">
        <v>573</v>
      </c>
      <c r="B46" s="3" t="s">
        <v>574</v>
      </c>
      <c r="C46" s="15">
        <v>94707.49000000002</v>
      </c>
    </row>
    <row r="47" spans="1:3" x14ac:dyDescent="0.2">
      <c r="A47" s="173" t="s">
        <v>575</v>
      </c>
      <c r="B47" s="3" t="s">
        <v>576</v>
      </c>
      <c r="C47" s="15">
        <v>100719.23</v>
      </c>
    </row>
    <row r="48" spans="1:3" x14ac:dyDescent="0.2">
      <c r="A48" s="173" t="s">
        <v>577</v>
      </c>
      <c r="B48" s="3" t="s">
        <v>578</v>
      </c>
      <c r="C48" s="15">
        <v>75124.159999999989</v>
      </c>
    </row>
    <row r="49" spans="1:3" x14ac:dyDescent="0.2">
      <c r="A49" s="173" t="s">
        <v>579</v>
      </c>
      <c r="B49" s="3" t="s">
        <v>580</v>
      </c>
      <c r="C49" s="15">
        <v>-3.6299999999998818</v>
      </c>
    </row>
    <row r="50" spans="1:3" x14ac:dyDescent="0.2">
      <c r="A50" s="173" t="s">
        <v>581</v>
      </c>
      <c r="B50" s="3" t="s">
        <v>582</v>
      </c>
      <c r="C50" s="15">
        <v>93265.15</v>
      </c>
    </row>
    <row r="51" spans="1:3" x14ac:dyDescent="0.2">
      <c r="A51" s="173" t="s">
        <v>583</v>
      </c>
      <c r="B51" s="3" t="s">
        <v>584</v>
      </c>
      <c r="C51" s="15">
        <v>12484.74</v>
      </c>
    </row>
    <row r="52" spans="1:3" x14ac:dyDescent="0.2">
      <c r="A52" s="173" t="s">
        <v>585</v>
      </c>
      <c r="B52" s="3" t="s">
        <v>586</v>
      </c>
      <c r="C52" s="15">
        <v>0</v>
      </c>
    </row>
    <row r="53" spans="1:3" x14ac:dyDescent="0.2">
      <c r="A53" s="173" t="s">
        <v>587</v>
      </c>
      <c r="B53" s="3" t="s">
        <v>588</v>
      </c>
      <c r="C53" s="15">
        <v>234.71</v>
      </c>
    </row>
    <row r="54" spans="1:3" x14ac:dyDescent="0.2">
      <c r="A54" s="173" t="s">
        <v>589</v>
      </c>
      <c r="B54" s="3" t="s">
        <v>590</v>
      </c>
      <c r="C54" s="15">
        <v>50442.039999999994</v>
      </c>
    </row>
    <row r="55" spans="1:3" x14ac:dyDescent="0.2">
      <c r="A55" s="173" t="s">
        <v>591</v>
      </c>
      <c r="B55" s="3" t="s">
        <v>592</v>
      </c>
      <c r="C55" s="15">
        <v>3918.66</v>
      </c>
    </row>
    <row r="56" spans="1:3" x14ac:dyDescent="0.2">
      <c r="A56" s="173" t="s">
        <v>593</v>
      </c>
      <c r="B56" s="3" t="s">
        <v>594</v>
      </c>
      <c r="C56" s="15">
        <v>15824.720000000001</v>
      </c>
    </row>
    <row r="57" spans="1:3" x14ac:dyDescent="0.2">
      <c r="A57" s="173" t="s">
        <v>595</v>
      </c>
      <c r="B57" s="3" t="s">
        <v>596</v>
      </c>
      <c r="C57" s="15">
        <v>16326.209999999995</v>
      </c>
    </row>
    <row r="58" spans="1:3" x14ac:dyDescent="0.2">
      <c r="A58" s="173" t="s">
        <v>597</v>
      </c>
      <c r="B58" s="3" t="s">
        <v>598</v>
      </c>
      <c r="C58" s="15">
        <v>8040.8000000000011</v>
      </c>
    </row>
    <row r="59" spans="1:3" x14ac:dyDescent="0.2">
      <c r="A59" s="173" t="s">
        <v>599</v>
      </c>
      <c r="B59" s="3" t="s">
        <v>600</v>
      </c>
      <c r="C59" s="15">
        <v>165322.41999999995</v>
      </c>
    </row>
    <row r="60" spans="1:3" x14ac:dyDescent="0.2">
      <c r="A60" s="173" t="s">
        <v>601</v>
      </c>
      <c r="B60" s="3" t="s">
        <v>602</v>
      </c>
      <c r="C60" s="15">
        <v>24043.150000000009</v>
      </c>
    </row>
    <row r="61" spans="1:3" x14ac:dyDescent="0.2">
      <c r="A61" s="173" t="s">
        <v>603</v>
      </c>
      <c r="B61" s="3" t="s">
        <v>604</v>
      </c>
      <c r="C61" s="15">
        <v>-14364.240000000002</v>
      </c>
    </row>
    <row r="62" spans="1:3" x14ac:dyDescent="0.2">
      <c r="A62" s="173" t="s">
        <v>605</v>
      </c>
      <c r="B62" s="3" t="s">
        <v>606</v>
      </c>
      <c r="C62" s="15">
        <v>3.5699999999999932</v>
      </c>
    </row>
    <row r="63" spans="1:3" x14ac:dyDescent="0.2">
      <c r="A63" s="173" t="s">
        <v>607</v>
      </c>
      <c r="B63" s="3" t="s">
        <v>608</v>
      </c>
      <c r="C63" s="15">
        <v>-21613.56</v>
      </c>
    </row>
    <row r="64" spans="1:3" x14ac:dyDescent="0.2">
      <c r="A64" s="173" t="s">
        <v>609</v>
      </c>
      <c r="B64" s="3" t="s">
        <v>610</v>
      </c>
      <c r="C64" s="15">
        <v>17861.35999999999</v>
      </c>
    </row>
    <row r="65" spans="1:3" x14ac:dyDescent="0.2">
      <c r="A65" s="173" t="s">
        <v>611</v>
      </c>
      <c r="B65" s="3" t="s">
        <v>612</v>
      </c>
      <c r="C65" s="15">
        <v>0</v>
      </c>
    </row>
    <row r="66" spans="1:3" x14ac:dyDescent="0.2">
      <c r="A66" s="173" t="s">
        <v>613</v>
      </c>
      <c r="B66" s="3" t="s">
        <v>614</v>
      </c>
      <c r="C66" s="15">
        <v>14477.230000000001</v>
      </c>
    </row>
    <row r="67" spans="1:3" x14ac:dyDescent="0.2">
      <c r="A67" s="173" t="s">
        <v>615</v>
      </c>
      <c r="B67" s="3" t="s">
        <v>616</v>
      </c>
      <c r="C67" s="15">
        <v>-2234.4</v>
      </c>
    </row>
    <row r="68" spans="1:3" x14ac:dyDescent="0.2">
      <c r="A68" s="173" t="s">
        <v>617</v>
      </c>
      <c r="B68" s="3" t="s">
        <v>618</v>
      </c>
      <c r="C68" s="15">
        <v>88450.17</v>
      </c>
    </row>
    <row r="69" spans="1:3" x14ac:dyDescent="0.2">
      <c r="A69" s="173" t="s">
        <v>619</v>
      </c>
      <c r="B69" s="3" t="s">
        <v>620</v>
      </c>
      <c r="C69" s="15">
        <v>44063.27</v>
      </c>
    </row>
    <row r="70" spans="1:3" x14ac:dyDescent="0.2">
      <c r="A70" s="173" t="s">
        <v>621</v>
      </c>
      <c r="B70" s="3" t="s">
        <v>622</v>
      </c>
      <c r="C70" s="15">
        <v>2234.39</v>
      </c>
    </row>
    <row r="71" spans="1:3" x14ac:dyDescent="0.2">
      <c r="A71" s="173" t="s">
        <v>623</v>
      </c>
      <c r="B71" s="3" t="s">
        <v>624</v>
      </c>
      <c r="C71" s="15">
        <v>121758.64000000004</v>
      </c>
    </row>
    <row r="72" spans="1:3" x14ac:dyDescent="0.2">
      <c r="A72" s="173" t="s">
        <v>625</v>
      </c>
      <c r="B72" s="3" t="s">
        <v>626</v>
      </c>
      <c r="C72" s="15">
        <v>154931.12</v>
      </c>
    </row>
    <row r="73" spans="1:3" x14ac:dyDescent="0.2">
      <c r="A73" s="173" t="s">
        <v>627</v>
      </c>
      <c r="B73" s="3" t="s">
        <v>628</v>
      </c>
      <c r="C73" s="15">
        <v>31950.149999999983</v>
      </c>
    </row>
    <row r="74" spans="1:3" x14ac:dyDescent="0.2">
      <c r="A74" s="173" t="s">
        <v>629</v>
      </c>
      <c r="B74" s="3" t="s">
        <v>630</v>
      </c>
      <c r="C74" s="15">
        <v>1.3211653993039363E-14</v>
      </c>
    </row>
    <row r="75" spans="1:3" x14ac:dyDescent="0.2">
      <c r="A75" s="173" t="s">
        <v>631</v>
      </c>
      <c r="B75" s="3" t="s">
        <v>632</v>
      </c>
      <c r="C75" s="15">
        <v>1623996.4700000004</v>
      </c>
    </row>
    <row r="76" spans="1:3" x14ac:dyDescent="0.2">
      <c r="A76" s="173" t="s">
        <v>633</v>
      </c>
      <c r="B76" s="3" t="s">
        <v>634</v>
      </c>
      <c r="C76" s="15">
        <v>-1.34</v>
      </c>
    </row>
    <row r="77" spans="1:3" x14ac:dyDescent="0.2">
      <c r="A77" s="173" t="s">
        <v>635</v>
      </c>
      <c r="B77" s="3" t="s">
        <v>636</v>
      </c>
      <c r="C77" s="15">
        <v>1936</v>
      </c>
    </row>
    <row r="78" spans="1:3" x14ac:dyDescent="0.2">
      <c r="A78" s="173" t="s">
        <v>637</v>
      </c>
      <c r="B78" s="3" t="s">
        <v>638</v>
      </c>
      <c r="C78" s="15">
        <v>230443.61000000016</v>
      </c>
    </row>
    <row r="79" spans="1:3" x14ac:dyDescent="0.2">
      <c r="A79" s="173" t="s">
        <v>639</v>
      </c>
      <c r="B79" s="3" t="s">
        <v>640</v>
      </c>
      <c r="C79" s="15">
        <v>85.419999999999845</v>
      </c>
    </row>
    <row r="80" spans="1:3" x14ac:dyDescent="0.2">
      <c r="A80" s="173" t="s">
        <v>641</v>
      </c>
      <c r="B80" s="3" t="s">
        <v>642</v>
      </c>
      <c r="C80" s="15">
        <v>221165.8</v>
      </c>
    </row>
    <row r="81" spans="1:3" x14ac:dyDescent="0.2">
      <c r="A81" s="173" t="s">
        <v>643</v>
      </c>
      <c r="B81" s="3" t="s">
        <v>644</v>
      </c>
      <c r="C81" s="15">
        <v>53647.419999999991</v>
      </c>
    </row>
    <row r="82" spans="1:3" x14ac:dyDescent="0.2">
      <c r="A82" s="173" t="s">
        <v>645</v>
      </c>
      <c r="B82" s="3" t="s">
        <v>646</v>
      </c>
      <c r="C82" s="15">
        <v>-0.01</v>
      </c>
    </row>
    <row r="83" spans="1:3" x14ac:dyDescent="0.2">
      <c r="A83" s="173" t="s">
        <v>647</v>
      </c>
      <c r="B83" s="3" t="s">
        <v>648</v>
      </c>
      <c r="C83" s="15">
        <v>82902.400000000009</v>
      </c>
    </row>
    <row r="84" spans="1:3" x14ac:dyDescent="0.2">
      <c r="A84" s="173" t="s">
        <v>649</v>
      </c>
      <c r="B84" s="3" t="s">
        <v>650</v>
      </c>
      <c r="C84" s="15">
        <v>59953.890000000007</v>
      </c>
    </row>
    <row r="85" spans="1:3" x14ac:dyDescent="0.2">
      <c r="A85" s="173" t="s">
        <v>651</v>
      </c>
      <c r="B85" s="3" t="s">
        <v>652</v>
      </c>
      <c r="C85" s="15">
        <v>403249.31</v>
      </c>
    </row>
    <row r="86" spans="1:3" x14ac:dyDescent="0.2">
      <c r="A86" s="173" t="s">
        <v>653</v>
      </c>
      <c r="B86" s="3" t="s">
        <v>654</v>
      </c>
      <c r="C86" s="15">
        <v>76450.470000000016</v>
      </c>
    </row>
    <row r="87" spans="1:3" x14ac:dyDescent="0.2">
      <c r="A87" s="173" t="s">
        <v>655</v>
      </c>
      <c r="B87" s="3" t="s">
        <v>656</v>
      </c>
      <c r="C87" s="15">
        <v>16454.199999999997</v>
      </c>
    </row>
    <row r="88" spans="1:3" x14ac:dyDescent="0.2">
      <c r="A88" s="173" t="s">
        <v>657</v>
      </c>
      <c r="B88" s="3" t="s">
        <v>658</v>
      </c>
      <c r="C88" s="15">
        <v>-8.6686213762732223E-12</v>
      </c>
    </row>
    <row r="89" spans="1:3" x14ac:dyDescent="0.2">
      <c r="A89" s="173" t="s">
        <v>659</v>
      </c>
      <c r="B89" s="3" t="s">
        <v>660</v>
      </c>
      <c r="C89" s="15">
        <v>123770.44000000005</v>
      </c>
    </row>
    <row r="90" spans="1:3" x14ac:dyDescent="0.2">
      <c r="A90" s="173" t="s">
        <v>661</v>
      </c>
      <c r="B90" s="3" t="s">
        <v>662</v>
      </c>
      <c r="C90" s="15">
        <v>9591.6299999999992</v>
      </c>
    </row>
    <row r="91" spans="1:3" x14ac:dyDescent="0.2">
      <c r="A91" s="173" t="s">
        <v>663</v>
      </c>
      <c r="B91" s="3" t="s">
        <v>664</v>
      </c>
      <c r="C91" s="15">
        <v>134176.75999999983</v>
      </c>
    </row>
    <row r="92" spans="1:3" x14ac:dyDescent="0.2">
      <c r="A92" s="173" t="s">
        <v>665</v>
      </c>
      <c r="B92" s="3" t="s">
        <v>666</v>
      </c>
      <c r="C92" s="15">
        <v>326338.61</v>
      </c>
    </row>
    <row r="93" spans="1:3" x14ac:dyDescent="0.2">
      <c r="A93" s="173" t="s">
        <v>667</v>
      </c>
      <c r="B93" s="3" t="s">
        <v>668</v>
      </c>
      <c r="C93" s="15">
        <v>-3366.5699999999997</v>
      </c>
    </row>
    <row r="94" spans="1:3" x14ac:dyDescent="0.2">
      <c r="A94" s="173" t="s">
        <v>669</v>
      </c>
      <c r="B94" s="3" t="s">
        <v>670</v>
      </c>
      <c r="C94" s="15">
        <v>-85.91</v>
      </c>
    </row>
    <row r="95" spans="1:3" x14ac:dyDescent="0.2">
      <c r="A95" s="173" t="s">
        <v>671</v>
      </c>
      <c r="B95" s="3" t="s">
        <v>672</v>
      </c>
      <c r="C95" s="15">
        <v>90534.6</v>
      </c>
    </row>
    <row r="96" spans="1:3" x14ac:dyDescent="0.2">
      <c r="A96" s="173" t="s">
        <v>673</v>
      </c>
      <c r="B96" s="3" t="s">
        <v>674</v>
      </c>
      <c r="C96" s="15">
        <v>416541.79999999981</v>
      </c>
    </row>
    <row r="97" spans="1:3" x14ac:dyDescent="0.2">
      <c r="A97" s="173" t="s">
        <v>675</v>
      </c>
      <c r="B97" s="3" t="s">
        <v>676</v>
      </c>
      <c r="C97" s="15">
        <v>96848.28</v>
      </c>
    </row>
    <row r="98" spans="1:3" x14ac:dyDescent="0.2">
      <c r="A98" s="173" t="s">
        <v>677</v>
      </c>
      <c r="B98" s="3" t="s">
        <v>678</v>
      </c>
      <c r="C98" s="15">
        <v>89144.4</v>
      </c>
    </row>
    <row r="99" spans="1:3" x14ac:dyDescent="0.2">
      <c r="A99" s="173" t="s">
        <v>679</v>
      </c>
      <c r="B99" s="3" t="s">
        <v>680</v>
      </c>
      <c r="C99" s="15">
        <v>131178.80000000002</v>
      </c>
    </row>
    <row r="100" spans="1:3" x14ac:dyDescent="0.2">
      <c r="A100" s="173" t="s">
        <v>681</v>
      </c>
      <c r="B100" s="3" t="s">
        <v>682</v>
      </c>
      <c r="C100" s="15">
        <v>-9952.5</v>
      </c>
    </row>
    <row r="101" spans="1:3" x14ac:dyDescent="0.2">
      <c r="A101" s="173" t="s">
        <v>683</v>
      </c>
      <c r="B101" s="3" t="s">
        <v>684</v>
      </c>
      <c r="C101" s="15">
        <v>9557890.1299999915</v>
      </c>
    </row>
    <row r="102" spans="1:3" x14ac:dyDescent="0.2">
      <c r="A102" s="173" t="s">
        <v>685</v>
      </c>
      <c r="B102" s="3" t="s">
        <v>686</v>
      </c>
      <c r="C102" s="15">
        <v>1652931.9399999995</v>
      </c>
    </row>
    <row r="103" spans="1:3" x14ac:dyDescent="0.2">
      <c r="A103" s="173" t="s">
        <v>687</v>
      </c>
      <c r="B103" s="3" t="s">
        <v>688</v>
      </c>
      <c r="C103" s="15">
        <v>-9269554.5800000057</v>
      </c>
    </row>
    <row r="104" spans="1:3" x14ac:dyDescent="0.2">
      <c r="A104" s="173" t="s">
        <v>689</v>
      </c>
      <c r="B104" s="3" t="s">
        <v>690</v>
      </c>
      <c r="C104" s="15">
        <v>-1035906.7</v>
      </c>
    </row>
    <row r="105" spans="1:3" x14ac:dyDescent="0.2">
      <c r="A105" s="173" t="s">
        <v>691</v>
      </c>
      <c r="B105" s="3" t="s">
        <v>692</v>
      </c>
      <c r="C105" s="15">
        <v>-187586.91999999998</v>
      </c>
    </row>
    <row r="106" spans="1:3" x14ac:dyDescent="0.2">
      <c r="A106" s="173" t="s">
        <v>693</v>
      </c>
      <c r="B106" s="3" t="s">
        <v>694</v>
      </c>
      <c r="C106" s="15">
        <v>-265221.85999999958</v>
      </c>
    </row>
    <row r="107" spans="1:3" x14ac:dyDescent="0.2">
      <c r="A107" s="173" t="s">
        <v>695</v>
      </c>
      <c r="B107" s="3" t="s">
        <v>696</v>
      </c>
      <c r="C107" s="15">
        <v>0</v>
      </c>
    </row>
    <row r="108" spans="1:3" x14ac:dyDescent="0.2">
      <c r="A108" s="173" t="s">
        <v>697</v>
      </c>
      <c r="B108" s="3" t="s">
        <v>698</v>
      </c>
      <c r="C108" s="15">
        <v>26637.670000000777</v>
      </c>
    </row>
    <row r="109" spans="1:3" x14ac:dyDescent="0.2">
      <c r="A109" s="173" t="s">
        <v>699</v>
      </c>
      <c r="B109" s="3" t="s">
        <v>700</v>
      </c>
      <c r="C109" s="15">
        <v>0</v>
      </c>
    </row>
    <row r="110" spans="1:3" x14ac:dyDescent="0.2">
      <c r="A110" s="173" t="s">
        <v>701</v>
      </c>
      <c r="B110" s="3" t="s">
        <v>702</v>
      </c>
      <c r="C110" s="15">
        <v>65827.02</v>
      </c>
    </row>
    <row r="111" spans="1:3" x14ac:dyDescent="0.2">
      <c r="A111" s="173" t="s">
        <v>703</v>
      </c>
      <c r="B111" s="3" t="s">
        <v>704</v>
      </c>
      <c r="C111" s="15">
        <v>490247.27</v>
      </c>
    </row>
    <row r="112" spans="1:3" x14ac:dyDescent="0.2">
      <c r="A112" s="173" t="s">
        <v>705</v>
      </c>
      <c r="B112" s="3" t="s">
        <v>706</v>
      </c>
      <c r="C112" s="15">
        <v>-406168.36</v>
      </c>
    </row>
    <row r="113" spans="1:3" x14ac:dyDescent="0.2">
      <c r="A113" s="173" t="s">
        <v>707</v>
      </c>
      <c r="B113" s="3" t="s">
        <v>708</v>
      </c>
      <c r="C113" s="15">
        <v>406168.36</v>
      </c>
    </row>
    <row r="114" spans="1:3" x14ac:dyDescent="0.2">
      <c r="A114" s="173" t="s">
        <v>709</v>
      </c>
      <c r="B114" s="3" t="s">
        <v>710</v>
      </c>
      <c r="C114" s="15">
        <v>2137729.0499999984</v>
      </c>
    </row>
    <row r="115" spans="1:3" x14ac:dyDescent="0.2">
      <c r="A115" s="173" t="s">
        <v>711</v>
      </c>
      <c r="B115" s="3" t="s">
        <v>712</v>
      </c>
      <c r="C115" s="15">
        <v>67883501.49999997</v>
      </c>
    </row>
    <row r="116" spans="1:3" x14ac:dyDescent="0.2">
      <c r="A116" s="173" t="s">
        <v>713</v>
      </c>
      <c r="B116" s="3" t="s">
        <v>714</v>
      </c>
      <c r="C116" s="15">
        <v>3595606.68</v>
      </c>
    </row>
    <row r="117" spans="1:3" x14ac:dyDescent="0.2">
      <c r="A117" s="173" t="s">
        <v>715</v>
      </c>
      <c r="B117" s="3" t="s">
        <v>716</v>
      </c>
      <c r="C117" s="15">
        <v>1655.62</v>
      </c>
    </row>
    <row r="118" spans="1:3" x14ac:dyDescent="0.2">
      <c r="A118" s="173" t="s">
        <v>717</v>
      </c>
      <c r="B118" s="3" t="s">
        <v>718</v>
      </c>
      <c r="C118" s="15">
        <v>38053.549999999988</v>
      </c>
    </row>
    <row r="119" spans="1:3" x14ac:dyDescent="0.2">
      <c r="A119" s="173" t="s">
        <v>719</v>
      </c>
      <c r="B119" s="3" t="s">
        <v>720</v>
      </c>
      <c r="C119" s="15">
        <v>0</v>
      </c>
    </row>
    <row r="120" spans="1:3" x14ac:dyDescent="0.2">
      <c r="A120" s="173" t="s">
        <v>721</v>
      </c>
      <c r="B120" s="3" t="s">
        <v>722</v>
      </c>
      <c r="C120" s="15">
        <v>0</v>
      </c>
    </row>
    <row r="121" spans="1:3" x14ac:dyDescent="0.2">
      <c r="A121" s="173" t="s">
        <v>723</v>
      </c>
      <c r="B121" s="3" t="s">
        <v>724</v>
      </c>
      <c r="C121" s="15">
        <v>-131860.49000000011</v>
      </c>
    </row>
    <row r="122" spans="1:3" x14ac:dyDescent="0.2">
      <c r="A122" s="173" t="s">
        <v>725</v>
      </c>
      <c r="B122" s="3" t="s">
        <v>726</v>
      </c>
      <c r="C122" s="15">
        <v>0</v>
      </c>
    </row>
    <row r="123" spans="1:3" x14ac:dyDescent="0.2">
      <c r="A123" s="173" t="s">
        <v>727</v>
      </c>
      <c r="B123" s="3" t="s">
        <v>728</v>
      </c>
      <c r="C123" s="15">
        <v>186.28999999999996</v>
      </c>
    </row>
    <row r="124" spans="1:3" x14ac:dyDescent="0.2">
      <c r="A124" s="173" t="s">
        <v>729</v>
      </c>
      <c r="B124" s="3" t="s">
        <v>730</v>
      </c>
      <c r="C124" s="15">
        <v>14575.180000000002</v>
      </c>
    </row>
    <row r="125" spans="1:3" x14ac:dyDescent="0.2">
      <c r="A125" s="173" t="s">
        <v>731</v>
      </c>
      <c r="B125" s="3" t="s">
        <v>732</v>
      </c>
      <c r="C125" s="15">
        <v>-322.30999999999995</v>
      </c>
    </row>
    <row r="126" spans="1:3" x14ac:dyDescent="0.2">
      <c r="A126" s="173" t="s">
        <v>733</v>
      </c>
      <c r="B126" s="3" t="s">
        <v>734</v>
      </c>
      <c r="C126" s="15">
        <v>1189801.0299999972</v>
      </c>
    </row>
    <row r="127" spans="1:3" x14ac:dyDescent="0.2">
      <c r="A127" s="173" t="s">
        <v>735</v>
      </c>
      <c r="B127" s="3" t="s">
        <v>736</v>
      </c>
      <c r="C127" s="15">
        <v>513715.6</v>
      </c>
    </row>
    <row r="128" spans="1:3" x14ac:dyDescent="0.2">
      <c r="A128" s="173" t="s">
        <v>737</v>
      </c>
      <c r="B128" s="3" t="s">
        <v>738</v>
      </c>
      <c r="C128" s="15">
        <v>181109.66000000003</v>
      </c>
    </row>
    <row r="129" spans="1:3" x14ac:dyDescent="0.2">
      <c r="A129" s="173" t="s">
        <v>739</v>
      </c>
      <c r="B129" s="3" t="s">
        <v>740</v>
      </c>
      <c r="C129" s="15">
        <v>1692.1800000000007</v>
      </c>
    </row>
    <row r="130" spans="1:3" x14ac:dyDescent="0.2">
      <c r="A130" s="173" t="s">
        <v>741</v>
      </c>
      <c r="B130" s="3" t="s">
        <v>742</v>
      </c>
      <c r="C130" s="15">
        <v>231791.33</v>
      </c>
    </row>
    <row r="131" spans="1:3" x14ac:dyDescent="0.2">
      <c r="A131" s="173" t="s">
        <v>743</v>
      </c>
      <c r="B131" s="3" t="s">
        <v>744</v>
      </c>
      <c r="C131" s="15">
        <v>948933.27000000037</v>
      </c>
    </row>
    <row r="132" spans="1:3" x14ac:dyDescent="0.2">
      <c r="A132" s="173" t="s">
        <v>745</v>
      </c>
      <c r="B132" s="3" t="s">
        <v>746</v>
      </c>
      <c r="C132" s="15">
        <v>1572.7199999999996</v>
      </c>
    </row>
    <row r="133" spans="1:3" x14ac:dyDescent="0.2">
      <c r="A133" s="173" t="s">
        <v>747</v>
      </c>
      <c r="B133" s="3" t="s">
        <v>748</v>
      </c>
      <c r="C133" s="15">
        <v>960.2399999999999</v>
      </c>
    </row>
    <row r="134" spans="1:3" x14ac:dyDescent="0.2">
      <c r="A134" s="173" t="s">
        <v>749</v>
      </c>
      <c r="B134" s="3" t="s">
        <v>750</v>
      </c>
      <c r="C134" s="15">
        <v>25836.86</v>
      </c>
    </row>
    <row r="135" spans="1:3" x14ac:dyDescent="0.2">
      <c r="A135" s="173" t="s">
        <v>751</v>
      </c>
      <c r="B135" s="3" t="s">
        <v>752</v>
      </c>
      <c r="C135" s="15">
        <v>71965.39999999998</v>
      </c>
    </row>
    <row r="136" spans="1:3" x14ac:dyDescent="0.2">
      <c r="A136" s="173" t="s">
        <v>753</v>
      </c>
      <c r="B136" s="3" t="s">
        <v>754</v>
      </c>
      <c r="C136" s="15">
        <v>55131.67</v>
      </c>
    </row>
    <row r="137" spans="1:3" x14ac:dyDescent="0.2">
      <c r="A137" s="173" t="s">
        <v>755</v>
      </c>
      <c r="B137" s="3" t="s">
        <v>756</v>
      </c>
      <c r="C137" s="15">
        <v>34447.599999999999</v>
      </c>
    </row>
    <row r="138" spans="1:3" x14ac:dyDescent="0.2">
      <c r="A138" s="173" t="s">
        <v>757</v>
      </c>
      <c r="B138" s="3" t="s">
        <v>758</v>
      </c>
      <c r="C138" s="15">
        <v>231872.18999999997</v>
      </c>
    </row>
    <row r="139" spans="1:3" x14ac:dyDescent="0.2">
      <c r="A139" s="173" t="s">
        <v>759</v>
      </c>
      <c r="B139" s="3" t="s">
        <v>760</v>
      </c>
      <c r="C139" s="15">
        <v>88184.00999999998</v>
      </c>
    </row>
    <row r="140" spans="1:3" x14ac:dyDescent="0.2">
      <c r="A140" s="173" t="s">
        <v>761</v>
      </c>
      <c r="B140" s="3" t="s">
        <v>762</v>
      </c>
      <c r="C140" s="15">
        <v>959412.80999999994</v>
      </c>
    </row>
    <row r="141" spans="1:3" x14ac:dyDescent="0.2">
      <c r="A141" s="173" t="s">
        <v>763</v>
      </c>
      <c r="B141" s="3" t="s">
        <v>764</v>
      </c>
      <c r="C141" s="15">
        <v>980497.67999999982</v>
      </c>
    </row>
    <row r="142" spans="1:3" x14ac:dyDescent="0.2">
      <c r="A142" s="173" t="s">
        <v>765</v>
      </c>
      <c r="B142" s="3" t="s">
        <v>766</v>
      </c>
      <c r="C142" s="15">
        <v>138495.95000000001</v>
      </c>
    </row>
    <row r="143" spans="1:3" x14ac:dyDescent="0.2">
      <c r="A143" s="173" t="s">
        <v>767</v>
      </c>
      <c r="B143" s="3" t="s">
        <v>768</v>
      </c>
      <c r="C143" s="15">
        <v>-212801.44999999664</v>
      </c>
    </row>
    <row r="144" spans="1:3" x14ac:dyDescent="0.2">
      <c r="A144" s="173" t="s">
        <v>769</v>
      </c>
      <c r="B144" s="3" t="s">
        <v>770</v>
      </c>
      <c r="C144" s="15">
        <v>1845833.81</v>
      </c>
    </row>
    <row r="145" spans="1:3" x14ac:dyDescent="0.2">
      <c r="A145" s="173" t="s">
        <v>771</v>
      </c>
      <c r="B145" s="3" t="s">
        <v>772</v>
      </c>
      <c r="C145" s="15">
        <v>639182.19999999972</v>
      </c>
    </row>
    <row r="146" spans="1:3" x14ac:dyDescent="0.2">
      <c r="A146" s="173" t="s">
        <v>773</v>
      </c>
      <c r="B146" s="3" t="s">
        <v>774</v>
      </c>
      <c r="C146" s="15">
        <v>-15306.480000000001</v>
      </c>
    </row>
    <row r="147" spans="1:3" x14ac:dyDescent="0.2">
      <c r="A147" s="173" t="s">
        <v>775</v>
      </c>
      <c r="B147" s="3" t="s">
        <v>776</v>
      </c>
      <c r="C147" s="15">
        <v>62192.640000000021</v>
      </c>
    </row>
    <row r="148" spans="1:3" x14ac:dyDescent="0.2">
      <c r="A148" s="173" t="s">
        <v>777</v>
      </c>
      <c r="B148" s="3" t="s">
        <v>778</v>
      </c>
      <c r="C148" s="15">
        <v>163267.40999999974</v>
      </c>
    </row>
    <row r="149" spans="1:3" x14ac:dyDescent="0.2">
      <c r="A149" s="173" t="s">
        <v>779</v>
      </c>
      <c r="B149" s="3" t="s">
        <v>780</v>
      </c>
      <c r="C149" s="15">
        <v>-6120.2300000000014</v>
      </c>
    </row>
    <row r="150" spans="1:3" x14ac:dyDescent="0.2">
      <c r="A150" s="173" t="s">
        <v>781</v>
      </c>
      <c r="B150" s="3" t="s">
        <v>782</v>
      </c>
      <c r="C150" s="15">
        <v>1812.7099999999998</v>
      </c>
    </row>
    <row r="151" spans="1:3" x14ac:dyDescent="0.2">
      <c r="A151" s="173" t="s">
        <v>783</v>
      </c>
      <c r="B151" s="3" t="s">
        <v>784</v>
      </c>
      <c r="C151" s="15">
        <v>103717.08999999998</v>
      </c>
    </row>
    <row r="152" spans="1:3" x14ac:dyDescent="0.2">
      <c r="A152" s="173" t="s">
        <v>785</v>
      </c>
      <c r="B152" s="3" t="s">
        <v>786</v>
      </c>
      <c r="C152" s="15">
        <v>94291.62000000001</v>
      </c>
    </row>
    <row r="153" spans="1:3" x14ac:dyDescent="0.2">
      <c r="A153" s="173" t="s">
        <v>787</v>
      </c>
      <c r="B153" s="3" t="s">
        <v>788</v>
      </c>
      <c r="C153" s="15">
        <v>5964.2500000000018</v>
      </c>
    </row>
    <row r="154" spans="1:3" x14ac:dyDescent="0.2">
      <c r="A154" s="173" t="s">
        <v>789</v>
      </c>
      <c r="B154" s="3" t="s">
        <v>790</v>
      </c>
      <c r="C154" s="15">
        <v>13038.029999999999</v>
      </c>
    </row>
    <row r="155" spans="1:3" x14ac:dyDescent="0.2">
      <c r="A155" s="173" t="s">
        <v>791</v>
      </c>
      <c r="B155" s="3" t="s">
        <v>792</v>
      </c>
      <c r="C155" s="15">
        <v>124919.35000000002</v>
      </c>
    </row>
    <row r="156" spans="1:3" x14ac:dyDescent="0.2">
      <c r="A156" s="173" t="s">
        <v>793</v>
      </c>
      <c r="B156" s="3" t="s">
        <v>794</v>
      </c>
      <c r="C156" s="15">
        <v>1494747.0999999996</v>
      </c>
    </row>
    <row r="157" spans="1:3" x14ac:dyDescent="0.2">
      <c r="A157" s="173" t="s">
        <v>795</v>
      </c>
      <c r="B157" s="3" t="s">
        <v>796</v>
      </c>
      <c r="C157" s="15">
        <v>121318.23999999999</v>
      </c>
    </row>
    <row r="158" spans="1:3" x14ac:dyDescent="0.2">
      <c r="A158" s="173" t="s">
        <v>797</v>
      </c>
      <c r="B158" s="3" t="s">
        <v>798</v>
      </c>
      <c r="C158" s="15">
        <v>72355.8</v>
      </c>
    </row>
    <row r="159" spans="1:3" x14ac:dyDescent="0.2">
      <c r="A159" s="173" t="s">
        <v>799</v>
      </c>
      <c r="B159" s="3" t="s">
        <v>800</v>
      </c>
      <c r="C159" s="15">
        <v>292407.03000000003</v>
      </c>
    </row>
    <row r="160" spans="1:3" x14ac:dyDescent="0.2">
      <c r="A160" s="173" t="s">
        <v>801</v>
      </c>
      <c r="B160" s="3" t="s">
        <v>802</v>
      </c>
      <c r="C160" s="15">
        <v>196574.20000000007</v>
      </c>
    </row>
    <row r="161" spans="1:3" x14ac:dyDescent="0.2">
      <c r="A161" s="173" t="s">
        <v>803</v>
      </c>
      <c r="B161" s="3" t="s">
        <v>804</v>
      </c>
      <c r="C161" s="15">
        <v>-322.1100000000007</v>
      </c>
    </row>
    <row r="162" spans="1:3" x14ac:dyDescent="0.2">
      <c r="A162" s="173" t="s">
        <v>805</v>
      </c>
      <c r="B162" s="3" t="s">
        <v>806</v>
      </c>
      <c r="C162" s="15">
        <v>2030.6399999999994</v>
      </c>
    </row>
    <row r="163" spans="1:3" x14ac:dyDescent="0.2">
      <c r="A163" s="173" t="s">
        <v>807</v>
      </c>
      <c r="B163" s="3" t="s">
        <v>808</v>
      </c>
      <c r="C163" s="15">
        <v>430.57000000000005</v>
      </c>
    </row>
    <row r="164" spans="1:3" x14ac:dyDescent="0.2">
      <c r="A164" s="173" t="s">
        <v>809</v>
      </c>
      <c r="B164" s="3" t="s">
        <v>810</v>
      </c>
      <c r="C164" s="15">
        <v>45497.160000000091</v>
      </c>
    </row>
    <row r="165" spans="1:3" x14ac:dyDescent="0.2">
      <c r="A165" s="173" t="s">
        <v>811</v>
      </c>
      <c r="B165" s="3" t="s">
        <v>812</v>
      </c>
      <c r="C165" s="15">
        <v>-3423.54</v>
      </c>
    </row>
    <row r="166" spans="1:3" x14ac:dyDescent="0.2">
      <c r="A166" s="173" t="s">
        <v>813</v>
      </c>
      <c r="B166" s="3" t="s">
        <v>814</v>
      </c>
      <c r="C166" s="15">
        <v>281248.15999999997</v>
      </c>
    </row>
    <row r="167" spans="1:3" x14ac:dyDescent="0.2">
      <c r="A167" s="173" t="s">
        <v>815</v>
      </c>
      <c r="B167" s="3" t="s">
        <v>816</v>
      </c>
      <c r="C167" s="15">
        <v>15628.720000000001</v>
      </c>
    </row>
    <row r="168" spans="1:3" x14ac:dyDescent="0.2">
      <c r="A168" s="173" t="s">
        <v>817</v>
      </c>
      <c r="B168" s="3" t="s">
        <v>818</v>
      </c>
      <c r="C168" s="15">
        <v>912.95000000000061</v>
      </c>
    </row>
    <row r="169" spans="1:3" x14ac:dyDescent="0.2">
      <c r="A169" s="173" t="s">
        <v>819</v>
      </c>
      <c r="B169" s="3" t="s">
        <v>820</v>
      </c>
      <c r="C169" s="15">
        <v>2259016.7500000014</v>
      </c>
    </row>
    <row r="170" spans="1:3" x14ac:dyDescent="0.2">
      <c r="A170" s="173" t="s">
        <v>821</v>
      </c>
      <c r="B170" s="3" t="s">
        <v>822</v>
      </c>
      <c r="C170" s="15">
        <v>1061.8399999999999</v>
      </c>
    </row>
    <row r="171" spans="1:3" x14ac:dyDescent="0.2">
      <c r="A171" s="173" t="s">
        <v>823</v>
      </c>
      <c r="B171" s="3" t="s">
        <v>824</v>
      </c>
      <c r="C171" s="15">
        <v>-2403.1800000000003</v>
      </c>
    </row>
    <row r="172" spans="1:3" x14ac:dyDescent="0.2">
      <c r="A172" s="173" t="s">
        <v>825</v>
      </c>
      <c r="B172" s="3" t="s">
        <v>826</v>
      </c>
      <c r="C172" s="15">
        <v>-15518.720000000001</v>
      </c>
    </row>
    <row r="173" spans="1:3" x14ac:dyDescent="0.2">
      <c r="A173" s="173" t="s">
        <v>827</v>
      </c>
      <c r="B173" s="3" t="s">
        <v>828</v>
      </c>
      <c r="C173" s="15">
        <v>-14528.86</v>
      </c>
    </row>
    <row r="174" spans="1:3" x14ac:dyDescent="0.2">
      <c r="A174" s="173" t="s">
        <v>829</v>
      </c>
      <c r="B174" s="3" t="s">
        <v>830</v>
      </c>
      <c r="C174" s="15">
        <v>1073508.1100000001</v>
      </c>
    </row>
    <row r="175" spans="1:3" x14ac:dyDescent="0.2">
      <c r="A175" s="173" t="s">
        <v>831</v>
      </c>
      <c r="B175" s="3" t="s">
        <v>832</v>
      </c>
      <c r="C175" s="15">
        <v>1549587.88</v>
      </c>
    </row>
    <row r="176" spans="1:3" x14ac:dyDescent="0.2">
      <c r="A176" s="173" t="s">
        <v>833</v>
      </c>
      <c r="B176" s="3" t="s">
        <v>834</v>
      </c>
      <c r="C176" s="15">
        <v>1350.0900000000001</v>
      </c>
    </row>
    <row r="177" spans="1:3" x14ac:dyDescent="0.2">
      <c r="A177" s="173" t="s">
        <v>835</v>
      </c>
      <c r="B177" s="3" t="s">
        <v>836</v>
      </c>
      <c r="C177" s="15">
        <v>1430348.1299999987</v>
      </c>
    </row>
    <row r="178" spans="1:3" x14ac:dyDescent="0.2">
      <c r="A178" s="173" t="s">
        <v>837</v>
      </c>
      <c r="B178" s="3" t="s">
        <v>838</v>
      </c>
      <c r="C178" s="15">
        <v>577.5</v>
      </c>
    </row>
    <row r="179" spans="1:3" x14ac:dyDescent="0.2">
      <c r="A179" s="173" t="s">
        <v>839</v>
      </c>
      <c r="B179" s="3" t="s">
        <v>840</v>
      </c>
      <c r="C179" s="15">
        <v>-2333.92</v>
      </c>
    </row>
    <row r="180" spans="1:3" x14ac:dyDescent="0.2">
      <c r="A180" s="173" t="s">
        <v>841</v>
      </c>
      <c r="B180" s="3" t="s">
        <v>842</v>
      </c>
      <c r="C180" s="15">
        <v>31670.13</v>
      </c>
    </row>
    <row r="181" spans="1:3" x14ac:dyDescent="0.2">
      <c r="A181" s="173" t="s">
        <v>843</v>
      </c>
      <c r="B181" s="3" t="s">
        <v>844</v>
      </c>
      <c r="C181" s="15">
        <v>2649.64</v>
      </c>
    </row>
    <row r="182" spans="1:3" x14ac:dyDescent="0.2">
      <c r="A182" s="173" t="s">
        <v>845</v>
      </c>
      <c r="B182" s="3" t="s">
        <v>846</v>
      </c>
      <c r="C182" s="15">
        <v>227.57999999999993</v>
      </c>
    </row>
    <row r="183" spans="1:3" x14ac:dyDescent="0.2">
      <c r="A183" s="173" t="s">
        <v>847</v>
      </c>
      <c r="B183" s="3" t="s">
        <v>848</v>
      </c>
      <c r="C183" s="15">
        <v>4026.0999999999995</v>
      </c>
    </row>
    <row r="184" spans="1:3" x14ac:dyDescent="0.2">
      <c r="A184" s="173" t="s">
        <v>849</v>
      </c>
      <c r="B184" s="3" t="s">
        <v>850</v>
      </c>
      <c r="C184" s="15">
        <v>116690.40999999999</v>
      </c>
    </row>
    <row r="185" spans="1:3" x14ac:dyDescent="0.2">
      <c r="A185" s="173" t="s">
        <v>851</v>
      </c>
      <c r="B185" s="3" t="s">
        <v>852</v>
      </c>
      <c r="C185" s="15">
        <v>145701.82</v>
      </c>
    </row>
    <row r="186" spans="1:3" x14ac:dyDescent="0.2">
      <c r="A186" s="173" t="s">
        <v>853</v>
      </c>
      <c r="B186" s="3" t="s">
        <v>854</v>
      </c>
      <c r="C186" s="15">
        <v>147691.15000000008</v>
      </c>
    </row>
    <row r="187" spans="1:3" x14ac:dyDescent="0.2">
      <c r="A187" s="173" t="s">
        <v>855</v>
      </c>
      <c r="B187" s="3" t="s">
        <v>856</v>
      </c>
      <c r="C187" s="15">
        <v>-1564.1899999999987</v>
      </c>
    </row>
    <row r="188" spans="1:3" x14ac:dyDescent="0.2">
      <c r="A188" s="173" t="s">
        <v>857</v>
      </c>
      <c r="B188" s="3" t="s">
        <v>858</v>
      </c>
      <c r="C188" s="15">
        <v>-1845.8200000000002</v>
      </c>
    </row>
    <row r="189" spans="1:3" x14ac:dyDescent="0.2">
      <c r="A189" s="173" t="s">
        <v>859</v>
      </c>
      <c r="B189" s="3" t="s">
        <v>860</v>
      </c>
      <c r="C189" s="15">
        <v>9550.6</v>
      </c>
    </row>
    <row r="190" spans="1:3" x14ac:dyDescent="0.2">
      <c r="A190" s="173" t="s">
        <v>861</v>
      </c>
      <c r="B190" s="3" t="s">
        <v>862</v>
      </c>
      <c r="C190" s="15">
        <v>140192.94</v>
      </c>
    </row>
    <row r="191" spans="1:3" x14ac:dyDescent="0.2">
      <c r="A191" s="173" t="s">
        <v>863</v>
      </c>
      <c r="B191" s="3" t="s">
        <v>864</v>
      </c>
      <c r="C191" s="15">
        <v>9950.15</v>
      </c>
    </row>
    <row r="192" spans="1:3" x14ac:dyDescent="0.2">
      <c r="A192" s="173" t="s">
        <v>865</v>
      </c>
      <c r="B192" s="3" t="s">
        <v>866</v>
      </c>
      <c r="C192" s="15">
        <v>-1123.3399999999983</v>
      </c>
    </row>
    <row r="193" spans="1:3" x14ac:dyDescent="0.2">
      <c r="A193" s="173" t="s">
        <v>867</v>
      </c>
      <c r="B193" s="3" t="s">
        <v>868</v>
      </c>
      <c r="C193" s="15">
        <v>0</v>
      </c>
    </row>
    <row r="194" spans="1:3" x14ac:dyDescent="0.2">
      <c r="A194" s="173" t="s">
        <v>869</v>
      </c>
      <c r="B194" s="3" t="s">
        <v>870</v>
      </c>
      <c r="C194" s="15">
        <v>170371.13999999993</v>
      </c>
    </row>
    <row r="195" spans="1:3" x14ac:dyDescent="0.2">
      <c r="A195" s="173" t="s">
        <v>871</v>
      </c>
      <c r="B195" s="3" t="s">
        <v>872</v>
      </c>
      <c r="C195" s="15">
        <v>-414.5</v>
      </c>
    </row>
    <row r="196" spans="1:3" x14ac:dyDescent="0.2">
      <c r="A196" s="173" t="s">
        <v>873</v>
      </c>
      <c r="B196" s="3" t="s">
        <v>874</v>
      </c>
      <c r="C196" s="15">
        <v>26538.119999999988</v>
      </c>
    </row>
    <row r="197" spans="1:3" x14ac:dyDescent="0.2">
      <c r="A197" s="173" t="s">
        <v>875</v>
      </c>
      <c r="B197" s="3" t="s">
        <v>876</v>
      </c>
      <c r="C197" s="15">
        <v>986270.01</v>
      </c>
    </row>
    <row r="198" spans="1:3" x14ac:dyDescent="0.2">
      <c r="A198" s="173" t="s">
        <v>877</v>
      </c>
      <c r="B198" s="3" t="s">
        <v>878</v>
      </c>
      <c r="C198" s="15">
        <v>-5.7899999999999636</v>
      </c>
    </row>
    <row r="199" spans="1:3" x14ac:dyDescent="0.2">
      <c r="A199" s="173" t="s">
        <v>879</v>
      </c>
      <c r="B199" s="3" t="s">
        <v>880</v>
      </c>
      <c r="C199" s="15">
        <v>-725.98000000001048</v>
      </c>
    </row>
    <row r="200" spans="1:3" x14ac:dyDescent="0.2">
      <c r="A200" s="173" t="s">
        <v>881</v>
      </c>
      <c r="B200" s="3" t="s">
        <v>882</v>
      </c>
      <c r="C200" s="15">
        <v>-9942.3000000000011</v>
      </c>
    </row>
    <row r="201" spans="1:3" x14ac:dyDescent="0.2">
      <c r="A201" s="173" t="s">
        <v>883</v>
      </c>
      <c r="B201" s="3" t="s">
        <v>884</v>
      </c>
      <c r="C201" s="15">
        <v>1540.6699999999983</v>
      </c>
    </row>
    <row r="202" spans="1:3" x14ac:dyDescent="0.2">
      <c r="A202" s="173" t="s">
        <v>885</v>
      </c>
      <c r="B202" s="3" t="s">
        <v>886</v>
      </c>
      <c r="C202" s="15">
        <v>-5321.2600000000093</v>
      </c>
    </row>
    <row r="203" spans="1:3" x14ac:dyDescent="0.2">
      <c r="A203" s="173" t="s">
        <v>887</v>
      </c>
      <c r="B203" s="3" t="s">
        <v>888</v>
      </c>
      <c r="C203" s="15">
        <v>2794.0599999999977</v>
      </c>
    </row>
    <row r="204" spans="1:3" x14ac:dyDescent="0.2">
      <c r="A204" s="173" t="s">
        <v>889</v>
      </c>
      <c r="B204" s="3" t="s">
        <v>890</v>
      </c>
      <c r="C204" s="15">
        <v>288874.43</v>
      </c>
    </row>
    <row r="205" spans="1:3" x14ac:dyDescent="0.2">
      <c r="A205" s="173" t="s">
        <v>891</v>
      </c>
      <c r="B205" s="3" t="s">
        <v>892</v>
      </c>
      <c r="C205" s="15">
        <v>489235.00000000023</v>
      </c>
    </row>
    <row r="206" spans="1:3" x14ac:dyDescent="0.2">
      <c r="A206" s="173" t="s">
        <v>893</v>
      </c>
      <c r="B206" s="3" t="s">
        <v>894</v>
      </c>
      <c r="C206" s="15">
        <v>-1179.3399999999999</v>
      </c>
    </row>
    <row r="207" spans="1:3" x14ac:dyDescent="0.2">
      <c r="A207" s="173" t="s">
        <v>895</v>
      </c>
      <c r="B207" s="3" t="s">
        <v>896</v>
      </c>
      <c r="C207" s="15">
        <v>44738.950000000004</v>
      </c>
    </row>
    <row r="208" spans="1:3" x14ac:dyDescent="0.2">
      <c r="A208" s="173" t="s">
        <v>897</v>
      </c>
      <c r="B208" s="3" t="s">
        <v>898</v>
      </c>
      <c r="C208" s="15">
        <v>89323.540000000008</v>
      </c>
    </row>
    <row r="209" spans="1:3" x14ac:dyDescent="0.2">
      <c r="A209" s="173" t="s">
        <v>899</v>
      </c>
      <c r="B209" s="3" t="s">
        <v>900</v>
      </c>
      <c r="C209" s="15">
        <v>-89129.62</v>
      </c>
    </row>
    <row r="210" spans="1:3" x14ac:dyDescent="0.2">
      <c r="A210" s="173" t="s">
        <v>901</v>
      </c>
      <c r="B210" s="3" t="s">
        <v>902</v>
      </c>
      <c r="C210" s="15">
        <v>16058.039999999999</v>
      </c>
    </row>
    <row r="211" spans="1:3" x14ac:dyDescent="0.2">
      <c r="A211" s="173" t="s">
        <v>903</v>
      </c>
      <c r="B211" s="3" t="s">
        <v>904</v>
      </c>
      <c r="C211" s="15">
        <v>123239.90000000001</v>
      </c>
    </row>
    <row r="212" spans="1:3" x14ac:dyDescent="0.2">
      <c r="A212" s="173" t="s">
        <v>905</v>
      </c>
      <c r="B212" s="3" t="s">
        <v>906</v>
      </c>
      <c r="C212" s="15">
        <v>44159.39</v>
      </c>
    </row>
    <row r="213" spans="1:3" x14ac:dyDescent="0.2">
      <c r="A213" s="173" t="s">
        <v>907</v>
      </c>
      <c r="B213" s="3" t="s">
        <v>908</v>
      </c>
      <c r="C213" s="15">
        <v>48634.020000000004</v>
      </c>
    </row>
    <row r="214" spans="1:3" x14ac:dyDescent="0.2">
      <c r="A214" s="173" t="s">
        <v>909</v>
      </c>
      <c r="B214" s="3" t="s">
        <v>910</v>
      </c>
      <c r="C214" s="15">
        <v>82882.719999999972</v>
      </c>
    </row>
    <row r="215" spans="1:3" x14ac:dyDescent="0.2">
      <c r="A215" s="173" t="s">
        <v>911</v>
      </c>
      <c r="B215" s="3" t="s">
        <v>912</v>
      </c>
      <c r="C215" s="15">
        <v>16341.990000000007</v>
      </c>
    </row>
    <row r="216" spans="1:3" x14ac:dyDescent="0.2">
      <c r="A216" s="173" t="s">
        <v>913</v>
      </c>
      <c r="B216" s="3" t="s">
        <v>914</v>
      </c>
      <c r="C216" s="15">
        <v>9292.0800000000017</v>
      </c>
    </row>
    <row r="217" spans="1:3" x14ac:dyDescent="0.2">
      <c r="A217" s="173" t="s">
        <v>915</v>
      </c>
      <c r="B217" s="3" t="s">
        <v>916</v>
      </c>
      <c r="C217" s="15">
        <v>6852.49</v>
      </c>
    </row>
    <row r="218" spans="1:3" x14ac:dyDescent="0.2">
      <c r="A218" s="173" t="s">
        <v>917</v>
      </c>
      <c r="B218" s="3" t="s">
        <v>918</v>
      </c>
      <c r="C218" s="15">
        <v>633009.12</v>
      </c>
    </row>
    <row r="219" spans="1:3" x14ac:dyDescent="0.2">
      <c r="A219" s="173" t="s">
        <v>919</v>
      </c>
      <c r="B219" s="3" t="s">
        <v>920</v>
      </c>
      <c r="C219" s="15">
        <v>-60.339999999999421</v>
      </c>
    </row>
    <row r="220" spans="1:3" x14ac:dyDescent="0.2">
      <c r="A220" s="173" t="s">
        <v>921</v>
      </c>
      <c r="B220" s="3" t="s">
        <v>922</v>
      </c>
      <c r="C220" s="15">
        <v>0</v>
      </c>
    </row>
    <row r="221" spans="1:3" x14ac:dyDescent="0.2">
      <c r="A221" s="173" t="s">
        <v>923</v>
      </c>
      <c r="B221" s="3" t="s">
        <v>924</v>
      </c>
      <c r="C221" s="15">
        <v>29489.540000000005</v>
      </c>
    </row>
    <row r="222" spans="1:3" x14ac:dyDescent="0.2">
      <c r="A222" s="173" t="s">
        <v>925</v>
      </c>
      <c r="B222" s="3" t="s">
        <v>926</v>
      </c>
      <c r="C222" s="15">
        <v>415.39</v>
      </c>
    </row>
    <row r="223" spans="1:3" x14ac:dyDescent="0.2">
      <c r="A223" s="173" t="s">
        <v>927</v>
      </c>
      <c r="B223" s="3" t="s">
        <v>928</v>
      </c>
      <c r="C223" s="15">
        <v>6136.1</v>
      </c>
    </row>
    <row r="224" spans="1:3" x14ac:dyDescent="0.2">
      <c r="A224" s="173" t="s">
        <v>929</v>
      </c>
      <c r="B224" s="3" t="s">
        <v>930</v>
      </c>
      <c r="C224" s="15">
        <v>-63120.080000000024</v>
      </c>
    </row>
    <row r="225" spans="1:3" x14ac:dyDescent="0.2">
      <c r="A225" s="173" t="s">
        <v>931</v>
      </c>
      <c r="B225" s="3" t="s">
        <v>932</v>
      </c>
      <c r="C225" s="15">
        <v>-1482</v>
      </c>
    </row>
    <row r="226" spans="1:3" x14ac:dyDescent="0.2">
      <c r="A226" s="173" t="s">
        <v>933</v>
      </c>
      <c r="B226" s="3" t="s">
        <v>934</v>
      </c>
      <c r="C226" s="15">
        <v>0.16</v>
      </c>
    </row>
    <row r="227" spans="1:3" x14ac:dyDescent="0.2">
      <c r="A227" s="173" t="s">
        <v>935</v>
      </c>
      <c r="B227" s="3" t="s">
        <v>936</v>
      </c>
      <c r="C227" s="15">
        <v>230.05000000000146</v>
      </c>
    </row>
    <row r="228" spans="1:3" x14ac:dyDescent="0.2">
      <c r="A228" s="173" t="s">
        <v>937</v>
      </c>
      <c r="B228" s="3" t="s">
        <v>938</v>
      </c>
      <c r="C228" s="15">
        <v>-6221.2100000000009</v>
      </c>
    </row>
    <row r="229" spans="1:3" x14ac:dyDescent="0.2">
      <c r="A229" s="173" t="s">
        <v>939</v>
      </c>
      <c r="B229" s="3" t="s">
        <v>940</v>
      </c>
      <c r="C229" s="15">
        <v>-4895.7299999999996</v>
      </c>
    </row>
    <row r="230" spans="1:3" x14ac:dyDescent="0.2">
      <c r="A230" s="173" t="s">
        <v>941</v>
      </c>
      <c r="B230" s="3" t="s">
        <v>942</v>
      </c>
      <c r="C230" s="15">
        <v>-132988.45000000001</v>
      </c>
    </row>
    <row r="231" spans="1:3" x14ac:dyDescent="0.2">
      <c r="A231" s="173" t="s">
        <v>943</v>
      </c>
      <c r="B231" s="3" t="s">
        <v>944</v>
      </c>
      <c r="C231" s="15">
        <v>87127.080000000031</v>
      </c>
    </row>
    <row r="232" spans="1:3" x14ac:dyDescent="0.2">
      <c r="A232" s="173" t="s">
        <v>945</v>
      </c>
      <c r="B232" s="3" t="s">
        <v>946</v>
      </c>
      <c r="C232" s="15">
        <v>3313608.580000001</v>
      </c>
    </row>
    <row r="233" spans="1:3" x14ac:dyDescent="0.2">
      <c r="A233" s="173" t="s">
        <v>947</v>
      </c>
      <c r="B233" s="3" t="s">
        <v>948</v>
      </c>
      <c r="C233" s="15">
        <v>13364.920000000002</v>
      </c>
    </row>
    <row r="234" spans="1:3" x14ac:dyDescent="0.2">
      <c r="A234" s="173" t="s">
        <v>949</v>
      </c>
      <c r="B234" s="3" t="s">
        <v>950</v>
      </c>
      <c r="C234" s="15">
        <v>213573.45999999993</v>
      </c>
    </row>
    <row r="235" spans="1:3" x14ac:dyDescent="0.2">
      <c r="A235" s="173" t="s">
        <v>951</v>
      </c>
      <c r="B235" s="3" t="s">
        <v>952</v>
      </c>
      <c r="C235" s="15">
        <v>34340.61</v>
      </c>
    </row>
    <row r="236" spans="1:3" x14ac:dyDescent="0.2">
      <c r="A236" s="173" t="s">
        <v>953</v>
      </c>
      <c r="B236" s="3" t="s">
        <v>954</v>
      </c>
      <c r="C236" s="15">
        <v>-13148.699999999999</v>
      </c>
    </row>
    <row r="237" spans="1:3" x14ac:dyDescent="0.2">
      <c r="A237" s="173" t="s">
        <v>955</v>
      </c>
      <c r="B237" s="3" t="s">
        <v>956</v>
      </c>
      <c r="C237" s="15">
        <v>0</v>
      </c>
    </row>
    <row r="238" spans="1:3" x14ac:dyDescent="0.2">
      <c r="A238" s="173" t="s">
        <v>957</v>
      </c>
      <c r="B238" s="3" t="s">
        <v>958</v>
      </c>
      <c r="C238" s="15">
        <v>173004.89999999997</v>
      </c>
    </row>
    <row r="239" spans="1:3" x14ac:dyDescent="0.2">
      <c r="A239" s="173" t="s">
        <v>959</v>
      </c>
      <c r="B239" s="3" t="s">
        <v>960</v>
      </c>
      <c r="C239" s="15">
        <v>27272.93</v>
      </c>
    </row>
    <row r="240" spans="1:3" x14ac:dyDescent="0.2">
      <c r="A240" s="173" t="s">
        <v>961</v>
      </c>
      <c r="B240" s="3" t="s">
        <v>962</v>
      </c>
      <c r="C240" s="15">
        <v>3992.1</v>
      </c>
    </row>
    <row r="241" spans="1:3" x14ac:dyDescent="0.2">
      <c r="A241" s="173" t="s">
        <v>963</v>
      </c>
      <c r="B241" s="3" t="s">
        <v>964</v>
      </c>
      <c r="C241" s="15">
        <v>18837.010000000002</v>
      </c>
    </row>
    <row r="242" spans="1:3" x14ac:dyDescent="0.2">
      <c r="A242" s="173" t="s">
        <v>965</v>
      </c>
      <c r="B242" s="3" t="s">
        <v>966</v>
      </c>
      <c r="C242" s="15">
        <v>50027.79</v>
      </c>
    </row>
    <row r="243" spans="1:3" x14ac:dyDescent="0.2">
      <c r="A243" s="173" t="s">
        <v>967</v>
      </c>
      <c r="B243" s="3" t="s">
        <v>968</v>
      </c>
      <c r="C243" s="15">
        <v>99570.179999999935</v>
      </c>
    </row>
    <row r="244" spans="1:3" x14ac:dyDescent="0.2">
      <c r="A244" s="173" t="s">
        <v>969</v>
      </c>
      <c r="B244" s="3" t="s">
        <v>970</v>
      </c>
      <c r="C244" s="15">
        <v>388227.5</v>
      </c>
    </row>
    <row r="245" spans="1:3" x14ac:dyDescent="0.2">
      <c r="A245" s="173" t="s">
        <v>971</v>
      </c>
      <c r="B245" s="3" t="s">
        <v>972</v>
      </c>
      <c r="C245" s="15">
        <v>201441.36</v>
      </c>
    </row>
    <row r="246" spans="1:3" x14ac:dyDescent="0.2">
      <c r="A246" s="173" t="s">
        <v>973</v>
      </c>
      <c r="B246" s="3" t="s">
        <v>974</v>
      </c>
      <c r="C246" s="15">
        <v>12609.52</v>
      </c>
    </row>
    <row r="247" spans="1:3" x14ac:dyDescent="0.2">
      <c r="A247" s="173" t="s">
        <v>975</v>
      </c>
      <c r="B247" s="3" t="s">
        <v>976</v>
      </c>
      <c r="C247" s="15">
        <v>365999.32000000007</v>
      </c>
    </row>
    <row r="248" spans="1:3" x14ac:dyDescent="0.2">
      <c r="A248" s="173" t="s">
        <v>977</v>
      </c>
      <c r="B248" s="3" t="s">
        <v>978</v>
      </c>
      <c r="C248" s="15">
        <v>46275.900000000023</v>
      </c>
    </row>
    <row r="249" spans="1:3" x14ac:dyDescent="0.2">
      <c r="A249" s="173" t="s">
        <v>979</v>
      </c>
      <c r="B249" s="3" t="s">
        <v>980</v>
      </c>
      <c r="C249" s="15">
        <v>8026.1</v>
      </c>
    </row>
    <row r="250" spans="1:3" x14ac:dyDescent="0.2">
      <c r="A250" s="173" t="s">
        <v>981</v>
      </c>
      <c r="B250" s="3" t="s">
        <v>982</v>
      </c>
      <c r="C250" s="15">
        <v>-13379</v>
      </c>
    </row>
    <row r="251" spans="1:3" x14ac:dyDescent="0.2">
      <c r="A251" s="173" t="s">
        <v>983</v>
      </c>
      <c r="B251" s="3" t="s">
        <v>984</v>
      </c>
      <c r="C251" s="15">
        <v>83542.16</v>
      </c>
    </row>
    <row r="252" spans="1:3" x14ac:dyDescent="0.2">
      <c r="A252" s="173" t="s">
        <v>985</v>
      </c>
      <c r="B252" s="3" t="s">
        <v>986</v>
      </c>
      <c r="C252" s="15">
        <v>845</v>
      </c>
    </row>
    <row r="253" spans="1:3" x14ac:dyDescent="0.2">
      <c r="A253" s="173" t="s">
        <v>987</v>
      </c>
      <c r="B253" s="3" t="s">
        <v>988</v>
      </c>
      <c r="C253" s="15">
        <v>64236.110000000008</v>
      </c>
    </row>
    <row r="254" spans="1:3" x14ac:dyDescent="0.2">
      <c r="A254" s="173" t="s">
        <v>989</v>
      </c>
      <c r="B254" s="3" t="s">
        <v>990</v>
      </c>
      <c r="C254" s="15">
        <v>6355.61</v>
      </c>
    </row>
    <row r="255" spans="1:3" x14ac:dyDescent="0.2">
      <c r="A255" s="173" t="s">
        <v>991</v>
      </c>
      <c r="B255" s="3" t="s">
        <v>992</v>
      </c>
      <c r="C255" s="15">
        <v>-9.9999999999909051E-3</v>
      </c>
    </row>
    <row r="256" spans="1:3" x14ac:dyDescent="0.2">
      <c r="A256" s="173" t="s">
        <v>993</v>
      </c>
      <c r="B256" s="3" t="s">
        <v>994</v>
      </c>
      <c r="C256" s="15">
        <v>-2141.2799999999997</v>
      </c>
    </row>
    <row r="257" spans="1:3" x14ac:dyDescent="0.2">
      <c r="A257" s="173" t="s">
        <v>995</v>
      </c>
      <c r="B257" s="3" t="s">
        <v>996</v>
      </c>
      <c r="C257" s="15">
        <v>2.2737367544323206E-13</v>
      </c>
    </row>
    <row r="258" spans="1:3" x14ac:dyDescent="0.2">
      <c r="A258" s="173" t="s">
        <v>997</v>
      </c>
      <c r="B258" s="3" t="s">
        <v>998</v>
      </c>
      <c r="C258" s="15">
        <v>841642.09000000067</v>
      </c>
    </row>
    <row r="259" spans="1:3" x14ac:dyDescent="0.2">
      <c r="A259" s="173" t="s">
        <v>999</v>
      </c>
      <c r="B259" s="3" t="s">
        <v>1000</v>
      </c>
      <c r="C259" s="15">
        <v>5424.08</v>
      </c>
    </row>
    <row r="260" spans="1:3" x14ac:dyDescent="0.2">
      <c r="A260" s="173" t="s">
        <v>1001</v>
      </c>
      <c r="B260" s="3" t="s">
        <v>1002</v>
      </c>
      <c r="C260" s="15">
        <v>2672.88</v>
      </c>
    </row>
    <row r="261" spans="1:3" x14ac:dyDescent="0.2">
      <c r="A261" s="173" t="s">
        <v>1003</v>
      </c>
      <c r="B261" s="3" t="s">
        <v>1004</v>
      </c>
      <c r="C261" s="15">
        <v>23748.600000000002</v>
      </c>
    </row>
    <row r="262" spans="1:3" x14ac:dyDescent="0.2">
      <c r="A262" s="173" t="s">
        <v>1005</v>
      </c>
      <c r="B262" s="3" t="s">
        <v>1006</v>
      </c>
      <c r="C262" s="15">
        <v>5711352.7800000012</v>
      </c>
    </row>
    <row r="263" spans="1:3" x14ac:dyDescent="0.2">
      <c r="A263" s="173" t="s">
        <v>1007</v>
      </c>
      <c r="B263" s="3" t="s">
        <v>1008</v>
      </c>
      <c r="C263" s="15">
        <v>2113.06</v>
      </c>
    </row>
    <row r="264" spans="1:3" x14ac:dyDescent="0.2">
      <c r="A264" s="173" t="s">
        <v>1009</v>
      </c>
      <c r="B264" s="3" t="s">
        <v>1010</v>
      </c>
      <c r="C264" s="15">
        <v>42910.87999999999</v>
      </c>
    </row>
    <row r="265" spans="1:3" x14ac:dyDescent="0.2">
      <c r="A265" s="173" t="s">
        <v>1011</v>
      </c>
      <c r="B265" s="3" t="s">
        <v>1012</v>
      </c>
      <c r="C265" s="15">
        <v>1315.91</v>
      </c>
    </row>
    <row r="266" spans="1:3" x14ac:dyDescent="0.2">
      <c r="A266" s="173" t="s">
        <v>1013</v>
      </c>
      <c r="B266" s="3" t="s">
        <v>1014</v>
      </c>
      <c r="C266" s="15">
        <v>400.59</v>
      </c>
    </row>
    <row r="267" spans="1:3" x14ac:dyDescent="0.2">
      <c r="A267" s="173" t="s">
        <v>1015</v>
      </c>
      <c r="B267" s="3" t="s">
        <v>1016</v>
      </c>
      <c r="C267" s="15">
        <v>-1258.3200000000002</v>
      </c>
    </row>
    <row r="268" spans="1:3" x14ac:dyDescent="0.2">
      <c r="A268" s="173" t="s">
        <v>1017</v>
      </c>
      <c r="B268" s="3" t="s">
        <v>1018</v>
      </c>
      <c r="C268" s="15">
        <v>3754.9799999999973</v>
      </c>
    </row>
    <row r="269" spans="1:3" x14ac:dyDescent="0.2">
      <c r="A269" s="173" t="s">
        <v>1019</v>
      </c>
      <c r="B269" s="3" t="s">
        <v>1020</v>
      </c>
      <c r="C269" s="15">
        <v>-23000</v>
      </c>
    </row>
    <row r="270" spans="1:3" x14ac:dyDescent="0.2">
      <c r="A270" s="173" t="s">
        <v>1021</v>
      </c>
      <c r="B270" s="3" t="s">
        <v>1022</v>
      </c>
      <c r="C270" s="15">
        <v>103298.63999999998</v>
      </c>
    </row>
    <row r="271" spans="1:3" x14ac:dyDescent="0.2">
      <c r="A271" s="173" t="s">
        <v>1023</v>
      </c>
      <c r="B271" s="3" t="s">
        <v>1024</v>
      </c>
      <c r="C271" s="15">
        <v>84247.470000000016</v>
      </c>
    </row>
    <row r="272" spans="1:3" x14ac:dyDescent="0.2">
      <c r="A272" s="173" t="s">
        <v>1025</v>
      </c>
      <c r="B272" s="3" t="s">
        <v>1026</v>
      </c>
      <c r="C272" s="15">
        <v>63930.419999999991</v>
      </c>
    </row>
    <row r="273" spans="1:3" x14ac:dyDescent="0.2">
      <c r="A273" s="173" t="s">
        <v>1027</v>
      </c>
      <c r="B273" s="3" t="s">
        <v>1028</v>
      </c>
      <c r="C273" s="15">
        <v>65878.8</v>
      </c>
    </row>
    <row r="274" spans="1:3" x14ac:dyDescent="0.2">
      <c r="A274" s="173" t="s">
        <v>1029</v>
      </c>
      <c r="B274" s="3" t="s">
        <v>1030</v>
      </c>
      <c r="C274" s="15">
        <v>-8749.8500000000058</v>
      </c>
    </row>
    <row r="275" spans="1:3" x14ac:dyDescent="0.2">
      <c r="A275" s="173" t="s">
        <v>1031</v>
      </c>
      <c r="B275" s="3" t="s">
        <v>1032</v>
      </c>
      <c r="C275" s="15">
        <v>2462.8599999999997</v>
      </c>
    </row>
    <row r="276" spans="1:3" x14ac:dyDescent="0.2">
      <c r="A276" s="173" t="s">
        <v>1033</v>
      </c>
      <c r="B276" s="3" t="s">
        <v>1034</v>
      </c>
      <c r="C276" s="15">
        <v>6930087.6899999995</v>
      </c>
    </row>
    <row r="277" spans="1:3" x14ac:dyDescent="0.2">
      <c r="A277" s="173" t="s">
        <v>1035</v>
      </c>
      <c r="B277" s="3" t="s">
        <v>1036</v>
      </c>
      <c r="C277" s="15">
        <v>112519.14999999997</v>
      </c>
    </row>
    <row r="278" spans="1:3" x14ac:dyDescent="0.2">
      <c r="A278" s="173" t="s">
        <v>1037</v>
      </c>
      <c r="B278" s="3" t="s">
        <v>1038</v>
      </c>
      <c r="C278" s="15">
        <v>5830</v>
      </c>
    </row>
    <row r="279" spans="1:3" x14ac:dyDescent="0.2">
      <c r="A279" s="173" t="s">
        <v>1039</v>
      </c>
      <c r="B279" s="3" t="s">
        <v>1040</v>
      </c>
      <c r="C279" s="15">
        <v>1660.9499999997424</v>
      </c>
    </row>
    <row r="280" spans="1:3" x14ac:dyDescent="0.2">
      <c r="A280" s="173" t="s">
        <v>1041</v>
      </c>
      <c r="B280" s="3" t="s">
        <v>1042</v>
      </c>
      <c r="C280" s="15">
        <v>-2638.93999999985</v>
      </c>
    </row>
    <row r="281" spans="1:3" x14ac:dyDescent="0.2">
      <c r="A281" s="173" t="s">
        <v>1043</v>
      </c>
      <c r="B281" s="3" t="s">
        <v>1044</v>
      </c>
      <c r="C281" s="15">
        <v>18544.5</v>
      </c>
    </row>
    <row r="282" spans="1:3" x14ac:dyDescent="0.2">
      <c r="A282" s="173" t="s">
        <v>1045</v>
      </c>
      <c r="B282" s="3" t="s">
        <v>1046</v>
      </c>
      <c r="C282" s="15">
        <v>34641.900000000009</v>
      </c>
    </row>
    <row r="283" spans="1:3" x14ac:dyDescent="0.2">
      <c r="A283" s="173" t="s">
        <v>1047</v>
      </c>
      <c r="B283" s="3" t="s">
        <v>1048</v>
      </c>
      <c r="C283" s="15">
        <v>102707.14000000007</v>
      </c>
    </row>
    <row r="284" spans="1:3" x14ac:dyDescent="0.2">
      <c r="A284" s="173" t="s">
        <v>1049</v>
      </c>
      <c r="B284" s="3" t="s">
        <v>1050</v>
      </c>
      <c r="C284" s="15">
        <v>93738.4</v>
      </c>
    </row>
    <row r="285" spans="1:3" x14ac:dyDescent="0.2">
      <c r="A285" s="173" t="s">
        <v>1051</v>
      </c>
      <c r="B285" s="3" t="s">
        <v>1052</v>
      </c>
      <c r="C285" s="15">
        <v>30985.139999999989</v>
      </c>
    </row>
    <row r="286" spans="1:3" x14ac:dyDescent="0.2">
      <c r="A286" s="173" t="s">
        <v>1053</v>
      </c>
      <c r="B286" s="3" t="s">
        <v>1054</v>
      </c>
      <c r="C286" s="15">
        <v>90130.39</v>
      </c>
    </row>
    <row r="287" spans="1:3" x14ac:dyDescent="0.2">
      <c r="A287" s="173" t="s">
        <v>1055</v>
      </c>
      <c r="B287" s="3" t="s">
        <v>1056</v>
      </c>
      <c r="C287" s="15">
        <v>23321.79</v>
      </c>
    </row>
    <row r="288" spans="1:3" x14ac:dyDescent="0.2">
      <c r="A288" s="173" t="s">
        <v>1057</v>
      </c>
      <c r="B288" s="3" t="s">
        <v>1058</v>
      </c>
      <c r="C288" s="15">
        <v>134047.24999999997</v>
      </c>
    </row>
    <row r="289" spans="1:3" x14ac:dyDescent="0.2">
      <c r="A289" s="173" t="s">
        <v>1059</v>
      </c>
      <c r="B289" s="3" t="s">
        <v>1060</v>
      </c>
      <c r="C289" s="15">
        <v>-6456.34</v>
      </c>
    </row>
    <row r="290" spans="1:3" x14ac:dyDescent="0.2">
      <c r="A290" s="173" t="s">
        <v>1061</v>
      </c>
      <c r="B290" s="3" t="s">
        <v>1062</v>
      </c>
      <c r="C290" s="15">
        <v>315470.81</v>
      </c>
    </row>
    <row r="291" spans="1:3" x14ac:dyDescent="0.2">
      <c r="A291" s="173" t="s">
        <v>1063</v>
      </c>
      <c r="B291" s="3" t="s">
        <v>1064</v>
      </c>
      <c r="C291" s="15">
        <v>88146.910000000018</v>
      </c>
    </row>
    <row r="292" spans="1:3" x14ac:dyDescent="0.2">
      <c r="A292" s="173" t="s">
        <v>1065</v>
      </c>
      <c r="B292" s="3" t="s">
        <v>1066</v>
      </c>
      <c r="C292" s="15">
        <v>35.090000000000003</v>
      </c>
    </row>
    <row r="293" spans="1:3" x14ac:dyDescent="0.2">
      <c r="A293" s="173" t="s">
        <v>1067</v>
      </c>
      <c r="B293" s="3" t="s">
        <v>1068</v>
      </c>
      <c r="C293" s="15">
        <v>304096.55999999994</v>
      </c>
    </row>
    <row r="294" spans="1:3" x14ac:dyDescent="0.2">
      <c r="A294" s="173" t="s">
        <v>1069</v>
      </c>
      <c r="B294" s="3" t="s">
        <v>1070</v>
      </c>
      <c r="C294" s="15">
        <v>0</v>
      </c>
    </row>
    <row r="295" spans="1:3" x14ac:dyDescent="0.2">
      <c r="A295" s="173" t="s">
        <v>1071</v>
      </c>
      <c r="B295" s="3" t="s">
        <v>1072</v>
      </c>
      <c r="C295" s="15">
        <v>17835.349999999999</v>
      </c>
    </row>
    <row r="296" spans="1:3" x14ac:dyDescent="0.2">
      <c r="A296" s="173" t="s">
        <v>1073</v>
      </c>
      <c r="B296" s="3" t="s">
        <v>1074</v>
      </c>
      <c r="C296" s="15">
        <v>-24088.199999999997</v>
      </c>
    </row>
    <row r="297" spans="1:3" x14ac:dyDescent="0.2">
      <c r="A297" s="173" t="s">
        <v>1075</v>
      </c>
      <c r="B297" s="3" t="s">
        <v>1076</v>
      </c>
      <c r="C297" s="15">
        <v>196546.27999999994</v>
      </c>
    </row>
    <row r="298" spans="1:3" x14ac:dyDescent="0.2">
      <c r="A298" s="173" t="s">
        <v>1077</v>
      </c>
      <c r="B298" s="3" t="s">
        <v>1078</v>
      </c>
      <c r="C298" s="15">
        <v>26771.72</v>
      </c>
    </row>
    <row r="299" spans="1:3" x14ac:dyDescent="0.2">
      <c r="A299" s="173" t="s">
        <v>1079</v>
      </c>
      <c r="B299" s="3" t="s">
        <v>1080</v>
      </c>
      <c r="C299" s="15">
        <v>22320.87000000001</v>
      </c>
    </row>
    <row r="300" spans="1:3" x14ac:dyDescent="0.2">
      <c r="A300" s="173" t="s">
        <v>1081</v>
      </c>
      <c r="B300" s="3" t="s">
        <v>1082</v>
      </c>
      <c r="C300" s="15">
        <v>118439.56999999999</v>
      </c>
    </row>
    <row r="301" spans="1:3" x14ac:dyDescent="0.2">
      <c r="A301" s="173" t="s">
        <v>1083</v>
      </c>
      <c r="B301" s="3" t="s">
        <v>1084</v>
      </c>
      <c r="C301" s="15">
        <v>137278.11999999994</v>
      </c>
    </row>
    <row r="302" spans="1:3" x14ac:dyDescent="0.2">
      <c r="A302" s="173" t="s">
        <v>1085</v>
      </c>
      <c r="B302" s="3" t="s">
        <v>1086</v>
      </c>
      <c r="C302" s="15">
        <v>159896.71999999997</v>
      </c>
    </row>
    <row r="303" spans="1:3" x14ac:dyDescent="0.2">
      <c r="A303" s="173" t="s">
        <v>1087</v>
      </c>
      <c r="B303" s="3" t="s">
        <v>1088</v>
      </c>
      <c r="C303" s="15">
        <v>386578.01999999996</v>
      </c>
    </row>
    <row r="304" spans="1:3" x14ac:dyDescent="0.2">
      <c r="A304" s="173" t="s">
        <v>1089</v>
      </c>
      <c r="B304" s="3" t="s">
        <v>1090</v>
      </c>
      <c r="C304" s="15">
        <v>90147.430000000051</v>
      </c>
    </row>
    <row r="305" spans="1:3" x14ac:dyDescent="0.2">
      <c r="A305" s="173" t="s">
        <v>1091</v>
      </c>
      <c r="B305" s="3" t="s">
        <v>1092</v>
      </c>
      <c r="C305" s="15">
        <v>83749.570000000036</v>
      </c>
    </row>
    <row r="306" spans="1:3" x14ac:dyDescent="0.2">
      <c r="A306" s="173" t="s">
        <v>1093</v>
      </c>
      <c r="B306" s="3" t="s">
        <v>1094</v>
      </c>
      <c r="C306" s="15">
        <v>116759.2900000001</v>
      </c>
    </row>
    <row r="307" spans="1:3" x14ac:dyDescent="0.2">
      <c r="A307" s="173" t="s">
        <v>1095</v>
      </c>
      <c r="B307" s="3" t="s">
        <v>1096</v>
      </c>
      <c r="C307" s="15">
        <v>138068.08999999991</v>
      </c>
    </row>
    <row r="308" spans="1:3" x14ac:dyDescent="0.2">
      <c r="A308" s="173" t="s">
        <v>1097</v>
      </c>
      <c r="B308" s="3" t="s">
        <v>1098</v>
      </c>
      <c r="C308" s="15">
        <v>760.07999999999993</v>
      </c>
    </row>
    <row r="309" spans="1:3" x14ac:dyDescent="0.2">
      <c r="A309" s="173" t="s">
        <v>1099</v>
      </c>
      <c r="B309" s="3" t="s">
        <v>1100</v>
      </c>
      <c r="C309" s="15">
        <v>652447.30999999994</v>
      </c>
    </row>
    <row r="310" spans="1:3" x14ac:dyDescent="0.2">
      <c r="A310" s="173" t="s">
        <v>1101</v>
      </c>
      <c r="B310" s="3" t="s">
        <v>1102</v>
      </c>
      <c r="C310" s="15">
        <v>-9034.6200000000008</v>
      </c>
    </row>
    <row r="311" spans="1:3" x14ac:dyDescent="0.2">
      <c r="A311" s="173" t="s">
        <v>1103</v>
      </c>
      <c r="B311" s="3" t="s">
        <v>1104</v>
      </c>
      <c r="C311" s="15">
        <v>422546.17999999976</v>
      </c>
    </row>
    <row r="312" spans="1:3" x14ac:dyDescent="0.2">
      <c r="A312" s="173" t="s">
        <v>1105</v>
      </c>
      <c r="B312" s="3" t="s">
        <v>1106</v>
      </c>
      <c r="C312" s="15">
        <v>72901.89</v>
      </c>
    </row>
    <row r="313" spans="1:3" x14ac:dyDescent="0.2">
      <c r="A313" s="173" t="s">
        <v>1107</v>
      </c>
      <c r="B313" s="3" t="s">
        <v>1108</v>
      </c>
      <c r="C313" s="15">
        <v>109295.70000000001</v>
      </c>
    </row>
    <row r="314" spans="1:3" x14ac:dyDescent="0.2">
      <c r="A314" s="173" t="s">
        <v>1109</v>
      </c>
      <c r="B314" s="3" t="s">
        <v>1110</v>
      </c>
      <c r="C314" s="15">
        <v>4159.04</v>
      </c>
    </row>
    <row r="315" spans="1:3" x14ac:dyDescent="0.2">
      <c r="A315" s="173" t="s">
        <v>1111</v>
      </c>
      <c r="B315" s="3" t="s">
        <v>1112</v>
      </c>
      <c r="C315" s="15">
        <v>57972.230000000032</v>
      </c>
    </row>
    <row r="316" spans="1:3" x14ac:dyDescent="0.2">
      <c r="A316" s="173" t="s">
        <v>1113</v>
      </c>
      <c r="B316" s="3" t="s">
        <v>1114</v>
      </c>
      <c r="C316" s="15">
        <v>104887.12999999992</v>
      </c>
    </row>
    <row r="317" spans="1:3" x14ac:dyDescent="0.2">
      <c r="A317" s="173" t="s">
        <v>1115</v>
      </c>
      <c r="B317" s="3" t="s">
        <v>1116</v>
      </c>
      <c r="C317" s="15">
        <v>98269.31</v>
      </c>
    </row>
    <row r="318" spans="1:3" x14ac:dyDescent="0.2">
      <c r="A318" s="173" t="s">
        <v>1117</v>
      </c>
      <c r="B318" s="3" t="s">
        <v>1118</v>
      </c>
      <c r="C318" s="15">
        <v>97516.61</v>
      </c>
    </row>
    <row r="319" spans="1:3" x14ac:dyDescent="0.2">
      <c r="A319" s="173" t="s">
        <v>1119</v>
      </c>
      <c r="B319" s="3" t="s">
        <v>1120</v>
      </c>
      <c r="C319" s="15">
        <v>35376.509999999995</v>
      </c>
    </row>
    <row r="320" spans="1:3" x14ac:dyDescent="0.2">
      <c r="A320" s="173" t="s">
        <v>1121</v>
      </c>
      <c r="B320" s="3" t="s">
        <v>1122</v>
      </c>
      <c r="C320" s="15">
        <v>8780.84</v>
      </c>
    </row>
    <row r="321" spans="1:3" x14ac:dyDescent="0.2">
      <c r="A321" s="173" t="s">
        <v>1123</v>
      </c>
      <c r="B321" s="3" t="s">
        <v>1124</v>
      </c>
      <c r="C321" s="15">
        <v>89276.519999999975</v>
      </c>
    </row>
    <row r="322" spans="1:3" x14ac:dyDescent="0.2">
      <c r="A322" s="173" t="s">
        <v>1125</v>
      </c>
      <c r="B322" s="3" t="s">
        <v>1126</v>
      </c>
      <c r="C322" s="15">
        <v>13989.709999999997</v>
      </c>
    </row>
    <row r="323" spans="1:3" x14ac:dyDescent="0.2">
      <c r="A323" s="173" t="s">
        <v>1127</v>
      </c>
      <c r="B323" s="3" t="s">
        <v>1128</v>
      </c>
      <c r="C323" s="15">
        <v>4066.2599999999993</v>
      </c>
    </row>
    <row r="324" spans="1:3" x14ac:dyDescent="0.2">
      <c r="A324" s="173" t="s">
        <v>1129</v>
      </c>
      <c r="B324" s="3" t="s">
        <v>1130</v>
      </c>
      <c r="C324" s="15">
        <v>12196.119999999999</v>
      </c>
    </row>
    <row r="325" spans="1:3" x14ac:dyDescent="0.2">
      <c r="A325" s="173" t="s">
        <v>1131</v>
      </c>
      <c r="B325" s="3" t="s">
        <v>1132</v>
      </c>
      <c r="C325" s="15">
        <v>133526.82999999999</v>
      </c>
    </row>
    <row r="326" spans="1:3" x14ac:dyDescent="0.2">
      <c r="A326" s="173" t="s">
        <v>1133</v>
      </c>
      <c r="B326" s="3" t="s">
        <v>1134</v>
      </c>
      <c r="C326" s="15">
        <v>157698.68000000002</v>
      </c>
    </row>
    <row r="327" spans="1:3" x14ac:dyDescent="0.2">
      <c r="A327" s="173" t="s">
        <v>1135</v>
      </c>
      <c r="B327" s="3" t="s">
        <v>1136</v>
      </c>
      <c r="C327" s="15">
        <v>237592.11</v>
      </c>
    </row>
    <row r="328" spans="1:3" x14ac:dyDescent="0.2">
      <c r="A328" s="173" t="s">
        <v>1137</v>
      </c>
      <c r="B328" s="3" t="s">
        <v>1138</v>
      </c>
      <c r="C328" s="15">
        <v>23197.87</v>
      </c>
    </row>
    <row r="329" spans="1:3" x14ac:dyDescent="0.2">
      <c r="A329" s="173" t="s">
        <v>1139</v>
      </c>
      <c r="B329" s="3" t="s">
        <v>1140</v>
      </c>
      <c r="C329" s="15">
        <v>72330.979999999967</v>
      </c>
    </row>
    <row r="330" spans="1:3" x14ac:dyDescent="0.2">
      <c r="A330" s="173" t="s">
        <v>1141</v>
      </c>
      <c r="B330" s="3" t="s">
        <v>1142</v>
      </c>
      <c r="C330" s="15">
        <v>47733.540000000008</v>
      </c>
    </row>
    <row r="331" spans="1:3" x14ac:dyDescent="0.2">
      <c r="A331" s="173" t="s">
        <v>1143</v>
      </c>
      <c r="B331" s="3" t="s">
        <v>1144</v>
      </c>
      <c r="C331" s="15">
        <v>53946.319999999978</v>
      </c>
    </row>
    <row r="332" spans="1:3" x14ac:dyDescent="0.2">
      <c r="A332" s="173" t="s">
        <v>1145</v>
      </c>
      <c r="B332" s="3" t="s">
        <v>1146</v>
      </c>
      <c r="C332" s="15">
        <v>-1152.48</v>
      </c>
    </row>
    <row r="333" spans="1:3" x14ac:dyDescent="0.2">
      <c r="A333" s="173" t="s">
        <v>1147</v>
      </c>
      <c r="B333" s="3" t="s">
        <v>1148</v>
      </c>
      <c r="C333" s="15">
        <v>207899.71</v>
      </c>
    </row>
    <row r="334" spans="1:3" x14ac:dyDescent="0.2">
      <c r="A334" s="173" t="s">
        <v>1149</v>
      </c>
      <c r="B334" s="3" t="s">
        <v>1150</v>
      </c>
      <c r="C334" s="15">
        <v>9687.5099999999984</v>
      </c>
    </row>
    <row r="335" spans="1:3" x14ac:dyDescent="0.2">
      <c r="A335" s="173" t="s">
        <v>1151</v>
      </c>
      <c r="B335" s="3" t="s">
        <v>1152</v>
      </c>
      <c r="C335" s="15">
        <v>12001.689999999999</v>
      </c>
    </row>
    <row r="336" spans="1:3" x14ac:dyDescent="0.2">
      <c r="A336" s="173" t="s">
        <v>1153</v>
      </c>
      <c r="B336" s="3" t="s">
        <v>1154</v>
      </c>
      <c r="C336" s="15">
        <v>179731.09999999998</v>
      </c>
    </row>
    <row r="337" spans="1:3" x14ac:dyDescent="0.2">
      <c r="A337" s="173" t="s">
        <v>1155</v>
      </c>
      <c r="B337" s="3" t="s">
        <v>1156</v>
      </c>
      <c r="C337" s="15">
        <v>17712.2</v>
      </c>
    </row>
    <row r="338" spans="1:3" x14ac:dyDescent="0.2">
      <c r="A338" s="173" t="s">
        <v>1157</v>
      </c>
      <c r="B338" s="3" t="s">
        <v>1158</v>
      </c>
      <c r="C338" s="15">
        <v>-34680.46</v>
      </c>
    </row>
    <row r="339" spans="1:3" x14ac:dyDescent="0.2">
      <c r="A339" s="173" t="s">
        <v>1159</v>
      </c>
      <c r="B339" s="3" t="s">
        <v>1160</v>
      </c>
      <c r="C339" s="15">
        <v>-3134.96</v>
      </c>
    </row>
    <row r="340" spans="1:3" x14ac:dyDescent="0.2">
      <c r="A340" s="173" t="s">
        <v>1161</v>
      </c>
      <c r="B340" s="3" t="s">
        <v>1162</v>
      </c>
      <c r="C340" s="15">
        <v>44177.399999999994</v>
      </c>
    </row>
    <row r="341" spans="1:3" x14ac:dyDescent="0.2">
      <c r="A341" s="173" t="s">
        <v>1163</v>
      </c>
      <c r="B341" s="3" t="s">
        <v>1164</v>
      </c>
      <c r="C341" s="15">
        <v>212612.52000000002</v>
      </c>
    </row>
    <row r="342" spans="1:3" x14ac:dyDescent="0.2">
      <c r="A342" s="173" t="s">
        <v>1165</v>
      </c>
      <c r="B342" s="3" t="s">
        <v>1166</v>
      </c>
      <c r="C342" s="15">
        <v>187251.58000000005</v>
      </c>
    </row>
    <row r="343" spans="1:3" x14ac:dyDescent="0.2">
      <c r="A343" s="173" t="s">
        <v>1167</v>
      </c>
      <c r="B343" s="3" t="s">
        <v>1168</v>
      </c>
      <c r="C343" s="15">
        <v>-4491.2700000000004</v>
      </c>
    </row>
    <row r="344" spans="1:3" x14ac:dyDescent="0.2">
      <c r="A344" s="173" t="s">
        <v>1169</v>
      </c>
      <c r="B344" s="3" t="s">
        <v>1170</v>
      </c>
      <c r="C344" s="15">
        <v>602463.74000000011</v>
      </c>
    </row>
    <row r="345" spans="1:3" x14ac:dyDescent="0.2">
      <c r="A345" s="173" t="s">
        <v>1171</v>
      </c>
      <c r="B345" s="3" t="s">
        <v>1172</v>
      </c>
      <c r="C345" s="15">
        <v>3328.39</v>
      </c>
    </row>
    <row r="346" spans="1:3" x14ac:dyDescent="0.2">
      <c r="A346" s="173" t="s">
        <v>1173</v>
      </c>
      <c r="B346" s="3" t="s">
        <v>1174</v>
      </c>
      <c r="C346" s="15">
        <v>0</v>
      </c>
    </row>
    <row r="347" spans="1:3" x14ac:dyDescent="0.2">
      <c r="A347" s="173" t="s">
        <v>1175</v>
      </c>
      <c r="B347" s="3" t="s">
        <v>1176</v>
      </c>
      <c r="C347" s="15">
        <v>22376.550000000007</v>
      </c>
    </row>
    <row r="348" spans="1:3" x14ac:dyDescent="0.2">
      <c r="A348" s="173" t="s">
        <v>1177</v>
      </c>
      <c r="B348" s="3" t="s">
        <v>1178</v>
      </c>
      <c r="C348" s="15">
        <v>19880.970000000008</v>
      </c>
    </row>
    <row r="349" spans="1:3" x14ac:dyDescent="0.2">
      <c r="A349" s="173" t="s">
        <v>1179</v>
      </c>
      <c r="B349" s="3" t="s">
        <v>1180</v>
      </c>
      <c r="C349" s="15">
        <v>10795.89</v>
      </c>
    </row>
    <row r="350" spans="1:3" x14ac:dyDescent="0.2">
      <c r="A350" s="173" t="s">
        <v>1181</v>
      </c>
      <c r="B350" s="3" t="s">
        <v>1182</v>
      </c>
      <c r="C350" s="15">
        <v>37837.879999999997</v>
      </c>
    </row>
    <row r="351" spans="1:3" x14ac:dyDescent="0.2">
      <c r="A351" s="173" t="s">
        <v>1183</v>
      </c>
      <c r="B351" s="3" t="s">
        <v>1184</v>
      </c>
      <c r="C351" s="15">
        <v>296602.57999999996</v>
      </c>
    </row>
    <row r="352" spans="1:3" x14ac:dyDescent="0.2">
      <c r="A352" s="173" t="s">
        <v>1185</v>
      </c>
      <c r="B352" s="3" t="s">
        <v>1186</v>
      </c>
      <c r="C352" s="15">
        <v>830.25</v>
      </c>
    </row>
    <row r="353" spans="1:3" x14ac:dyDescent="0.2">
      <c r="A353" s="173" t="s">
        <v>1187</v>
      </c>
      <c r="B353" s="3" t="s">
        <v>1188</v>
      </c>
      <c r="C353" s="15">
        <v>42148.17</v>
      </c>
    </row>
    <row r="354" spans="1:3" x14ac:dyDescent="0.2">
      <c r="A354" s="173" t="s">
        <v>1189</v>
      </c>
      <c r="B354" s="3" t="s">
        <v>1190</v>
      </c>
      <c r="C354" s="15">
        <v>349293.72</v>
      </c>
    </row>
    <row r="355" spans="1:3" x14ac:dyDescent="0.2">
      <c r="A355" s="173" t="s">
        <v>1191</v>
      </c>
      <c r="B355" s="3" t="s">
        <v>1192</v>
      </c>
      <c r="C355" s="15">
        <v>-1961.1800000000003</v>
      </c>
    </row>
    <row r="356" spans="1:3" x14ac:dyDescent="0.2">
      <c r="A356" s="173" t="s">
        <v>1193</v>
      </c>
      <c r="B356" s="3" t="s">
        <v>1194</v>
      </c>
      <c r="C356" s="15">
        <v>-13142.910000000002</v>
      </c>
    </row>
    <row r="357" spans="1:3" x14ac:dyDescent="0.2">
      <c r="A357" s="173" t="s">
        <v>1195</v>
      </c>
      <c r="B357" s="3" t="s">
        <v>1196</v>
      </c>
      <c r="C357" s="15">
        <v>25715.329999999998</v>
      </c>
    </row>
    <row r="358" spans="1:3" x14ac:dyDescent="0.2">
      <c r="A358" s="173" t="s">
        <v>1197</v>
      </c>
      <c r="B358" s="3" t="s">
        <v>1198</v>
      </c>
      <c r="C358" s="15">
        <v>-6136.1</v>
      </c>
    </row>
    <row r="359" spans="1:3" x14ac:dyDescent="0.2">
      <c r="A359" s="173" t="s">
        <v>1199</v>
      </c>
      <c r="B359" s="3" t="s">
        <v>1200</v>
      </c>
      <c r="C359" s="15">
        <v>6788.2700000000023</v>
      </c>
    </row>
    <row r="360" spans="1:3" x14ac:dyDescent="0.2">
      <c r="A360" s="173" t="s">
        <v>1201</v>
      </c>
      <c r="B360" s="3" t="s">
        <v>1202</v>
      </c>
      <c r="C360" s="15">
        <v>11787.370000000004</v>
      </c>
    </row>
    <row r="361" spans="1:3" x14ac:dyDescent="0.2">
      <c r="A361" s="173" t="s">
        <v>1203</v>
      </c>
      <c r="B361" s="3" t="s">
        <v>1204</v>
      </c>
      <c r="C361" s="15">
        <v>-577.5</v>
      </c>
    </row>
    <row r="362" spans="1:3" x14ac:dyDescent="0.2">
      <c r="A362" s="173" t="s">
        <v>1205</v>
      </c>
      <c r="B362" s="3" t="s">
        <v>1206</v>
      </c>
      <c r="C362" s="15">
        <v>274.64000000000016</v>
      </c>
    </row>
    <row r="363" spans="1:3" x14ac:dyDescent="0.2">
      <c r="A363" s="173" t="s">
        <v>1207</v>
      </c>
      <c r="B363" s="3" t="s">
        <v>1208</v>
      </c>
      <c r="C363" s="15">
        <v>156945.29999999999</v>
      </c>
    </row>
    <row r="364" spans="1:3" x14ac:dyDescent="0.2">
      <c r="A364" s="173" t="s">
        <v>1209</v>
      </c>
      <c r="B364" s="3" t="s">
        <v>1210</v>
      </c>
      <c r="C364" s="15">
        <v>560.72000000000116</v>
      </c>
    </row>
    <row r="365" spans="1:3" x14ac:dyDescent="0.2">
      <c r="A365" s="173" t="s">
        <v>1211</v>
      </c>
      <c r="B365" s="3" t="s">
        <v>1212</v>
      </c>
      <c r="C365" s="15">
        <v>27457.609999999971</v>
      </c>
    </row>
    <row r="366" spans="1:3" x14ac:dyDescent="0.2">
      <c r="A366" s="173" t="s">
        <v>1213</v>
      </c>
      <c r="B366" s="3" t="s">
        <v>1214</v>
      </c>
      <c r="C366" s="15">
        <v>-8.3200000000001637</v>
      </c>
    </row>
    <row r="367" spans="1:3" x14ac:dyDescent="0.2">
      <c r="A367" s="173" t="s">
        <v>1215</v>
      </c>
      <c r="B367" s="3" t="s">
        <v>1216</v>
      </c>
      <c r="C367" s="15">
        <v>419183.91000000027</v>
      </c>
    </row>
    <row r="368" spans="1:3" x14ac:dyDescent="0.2">
      <c r="A368" s="173" t="s">
        <v>1217</v>
      </c>
      <c r="B368" s="3" t="s">
        <v>1218</v>
      </c>
      <c r="C368" s="15">
        <v>0</v>
      </c>
    </row>
    <row r="369" spans="1:3" x14ac:dyDescent="0.2">
      <c r="A369" s="173" t="s">
        <v>1219</v>
      </c>
      <c r="B369" s="3" t="s">
        <v>1220</v>
      </c>
      <c r="C369" s="15">
        <v>3394.0300000000016</v>
      </c>
    </row>
    <row r="370" spans="1:3" x14ac:dyDescent="0.2">
      <c r="A370" s="173" t="s">
        <v>1221</v>
      </c>
      <c r="B370" s="3" t="s">
        <v>1222</v>
      </c>
      <c r="C370" s="15">
        <v>112875.50999999998</v>
      </c>
    </row>
    <row r="371" spans="1:3" x14ac:dyDescent="0.2">
      <c r="A371" s="173" t="s">
        <v>1223</v>
      </c>
      <c r="B371" s="3" t="s">
        <v>1224</v>
      </c>
      <c r="C371" s="15">
        <v>486702.8499999998</v>
      </c>
    </row>
    <row r="372" spans="1:3" x14ac:dyDescent="0.2">
      <c r="A372" s="173" t="s">
        <v>1225</v>
      </c>
      <c r="B372" s="3" t="s">
        <v>1226</v>
      </c>
      <c r="C372" s="15">
        <v>319576.92000000004</v>
      </c>
    </row>
    <row r="373" spans="1:3" x14ac:dyDescent="0.2">
      <c r="A373" s="173" t="s">
        <v>1227</v>
      </c>
      <c r="B373" s="3" t="s">
        <v>1228</v>
      </c>
      <c r="C373" s="15">
        <v>-3002.51</v>
      </c>
    </row>
    <row r="374" spans="1:3" x14ac:dyDescent="0.2">
      <c r="A374" s="173" t="s">
        <v>1229</v>
      </c>
      <c r="B374" s="3" t="s">
        <v>1230</v>
      </c>
      <c r="C374" s="15">
        <v>429146.86000000004</v>
      </c>
    </row>
    <row r="375" spans="1:3" x14ac:dyDescent="0.2">
      <c r="A375" s="173" t="s">
        <v>1231</v>
      </c>
      <c r="B375" s="3" t="s">
        <v>1232</v>
      </c>
      <c r="C375" s="15">
        <v>344381.63999999996</v>
      </c>
    </row>
    <row r="376" spans="1:3" x14ac:dyDescent="0.2">
      <c r="A376" s="173" t="s">
        <v>1233</v>
      </c>
      <c r="B376" s="3" t="s">
        <v>1234</v>
      </c>
      <c r="C376" s="15">
        <v>-1231.1099999999999</v>
      </c>
    </row>
    <row r="377" spans="1:3" x14ac:dyDescent="0.2">
      <c r="A377" s="173" t="s">
        <v>1235</v>
      </c>
      <c r="B377" s="3" t="s">
        <v>1236</v>
      </c>
      <c r="C377" s="15">
        <v>15137.11</v>
      </c>
    </row>
    <row r="378" spans="1:3" x14ac:dyDescent="0.2">
      <c r="A378" s="173" t="s">
        <v>1237</v>
      </c>
      <c r="B378" s="3" t="s">
        <v>1238</v>
      </c>
      <c r="C378" s="15">
        <v>6160.26</v>
      </c>
    </row>
    <row r="379" spans="1:3" x14ac:dyDescent="0.2">
      <c r="A379" s="173" t="s">
        <v>1239</v>
      </c>
      <c r="B379" s="3" t="s">
        <v>1240</v>
      </c>
      <c r="C379" s="15">
        <v>505288.32999999973</v>
      </c>
    </row>
    <row r="380" spans="1:3" x14ac:dyDescent="0.2">
      <c r="A380" s="173" t="s">
        <v>1241</v>
      </c>
      <c r="B380" s="3" t="s">
        <v>1242</v>
      </c>
      <c r="C380" s="15">
        <v>5033.2700000000004</v>
      </c>
    </row>
    <row r="381" spans="1:3" x14ac:dyDescent="0.2">
      <c r="A381" s="173" t="s">
        <v>1243</v>
      </c>
      <c r="B381" s="3" t="s">
        <v>1244</v>
      </c>
      <c r="C381" s="15">
        <v>2204.6299999999974</v>
      </c>
    </row>
    <row r="382" spans="1:3" x14ac:dyDescent="0.2">
      <c r="A382" s="173" t="s">
        <v>1245</v>
      </c>
      <c r="B382" s="3" t="s">
        <v>1246</v>
      </c>
      <c r="C382" s="15">
        <v>7271.5000000000018</v>
      </c>
    </row>
    <row r="383" spans="1:3" x14ac:dyDescent="0.2">
      <c r="A383" s="173" t="s">
        <v>1247</v>
      </c>
      <c r="B383" s="3" t="s">
        <v>1248</v>
      </c>
      <c r="C383" s="15">
        <v>76.059999999999988</v>
      </c>
    </row>
    <row r="384" spans="1:3" x14ac:dyDescent="0.2">
      <c r="A384" s="173" t="s">
        <v>1249</v>
      </c>
      <c r="B384" s="3" t="s">
        <v>1250</v>
      </c>
      <c r="C384" s="15">
        <v>-4810.2900000000009</v>
      </c>
    </row>
    <row r="385" spans="1:3" x14ac:dyDescent="0.2">
      <c r="A385" s="173" t="s">
        <v>1251</v>
      </c>
      <c r="B385" s="3" t="s">
        <v>1252</v>
      </c>
      <c r="C385" s="15">
        <v>52954.43</v>
      </c>
    </row>
    <row r="386" spans="1:3" x14ac:dyDescent="0.2">
      <c r="A386" s="173" t="s">
        <v>1253</v>
      </c>
      <c r="B386" s="3" t="s">
        <v>1254</v>
      </c>
      <c r="C386" s="15">
        <v>25450.329999999991</v>
      </c>
    </row>
    <row r="387" spans="1:3" x14ac:dyDescent="0.2">
      <c r="A387" s="173" t="s">
        <v>1255</v>
      </c>
      <c r="B387" s="3" t="s">
        <v>1256</v>
      </c>
      <c r="C387" s="15">
        <v>2358.02</v>
      </c>
    </row>
    <row r="388" spans="1:3" x14ac:dyDescent="0.2">
      <c r="A388" s="173" t="s">
        <v>1257</v>
      </c>
      <c r="B388" s="3" t="s">
        <v>1258</v>
      </c>
      <c r="C388" s="15">
        <v>2213.0500000000011</v>
      </c>
    </row>
    <row r="389" spans="1:3" x14ac:dyDescent="0.2">
      <c r="A389" s="173" t="s">
        <v>1259</v>
      </c>
      <c r="B389" s="3" t="s">
        <v>1260</v>
      </c>
      <c r="C389" s="15">
        <v>658.80000000000018</v>
      </c>
    </row>
    <row r="390" spans="1:3" x14ac:dyDescent="0.2">
      <c r="A390" s="173" t="s">
        <v>1261</v>
      </c>
      <c r="B390" s="3" t="s">
        <v>1262</v>
      </c>
      <c r="C390" s="15">
        <v>300414.48</v>
      </c>
    </row>
    <row r="391" spans="1:3" x14ac:dyDescent="0.2">
      <c r="A391" s="173" t="s">
        <v>1263</v>
      </c>
      <c r="B391" s="3" t="s">
        <v>1264</v>
      </c>
      <c r="C391" s="15">
        <v>2493.2999999999993</v>
      </c>
    </row>
    <row r="392" spans="1:3" x14ac:dyDescent="0.2">
      <c r="A392" s="173" t="s">
        <v>1265</v>
      </c>
      <c r="B392" s="3" t="s">
        <v>1266</v>
      </c>
      <c r="C392" s="15">
        <v>1817.3600000000001</v>
      </c>
    </row>
    <row r="393" spans="1:3" x14ac:dyDescent="0.2">
      <c r="A393" s="173" t="s">
        <v>1267</v>
      </c>
      <c r="B393" s="3" t="s">
        <v>1268</v>
      </c>
      <c r="C393" s="15">
        <v>605.78999999999985</v>
      </c>
    </row>
    <row r="394" spans="1:3" x14ac:dyDescent="0.2">
      <c r="A394" s="173" t="s">
        <v>1269</v>
      </c>
      <c r="B394" s="3" t="s">
        <v>1270</v>
      </c>
      <c r="C394" s="15">
        <v>9340.1</v>
      </c>
    </row>
    <row r="395" spans="1:3" x14ac:dyDescent="0.2">
      <c r="A395" s="173" t="s">
        <v>1271</v>
      </c>
      <c r="B395" s="3" t="s">
        <v>1272</v>
      </c>
      <c r="C395" s="15">
        <v>2569.16</v>
      </c>
    </row>
    <row r="396" spans="1:3" x14ac:dyDescent="0.2">
      <c r="A396" s="173" t="s">
        <v>1273</v>
      </c>
      <c r="B396" s="3" t="s">
        <v>1274</v>
      </c>
      <c r="C396" s="15">
        <v>2470281.7100000004</v>
      </c>
    </row>
    <row r="397" spans="1:3" x14ac:dyDescent="0.2">
      <c r="A397" s="173" t="s">
        <v>1275</v>
      </c>
      <c r="B397" s="3" t="s">
        <v>1276</v>
      </c>
      <c r="C397" s="15">
        <v>1940268.16</v>
      </c>
    </row>
    <row r="398" spans="1:3" x14ac:dyDescent="0.2">
      <c r="A398" s="173" t="s">
        <v>1277</v>
      </c>
      <c r="B398" s="3" t="s">
        <v>1278</v>
      </c>
      <c r="C398" s="15">
        <v>34350.65999999996</v>
      </c>
    </row>
    <row r="399" spans="1:3" x14ac:dyDescent="0.2">
      <c r="A399" s="173" t="s">
        <v>1279</v>
      </c>
      <c r="B399" s="3" t="s">
        <v>1280</v>
      </c>
      <c r="C399" s="15">
        <v>-13153.270000000013</v>
      </c>
    </row>
    <row r="400" spans="1:3" x14ac:dyDescent="0.2">
      <c r="A400" s="173" t="s">
        <v>1281</v>
      </c>
      <c r="B400" s="3" t="s">
        <v>1282</v>
      </c>
      <c r="C400" s="15">
        <v>6494.8000000000029</v>
      </c>
    </row>
    <row r="401" spans="1:3" x14ac:dyDescent="0.2">
      <c r="A401" s="173" t="s">
        <v>1283</v>
      </c>
      <c r="B401" s="3" t="s">
        <v>1284</v>
      </c>
      <c r="C401" s="15">
        <v>21079.819999999989</v>
      </c>
    </row>
    <row r="402" spans="1:3" x14ac:dyDescent="0.2">
      <c r="A402" s="173" t="s">
        <v>1285</v>
      </c>
      <c r="B402" s="3" t="s">
        <v>1286</v>
      </c>
      <c r="C402" s="15">
        <v>25449.450000000012</v>
      </c>
    </row>
    <row r="403" spans="1:3" x14ac:dyDescent="0.2">
      <c r="A403" s="173" t="s">
        <v>1287</v>
      </c>
      <c r="B403" s="3" t="s">
        <v>1288</v>
      </c>
      <c r="C403" s="15">
        <v>20060.219999999983</v>
      </c>
    </row>
    <row r="404" spans="1:3" x14ac:dyDescent="0.2">
      <c r="A404" s="173" t="s">
        <v>1289</v>
      </c>
      <c r="B404" s="3" t="s">
        <v>1290</v>
      </c>
      <c r="C404" s="15">
        <v>21875.569999999992</v>
      </c>
    </row>
    <row r="405" spans="1:3" x14ac:dyDescent="0.2">
      <c r="A405" s="173" t="s">
        <v>1291</v>
      </c>
      <c r="B405" s="3" t="s">
        <v>1292</v>
      </c>
      <c r="C405" s="15">
        <v>797.05000000000007</v>
      </c>
    </row>
    <row r="406" spans="1:3" x14ac:dyDescent="0.2">
      <c r="A406" s="173" t="s">
        <v>1293</v>
      </c>
      <c r="B406" s="3" t="s">
        <v>1294</v>
      </c>
      <c r="C406" s="15">
        <v>127165.1</v>
      </c>
    </row>
    <row r="407" spans="1:3" x14ac:dyDescent="0.2">
      <c r="A407" s="173" t="s">
        <v>1295</v>
      </c>
      <c r="B407" s="3" t="s">
        <v>1296</v>
      </c>
      <c r="C407" s="15">
        <v>-41541.890000000123</v>
      </c>
    </row>
    <row r="408" spans="1:3" x14ac:dyDescent="0.2">
      <c r="A408" s="173" t="s">
        <v>1297</v>
      </c>
      <c r="B408" s="3" t="s">
        <v>1298</v>
      </c>
      <c r="C408" s="15">
        <v>-26510.030000000002</v>
      </c>
    </row>
    <row r="409" spans="1:3" x14ac:dyDescent="0.2">
      <c r="A409" s="173" t="s">
        <v>1299</v>
      </c>
      <c r="B409" s="3" t="s">
        <v>1300</v>
      </c>
      <c r="C409" s="15">
        <v>551196.72000000032</v>
      </c>
    </row>
    <row r="410" spans="1:3" x14ac:dyDescent="0.2">
      <c r="A410" s="173" t="s">
        <v>1301</v>
      </c>
      <c r="B410" s="3" t="s">
        <v>1302</v>
      </c>
      <c r="C410" s="15">
        <v>424677.50000000017</v>
      </c>
    </row>
    <row r="411" spans="1:3" x14ac:dyDescent="0.2">
      <c r="A411" s="173" t="s">
        <v>1303</v>
      </c>
      <c r="B411" s="3" t="s">
        <v>1304</v>
      </c>
      <c r="C411" s="15">
        <v>2135518.0700000008</v>
      </c>
    </row>
    <row r="412" spans="1:3" x14ac:dyDescent="0.2">
      <c r="A412" s="173" t="s">
        <v>1305</v>
      </c>
      <c r="B412" s="3" t="s">
        <v>1306</v>
      </c>
      <c r="C412" s="15">
        <v>30029.37</v>
      </c>
    </row>
    <row r="413" spans="1:3" x14ac:dyDescent="0.2">
      <c r="A413" s="173" t="s">
        <v>1307</v>
      </c>
      <c r="B413" s="3" t="s">
        <v>1308</v>
      </c>
      <c r="C413" s="15">
        <v>-1.7053025658242404E-13</v>
      </c>
    </row>
    <row r="414" spans="1:3" x14ac:dyDescent="0.2">
      <c r="A414" s="173" t="s">
        <v>1309</v>
      </c>
      <c r="B414" s="3" t="s">
        <v>1310</v>
      </c>
      <c r="C414" s="15">
        <v>3790.1300000000006</v>
      </c>
    </row>
    <row r="415" spans="1:3" x14ac:dyDescent="0.2">
      <c r="A415" s="173" t="s">
        <v>1311</v>
      </c>
      <c r="B415" s="3" t="s">
        <v>1312</v>
      </c>
      <c r="C415" s="15">
        <v>2004.14</v>
      </c>
    </row>
    <row r="416" spans="1:3" x14ac:dyDescent="0.2">
      <c r="A416" s="173" t="s">
        <v>1313</v>
      </c>
      <c r="B416" s="3" t="s">
        <v>1314</v>
      </c>
      <c r="C416" s="15">
        <v>-601.27000000000226</v>
      </c>
    </row>
    <row r="417" spans="1:3" x14ac:dyDescent="0.2">
      <c r="A417" s="173" t="s">
        <v>1315</v>
      </c>
      <c r="B417" s="3" t="s">
        <v>1316</v>
      </c>
      <c r="C417" s="15">
        <v>708496.85</v>
      </c>
    </row>
    <row r="418" spans="1:3" x14ac:dyDescent="0.2">
      <c r="A418" s="173" t="s">
        <v>1317</v>
      </c>
      <c r="B418" s="3" t="s">
        <v>1318</v>
      </c>
      <c r="C418" s="15">
        <v>771737.69000000018</v>
      </c>
    </row>
    <row r="419" spans="1:3" x14ac:dyDescent="0.2">
      <c r="A419" s="173" t="s">
        <v>1319</v>
      </c>
      <c r="B419" s="3" t="s">
        <v>1320</v>
      </c>
      <c r="C419" s="15">
        <v>16.480000000003201</v>
      </c>
    </row>
    <row r="420" spans="1:3" x14ac:dyDescent="0.2">
      <c r="A420" s="173" t="s">
        <v>1321</v>
      </c>
      <c r="B420" s="3" t="s">
        <v>1322</v>
      </c>
      <c r="C420" s="15">
        <v>8140.0499999999956</v>
      </c>
    </row>
    <row r="421" spans="1:3" x14ac:dyDescent="0.2">
      <c r="A421" s="173" t="s">
        <v>1323</v>
      </c>
      <c r="B421" s="3" t="s">
        <v>1324</v>
      </c>
      <c r="C421" s="15">
        <v>25279.080000000005</v>
      </c>
    </row>
    <row r="422" spans="1:3" x14ac:dyDescent="0.2">
      <c r="A422" s="173" t="s">
        <v>1325</v>
      </c>
      <c r="B422" s="3" t="s">
        <v>1326</v>
      </c>
      <c r="C422" s="15">
        <v>82607.560000000041</v>
      </c>
    </row>
    <row r="423" spans="1:3" x14ac:dyDescent="0.2">
      <c r="A423" s="173" t="s">
        <v>1327</v>
      </c>
      <c r="B423" s="3" t="s">
        <v>1328</v>
      </c>
      <c r="C423" s="15">
        <v>1794726.3499999999</v>
      </c>
    </row>
    <row r="424" spans="1:3" x14ac:dyDescent="0.2">
      <c r="A424" s="173" t="s">
        <v>1329</v>
      </c>
      <c r="B424" s="3" t="s">
        <v>1330</v>
      </c>
      <c r="C424" s="15">
        <v>809636.14999999956</v>
      </c>
    </row>
    <row r="425" spans="1:3" x14ac:dyDescent="0.2">
      <c r="A425" s="173" t="s">
        <v>1331</v>
      </c>
      <c r="B425" s="3" t="s">
        <v>1332</v>
      </c>
      <c r="C425" s="15">
        <v>359171.57000000007</v>
      </c>
    </row>
    <row r="426" spans="1:3" x14ac:dyDescent="0.2">
      <c r="A426" s="173" t="s">
        <v>1333</v>
      </c>
      <c r="B426" s="3" t="s">
        <v>1334</v>
      </c>
      <c r="C426" s="15">
        <v>36802.850000000006</v>
      </c>
    </row>
    <row r="427" spans="1:3" x14ac:dyDescent="0.2">
      <c r="A427" s="173" t="s">
        <v>1335</v>
      </c>
      <c r="B427" s="3" t="s">
        <v>1336</v>
      </c>
      <c r="C427" s="15">
        <v>338334.11999999976</v>
      </c>
    </row>
    <row r="428" spans="1:3" x14ac:dyDescent="0.2">
      <c r="A428" s="173" t="s">
        <v>1337</v>
      </c>
      <c r="B428" s="3" t="s">
        <v>1338</v>
      </c>
      <c r="C428" s="15">
        <v>-2180.6899999999996</v>
      </c>
    </row>
    <row r="429" spans="1:3" x14ac:dyDescent="0.2">
      <c r="A429" s="173" t="s">
        <v>1339</v>
      </c>
      <c r="B429" s="3" t="s">
        <v>1340</v>
      </c>
      <c r="C429" s="15">
        <v>1457608.4</v>
      </c>
    </row>
    <row r="430" spans="1:3" x14ac:dyDescent="0.2">
      <c r="A430" s="173" t="s">
        <v>1341</v>
      </c>
      <c r="B430" s="3" t="s">
        <v>1342</v>
      </c>
      <c r="C430" s="15">
        <v>-32668.000000000044</v>
      </c>
    </row>
    <row r="431" spans="1:3" x14ac:dyDescent="0.2">
      <c r="A431" s="173" t="s">
        <v>1343</v>
      </c>
      <c r="B431" s="3" t="s">
        <v>1344</v>
      </c>
      <c r="C431" s="15">
        <v>-373742.1100000001</v>
      </c>
    </row>
    <row r="432" spans="1:3" x14ac:dyDescent="0.2">
      <c r="A432" s="173" t="s">
        <v>1345</v>
      </c>
      <c r="B432" s="3" t="s">
        <v>1346</v>
      </c>
      <c r="C432" s="15">
        <v>1120.2500000000005</v>
      </c>
    </row>
    <row r="433" spans="1:3" x14ac:dyDescent="0.2">
      <c r="A433" s="173" t="s">
        <v>1347</v>
      </c>
      <c r="B433" s="3" t="s">
        <v>1348</v>
      </c>
      <c r="C433" s="15">
        <v>270226.23999999993</v>
      </c>
    </row>
    <row r="434" spans="1:3" x14ac:dyDescent="0.2">
      <c r="A434" s="173" t="s">
        <v>1349</v>
      </c>
      <c r="B434" s="3" t="s">
        <v>1350</v>
      </c>
      <c r="C434" s="15">
        <v>19304.000000000004</v>
      </c>
    </row>
    <row r="435" spans="1:3" x14ac:dyDescent="0.2">
      <c r="A435" s="173" t="s">
        <v>1351</v>
      </c>
      <c r="B435" s="3" t="s">
        <v>1352</v>
      </c>
      <c r="C435" s="15">
        <v>419253.68000000034</v>
      </c>
    </row>
    <row r="436" spans="1:3" x14ac:dyDescent="0.2">
      <c r="A436" s="173" t="s">
        <v>1353</v>
      </c>
      <c r="B436" s="3" t="s">
        <v>1354</v>
      </c>
      <c r="C436" s="15">
        <v>37603</v>
      </c>
    </row>
    <row r="437" spans="1:3" x14ac:dyDescent="0.2">
      <c r="A437" s="173" t="s">
        <v>1355</v>
      </c>
      <c r="B437" s="3" t="s">
        <v>1356</v>
      </c>
      <c r="C437" s="15">
        <v>1802.5</v>
      </c>
    </row>
    <row r="438" spans="1:3" x14ac:dyDescent="0.2">
      <c r="A438" s="173" t="s">
        <v>1357</v>
      </c>
      <c r="B438" s="3" t="s">
        <v>1358</v>
      </c>
      <c r="C438" s="15">
        <v>35371.460000000006</v>
      </c>
    </row>
    <row r="439" spans="1:3" x14ac:dyDescent="0.2">
      <c r="A439" s="173" t="s">
        <v>1359</v>
      </c>
      <c r="B439" s="3" t="s">
        <v>1360</v>
      </c>
      <c r="C439" s="15">
        <v>2953.71</v>
      </c>
    </row>
    <row r="440" spans="1:3" x14ac:dyDescent="0.2">
      <c r="A440" s="173" t="s">
        <v>1361</v>
      </c>
      <c r="B440" s="3" t="s">
        <v>1362</v>
      </c>
      <c r="C440" s="15">
        <v>115095.96</v>
      </c>
    </row>
    <row r="441" spans="1:3" x14ac:dyDescent="0.2">
      <c r="A441" s="173" t="s">
        <v>1363</v>
      </c>
      <c r="B441" s="3" t="s">
        <v>1364</v>
      </c>
      <c r="C441" s="15">
        <v>2686.1099999999942</v>
      </c>
    </row>
    <row r="442" spans="1:3" x14ac:dyDescent="0.2">
      <c r="A442" s="173" t="s">
        <v>1365</v>
      </c>
      <c r="B442" s="3" t="s">
        <v>1366</v>
      </c>
      <c r="C442" s="15">
        <v>0</v>
      </c>
    </row>
    <row r="443" spans="1:3" x14ac:dyDescent="0.2">
      <c r="A443" s="173" t="s">
        <v>1367</v>
      </c>
      <c r="B443" s="3" t="s">
        <v>1368</v>
      </c>
      <c r="C443" s="15">
        <v>173915.23000000021</v>
      </c>
    </row>
    <row r="444" spans="1:3" x14ac:dyDescent="0.2">
      <c r="A444" s="173" t="s">
        <v>1369</v>
      </c>
      <c r="B444" s="3" t="s">
        <v>1370</v>
      </c>
      <c r="C444" s="15">
        <v>5727780.4399999995</v>
      </c>
    </row>
    <row r="445" spans="1:3" x14ac:dyDescent="0.2">
      <c r="A445" s="173" t="s">
        <v>1371</v>
      </c>
      <c r="B445" s="3" t="s">
        <v>1372</v>
      </c>
      <c r="C445" s="15">
        <v>2131.3500000000004</v>
      </c>
    </row>
    <row r="446" spans="1:3" x14ac:dyDescent="0.2">
      <c r="A446" s="173" t="s">
        <v>1373</v>
      </c>
      <c r="B446" s="3" t="s">
        <v>1374</v>
      </c>
      <c r="C446" s="15">
        <v>353210.60000000003</v>
      </c>
    </row>
    <row r="447" spans="1:3" x14ac:dyDescent="0.2">
      <c r="A447" s="173" t="s">
        <v>1375</v>
      </c>
      <c r="B447" s="3" t="s">
        <v>1376</v>
      </c>
      <c r="C447" s="15">
        <v>153175.08999999994</v>
      </c>
    </row>
    <row r="448" spans="1:3" x14ac:dyDescent="0.2">
      <c r="A448" s="173" t="s">
        <v>1377</v>
      </c>
      <c r="B448" s="3" t="s">
        <v>1378</v>
      </c>
      <c r="C448" s="15">
        <v>191251.02</v>
      </c>
    </row>
    <row r="449" spans="1:3" x14ac:dyDescent="0.2">
      <c r="A449" s="173" t="s">
        <v>1379</v>
      </c>
      <c r="B449" s="3" t="s">
        <v>1380</v>
      </c>
      <c r="C449" s="15">
        <v>-649.52</v>
      </c>
    </row>
    <row r="450" spans="1:3" x14ac:dyDescent="0.2">
      <c r="A450" s="173" t="s">
        <v>1381</v>
      </c>
      <c r="B450" s="3" t="s">
        <v>1382</v>
      </c>
      <c r="C450" s="15">
        <v>1256813.8099999998</v>
      </c>
    </row>
    <row r="451" spans="1:3" x14ac:dyDescent="0.2">
      <c r="A451" s="173" t="s">
        <v>1383</v>
      </c>
      <c r="B451" s="3" t="s">
        <v>1384</v>
      </c>
      <c r="C451" s="15">
        <v>210262.89</v>
      </c>
    </row>
    <row r="452" spans="1:3" x14ac:dyDescent="0.2">
      <c r="A452" s="173" t="s">
        <v>1385</v>
      </c>
      <c r="B452" s="3" t="s">
        <v>1386</v>
      </c>
      <c r="C452" s="15">
        <v>57569.589999999989</v>
      </c>
    </row>
    <row r="453" spans="1:3" x14ac:dyDescent="0.2">
      <c r="A453" s="173" t="s">
        <v>1387</v>
      </c>
      <c r="B453" s="3" t="s">
        <v>1388</v>
      </c>
      <c r="C453" s="15">
        <v>6957.84</v>
      </c>
    </row>
    <row r="454" spans="1:3" x14ac:dyDescent="0.2">
      <c r="A454" s="173" t="s">
        <v>1389</v>
      </c>
      <c r="B454" s="3" t="s">
        <v>1390</v>
      </c>
      <c r="C454" s="15">
        <v>42184.98</v>
      </c>
    </row>
    <row r="455" spans="1:3" x14ac:dyDescent="0.2">
      <c r="A455" s="173" t="s">
        <v>1391</v>
      </c>
      <c r="B455" s="3" t="s">
        <v>1392</v>
      </c>
      <c r="C455" s="15">
        <v>112901.78</v>
      </c>
    </row>
    <row r="456" spans="1:3" x14ac:dyDescent="0.2">
      <c r="A456" s="173" t="s">
        <v>1393</v>
      </c>
      <c r="B456" s="3" t="s">
        <v>1394</v>
      </c>
      <c r="C456" s="15">
        <v>583374.36999999988</v>
      </c>
    </row>
    <row r="457" spans="1:3" x14ac:dyDescent="0.2">
      <c r="A457" s="173" t="s">
        <v>1395</v>
      </c>
      <c r="B457" s="3" t="s">
        <v>1396</v>
      </c>
      <c r="C457" s="15">
        <v>211347.22999999998</v>
      </c>
    </row>
    <row r="458" spans="1:3" x14ac:dyDescent="0.2">
      <c r="A458" s="173" t="s">
        <v>1397</v>
      </c>
      <c r="B458" s="3" t="s">
        <v>1398</v>
      </c>
      <c r="C458" s="15">
        <v>9586.98</v>
      </c>
    </row>
    <row r="459" spans="1:3" x14ac:dyDescent="0.2">
      <c r="A459" s="173" t="s">
        <v>1399</v>
      </c>
      <c r="B459" s="3" t="s">
        <v>1400</v>
      </c>
      <c r="C459" s="15">
        <v>260.76</v>
      </c>
    </row>
    <row r="460" spans="1:3" x14ac:dyDescent="0.2">
      <c r="A460" s="173" t="s">
        <v>1401</v>
      </c>
      <c r="B460" s="3" t="s">
        <v>1402</v>
      </c>
      <c r="C460" s="15">
        <v>259660.2900000001</v>
      </c>
    </row>
    <row r="461" spans="1:3" x14ac:dyDescent="0.2">
      <c r="A461" s="173" t="s">
        <v>1403</v>
      </c>
      <c r="B461" s="3" t="s">
        <v>1404</v>
      </c>
      <c r="C461" s="15">
        <v>19010.850000000002</v>
      </c>
    </row>
    <row r="462" spans="1:3" x14ac:dyDescent="0.2">
      <c r="A462" s="173" t="s">
        <v>1405</v>
      </c>
      <c r="B462" s="3" t="s">
        <v>1406</v>
      </c>
      <c r="C462" s="15">
        <v>31846.760000000002</v>
      </c>
    </row>
    <row r="463" spans="1:3" x14ac:dyDescent="0.2">
      <c r="A463" s="173" t="s">
        <v>1407</v>
      </c>
      <c r="B463" s="3" t="s">
        <v>1408</v>
      </c>
      <c r="C463" s="15">
        <v>139699.31</v>
      </c>
    </row>
    <row r="464" spans="1:3" x14ac:dyDescent="0.2">
      <c r="A464" s="173" t="s">
        <v>1409</v>
      </c>
      <c r="B464" s="3" t="s">
        <v>1410</v>
      </c>
      <c r="C464" s="15">
        <v>135579.16</v>
      </c>
    </row>
    <row r="465" spans="1:3" x14ac:dyDescent="0.2">
      <c r="A465" s="173" t="s">
        <v>1411</v>
      </c>
      <c r="B465" s="3" t="s">
        <v>1412</v>
      </c>
      <c r="C465" s="15">
        <v>79566.459999999992</v>
      </c>
    </row>
    <row r="466" spans="1:3" x14ac:dyDescent="0.2">
      <c r="A466" s="173" t="s">
        <v>1413</v>
      </c>
      <c r="B466" s="3" t="s">
        <v>1414</v>
      </c>
      <c r="C466" s="15">
        <v>1812.56</v>
      </c>
    </row>
    <row r="467" spans="1:3" x14ac:dyDescent="0.2">
      <c r="A467" s="173" t="s">
        <v>1415</v>
      </c>
      <c r="B467" s="3" t="s">
        <v>1416</v>
      </c>
      <c r="C467" s="15">
        <v>76350.439999999988</v>
      </c>
    </row>
    <row r="468" spans="1:3" x14ac:dyDescent="0.2">
      <c r="A468" s="173" t="s">
        <v>1417</v>
      </c>
      <c r="B468" s="3" t="s">
        <v>1418</v>
      </c>
      <c r="C468" s="15">
        <v>219717.97999999998</v>
      </c>
    </row>
    <row r="469" spans="1:3" x14ac:dyDescent="0.2">
      <c r="A469" s="173" t="s">
        <v>1419</v>
      </c>
      <c r="B469" s="3" t="s">
        <v>1420</v>
      </c>
      <c r="C469" s="15">
        <v>182873.95</v>
      </c>
    </row>
    <row r="470" spans="1:3" x14ac:dyDescent="0.2">
      <c r="A470" s="173" t="s">
        <v>1421</v>
      </c>
      <c r="B470" s="3" t="s">
        <v>1422</v>
      </c>
      <c r="C470" s="15">
        <v>20453.420000000002</v>
      </c>
    </row>
    <row r="471" spans="1:3" x14ac:dyDescent="0.2">
      <c r="A471" s="173" t="s">
        <v>1423</v>
      </c>
      <c r="B471" s="3" t="s">
        <v>1424</v>
      </c>
      <c r="C471" s="15">
        <v>72448.510000000024</v>
      </c>
    </row>
    <row r="472" spans="1:3" x14ac:dyDescent="0.2">
      <c r="A472" s="173" t="s">
        <v>1425</v>
      </c>
      <c r="B472" s="3" t="s">
        <v>1426</v>
      </c>
      <c r="C472" s="15">
        <v>151814.10999999993</v>
      </c>
    </row>
    <row r="473" spans="1:3" x14ac:dyDescent="0.2">
      <c r="A473" s="173" t="s">
        <v>1427</v>
      </c>
      <c r="B473" s="3" t="s">
        <v>1428</v>
      </c>
      <c r="C473" s="15">
        <v>40173.54</v>
      </c>
    </row>
    <row r="474" spans="1:3" x14ac:dyDescent="0.2">
      <c r="A474" s="173" t="s">
        <v>1429</v>
      </c>
      <c r="B474" s="3" t="s">
        <v>1430</v>
      </c>
      <c r="C474" s="15">
        <v>164910.54000000004</v>
      </c>
    </row>
    <row r="475" spans="1:3" x14ac:dyDescent="0.2">
      <c r="A475" s="173" t="s">
        <v>1431</v>
      </c>
      <c r="B475" s="3" t="s">
        <v>1432</v>
      </c>
      <c r="C475" s="15">
        <v>9532.67</v>
      </c>
    </row>
    <row r="476" spans="1:3" x14ac:dyDescent="0.2">
      <c r="A476" s="173" t="s">
        <v>1433</v>
      </c>
      <c r="B476" s="3" t="s">
        <v>1434</v>
      </c>
      <c r="C476" s="15">
        <v>20057.27</v>
      </c>
    </row>
    <row r="477" spans="1:3" x14ac:dyDescent="0.2">
      <c r="A477" s="173" t="s">
        <v>1435</v>
      </c>
      <c r="B477" s="3" t="s">
        <v>1436</v>
      </c>
      <c r="C477" s="15">
        <v>116699.58000000002</v>
      </c>
    </row>
    <row r="478" spans="1:3" x14ac:dyDescent="0.2">
      <c r="A478" s="173" t="s">
        <v>1437</v>
      </c>
      <c r="B478" s="3" t="s">
        <v>1438</v>
      </c>
      <c r="C478" s="15">
        <v>354200.39999999997</v>
      </c>
    </row>
    <row r="479" spans="1:3" x14ac:dyDescent="0.2">
      <c r="A479" s="173" t="s">
        <v>1439</v>
      </c>
      <c r="B479" s="3" t="s">
        <v>1440</v>
      </c>
      <c r="C479" s="15">
        <v>48212.419999999984</v>
      </c>
    </row>
    <row r="480" spans="1:3" x14ac:dyDescent="0.2">
      <c r="A480" s="173" t="s">
        <v>1441</v>
      </c>
      <c r="B480" s="3" t="s">
        <v>1442</v>
      </c>
      <c r="C480" s="15">
        <v>35411.550000000003</v>
      </c>
    </row>
    <row r="481" spans="1:3" x14ac:dyDescent="0.2">
      <c r="A481" s="173" t="s">
        <v>1443</v>
      </c>
      <c r="B481" s="3" t="s">
        <v>1444</v>
      </c>
      <c r="C481" s="15">
        <v>47516.229999999996</v>
      </c>
    </row>
    <row r="482" spans="1:3" x14ac:dyDescent="0.2">
      <c r="A482" s="173" t="s">
        <v>1445</v>
      </c>
      <c r="B482" s="3" t="s">
        <v>1446</v>
      </c>
      <c r="C482" s="15">
        <v>85435.689999999973</v>
      </c>
    </row>
    <row r="483" spans="1:3" x14ac:dyDescent="0.2">
      <c r="A483" s="173" t="s">
        <v>1447</v>
      </c>
      <c r="B483" s="3" t="s">
        <v>1448</v>
      </c>
      <c r="C483" s="15">
        <v>178632.52</v>
      </c>
    </row>
    <row r="484" spans="1:3" x14ac:dyDescent="0.2">
      <c r="A484" s="173" t="s">
        <v>1449</v>
      </c>
      <c r="B484" s="3" t="s">
        <v>1450</v>
      </c>
      <c r="C484" s="15">
        <v>77837.289999999994</v>
      </c>
    </row>
    <row r="485" spans="1:3" x14ac:dyDescent="0.2">
      <c r="A485" s="173" t="s">
        <v>1451</v>
      </c>
      <c r="B485" s="3" t="s">
        <v>1452</v>
      </c>
      <c r="C485" s="15">
        <v>103022.91999999998</v>
      </c>
    </row>
    <row r="486" spans="1:3" x14ac:dyDescent="0.2">
      <c r="A486" s="173" t="s">
        <v>1453</v>
      </c>
      <c r="B486" s="3" t="s">
        <v>1454</v>
      </c>
      <c r="C486" s="15">
        <v>51315.589999999989</v>
      </c>
    </row>
    <row r="487" spans="1:3" x14ac:dyDescent="0.2">
      <c r="A487" s="173" t="s">
        <v>1455</v>
      </c>
      <c r="B487" s="3" t="s">
        <v>1456</v>
      </c>
      <c r="C487" s="15">
        <v>155242.64000000001</v>
      </c>
    </row>
    <row r="488" spans="1:3" x14ac:dyDescent="0.2">
      <c r="A488" s="173" t="s">
        <v>1457</v>
      </c>
      <c r="B488" s="3" t="s">
        <v>1458</v>
      </c>
      <c r="C488" s="15">
        <v>14119.649999999994</v>
      </c>
    </row>
    <row r="489" spans="1:3" x14ac:dyDescent="0.2">
      <c r="A489" s="173" t="s">
        <v>1459</v>
      </c>
      <c r="B489" s="3" t="s">
        <v>1460</v>
      </c>
      <c r="C489" s="15">
        <v>42485.889999999992</v>
      </c>
    </row>
    <row r="490" spans="1:3" x14ac:dyDescent="0.2">
      <c r="A490" s="173" t="s">
        <v>1461</v>
      </c>
      <c r="B490" s="3" t="s">
        <v>1462</v>
      </c>
      <c r="C490" s="15">
        <v>54082.78</v>
      </c>
    </row>
    <row r="491" spans="1:3" x14ac:dyDescent="0.2">
      <c r="A491" s="173" t="s">
        <v>1463</v>
      </c>
      <c r="B491" s="3" t="s">
        <v>1464</v>
      </c>
      <c r="C491" s="15">
        <v>103067.39</v>
      </c>
    </row>
    <row r="492" spans="1:3" x14ac:dyDescent="0.2">
      <c r="A492" s="173" t="s">
        <v>1465</v>
      </c>
      <c r="B492" s="3" t="s">
        <v>1466</v>
      </c>
      <c r="C492" s="15">
        <v>62720.39</v>
      </c>
    </row>
    <row r="493" spans="1:3" x14ac:dyDescent="0.2">
      <c r="A493" s="173" t="s">
        <v>1467</v>
      </c>
      <c r="B493" s="3" t="s">
        <v>1468</v>
      </c>
      <c r="C493" s="15">
        <v>725785.97000000055</v>
      </c>
    </row>
    <row r="494" spans="1:3" x14ac:dyDescent="0.2">
      <c r="A494" s="173" t="s">
        <v>1469</v>
      </c>
      <c r="B494" s="3" t="s">
        <v>1470</v>
      </c>
      <c r="C494" s="15">
        <v>1161986.139999999</v>
      </c>
    </row>
    <row r="495" spans="1:3" x14ac:dyDescent="0.2">
      <c r="A495" s="173" t="s">
        <v>1471</v>
      </c>
      <c r="B495" s="3" t="s">
        <v>1472</v>
      </c>
      <c r="C495" s="15">
        <v>519085.47</v>
      </c>
    </row>
    <row r="496" spans="1:3" x14ac:dyDescent="0.2">
      <c r="A496" s="173" t="s">
        <v>1473</v>
      </c>
      <c r="B496" s="3" t="s">
        <v>1474</v>
      </c>
      <c r="C496" s="15">
        <v>96221.429999999978</v>
      </c>
    </row>
    <row r="497" spans="1:3" x14ac:dyDescent="0.2">
      <c r="A497" s="173" t="s">
        <v>1475</v>
      </c>
      <c r="B497" s="3" t="s">
        <v>1476</v>
      </c>
      <c r="C497" s="15">
        <v>3579.43</v>
      </c>
    </row>
    <row r="498" spans="1:3" x14ac:dyDescent="0.2">
      <c r="A498" s="173" t="s">
        <v>1477</v>
      </c>
      <c r="B498" s="3" t="s">
        <v>1478</v>
      </c>
      <c r="C498" s="15">
        <v>105846.79000000004</v>
      </c>
    </row>
    <row r="499" spans="1:3" x14ac:dyDescent="0.2">
      <c r="A499" s="173" t="s">
        <v>1479</v>
      </c>
      <c r="B499" s="3" t="s">
        <v>1480</v>
      </c>
      <c r="C499" s="15">
        <v>23610.710000000017</v>
      </c>
    </row>
    <row r="500" spans="1:3" x14ac:dyDescent="0.2">
      <c r="A500" s="173" t="s">
        <v>1481</v>
      </c>
      <c r="B500" s="3" t="s">
        <v>1482</v>
      </c>
      <c r="C500" s="15">
        <v>273402.67999999993</v>
      </c>
    </row>
    <row r="501" spans="1:3" x14ac:dyDescent="0.2">
      <c r="A501" s="173" t="s">
        <v>1483</v>
      </c>
      <c r="B501" s="3" t="s">
        <v>1484</v>
      </c>
      <c r="C501" s="15">
        <v>100769.63000000002</v>
      </c>
    </row>
    <row r="502" spans="1:3" x14ac:dyDescent="0.2">
      <c r="A502" s="173" t="s">
        <v>1485</v>
      </c>
      <c r="B502" s="3" t="s">
        <v>1486</v>
      </c>
      <c r="C502" s="15">
        <v>17992.419999999998</v>
      </c>
    </row>
    <row r="503" spans="1:3" x14ac:dyDescent="0.2">
      <c r="A503" s="173" t="s">
        <v>1487</v>
      </c>
      <c r="B503" s="3" t="s">
        <v>1488</v>
      </c>
      <c r="C503" s="15">
        <v>30343.72</v>
      </c>
    </row>
    <row r="504" spans="1:3" x14ac:dyDescent="0.2">
      <c r="A504" s="173" t="s">
        <v>1489</v>
      </c>
      <c r="B504" s="3" t="s">
        <v>1490</v>
      </c>
      <c r="C504" s="15">
        <v>120053.19999999998</v>
      </c>
    </row>
    <row r="505" spans="1:3" x14ac:dyDescent="0.2">
      <c r="A505" s="173" t="s">
        <v>1491</v>
      </c>
      <c r="B505" s="3" t="s">
        <v>1492</v>
      </c>
      <c r="C505" s="15">
        <v>147727.64000000001</v>
      </c>
    </row>
    <row r="506" spans="1:3" x14ac:dyDescent="0.2">
      <c r="A506" s="173" t="s">
        <v>1493</v>
      </c>
      <c r="B506" s="3" t="s">
        <v>1494</v>
      </c>
      <c r="C506" s="15">
        <v>33202.829999999994</v>
      </c>
    </row>
    <row r="507" spans="1:3" x14ac:dyDescent="0.2">
      <c r="A507" s="173" t="s">
        <v>1495</v>
      </c>
      <c r="B507" s="3" t="s">
        <v>1496</v>
      </c>
      <c r="C507" s="15">
        <v>21301.98</v>
      </c>
    </row>
    <row r="508" spans="1:3" x14ac:dyDescent="0.2">
      <c r="A508" s="173" t="s">
        <v>1497</v>
      </c>
      <c r="B508" s="3" t="s">
        <v>1498</v>
      </c>
      <c r="C508" s="15">
        <v>150546.43000000002</v>
      </c>
    </row>
    <row r="509" spans="1:3" x14ac:dyDescent="0.2">
      <c r="A509" s="173" t="s">
        <v>1499</v>
      </c>
      <c r="B509" s="3" t="s">
        <v>1500</v>
      </c>
      <c r="C509" s="15">
        <v>9453.5499999999993</v>
      </c>
    </row>
    <row r="510" spans="1:3" x14ac:dyDescent="0.2">
      <c r="A510" s="173" t="s">
        <v>1501</v>
      </c>
      <c r="B510" s="3" t="s">
        <v>1502</v>
      </c>
      <c r="C510" s="15">
        <v>-5236</v>
      </c>
    </row>
    <row r="511" spans="1:3" x14ac:dyDescent="0.2">
      <c r="A511" s="173" t="s">
        <v>1503</v>
      </c>
      <c r="B511" s="3" t="s">
        <v>1504</v>
      </c>
      <c r="C511" s="15">
        <v>-1438.6</v>
      </c>
    </row>
    <row r="512" spans="1:3" x14ac:dyDescent="0.2">
      <c r="A512" s="173" t="s">
        <v>1505</v>
      </c>
      <c r="B512" s="3" t="s">
        <v>1506</v>
      </c>
      <c r="C512" s="15">
        <v>54.03</v>
      </c>
    </row>
    <row r="513" spans="1:3" x14ac:dyDescent="0.2">
      <c r="A513" s="173" t="s">
        <v>1507</v>
      </c>
      <c r="B513" s="3" t="s">
        <v>1508</v>
      </c>
      <c r="C513" s="15">
        <v>3607.6399999999976</v>
      </c>
    </row>
    <row r="514" spans="1:3" x14ac:dyDescent="0.2">
      <c r="A514" s="173" t="s">
        <v>1509</v>
      </c>
      <c r="B514" s="3" t="s">
        <v>1510</v>
      </c>
      <c r="C514" s="15">
        <v>1117.92</v>
      </c>
    </row>
    <row r="515" spans="1:3" x14ac:dyDescent="0.2">
      <c r="A515" s="173" t="s">
        <v>1511</v>
      </c>
      <c r="B515" s="3" t="s">
        <v>1512</v>
      </c>
      <c r="C515" s="15">
        <v>-9295.130000000001</v>
      </c>
    </row>
    <row r="516" spans="1:3" x14ac:dyDescent="0.2">
      <c r="A516" s="173" t="s">
        <v>1513</v>
      </c>
      <c r="B516" s="3" t="s">
        <v>1514</v>
      </c>
      <c r="C516" s="15">
        <v>1122.2099999999994</v>
      </c>
    </row>
    <row r="517" spans="1:3" x14ac:dyDescent="0.2">
      <c r="A517" s="173" t="s">
        <v>1515</v>
      </c>
      <c r="B517" s="3" t="s">
        <v>1516</v>
      </c>
      <c r="C517" s="15">
        <v>-0.23999999999999488</v>
      </c>
    </row>
    <row r="518" spans="1:3" x14ac:dyDescent="0.2">
      <c r="A518" s="173" t="s">
        <v>1517</v>
      </c>
      <c r="B518" s="3" t="s">
        <v>1518</v>
      </c>
      <c r="C518" s="15">
        <v>-52168.70000000007</v>
      </c>
    </row>
    <row r="519" spans="1:3" x14ac:dyDescent="0.2">
      <c r="A519" s="173" t="s">
        <v>1519</v>
      </c>
      <c r="B519" s="3" t="s">
        <v>1520</v>
      </c>
      <c r="C519" s="15">
        <v>-345.21999999999821</v>
      </c>
    </row>
    <row r="520" spans="1:3" x14ac:dyDescent="0.2">
      <c r="A520" s="173" t="s">
        <v>1521</v>
      </c>
      <c r="B520" s="3" t="s">
        <v>1522</v>
      </c>
      <c r="C520" s="15">
        <v>5453.1600000000008</v>
      </c>
    </row>
    <row r="521" spans="1:3" x14ac:dyDescent="0.2">
      <c r="A521" s="173" t="s">
        <v>1523</v>
      </c>
      <c r="B521" s="3" t="s">
        <v>1524</v>
      </c>
      <c r="C521" s="15">
        <v>233.1</v>
      </c>
    </row>
    <row r="522" spans="1:3" x14ac:dyDescent="0.2">
      <c r="A522" s="173" t="s">
        <v>1525</v>
      </c>
      <c r="B522" s="3" t="s">
        <v>1526</v>
      </c>
      <c r="C522" s="15">
        <v>41414.629999999997</v>
      </c>
    </row>
    <row r="523" spans="1:3" x14ac:dyDescent="0.2">
      <c r="A523" s="173" t="s">
        <v>1527</v>
      </c>
      <c r="B523" s="3" t="s">
        <v>1528</v>
      </c>
      <c r="C523" s="15">
        <v>9.9999999999909051E-3</v>
      </c>
    </row>
    <row r="524" spans="1:3" x14ac:dyDescent="0.2">
      <c r="A524" s="173" t="s">
        <v>1529</v>
      </c>
      <c r="B524" s="3" t="s">
        <v>1530</v>
      </c>
      <c r="C524" s="15">
        <v>1262.1600000000035</v>
      </c>
    </row>
    <row r="525" spans="1:3" x14ac:dyDescent="0.2">
      <c r="A525" s="173" t="s">
        <v>1531</v>
      </c>
      <c r="B525" s="3" t="s">
        <v>1532</v>
      </c>
      <c r="C525" s="15">
        <v>259.86</v>
      </c>
    </row>
    <row r="526" spans="1:3" x14ac:dyDescent="0.2">
      <c r="A526" s="173" t="s">
        <v>1533</v>
      </c>
      <c r="B526" s="3" t="s">
        <v>1534</v>
      </c>
      <c r="C526" s="15">
        <v>-98.160000000062325</v>
      </c>
    </row>
    <row r="527" spans="1:3" x14ac:dyDescent="0.2">
      <c r="A527" s="173" t="s">
        <v>1535</v>
      </c>
      <c r="B527" s="3" t="s">
        <v>1536</v>
      </c>
      <c r="C527" s="15">
        <v>3594.4899999999993</v>
      </c>
    </row>
    <row r="528" spans="1:3" x14ac:dyDescent="0.2">
      <c r="A528" s="173" t="s">
        <v>1537</v>
      </c>
      <c r="B528" s="3" t="s">
        <v>1538</v>
      </c>
      <c r="C528" s="15">
        <v>3325.59</v>
      </c>
    </row>
    <row r="529" spans="1:3" x14ac:dyDescent="0.2">
      <c r="A529" s="173" t="s">
        <v>1539</v>
      </c>
      <c r="B529" s="3" t="s">
        <v>1540</v>
      </c>
      <c r="C529" s="15">
        <v>34674.899999999994</v>
      </c>
    </row>
    <row r="530" spans="1:3" x14ac:dyDescent="0.2">
      <c r="A530" s="173" t="s">
        <v>1541</v>
      </c>
      <c r="B530" s="3" t="s">
        <v>1542</v>
      </c>
      <c r="C530" s="15">
        <v>0.02</v>
      </c>
    </row>
    <row r="531" spans="1:3" x14ac:dyDescent="0.2">
      <c r="A531" s="173" t="s">
        <v>1543</v>
      </c>
      <c r="B531" s="3" t="s">
        <v>1544</v>
      </c>
      <c r="C531" s="15">
        <v>20874.299999999996</v>
      </c>
    </row>
    <row r="532" spans="1:3" x14ac:dyDescent="0.2">
      <c r="A532" s="173" t="s">
        <v>1545</v>
      </c>
      <c r="B532" s="3" t="s">
        <v>1546</v>
      </c>
      <c r="C532" s="15">
        <v>47274.099999999991</v>
      </c>
    </row>
    <row r="533" spans="1:3" x14ac:dyDescent="0.2">
      <c r="A533" s="173" t="s">
        <v>1547</v>
      </c>
      <c r="B533" s="3" t="s">
        <v>1548</v>
      </c>
      <c r="C533" s="15">
        <v>-883.94999999999993</v>
      </c>
    </row>
    <row r="534" spans="1:3" x14ac:dyDescent="0.2">
      <c r="A534" s="173" t="s">
        <v>1549</v>
      </c>
      <c r="B534" s="3" t="s">
        <v>1550</v>
      </c>
      <c r="C534" s="15">
        <v>867.04000000000087</v>
      </c>
    </row>
    <row r="535" spans="1:3" x14ac:dyDescent="0.2">
      <c r="A535" s="173" t="s">
        <v>1551</v>
      </c>
      <c r="B535" s="3" t="s">
        <v>1552</v>
      </c>
      <c r="C535" s="15">
        <v>587.85</v>
      </c>
    </row>
    <row r="536" spans="1:3" x14ac:dyDescent="0.2">
      <c r="A536" s="173" t="s">
        <v>1553</v>
      </c>
      <c r="B536" s="3" t="s">
        <v>1554</v>
      </c>
      <c r="C536" s="15">
        <v>-287.43</v>
      </c>
    </row>
    <row r="537" spans="1:3" x14ac:dyDescent="0.2">
      <c r="A537" s="173" t="s">
        <v>1555</v>
      </c>
      <c r="B537" s="3" t="s">
        <v>1556</v>
      </c>
      <c r="C537" s="15">
        <v>11914.83</v>
      </c>
    </row>
    <row r="538" spans="1:3" x14ac:dyDescent="0.2">
      <c r="A538" s="173" t="s">
        <v>1557</v>
      </c>
      <c r="B538" s="3" t="s">
        <v>1558</v>
      </c>
      <c r="C538" s="15">
        <v>0</v>
      </c>
    </row>
    <row r="539" spans="1:3" x14ac:dyDescent="0.2">
      <c r="A539" s="173" t="s">
        <v>1559</v>
      </c>
      <c r="B539" s="3" t="s">
        <v>1560</v>
      </c>
      <c r="C539" s="15">
        <v>-1210</v>
      </c>
    </row>
    <row r="540" spans="1:3" x14ac:dyDescent="0.2">
      <c r="A540" s="173" t="s">
        <v>1561</v>
      </c>
      <c r="B540" s="3" t="s">
        <v>1562</v>
      </c>
      <c r="C540" s="15">
        <v>353748.31000000017</v>
      </c>
    </row>
    <row r="541" spans="1:3" x14ac:dyDescent="0.2">
      <c r="A541" s="173" t="s">
        <v>1563</v>
      </c>
      <c r="B541" s="3" t="s">
        <v>1564</v>
      </c>
      <c r="C541" s="15">
        <v>725.98000000001048</v>
      </c>
    </row>
    <row r="542" spans="1:3" x14ac:dyDescent="0.2">
      <c r="A542" s="173" t="s">
        <v>1565</v>
      </c>
      <c r="B542" s="3" t="s">
        <v>1566</v>
      </c>
      <c r="C542" s="15">
        <v>444987.23000000051</v>
      </c>
    </row>
    <row r="543" spans="1:3" x14ac:dyDescent="0.2">
      <c r="A543" s="173" t="s">
        <v>1567</v>
      </c>
      <c r="B543" s="3" t="s">
        <v>1568</v>
      </c>
      <c r="C543" s="15">
        <v>165228.77000000008</v>
      </c>
    </row>
    <row r="544" spans="1:3" x14ac:dyDescent="0.2">
      <c r="A544" s="173" t="s">
        <v>1569</v>
      </c>
      <c r="B544" s="3" t="s">
        <v>1570</v>
      </c>
      <c r="C544" s="15">
        <v>-75.819999999999823</v>
      </c>
    </row>
    <row r="545" spans="1:3" x14ac:dyDescent="0.2">
      <c r="A545" s="173" t="s">
        <v>1571</v>
      </c>
      <c r="B545" s="3" t="s">
        <v>1572</v>
      </c>
      <c r="C545" s="15">
        <v>4303.42</v>
      </c>
    </row>
    <row r="546" spans="1:3" x14ac:dyDescent="0.2">
      <c r="A546" s="173" t="s">
        <v>1573</v>
      </c>
      <c r="B546" s="3" t="s">
        <v>1574</v>
      </c>
      <c r="C546" s="15">
        <v>23039.53</v>
      </c>
    </row>
    <row r="547" spans="1:3" x14ac:dyDescent="0.2">
      <c r="A547" s="173" t="s">
        <v>1575</v>
      </c>
      <c r="B547" s="3" t="s">
        <v>1576</v>
      </c>
      <c r="C547" s="15">
        <v>2872.1200000000026</v>
      </c>
    </row>
    <row r="548" spans="1:3" x14ac:dyDescent="0.2">
      <c r="A548" s="173" t="s">
        <v>1577</v>
      </c>
      <c r="B548" s="3" t="s">
        <v>1578</v>
      </c>
      <c r="C548" s="15">
        <v>-66954.739999999991</v>
      </c>
    </row>
    <row r="549" spans="1:3" x14ac:dyDescent="0.2">
      <c r="A549" s="173" t="s">
        <v>1579</v>
      </c>
      <c r="B549" s="3" t="s">
        <v>1580</v>
      </c>
      <c r="C549" s="15">
        <v>1034306.9500000003</v>
      </c>
    </row>
    <row r="550" spans="1:3" x14ac:dyDescent="0.2">
      <c r="A550" s="173" t="s">
        <v>1581</v>
      </c>
      <c r="B550" s="3" t="s">
        <v>1582</v>
      </c>
      <c r="C550" s="15">
        <v>60482.499999999978</v>
      </c>
    </row>
    <row r="551" spans="1:3" x14ac:dyDescent="0.2">
      <c r="A551" s="173" t="s">
        <v>1583</v>
      </c>
      <c r="B551" s="3" t="s">
        <v>1584</v>
      </c>
      <c r="C551" s="15">
        <v>66494.189999999973</v>
      </c>
    </row>
    <row r="552" spans="1:3" x14ac:dyDescent="0.2">
      <c r="A552" s="173" t="s">
        <v>1585</v>
      </c>
      <c r="B552" s="3" t="s">
        <v>1586</v>
      </c>
      <c r="C552" s="15">
        <v>15659.170000000006</v>
      </c>
    </row>
    <row r="553" spans="1:3" x14ac:dyDescent="0.2">
      <c r="A553" s="173" t="s">
        <v>1587</v>
      </c>
      <c r="B553" s="3" t="s">
        <v>1588</v>
      </c>
      <c r="C553" s="15">
        <v>38478.78</v>
      </c>
    </row>
    <row r="554" spans="1:3" x14ac:dyDescent="0.2">
      <c r="A554" s="173" t="s">
        <v>1589</v>
      </c>
      <c r="B554" s="3" t="s">
        <v>1590</v>
      </c>
      <c r="C554" s="15">
        <v>8538.2499999999964</v>
      </c>
    </row>
    <row r="555" spans="1:3" x14ac:dyDescent="0.2">
      <c r="A555" s="173" t="s">
        <v>1591</v>
      </c>
      <c r="B555" s="3" t="s">
        <v>1592</v>
      </c>
      <c r="C555" s="15">
        <v>6235.1100000000006</v>
      </c>
    </row>
    <row r="556" spans="1:3" x14ac:dyDescent="0.2">
      <c r="A556" s="173" t="s">
        <v>1593</v>
      </c>
      <c r="B556" s="3" t="s">
        <v>1594</v>
      </c>
      <c r="C556" s="15">
        <v>0</v>
      </c>
    </row>
    <row r="557" spans="1:3" x14ac:dyDescent="0.2">
      <c r="A557" s="173" t="s">
        <v>1595</v>
      </c>
      <c r="B557" s="3" t="s">
        <v>1596</v>
      </c>
      <c r="C557" s="15">
        <v>10543.62999999999</v>
      </c>
    </row>
    <row r="558" spans="1:3" x14ac:dyDescent="0.2">
      <c r="A558" s="173" t="s">
        <v>1597</v>
      </c>
      <c r="B558" s="3" t="s">
        <v>1598</v>
      </c>
      <c r="C558" s="15">
        <v>1797.4499999999998</v>
      </c>
    </row>
    <row r="559" spans="1:3" x14ac:dyDescent="0.2">
      <c r="A559" s="173" t="s">
        <v>1599</v>
      </c>
      <c r="B559" s="3" t="s">
        <v>1600</v>
      </c>
      <c r="C559" s="15">
        <v>6026.8200000000015</v>
      </c>
    </row>
    <row r="560" spans="1:3" x14ac:dyDescent="0.2">
      <c r="A560" s="173" t="s">
        <v>1601</v>
      </c>
      <c r="B560" s="3" t="s">
        <v>1602</v>
      </c>
      <c r="C560" s="15">
        <v>35477.140000000014</v>
      </c>
    </row>
    <row r="561" spans="1:3" x14ac:dyDescent="0.2">
      <c r="A561" s="173" t="s">
        <v>1603</v>
      </c>
      <c r="B561" s="3" t="s">
        <v>1604</v>
      </c>
      <c r="C561" s="15">
        <v>6870.4199999999992</v>
      </c>
    </row>
    <row r="562" spans="1:3" x14ac:dyDescent="0.2">
      <c r="A562" s="173" t="s">
        <v>1605</v>
      </c>
      <c r="B562" s="3" t="s">
        <v>1606</v>
      </c>
      <c r="C562" s="15">
        <v>2.7284841053187847E-12</v>
      </c>
    </row>
    <row r="563" spans="1:3" x14ac:dyDescent="0.2">
      <c r="A563" s="173" t="s">
        <v>1607</v>
      </c>
      <c r="B563" s="3" t="s">
        <v>1608</v>
      </c>
      <c r="C563" s="15">
        <v>0</v>
      </c>
    </row>
    <row r="564" spans="1:3" x14ac:dyDescent="0.2">
      <c r="A564" s="173" t="s">
        <v>1609</v>
      </c>
      <c r="B564" s="3" t="s">
        <v>1610</v>
      </c>
      <c r="C564" s="15">
        <v>10025.980000000001</v>
      </c>
    </row>
    <row r="565" spans="1:3" x14ac:dyDescent="0.2">
      <c r="A565" s="173" t="s">
        <v>1611</v>
      </c>
      <c r="B565" s="3" t="s">
        <v>1612</v>
      </c>
      <c r="C565" s="15">
        <v>4682.4899999999971</v>
      </c>
    </row>
    <row r="566" spans="1:3" x14ac:dyDescent="0.2">
      <c r="A566" s="173" t="s">
        <v>1613</v>
      </c>
      <c r="B566" s="3" t="s">
        <v>1614</v>
      </c>
      <c r="C566" s="15">
        <v>1850.5499999999993</v>
      </c>
    </row>
    <row r="567" spans="1:3" x14ac:dyDescent="0.2">
      <c r="A567" s="173" t="s">
        <v>1615</v>
      </c>
      <c r="B567" s="3" t="s">
        <v>1616</v>
      </c>
      <c r="C567" s="15">
        <v>3328793.7299999981</v>
      </c>
    </row>
    <row r="568" spans="1:3" x14ac:dyDescent="0.2">
      <c r="A568" s="173" t="s">
        <v>1617</v>
      </c>
      <c r="B568" s="3" t="s">
        <v>1618</v>
      </c>
      <c r="C568" s="15">
        <v>25891.62</v>
      </c>
    </row>
    <row r="569" spans="1:3" x14ac:dyDescent="0.2">
      <c r="A569" s="173" t="s">
        <v>1619</v>
      </c>
      <c r="B569" s="3" t="s">
        <v>1620</v>
      </c>
      <c r="C569" s="15">
        <v>1133.22</v>
      </c>
    </row>
    <row r="570" spans="1:3" x14ac:dyDescent="0.2">
      <c r="A570" s="173" t="s">
        <v>1621</v>
      </c>
      <c r="B570" s="3" t="s">
        <v>1622</v>
      </c>
      <c r="C570" s="15">
        <v>2897.5099999999989</v>
      </c>
    </row>
    <row r="571" spans="1:3" x14ac:dyDescent="0.2">
      <c r="A571" s="173" t="s">
        <v>1623</v>
      </c>
      <c r="B571" s="3" t="s">
        <v>1624</v>
      </c>
      <c r="C571" s="15">
        <v>7140.380000000001</v>
      </c>
    </row>
    <row r="572" spans="1:3" x14ac:dyDescent="0.2">
      <c r="A572" s="173" t="s">
        <v>1625</v>
      </c>
      <c r="B572" s="3" t="s">
        <v>1626</v>
      </c>
      <c r="C572" s="15">
        <v>4.0927261579781771E-12</v>
      </c>
    </row>
    <row r="573" spans="1:3" x14ac:dyDescent="0.2">
      <c r="A573" s="173" t="s">
        <v>1627</v>
      </c>
      <c r="B573" s="3" t="s">
        <v>1628</v>
      </c>
      <c r="C573" s="15">
        <v>386658.31000000006</v>
      </c>
    </row>
    <row r="574" spans="1:3" x14ac:dyDescent="0.2">
      <c r="A574" s="173" t="s">
        <v>1629</v>
      </c>
      <c r="B574" s="3" t="s">
        <v>1630</v>
      </c>
      <c r="C574" s="15">
        <v>59.759999999999991</v>
      </c>
    </row>
    <row r="575" spans="1:3" x14ac:dyDescent="0.2">
      <c r="A575" s="173" t="s">
        <v>1631</v>
      </c>
      <c r="B575" s="3" t="s">
        <v>1632</v>
      </c>
      <c r="C575" s="15">
        <v>5019.1900000000005</v>
      </c>
    </row>
    <row r="576" spans="1:3" x14ac:dyDescent="0.2">
      <c r="A576" s="173" t="s">
        <v>1633</v>
      </c>
      <c r="B576" s="3" t="s">
        <v>1634</v>
      </c>
      <c r="C576" s="15">
        <v>1258.7599999999991</v>
      </c>
    </row>
    <row r="577" spans="1:3" x14ac:dyDescent="0.2">
      <c r="A577" s="173" t="s">
        <v>1635</v>
      </c>
      <c r="B577" s="3" t="s">
        <v>1636</v>
      </c>
      <c r="C577" s="15">
        <v>19068.54</v>
      </c>
    </row>
    <row r="578" spans="1:3" x14ac:dyDescent="0.2">
      <c r="A578" s="173" t="s">
        <v>1637</v>
      </c>
      <c r="B578" s="3" t="s">
        <v>1638</v>
      </c>
      <c r="C578" s="15">
        <v>0</v>
      </c>
    </row>
    <row r="579" spans="1:3" x14ac:dyDescent="0.2">
      <c r="A579" s="173" t="s">
        <v>1639</v>
      </c>
      <c r="B579" s="3" t="s">
        <v>1640</v>
      </c>
      <c r="C579" s="15">
        <v>204784.84999999995</v>
      </c>
    </row>
    <row r="580" spans="1:3" x14ac:dyDescent="0.2">
      <c r="A580" s="173" t="s">
        <v>1641</v>
      </c>
      <c r="B580" s="3" t="s">
        <v>1642</v>
      </c>
      <c r="C580" s="15">
        <v>-22385.47</v>
      </c>
    </row>
    <row r="581" spans="1:3" x14ac:dyDescent="0.2">
      <c r="A581" s="173" t="s">
        <v>1643</v>
      </c>
      <c r="B581" s="3" t="s">
        <v>1644</v>
      </c>
      <c r="C581" s="15">
        <v>22647.659999999993</v>
      </c>
    </row>
    <row r="582" spans="1:3" x14ac:dyDescent="0.2">
      <c r="A582" s="173" t="s">
        <v>1645</v>
      </c>
      <c r="B582" s="3" t="s">
        <v>1646</v>
      </c>
      <c r="C582" s="15">
        <v>20208.620000000003</v>
      </c>
    </row>
    <row r="583" spans="1:3" x14ac:dyDescent="0.2">
      <c r="A583" s="173" t="s">
        <v>1647</v>
      </c>
      <c r="B583" s="3" t="s">
        <v>1648</v>
      </c>
      <c r="C583" s="15">
        <v>11553.989999999998</v>
      </c>
    </row>
    <row r="584" spans="1:3" x14ac:dyDescent="0.2">
      <c r="A584" s="173" t="s">
        <v>1649</v>
      </c>
      <c r="B584" s="3" t="s">
        <v>1650</v>
      </c>
      <c r="C584" s="15">
        <v>163203.56000000003</v>
      </c>
    </row>
    <row r="585" spans="1:3" x14ac:dyDescent="0.2">
      <c r="A585" s="173" t="s">
        <v>1651</v>
      </c>
      <c r="B585" s="3" t="s">
        <v>1652</v>
      </c>
      <c r="C585" s="15">
        <v>495016.34000000008</v>
      </c>
    </row>
    <row r="586" spans="1:3" x14ac:dyDescent="0.2">
      <c r="A586" s="173" t="s">
        <v>1653</v>
      </c>
      <c r="B586" s="3" t="s">
        <v>1654</v>
      </c>
      <c r="C586" s="15">
        <v>456436.10999999894</v>
      </c>
    </row>
    <row r="587" spans="1:3" x14ac:dyDescent="0.2">
      <c r="A587" s="173" t="s">
        <v>1655</v>
      </c>
      <c r="B587" s="3" t="s">
        <v>1656</v>
      </c>
      <c r="C587" s="15">
        <v>564718.30000000016</v>
      </c>
    </row>
    <row r="588" spans="1:3" x14ac:dyDescent="0.2">
      <c r="A588" s="173" t="s">
        <v>1657</v>
      </c>
      <c r="B588" s="3" t="s">
        <v>1658</v>
      </c>
      <c r="C588" s="15">
        <v>393965.27999999997</v>
      </c>
    </row>
    <row r="589" spans="1:3" x14ac:dyDescent="0.2">
      <c r="A589" s="173" t="s">
        <v>1659</v>
      </c>
      <c r="B589" s="3" t="s">
        <v>1660</v>
      </c>
      <c r="C589" s="15">
        <v>10125.720000000001</v>
      </c>
    </row>
    <row r="590" spans="1:3" x14ac:dyDescent="0.2">
      <c r="A590" s="173" t="s">
        <v>1661</v>
      </c>
      <c r="B590" s="3" t="s">
        <v>1662</v>
      </c>
      <c r="C590" s="15">
        <v>8893.9</v>
      </c>
    </row>
    <row r="591" spans="1:3" x14ac:dyDescent="0.2">
      <c r="A591" s="173" t="s">
        <v>1663</v>
      </c>
      <c r="B591" s="3" t="s">
        <v>1664</v>
      </c>
      <c r="C591" s="15">
        <v>9972.6399999999976</v>
      </c>
    </row>
    <row r="592" spans="1:3" x14ac:dyDescent="0.2">
      <c r="A592" s="173" t="s">
        <v>1665</v>
      </c>
      <c r="B592" s="3" t="s">
        <v>1666</v>
      </c>
      <c r="C592" s="15">
        <v>71851.639999999898</v>
      </c>
    </row>
    <row r="593" spans="1:3" x14ac:dyDescent="0.2">
      <c r="A593" s="173" t="s">
        <v>1667</v>
      </c>
      <c r="B593" s="3" t="s">
        <v>1668</v>
      </c>
      <c r="C593" s="15">
        <v>245974.19000000006</v>
      </c>
    </row>
    <row r="594" spans="1:3" x14ac:dyDescent="0.2">
      <c r="A594" s="173" t="s">
        <v>1669</v>
      </c>
      <c r="B594" s="3" t="s">
        <v>1670</v>
      </c>
      <c r="C594" s="15">
        <v>13118.8</v>
      </c>
    </row>
    <row r="595" spans="1:3" x14ac:dyDescent="0.2">
      <c r="A595" s="173" t="s">
        <v>1671</v>
      </c>
      <c r="B595" s="3" t="s">
        <v>1672</v>
      </c>
      <c r="C595" s="15">
        <v>11858.940000000002</v>
      </c>
    </row>
    <row r="596" spans="1:3" x14ac:dyDescent="0.2">
      <c r="A596" s="173" t="s">
        <v>1673</v>
      </c>
      <c r="B596" s="3" t="s">
        <v>1674</v>
      </c>
      <c r="C596" s="15">
        <v>23954.11</v>
      </c>
    </row>
    <row r="597" spans="1:3" x14ac:dyDescent="0.2">
      <c r="A597" s="173" t="s">
        <v>1675</v>
      </c>
      <c r="B597" s="3" t="s">
        <v>1676</v>
      </c>
      <c r="C597" s="15">
        <v>12000</v>
      </c>
    </row>
    <row r="598" spans="1:3" x14ac:dyDescent="0.2">
      <c r="A598" s="173" t="s">
        <v>1677</v>
      </c>
      <c r="B598" s="3" t="s">
        <v>1678</v>
      </c>
      <c r="C598" s="15">
        <v>9504.23</v>
      </c>
    </row>
    <row r="599" spans="1:3" x14ac:dyDescent="0.2">
      <c r="A599" s="173" t="s">
        <v>1679</v>
      </c>
      <c r="B599" s="3" t="s">
        <v>1680</v>
      </c>
      <c r="C599" s="15">
        <v>33951.130000000005</v>
      </c>
    </row>
    <row r="600" spans="1:3" x14ac:dyDescent="0.2">
      <c r="A600" s="173" t="s">
        <v>1681</v>
      </c>
      <c r="B600" s="3" t="s">
        <v>1682</v>
      </c>
      <c r="C600" s="15">
        <v>195286.88</v>
      </c>
    </row>
    <row r="601" spans="1:3" x14ac:dyDescent="0.2">
      <c r="A601" s="173" t="s">
        <v>1683</v>
      </c>
      <c r="B601" s="3" t="s">
        <v>1684</v>
      </c>
      <c r="C601" s="15">
        <v>14128.749999999998</v>
      </c>
    </row>
    <row r="602" spans="1:3" x14ac:dyDescent="0.2">
      <c r="A602" s="173" t="s">
        <v>1685</v>
      </c>
      <c r="B602" s="3" t="s">
        <v>1686</v>
      </c>
      <c r="C602" s="15">
        <v>135124.69999999998</v>
      </c>
    </row>
    <row r="603" spans="1:3" x14ac:dyDescent="0.2">
      <c r="A603" s="173" t="s">
        <v>1687</v>
      </c>
      <c r="B603" s="3" t="s">
        <v>1688</v>
      </c>
      <c r="C603" s="15">
        <v>16041.26</v>
      </c>
    </row>
    <row r="604" spans="1:3" x14ac:dyDescent="0.2">
      <c r="A604" s="173" t="s">
        <v>1689</v>
      </c>
      <c r="B604" s="3" t="s">
        <v>1690</v>
      </c>
      <c r="C604" s="15">
        <v>3683.6</v>
      </c>
    </row>
    <row r="605" spans="1:3" x14ac:dyDescent="0.2">
      <c r="A605" s="173" t="s">
        <v>1691</v>
      </c>
      <c r="B605" s="3" t="s">
        <v>1692</v>
      </c>
      <c r="C605" s="15">
        <v>86124.379999999976</v>
      </c>
    </row>
    <row r="606" spans="1:3" x14ac:dyDescent="0.2">
      <c r="A606" s="173" t="s">
        <v>1693</v>
      </c>
      <c r="B606" s="3" t="s">
        <v>1694</v>
      </c>
      <c r="C606" s="15">
        <v>397662.67999999993</v>
      </c>
    </row>
    <row r="607" spans="1:3" x14ac:dyDescent="0.2">
      <c r="A607" s="173" t="s">
        <v>1695</v>
      </c>
      <c r="B607" s="3" t="s">
        <v>1696</v>
      </c>
      <c r="C607" s="15">
        <v>10560</v>
      </c>
    </row>
    <row r="608" spans="1:3" x14ac:dyDescent="0.2">
      <c r="A608" s="173" t="s">
        <v>1697</v>
      </c>
      <c r="B608" s="3" t="s">
        <v>1698</v>
      </c>
      <c r="C608" s="15">
        <v>52034.10000000002</v>
      </c>
    </row>
    <row r="609" spans="1:3" x14ac:dyDescent="0.2">
      <c r="A609" s="173" t="s">
        <v>1699</v>
      </c>
      <c r="B609" s="3" t="s">
        <v>1700</v>
      </c>
      <c r="C609" s="15">
        <v>193873.74999999997</v>
      </c>
    </row>
    <row r="610" spans="1:3" x14ac:dyDescent="0.2">
      <c r="A610" s="173" t="s">
        <v>1701</v>
      </c>
      <c r="B610" s="3" t="s">
        <v>1702</v>
      </c>
      <c r="C610" s="15">
        <v>818474.94999999984</v>
      </c>
    </row>
    <row r="611" spans="1:3" x14ac:dyDescent="0.2">
      <c r="A611" s="173" t="s">
        <v>1703</v>
      </c>
      <c r="B611" s="3" t="s">
        <v>1704</v>
      </c>
      <c r="C611" s="15">
        <v>931696.03000000014</v>
      </c>
    </row>
    <row r="612" spans="1:3" x14ac:dyDescent="0.2">
      <c r="A612" s="173" t="s">
        <v>1705</v>
      </c>
      <c r="B612" s="3" t="s">
        <v>1706</v>
      </c>
      <c r="C612" s="15">
        <v>60839.790000000008</v>
      </c>
    </row>
    <row r="613" spans="1:3" x14ac:dyDescent="0.2">
      <c r="A613" s="173" t="s">
        <v>1707</v>
      </c>
      <c r="B613" s="3" t="s">
        <v>1708</v>
      </c>
      <c r="C613" s="15">
        <v>28464.92</v>
      </c>
    </row>
    <row r="614" spans="1:3" x14ac:dyDescent="0.2">
      <c r="A614" s="173" t="s">
        <v>1709</v>
      </c>
      <c r="B614" s="3" t="s">
        <v>1710</v>
      </c>
      <c r="C614" s="15">
        <v>94599.01</v>
      </c>
    </row>
    <row r="615" spans="1:3" x14ac:dyDescent="0.2">
      <c r="A615" s="173" t="s">
        <v>1711</v>
      </c>
      <c r="B615" s="3" t="s">
        <v>1712</v>
      </c>
      <c r="C615" s="15">
        <v>83611.42</v>
      </c>
    </row>
    <row r="616" spans="1:3" x14ac:dyDescent="0.2">
      <c r="A616" s="173" t="s">
        <v>1713</v>
      </c>
      <c r="B616" s="3" t="s">
        <v>1714</v>
      </c>
      <c r="C616" s="15">
        <v>1468.4399999999998</v>
      </c>
    </row>
    <row r="617" spans="1:3" x14ac:dyDescent="0.2">
      <c r="A617" s="173" t="s">
        <v>1715</v>
      </c>
      <c r="B617" s="3" t="s">
        <v>1716</v>
      </c>
      <c r="C617" s="15">
        <v>10028.070000000002</v>
      </c>
    </row>
    <row r="618" spans="1:3" x14ac:dyDescent="0.2">
      <c r="A618" s="173" t="s">
        <v>1717</v>
      </c>
      <c r="B618" s="3" t="s">
        <v>1718</v>
      </c>
      <c r="C618" s="15">
        <v>814.93</v>
      </c>
    </row>
    <row r="619" spans="1:3" x14ac:dyDescent="0.2">
      <c r="A619" s="173" t="s">
        <v>1719</v>
      </c>
      <c r="B619" s="3" t="s">
        <v>1720</v>
      </c>
      <c r="C619" s="15">
        <v>77653.91</v>
      </c>
    </row>
    <row r="620" spans="1:3" x14ac:dyDescent="0.2">
      <c r="A620" s="173" t="s">
        <v>1721</v>
      </c>
      <c r="B620" s="3" t="s">
        <v>1722</v>
      </c>
      <c r="C620" s="15">
        <v>12063.4</v>
      </c>
    </row>
    <row r="621" spans="1:3" x14ac:dyDescent="0.2">
      <c r="A621" s="173" t="s">
        <v>1723</v>
      </c>
      <c r="B621" s="3" t="s">
        <v>1724</v>
      </c>
      <c r="C621" s="15">
        <v>13379</v>
      </c>
    </row>
    <row r="622" spans="1:3" x14ac:dyDescent="0.2">
      <c r="A622" s="173" t="s">
        <v>1725</v>
      </c>
      <c r="B622" s="3" t="s">
        <v>1726</v>
      </c>
      <c r="C622" s="15">
        <v>64857.399999999994</v>
      </c>
    </row>
    <row r="623" spans="1:3" x14ac:dyDescent="0.2">
      <c r="A623" s="173" t="s">
        <v>1727</v>
      </c>
      <c r="B623" s="3" t="s">
        <v>1728</v>
      </c>
      <c r="C623" s="15">
        <v>18889.139999999996</v>
      </c>
    </row>
    <row r="624" spans="1:3" x14ac:dyDescent="0.2">
      <c r="A624" s="173" t="s">
        <v>1729</v>
      </c>
      <c r="B624" s="3" t="s">
        <v>1730</v>
      </c>
      <c r="C624" s="15">
        <v>8404.43</v>
      </c>
    </row>
    <row r="625" spans="1:3" x14ac:dyDescent="0.2">
      <c r="A625" s="173" t="s">
        <v>1731</v>
      </c>
      <c r="B625" s="3" t="s">
        <v>1732</v>
      </c>
      <c r="C625" s="15">
        <v>20519.63</v>
      </c>
    </row>
    <row r="626" spans="1:3" x14ac:dyDescent="0.2">
      <c r="A626" s="173" t="s">
        <v>1733</v>
      </c>
      <c r="B626" s="3" t="s">
        <v>1734</v>
      </c>
      <c r="C626" s="15">
        <v>50251.1</v>
      </c>
    </row>
    <row r="627" spans="1:3" x14ac:dyDescent="0.2">
      <c r="A627" s="173" t="s">
        <v>1735</v>
      </c>
      <c r="B627" s="3" t="s">
        <v>1736</v>
      </c>
      <c r="C627" s="15">
        <v>3255</v>
      </c>
    </row>
    <row r="628" spans="1:3" x14ac:dyDescent="0.2">
      <c r="A628" s="173" t="s">
        <v>1737</v>
      </c>
      <c r="B628" s="3" t="s">
        <v>1738</v>
      </c>
      <c r="C628" s="15">
        <v>4408473.2000000011</v>
      </c>
    </row>
    <row r="629" spans="1:3" x14ac:dyDescent="0.2">
      <c r="A629" s="173" t="s">
        <v>1739</v>
      </c>
      <c r="B629" s="3" t="s">
        <v>1740</v>
      </c>
      <c r="C629" s="15">
        <v>11598149.610000005</v>
      </c>
    </row>
    <row r="630" spans="1:3" x14ac:dyDescent="0.2">
      <c r="A630" s="173" t="s">
        <v>1741</v>
      </c>
      <c r="B630" s="3" t="s">
        <v>1742</v>
      </c>
      <c r="C630" s="15">
        <v>11715747.880000018</v>
      </c>
    </row>
    <row r="631" spans="1:3" x14ac:dyDescent="0.2">
      <c r="A631" s="173" t="s">
        <v>1743</v>
      </c>
      <c r="B631" s="3" t="s">
        <v>1744</v>
      </c>
      <c r="C631" s="15">
        <v>2299073.450000009</v>
      </c>
    </row>
    <row r="632" spans="1:3" x14ac:dyDescent="0.2">
      <c r="A632" s="173" t="s">
        <v>1745</v>
      </c>
      <c r="B632" s="3" t="s">
        <v>1746</v>
      </c>
      <c r="C632" s="15">
        <v>10121747.409999998</v>
      </c>
    </row>
    <row r="633" spans="1:3" x14ac:dyDescent="0.2">
      <c r="A633" s="173" t="s">
        <v>1747</v>
      </c>
      <c r="B633" s="3" t="s">
        <v>1748</v>
      </c>
      <c r="C633" s="15">
        <v>783767.9300000004</v>
      </c>
    </row>
    <row r="634" spans="1:3" x14ac:dyDescent="0.2">
      <c r="A634" s="173" t="s">
        <v>1749</v>
      </c>
      <c r="B634" s="3" t="s">
        <v>1750</v>
      </c>
      <c r="C634" s="15">
        <v>69940.679999999993</v>
      </c>
    </row>
    <row r="635" spans="1:3" x14ac:dyDescent="0.2">
      <c r="A635" s="173" t="s">
        <v>1751</v>
      </c>
      <c r="B635" s="3" t="s">
        <v>1752</v>
      </c>
      <c r="C635" s="15">
        <v>22617.48</v>
      </c>
    </row>
    <row r="636" spans="1:3" x14ac:dyDescent="0.2">
      <c r="A636" s="173" t="s">
        <v>1753</v>
      </c>
      <c r="B636" s="3" t="s">
        <v>1754</v>
      </c>
      <c r="C636" s="15">
        <v>75310.459999999963</v>
      </c>
    </row>
    <row r="637" spans="1:3" x14ac:dyDescent="0.2">
      <c r="A637" s="173" t="s">
        <v>1755</v>
      </c>
      <c r="B637" s="3" t="s">
        <v>1756</v>
      </c>
      <c r="C637" s="15">
        <v>8600.5199999999968</v>
      </c>
    </row>
    <row r="638" spans="1:3" x14ac:dyDescent="0.2">
      <c r="A638" s="173" t="s">
        <v>1757</v>
      </c>
      <c r="B638" s="3" t="s">
        <v>1758</v>
      </c>
      <c r="C638" s="15">
        <v>22015.41</v>
      </c>
    </row>
    <row r="639" spans="1:3" x14ac:dyDescent="0.2">
      <c r="A639" s="173" t="s">
        <v>1759</v>
      </c>
      <c r="B639" s="3" t="s">
        <v>1760</v>
      </c>
      <c r="C639" s="15">
        <v>11271.47</v>
      </c>
    </row>
    <row r="640" spans="1:3" x14ac:dyDescent="0.2">
      <c r="A640" s="173" t="s">
        <v>1761</v>
      </c>
      <c r="B640" s="3" t="s">
        <v>1762</v>
      </c>
      <c r="C640" s="15">
        <v>-0.20000000000004547</v>
      </c>
    </row>
    <row r="641" spans="1:3" x14ac:dyDescent="0.2">
      <c r="A641" s="173" t="s">
        <v>1763</v>
      </c>
      <c r="B641" s="3" t="s">
        <v>1764</v>
      </c>
      <c r="C641" s="15">
        <v>252617.83999999997</v>
      </c>
    </row>
    <row r="642" spans="1:3" x14ac:dyDescent="0.2">
      <c r="A642" s="173" t="s">
        <v>1765</v>
      </c>
      <c r="B642" s="3" t="s">
        <v>1766</v>
      </c>
      <c r="C642" s="15">
        <v>9564.66</v>
      </c>
    </row>
    <row r="643" spans="1:3" x14ac:dyDescent="0.2">
      <c r="A643" s="173" t="s">
        <v>1767</v>
      </c>
      <c r="B643" s="3" t="s">
        <v>1768</v>
      </c>
      <c r="C643" s="15">
        <v>9785.6099999999969</v>
      </c>
    </row>
    <row r="644" spans="1:3" x14ac:dyDescent="0.2">
      <c r="A644" s="173" t="s">
        <v>1769</v>
      </c>
      <c r="B644" s="3" t="s">
        <v>1770</v>
      </c>
      <c r="C644" s="15">
        <v>44086.39</v>
      </c>
    </row>
    <row r="645" spans="1:3" x14ac:dyDescent="0.2">
      <c r="A645" s="173" t="s">
        <v>1771</v>
      </c>
      <c r="B645" s="3" t="s">
        <v>1772</v>
      </c>
      <c r="C645" s="15">
        <v>13739.16</v>
      </c>
    </row>
    <row r="646" spans="1:3" x14ac:dyDescent="0.2">
      <c r="A646" s="173" t="s">
        <v>1773</v>
      </c>
      <c r="B646" s="3" t="s">
        <v>1774</v>
      </c>
      <c r="C646" s="15">
        <v>839867.00999999978</v>
      </c>
    </row>
    <row r="647" spans="1:3" x14ac:dyDescent="0.2">
      <c r="A647" s="173" t="s">
        <v>1775</v>
      </c>
      <c r="B647" s="3" t="s">
        <v>1776</v>
      </c>
      <c r="C647" s="15">
        <v>150011.38</v>
      </c>
    </row>
    <row r="648" spans="1:3" x14ac:dyDescent="0.2">
      <c r="A648" s="173" t="s">
        <v>1777</v>
      </c>
      <c r="B648" s="3" t="s">
        <v>1778</v>
      </c>
      <c r="C648" s="15">
        <v>608099.09000000008</v>
      </c>
    </row>
    <row r="649" spans="1:3" x14ac:dyDescent="0.2">
      <c r="A649" s="173" t="s">
        <v>1779</v>
      </c>
      <c r="B649" s="3" t="s">
        <v>1780</v>
      </c>
      <c r="C649" s="15">
        <v>78575.45</v>
      </c>
    </row>
    <row r="650" spans="1:3" x14ac:dyDescent="0.2">
      <c r="A650" s="173" t="s">
        <v>1781</v>
      </c>
      <c r="B650" s="3" t="s">
        <v>1782</v>
      </c>
      <c r="C650" s="15">
        <v>53185.32</v>
      </c>
    </row>
    <row r="651" spans="1:3" x14ac:dyDescent="0.2">
      <c r="A651" s="173" t="s">
        <v>1783</v>
      </c>
      <c r="B651" s="3" t="s">
        <v>1784</v>
      </c>
      <c r="C651" s="15">
        <v>35666.74</v>
      </c>
    </row>
    <row r="652" spans="1:3" x14ac:dyDescent="0.2">
      <c r="A652" s="173" t="s">
        <v>1785</v>
      </c>
      <c r="B652" s="3" t="s">
        <v>1786</v>
      </c>
      <c r="C652" s="15">
        <v>3174.7</v>
      </c>
    </row>
    <row r="653" spans="1:3" x14ac:dyDescent="0.2">
      <c r="A653" s="173" t="s">
        <v>1787</v>
      </c>
      <c r="B653" s="3" t="s">
        <v>1788</v>
      </c>
      <c r="C653" s="15">
        <v>4795.420000000001</v>
      </c>
    </row>
    <row r="654" spans="1:3" x14ac:dyDescent="0.2">
      <c r="A654" s="173" t="s">
        <v>1789</v>
      </c>
      <c r="B654" s="3" t="s">
        <v>1790</v>
      </c>
      <c r="C654" s="15">
        <v>37506.799999999988</v>
      </c>
    </row>
    <row r="655" spans="1:3" x14ac:dyDescent="0.2">
      <c r="A655" s="173" t="s">
        <v>1791</v>
      </c>
      <c r="B655" s="3" t="s">
        <v>1792</v>
      </c>
      <c r="C655" s="15">
        <v>43914.710000000006</v>
      </c>
    </row>
    <row r="656" spans="1:3" x14ac:dyDescent="0.2">
      <c r="A656" s="173" t="s">
        <v>1793</v>
      </c>
      <c r="B656" s="3" t="s">
        <v>1794</v>
      </c>
      <c r="C656" s="15">
        <v>40689.21</v>
      </c>
    </row>
    <row r="657" spans="1:3" x14ac:dyDescent="0.2">
      <c r="A657" s="173" t="s">
        <v>1795</v>
      </c>
      <c r="B657" s="3" t="s">
        <v>1796</v>
      </c>
      <c r="C657" s="15">
        <v>23229.01</v>
      </c>
    </row>
    <row r="658" spans="1:3" x14ac:dyDescent="0.2">
      <c r="A658" s="173" t="s">
        <v>1797</v>
      </c>
      <c r="B658" s="3" t="s">
        <v>1798</v>
      </c>
      <c r="C658" s="15">
        <v>7256.9299999999994</v>
      </c>
    </row>
    <row r="659" spans="1:3" x14ac:dyDescent="0.2">
      <c r="A659" s="173" t="s">
        <v>1799</v>
      </c>
      <c r="B659" s="3" t="s">
        <v>1800</v>
      </c>
      <c r="C659" s="15">
        <v>12021.540000000005</v>
      </c>
    </row>
    <row r="660" spans="1:3" x14ac:dyDescent="0.2">
      <c r="A660" s="173" t="s">
        <v>1801</v>
      </c>
      <c r="B660" s="3" t="s">
        <v>1802</v>
      </c>
      <c r="C660" s="15">
        <v>24275.599999999999</v>
      </c>
    </row>
    <row r="661" spans="1:3" x14ac:dyDescent="0.2">
      <c r="A661" s="173" t="s">
        <v>1803</v>
      </c>
      <c r="B661" s="3" t="s">
        <v>1804</v>
      </c>
      <c r="C661" s="15">
        <v>20866.859999999997</v>
      </c>
    </row>
    <row r="662" spans="1:3" x14ac:dyDescent="0.2">
      <c r="A662" s="173" t="s">
        <v>1805</v>
      </c>
      <c r="B662" s="3" t="s">
        <v>1806</v>
      </c>
      <c r="C662" s="15">
        <v>51749.249999999985</v>
      </c>
    </row>
    <row r="663" spans="1:3" x14ac:dyDescent="0.2">
      <c r="A663" s="173" t="s">
        <v>1807</v>
      </c>
      <c r="B663" s="3" t="s">
        <v>1808</v>
      </c>
      <c r="C663" s="15">
        <v>31579.03</v>
      </c>
    </row>
    <row r="664" spans="1:3" x14ac:dyDescent="0.2">
      <c r="A664" s="173" t="s">
        <v>1809</v>
      </c>
      <c r="B664" s="3" t="s">
        <v>1810</v>
      </c>
      <c r="C664" s="15">
        <v>527196.99000000011</v>
      </c>
    </row>
    <row r="665" spans="1:3" x14ac:dyDescent="0.2">
      <c r="A665" s="173" t="s">
        <v>1811</v>
      </c>
      <c r="B665" s="3" t="s">
        <v>1812</v>
      </c>
      <c r="C665" s="15">
        <v>17178.57</v>
      </c>
    </row>
    <row r="666" spans="1:3" x14ac:dyDescent="0.2">
      <c r="A666" s="173" t="s">
        <v>1813</v>
      </c>
      <c r="B666" s="3" t="s">
        <v>1814</v>
      </c>
      <c r="C666" s="15">
        <v>5038.32</v>
      </c>
    </row>
    <row r="667" spans="1:3" x14ac:dyDescent="0.2">
      <c r="A667" s="173" t="s">
        <v>1815</v>
      </c>
      <c r="B667" s="3" t="s">
        <v>1816</v>
      </c>
      <c r="C667" s="15">
        <v>6817.9800000000005</v>
      </c>
    </row>
    <row r="668" spans="1:3" x14ac:dyDescent="0.2">
      <c r="A668" s="173" t="s">
        <v>1817</v>
      </c>
      <c r="B668" s="3" t="s">
        <v>1818</v>
      </c>
      <c r="C668" s="15">
        <v>41195.019999999997</v>
      </c>
    </row>
    <row r="669" spans="1:3" x14ac:dyDescent="0.2">
      <c r="A669" s="173" t="s">
        <v>1819</v>
      </c>
      <c r="B669" s="3" t="s">
        <v>1820</v>
      </c>
      <c r="C669" s="15">
        <v>425014.51999999961</v>
      </c>
    </row>
    <row r="670" spans="1:3" x14ac:dyDescent="0.2">
      <c r="A670" s="173" t="s">
        <v>1821</v>
      </c>
      <c r="B670" s="3" t="s">
        <v>1822</v>
      </c>
      <c r="C670" s="15">
        <v>24393.550000000003</v>
      </c>
    </row>
    <row r="671" spans="1:3" x14ac:dyDescent="0.2">
      <c r="A671" s="173" t="s">
        <v>1823</v>
      </c>
      <c r="B671" s="3" t="s">
        <v>1824</v>
      </c>
      <c r="C671" s="15">
        <v>17824.98</v>
      </c>
    </row>
    <row r="672" spans="1:3" x14ac:dyDescent="0.2">
      <c r="A672" s="173" t="s">
        <v>1825</v>
      </c>
      <c r="B672" s="3" t="s">
        <v>1826</v>
      </c>
      <c r="C672" s="15">
        <v>9919.19</v>
      </c>
    </row>
    <row r="673" spans="1:3" x14ac:dyDescent="0.2">
      <c r="A673" s="173" t="s">
        <v>1827</v>
      </c>
      <c r="B673" s="3" t="s">
        <v>1828</v>
      </c>
      <c r="C673" s="15">
        <v>580281.33999999973</v>
      </c>
    </row>
    <row r="674" spans="1:3" x14ac:dyDescent="0.2">
      <c r="A674" s="173" t="s">
        <v>1829</v>
      </c>
      <c r="B674" s="3" t="s">
        <v>1830</v>
      </c>
      <c r="C674" s="15">
        <v>4126.54</v>
      </c>
    </row>
    <row r="675" spans="1:3" x14ac:dyDescent="0.2">
      <c r="A675" s="173" t="s">
        <v>1831</v>
      </c>
      <c r="B675" s="3" t="s">
        <v>1832</v>
      </c>
      <c r="C675" s="15">
        <v>94429.500000000029</v>
      </c>
    </row>
    <row r="676" spans="1:3" x14ac:dyDescent="0.2">
      <c r="A676" s="173" t="s">
        <v>1833</v>
      </c>
      <c r="B676" s="3" t="s">
        <v>1834</v>
      </c>
      <c r="C676" s="15">
        <v>411440.65000000049</v>
      </c>
    </row>
    <row r="677" spans="1:3" x14ac:dyDescent="0.2">
      <c r="A677" s="173" t="s">
        <v>1835</v>
      </c>
      <c r="B677" s="3" t="s">
        <v>1836</v>
      </c>
      <c r="C677" s="15">
        <v>104966.47000000006</v>
      </c>
    </row>
    <row r="678" spans="1:3" x14ac:dyDescent="0.2">
      <c r="A678" s="173" t="s">
        <v>1837</v>
      </c>
      <c r="B678" s="3" t="s">
        <v>1838</v>
      </c>
      <c r="C678" s="15">
        <v>14825.36</v>
      </c>
    </row>
    <row r="679" spans="1:3" x14ac:dyDescent="0.2">
      <c r="A679" s="173" t="s">
        <v>1839</v>
      </c>
      <c r="B679" s="3" t="s">
        <v>1840</v>
      </c>
      <c r="C679" s="15">
        <v>27.430000000000007</v>
      </c>
    </row>
    <row r="680" spans="1:3" x14ac:dyDescent="0.2">
      <c r="A680" s="173" t="s">
        <v>1841</v>
      </c>
      <c r="B680" s="3" t="s">
        <v>1842</v>
      </c>
      <c r="C680" s="15">
        <v>23399.179999999997</v>
      </c>
    </row>
    <row r="681" spans="1:3" x14ac:dyDescent="0.2">
      <c r="A681" s="173" t="s">
        <v>1843</v>
      </c>
      <c r="B681" s="3" t="s">
        <v>1844</v>
      </c>
      <c r="C681" s="15">
        <v>71864.34</v>
      </c>
    </row>
    <row r="682" spans="1:3" x14ac:dyDescent="0.2">
      <c r="A682" s="173" t="s">
        <v>1845</v>
      </c>
      <c r="B682" s="3" t="s">
        <v>1846</v>
      </c>
      <c r="C682" s="15">
        <v>68319.589999999982</v>
      </c>
    </row>
    <row r="683" spans="1:3" x14ac:dyDescent="0.2">
      <c r="A683" s="173" t="s">
        <v>1847</v>
      </c>
      <c r="B683" s="3" t="s">
        <v>1848</v>
      </c>
      <c r="C683" s="15">
        <v>63524.59</v>
      </c>
    </row>
    <row r="684" spans="1:3" x14ac:dyDescent="0.2">
      <c r="A684" s="173" t="s">
        <v>1849</v>
      </c>
      <c r="B684" s="3" t="s">
        <v>1850</v>
      </c>
      <c r="C684" s="15">
        <v>75677.609999999986</v>
      </c>
    </row>
    <row r="685" spans="1:3" x14ac:dyDescent="0.2">
      <c r="A685" s="173" t="s">
        <v>1851</v>
      </c>
      <c r="B685" s="3" t="s">
        <v>1852</v>
      </c>
      <c r="C685" s="15">
        <v>22832.28</v>
      </c>
    </row>
    <row r="686" spans="1:3" x14ac:dyDescent="0.2">
      <c r="A686" s="173" t="s">
        <v>1853</v>
      </c>
      <c r="B686" s="3" t="s">
        <v>1854</v>
      </c>
      <c r="C686" s="15">
        <v>49926.999999999993</v>
      </c>
    </row>
    <row r="687" spans="1:3" x14ac:dyDescent="0.2">
      <c r="A687" s="173" t="s">
        <v>1855</v>
      </c>
      <c r="B687" s="3" t="s">
        <v>1856</v>
      </c>
      <c r="C687" s="15">
        <v>217814.79</v>
      </c>
    </row>
    <row r="688" spans="1:3" x14ac:dyDescent="0.2">
      <c r="A688" s="173" t="s">
        <v>1857</v>
      </c>
      <c r="B688" s="3" t="s">
        <v>1858</v>
      </c>
      <c r="C688" s="15">
        <v>186278.16</v>
      </c>
    </row>
    <row r="689" spans="1:3" x14ac:dyDescent="0.2">
      <c r="A689" s="173" t="s">
        <v>1859</v>
      </c>
      <c r="B689" s="3" t="s">
        <v>1860</v>
      </c>
      <c r="C689" s="15">
        <v>383000</v>
      </c>
    </row>
    <row r="690" spans="1:3" x14ac:dyDescent="0.2">
      <c r="A690" s="173" t="s">
        <v>1861</v>
      </c>
      <c r="B690" s="3" t="s">
        <v>1862</v>
      </c>
      <c r="C690" s="15">
        <v>928058.02</v>
      </c>
    </row>
    <row r="691" spans="1:3" x14ac:dyDescent="0.2">
      <c r="A691" s="173" t="s">
        <v>1863</v>
      </c>
      <c r="B691" s="3" t="s">
        <v>1864</v>
      </c>
      <c r="C691" s="15">
        <v>256053.77</v>
      </c>
    </row>
    <row r="692" spans="1:3" x14ac:dyDescent="0.2">
      <c r="A692" s="173" t="s">
        <v>1865</v>
      </c>
      <c r="B692" s="3" t="s">
        <v>1866</v>
      </c>
      <c r="C692" s="15">
        <v>29920.65</v>
      </c>
    </row>
    <row r="693" spans="1:3" x14ac:dyDescent="0.2">
      <c r="A693" s="173" t="s">
        <v>1867</v>
      </c>
      <c r="B693" s="3" t="s">
        <v>1868</v>
      </c>
      <c r="C693" s="15">
        <v>20927.2</v>
      </c>
    </row>
    <row r="694" spans="1:3" x14ac:dyDescent="0.2">
      <c r="A694" s="173" t="s">
        <v>1869</v>
      </c>
      <c r="B694" s="3" t="s">
        <v>1870</v>
      </c>
      <c r="C694" s="15">
        <v>133178.1</v>
      </c>
    </row>
    <row r="695" spans="1:3" x14ac:dyDescent="0.2">
      <c r="A695" s="173" t="s">
        <v>1871</v>
      </c>
      <c r="B695" s="3" t="s">
        <v>1872</v>
      </c>
      <c r="C695" s="15">
        <v>107668.29999999999</v>
      </c>
    </row>
    <row r="696" spans="1:3" x14ac:dyDescent="0.2">
      <c r="A696" s="173" t="s">
        <v>1873</v>
      </c>
      <c r="B696" s="3" t="s">
        <v>1874</v>
      </c>
      <c r="C696" s="15">
        <v>35339.340000000004</v>
      </c>
    </row>
    <row r="697" spans="1:3" x14ac:dyDescent="0.2">
      <c r="A697" s="173" t="s">
        <v>1875</v>
      </c>
      <c r="B697" s="3" t="s">
        <v>1876</v>
      </c>
      <c r="C697" s="15">
        <v>32881.879999999997</v>
      </c>
    </row>
    <row r="698" spans="1:3" x14ac:dyDescent="0.2">
      <c r="A698" s="173" t="s">
        <v>1877</v>
      </c>
      <c r="B698" s="3" t="s">
        <v>1878</v>
      </c>
      <c r="C698" s="15">
        <v>103618.65</v>
      </c>
    </row>
    <row r="699" spans="1:3" x14ac:dyDescent="0.2">
      <c r="A699" s="173" t="s">
        <v>1879</v>
      </c>
      <c r="B699" s="3" t="s">
        <v>1880</v>
      </c>
      <c r="C699" s="15">
        <v>3754.2900000000009</v>
      </c>
    </row>
    <row r="700" spans="1:3" x14ac:dyDescent="0.2">
      <c r="A700" s="173" t="s">
        <v>1881</v>
      </c>
      <c r="B700" s="3" t="s">
        <v>1882</v>
      </c>
      <c r="C700" s="15">
        <v>4167.5</v>
      </c>
    </row>
    <row r="701" spans="1:3" x14ac:dyDescent="0.2">
      <c r="A701" s="173" t="s">
        <v>1883</v>
      </c>
      <c r="B701" s="3" t="s">
        <v>1884</v>
      </c>
      <c r="C701" s="15">
        <v>12947.41</v>
      </c>
    </row>
    <row r="702" spans="1:3" x14ac:dyDescent="0.2">
      <c r="A702" s="173" t="s">
        <v>1885</v>
      </c>
      <c r="B702" s="3" t="s">
        <v>1886</v>
      </c>
      <c r="C702" s="15">
        <v>287307.21000000008</v>
      </c>
    </row>
    <row r="703" spans="1:3" x14ac:dyDescent="0.2">
      <c r="A703" s="173" t="s">
        <v>1887</v>
      </c>
      <c r="B703" s="3" t="s">
        <v>1888</v>
      </c>
      <c r="C703" s="15">
        <v>12200</v>
      </c>
    </row>
    <row r="704" spans="1:3" x14ac:dyDescent="0.2">
      <c r="A704" s="173" t="s">
        <v>1889</v>
      </c>
      <c r="B704" s="3" t="s">
        <v>1890</v>
      </c>
      <c r="C704" s="15">
        <v>1154349.3199999998</v>
      </c>
    </row>
    <row r="705" spans="1:3" x14ac:dyDescent="0.2">
      <c r="A705" s="173" t="s">
        <v>1891</v>
      </c>
      <c r="B705" s="3" t="s">
        <v>1892</v>
      </c>
      <c r="C705" s="15">
        <v>442205.57999999973</v>
      </c>
    </row>
    <row r="706" spans="1:3" x14ac:dyDescent="0.2">
      <c r="A706" s="173" t="s">
        <v>1893</v>
      </c>
      <c r="B706" s="3" t="s">
        <v>1894</v>
      </c>
      <c r="C706" s="15">
        <v>139292.38999999996</v>
      </c>
    </row>
    <row r="707" spans="1:3" x14ac:dyDescent="0.2">
      <c r="A707" s="173" t="s">
        <v>1895</v>
      </c>
      <c r="B707" s="3" t="s">
        <v>1896</v>
      </c>
      <c r="C707" s="15">
        <v>12613.770000000004</v>
      </c>
    </row>
    <row r="708" spans="1:3" x14ac:dyDescent="0.2">
      <c r="A708" s="173" t="s">
        <v>1897</v>
      </c>
      <c r="B708" s="3" t="s">
        <v>1898</v>
      </c>
      <c r="C708" s="15">
        <v>25000.28</v>
      </c>
    </row>
    <row r="709" spans="1:3" x14ac:dyDescent="0.2">
      <c r="A709" s="173" t="s">
        <v>1899</v>
      </c>
      <c r="B709" s="3" t="s">
        <v>1900</v>
      </c>
      <c r="C709" s="15">
        <v>16014.23</v>
      </c>
    </row>
    <row r="710" spans="1:3" x14ac:dyDescent="0.2">
      <c r="A710" s="173" t="s">
        <v>1901</v>
      </c>
      <c r="B710" s="3" t="s">
        <v>1902</v>
      </c>
      <c r="C710" s="15">
        <v>6393.8199999999979</v>
      </c>
    </row>
    <row r="711" spans="1:3" x14ac:dyDescent="0.2">
      <c r="A711" s="173" t="s">
        <v>1903</v>
      </c>
      <c r="B711" s="3" t="s">
        <v>1904</v>
      </c>
      <c r="C711" s="15">
        <v>15713.160000000002</v>
      </c>
    </row>
    <row r="712" spans="1:3" x14ac:dyDescent="0.2">
      <c r="A712" s="173" t="s">
        <v>1905</v>
      </c>
      <c r="B712" s="3" t="s">
        <v>1906</v>
      </c>
      <c r="C712" s="15">
        <v>35726.340000000011</v>
      </c>
    </row>
    <row r="713" spans="1:3" x14ac:dyDescent="0.2">
      <c r="A713" s="173" t="s">
        <v>1907</v>
      </c>
      <c r="B713" s="3" t="s">
        <v>1908</v>
      </c>
      <c r="C713" s="15">
        <v>30980.570000000007</v>
      </c>
    </row>
    <row r="714" spans="1:3" x14ac:dyDescent="0.2">
      <c r="A714" s="173" t="s">
        <v>1909</v>
      </c>
      <c r="B714" s="3" t="s">
        <v>1910</v>
      </c>
      <c r="C714" s="15">
        <v>8370693.679999995</v>
      </c>
    </row>
    <row r="715" spans="1:3" x14ac:dyDescent="0.2">
      <c r="A715" s="173" t="s">
        <v>1911</v>
      </c>
      <c r="B715" s="3" t="s">
        <v>1912</v>
      </c>
      <c r="C715" s="15">
        <v>379213.00999999995</v>
      </c>
    </row>
    <row r="716" spans="1:3" x14ac:dyDescent="0.2">
      <c r="A716" s="173" t="s">
        <v>1913</v>
      </c>
      <c r="B716" s="3" t="s">
        <v>1914</v>
      </c>
      <c r="C716" s="15">
        <v>340000</v>
      </c>
    </row>
    <row r="717" spans="1:3" x14ac:dyDescent="0.2">
      <c r="A717" s="173" t="s">
        <v>1915</v>
      </c>
      <c r="B717" s="3" t="s">
        <v>1916</v>
      </c>
      <c r="C717" s="15">
        <v>58558.820000000007</v>
      </c>
    </row>
    <row r="718" spans="1:3" x14ac:dyDescent="0.2">
      <c r="A718" s="173" t="s">
        <v>1917</v>
      </c>
      <c r="B718" s="3" t="s">
        <v>1918</v>
      </c>
      <c r="C718" s="15">
        <v>396678.60000000003</v>
      </c>
    </row>
    <row r="719" spans="1:3" x14ac:dyDescent="0.2">
      <c r="A719" s="173" t="s">
        <v>1919</v>
      </c>
      <c r="B719" s="3" t="s">
        <v>1920</v>
      </c>
      <c r="C719" s="15">
        <v>16818.86</v>
      </c>
    </row>
    <row r="720" spans="1:3" x14ac:dyDescent="0.2">
      <c r="A720" s="173" t="s">
        <v>1921</v>
      </c>
      <c r="B720" s="3" t="s">
        <v>1922</v>
      </c>
      <c r="C720" s="15">
        <v>46152.82</v>
      </c>
    </row>
    <row r="721" spans="1:3" x14ac:dyDescent="0.2">
      <c r="A721" s="173" t="s">
        <v>1923</v>
      </c>
      <c r="B721" s="3" t="s">
        <v>1924</v>
      </c>
      <c r="C721" s="15">
        <v>618608.12</v>
      </c>
    </row>
    <row r="722" spans="1:3" x14ac:dyDescent="0.2">
      <c r="A722" s="173" t="s">
        <v>1925</v>
      </c>
      <c r="B722" s="3" t="s">
        <v>1926</v>
      </c>
      <c r="C722" s="15">
        <v>83356.150000000009</v>
      </c>
    </row>
    <row r="723" spans="1:3" x14ac:dyDescent="0.2">
      <c r="A723" s="173" t="s">
        <v>1927</v>
      </c>
      <c r="B723" s="3" t="s">
        <v>1928</v>
      </c>
      <c r="C723" s="15">
        <v>255725.47</v>
      </c>
    </row>
    <row r="724" spans="1:3" x14ac:dyDescent="0.2">
      <c r="A724" s="173" t="s">
        <v>1929</v>
      </c>
      <c r="B724" s="3" t="s">
        <v>1930</v>
      </c>
      <c r="C724" s="15">
        <v>38922.53</v>
      </c>
    </row>
    <row r="725" spans="1:3" x14ac:dyDescent="0.2">
      <c r="A725" s="173" t="s">
        <v>1931</v>
      </c>
      <c r="B725" s="3" t="s">
        <v>1932</v>
      </c>
      <c r="C725" s="15">
        <v>1610.6199999999988</v>
      </c>
    </row>
    <row r="726" spans="1:3" x14ac:dyDescent="0.2">
      <c r="A726" s="173" t="s">
        <v>1933</v>
      </c>
      <c r="B726" s="3" t="s">
        <v>1934</v>
      </c>
      <c r="C726" s="15">
        <v>201911.02000000002</v>
      </c>
    </row>
    <row r="727" spans="1:3" x14ac:dyDescent="0.2">
      <c r="A727" s="173" t="s">
        <v>1935</v>
      </c>
      <c r="B727" s="3" t="s">
        <v>1936</v>
      </c>
      <c r="C727" s="15">
        <v>19372.369999999974</v>
      </c>
    </row>
    <row r="728" spans="1:3" x14ac:dyDescent="0.2">
      <c r="A728" s="173" t="s">
        <v>1937</v>
      </c>
      <c r="B728" s="3" t="s">
        <v>1938</v>
      </c>
      <c r="C728" s="15">
        <v>42022.220000000008</v>
      </c>
    </row>
    <row r="729" spans="1:3" x14ac:dyDescent="0.2">
      <c r="A729" s="173" t="s">
        <v>1939</v>
      </c>
      <c r="B729" s="3" t="s">
        <v>1940</v>
      </c>
      <c r="C729" s="15">
        <v>205300</v>
      </c>
    </row>
    <row r="730" spans="1:3" x14ac:dyDescent="0.2">
      <c r="A730" s="173" t="s">
        <v>1941</v>
      </c>
      <c r="B730" s="3" t="s">
        <v>1942</v>
      </c>
      <c r="C730" s="15">
        <v>23853.449999999961</v>
      </c>
    </row>
    <row r="731" spans="1:3" x14ac:dyDescent="0.2">
      <c r="A731" s="173" t="s">
        <v>1943</v>
      </c>
      <c r="B731" s="3" t="s">
        <v>1944</v>
      </c>
      <c r="C731" s="15">
        <v>31968.609999999997</v>
      </c>
    </row>
    <row r="732" spans="1:3" x14ac:dyDescent="0.2">
      <c r="A732" s="173" t="s">
        <v>1945</v>
      </c>
      <c r="B732" s="3" t="s">
        <v>1946</v>
      </c>
      <c r="C732" s="15">
        <v>77102.960000000006</v>
      </c>
    </row>
    <row r="733" spans="1:3" x14ac:dyDescent="0.2">
      <c r="A733" s="173" t="s">
        <v>1947</v>
      </c>
      <c r="B733" s="3" t="s">
        <v>1948</v>
      </c>
      <c r="C733" s="15">
        <v>140716.42999999996</v>
      </c>
    </row>
    <row r="734" spans="1:3" x14ac:dyDescent="0.2">
      <c r="A734" s="173" t="s">
        <v>1949</v>
      </c>
      <c r="B734" s="3" t="s">
        <v>1950</v>
      </c>
      <c r="C734" s="15">
        <v>155008.38999999998</v>
      </c>
    </row>
    <row r="735" spans="1:3" x14ac:dyDescent="0.2">
      <c r="A735" s="173" t="s">
        <v>1951</v>
      </c>
      <c r="B735" s="3" t="s">
        <v>1952</v>
      </c>
      <c r="C735" s="15">
        <v>2244.44</v>
      </c>
    </row>
    <row r="736" spans="1:3" x14ac:dyDescent="0.2">
      <c r="A736" s="173" t="s">
        <v>1953</v>
      </c>
      <c r="B736" s="3" t="s">
        <v>1954</v>
      </c>
      <c r="C736" s="15">
        <v>24797.239999999998</v>
      </c>
    </row>
    <row r="737" spans="1:3" x14ac:dyDescent="0.2">
      <c r="A737" s="173" t="s">
        <v>1955</v>
      </c>
      <c r="B737" s="3" t="s">
        <v>1956</v>
      </c>
      <c r="C737" s="15">
        <v>32644.12</v>
      </c>
    </row>
    <row r="738" spans="1:3" x14ac:dyDescent="0.2">
      <c r="A738" s="173" t="s">
        <v>1957</v>
      </c>
      <c r="B738" s="3" t="s">
        <v>1958</v>
      </c>
      <c r="C738" s="15">
        <v>54062.45</v>
      </c>
    </row>
    <row r="739" spans="1:3" x14ac:dyDescent="0.2">
      <c r="A739" s="173" t="s">
        <v>1959</v>
      </c>
      <c r="B739" s="3" t="s">
        <v>1960</v>
      </c>
      <c r="C739" s="15">
        <v>14094.189999999999</v>
      </c>
    </row>
    <row r="740" spans="1:3" x14ac:dyDescent="0.2">
      <c r="A740" s="173" t="s">
        <v>1961</v>
      </c>
      <c r="B740" s="3" t="s">
        <v>1962</v>
      </c>
      <c r="C740" s="15">
        <v>34383.629999999997</v>
      </c>
    </row>
    <row r="741" spans="1:3" x14ac:dyDescent="0.2">
      <c r="A741" s="173" t="s">
        <v>1963</v>
      </c>
      <c r="B741" s="3" t="s">
        <v>1964</v>
      </c>
      <c r="C741" s="15">
        <v>23297.300000000003</v>
      </c>
    </row>
    <row r="742" spans="1:3" x14ac:dyDescent="0.2">
      <c r="A742" s="173" t="s">
        <v>1965</v>
      </c>
      <c r="B742" s="3" t="s">
        <v>1966</v>
      </c>
      <c r="C742" s="15">
        <v>15250.170000000066</v>
      </c>
    </row>
    <row r="743" spans="1:3" x14ac:dyDescent="0.2">
      <c r="A743" s="173" t="s">
        <v>1967</v>
      </c>
      <c r="B743" s="3" t="s">
        <v>1968</v>
      </c>
      <c r="C743" s="15">
        <v>65626.260000000009</v>
      </c>
    </row>
    <row r="744" spans="1:3" x14ac:dyDescent="0.2">
      <c r="A744" s="173" t="s">
        <v>1969</v>
      </c>
      <c r="B744" s="3" t="s">
        <v>1970</v>
      </c>
      <c r="C744" s="15">
        <v>7725.2600000000011</v>
      </c>
    </row>
    <row r="745" spans="1:3" x14ac:dyDescent="0.2">
      <c r="A745" s="173" t="s">
        <v>1971</v>
      </c>
      <c r="B745" s="3" t="s">
        <v>1972</v>
      </c>
      <c r="C745" s="15">
        <v>2710</v>
      </c>
    </row>
    <row r="746" spans="1:3" x14ac:dyDescent="0.2">
      <c r="A746" s="173" t="s">
        <v>1973</v>
      </c>
      <c r="B746" s="3" t="s">
        <v>1974</v>
      </c>
      <c r="C746" s="15">
        <v>478474.46</v>
      </c>
    </row>
    <row r="747" spans="1:3" x14ac:dyDescent="0.2">
      <c r="A747" s="173" t="s">
        <v>1975</v>
      </c>
      <c r="B747" s="3" t="s">
        <v>1976</v>
      </c>
      <c r="C747" s="15">
        <v>6131.73</v>
      </c>
    </row>
    <row r="748" spans="1:3" x14ac:dyDescent="0.2">
      <c r="A748" s="173" t="s">
        <v>1977</v>
      </c>
      <c r="B748" s="3" t="s">
        <v>1978</v>
      </c>
      <c r="C748" s="15">
        <v>39256.9</v>
      </c>
    </row>
    <row r="749" spans="1:3" x14ac:dyDescent="0.2">
      <c r="A749" s="173" t="s">
        <v>1979</v>
      </c>
      <c r="B749" s="3" t="s">
        <v>1980</v>
      </c>
      <c r="C749" s="15">
        <v>8598.9600000000009</v>
      </c>
    </row>
    <row r="750" spans="1:3" x14ac:dyDescent="0.2">
      <c r="A750" s="173" t="s">
        <v>1981</v>
      </c>
      <c r="B750" s="3" t="s">
        <v>1982</v>
      </c>
      <c r="C750" s="15">
        <v>32089.77</v>
      </c>
    </row>
    <row r="751" spans="1:3" x14ac:dyDescent="0.2">
      <c r="A751" s="173" t="s">
        <v>1983</v>
      </c>
      <c r="B751" s="3" t="s">
        <v>1984</v>
      </c>
      <c r="C751" s="15">
        <v>59544.93</v>
      </c>
    </row>
    <row r="752" spans="1:3" x14ac:dyDescent="0.2">
      <c r="A752" s="173" t="s">
        <v>1985</v>
      </c>
      <c r="B752" s="3" t="s">
        <v>1986</v>
      </c>
      <c r="C752" s="15">
        <v>10997.8</v>
      </c>
    </row>
    <row r="753" spans="1:3" x14ac:dyDescent="0.2">
      <c r="A753" s="173" t="s">
        <v>1987</v>
      </c>
      <c r="B753" s="3" t="s">
        <v>1988</v>
      </c>
      <c r="C753" s="15">
        <v>609.94000000000005</v>
      </c>
    </row>
    <row r="754" spans="1:3" x14ac:dyDescent="0.2">
      <c r="A754" s="173" t="s">
        <v>1989</v>
      </c>
      <c r="B754" s="3" t="s">
        <v>1990</v>
      </c>
      <c r="C754" s="15">
        <v>16630.34</v>
      </c>
    </row>
    <row r="755" spans="1:3" x14ac:dyDescent="0.2">
      <c r="A755" s="173" t="s">
        <v>1991</v>
      </c>
      <c r="B755" s="3" t="s">
        <v>1992</v>
      </c>
      <c r="C755" s="15">
        <v>23372.000000000007</v>
      </c>
    </row>
    <row r="756" spans="1:3" x14ac:dyDescent="0.2">
      <c r="A756" s="173" t="s">
        <v>1993</v>
      </c>
      <c r="B756" s="3" t="s">
        <v>1994</v>
      </c>
      <c r="C756" s="15">
        <v>41592.630000000012</v>
      </c>
    </row>
    <row r="757" spans="1:3" x14ac:dyDescent="0.2">
      <c r="A757" s="173" t="s">
        <v>1995</v>
      </c>
      <c r="B757" s="3" t="s">
        <v>1996</v>
      </c>
      <c r="C757" s="15">
        <v>6094.04</v>
      </c>
    </row>
    <row r="758" spans="1:3" x14ac:dyDescent="0.2">
      <c r="A758" s="173" t="s">
        <v>1997</v>
      </c>
      <c r="B758" s="3" t="s">
        <v>1998</v>
      </c>
      <c r="C758" s="15">
        <v>24646.260000000006</v>
      </c>
    </row>
    <row r="759" spans="1:3" x14ac:dyDescent="0.2">
      <c r="A759" s="173" t="s">
        <v>1999</v>
      </c>
      <c r="B759" s="3" t="s">
        <v>2000</v>
      </c>
      <c r="C759" s="15">
        <v>41526.460000000006</v>
      </c>
    </row>
    <row r="760" spans="1:3" x14ac:dyDescent="0.2">
      <c r="A760" s="173" t="s">
        <v>2001</v>
      </c>
      <c r="B760" s="3" t="s">
        <v>2002</v>
      </c>
      <c r="C760" s="15">
        <v>9744.1299999999992</v>
      </c>
    </row>
    <row r="761" spans="1:3" x14ac:dyDescent="0.2">
      <c r="A761" s="173" t="s">
        <v>2003</v>
      </c>
      <c r="B761" s="3" t="s">
        <v>2004</v>
      </c>
      <c r="C761" s="15">
        <v>20491.46</v>
      </c>
    </row>
    <row r="762" spans="1:3" x14ac:dyDescent="0.2">
      <c r="A762" s="173" t="s">
        <v>2005</v>
      </c>
      <c r="B762" s="3" t="s">
        <v>2006</v>
      </c>
      <c r="C762" s="15">
        <v>19918.82</v>
      </c>
    </row>
    <row r="763" spans="1:3" x14ac:dyDescent="0.2">
      <c r="A763" s="173" t="s">
        <v>2007</v>
      </c>
      <c r="B763" s="3" t="s">
        <v>2008</v>
      </c>
      <c r="C763" s="15">
        <v>16666.390000000003</v>
      </c>
    </row>
    <row r="764" spans="1:3" x14ac:dyDescent="0.2">
      <c r="A764" s="173" t="s">
        <v>2009</v>
      </c>
      <c r="B764" s="3" t="s">
        <v>2010</v>
      </c>
      <c r="C764" s="15">
        <v>5720</v>
      </c>
    </row>
    <row r="765" spans="1:3" x14ac:dyDescent="0.2">
      <c r="A765" s="173" t="s">
        <v>2011</v>
      </c>
      <c r="B765" s="3" t="s">
        <v>2012</v>
      </c>
      <c r="C765" s="15">
        <v>7275</v>
      </c>
    </row>
    <row r="766" spans="1:3" x14ac:dyDescent="0.2">
      <c r="A766" s="173" t="s">
        <v>2013</v>
      </c>
      <c r="B766" s="3" t="s">
        <v>2014</v>
      </c>
      <c r="C766" s="15">
        <v>3614.05</v>
      </c>
    </row>
    <row r="767" spans="1:3" x14ac:dyDescent="0.2">
      <c r="A767" s="173" t="s">
        <v>2015</v>
      </c>
      <c r="B767" s="3" t="s">
        <v>2016</v>
      </c>
      <c r="C767" s="15">
        <v>5597.1</v>
      </c>
    </row>
    <row r="768" spans="1:3" x14ac:dyDescent="0.2">
      <c r="A768" s="173" t="s">
        <v>2017</v>
      </c>
      <c r="B768" s="3" t="s">
        <v>2018</v>
      </c>
      <c r="C768" s="15">
        <v>49533.45</v>
      </c>
    </row>
    <row r="769" spans="1:3" x14ac:dyDescent="0.2">
      <c r="A769" s="173" t="s">
        <v>2019</v>
      </c>
      <c r="B769" s="3" t="s">
        <v>2020</v>
      </c>
      <c r="C769" s="15">
        <v>47529.990000000005</v>
      </c>
    </row>
    <row r="770" spans="1:3" x14ac:dyDescent="0.2">
      <c r="A770" s="173" t="s">
        <v>2021</v>
      </c>
      <c r="B770" s="3" t="s">
        <v>2022</v>
      </c>
      <c r="C770" s="15">
        <v>65049.92000000002</v>
      </c>
    </row>
    <row r="771" spans="1:3" x14ac:dyDescent="0.2">
      <c r="A771" s="173" t="s">
        <v>2023</v>
      </c>
      <c r="B771" s="3" t="s">
        <v>2024</v>
      </c>
      <c r="C771" s="15">
        <v>9259.41</v>
      </c>
    </row>
    <row r="772" spans="1:3" x14ac:dyDescent="0.2">
      <c r="A772" s="173" t="s">
        <v>2025</v>
      </c>
      <c r="B772" s="3" t="s">
        <v>2026</v>
      </c>
      <c r="C772" s="15">
        <v>4138.6400000000003</v>
      </c>
    </row>
    <row r="773" spans="1:3" x14ac:dyDescent="0.2">
      <c r="A773" s="173" t="s">
        <v>2027</v>
      </c>
      <c r="B773" s="3" t="s">
        <v>2028</v>
      </c>
      <c r="C773" s="15">
        <v>4948.92</v>
      </c>
    </row>
    <row r="774" spans="1:3" x14ac:dyDescent="0.2">
      <c r="A774" s="173" t="s">
        <v>2029</v>
      </c>
      <c r="B774" s="3" t="s">
        <v>2030</v>
      </c>
      <c r="C774" s="15">
        <v>13316.83</v>
      </c>
    </row>
    <row r="775" spans="1:3" x14ac:dyDescent="0.2">
      <c r="A775" s="173" t="s">
        <v>2031</v>
      </c>
      <c r="B775" s="3" t="s">
        <v>2032</v>
      </c>
      <c r="C775" s="15">
        <v>7278.8200000000006</v>
      </c>
    </row>
    <row r="776" spans="1:3" x14ac:dyDescent="0.2">
      <c r="A776" s="173" t="s">
        <v>2033</v>
      </c>
      <c r="B776" s="3" t="s">
        <v>2034</v>
      </c>
      <c r="C776" s="15">
        <v>9920.41</v>
      </c>
    </row>
    <row r="777" spans="1:3" x14ac:dyDescent="0.2">
      <c r="A777" s="173" t="s">
        <v>2035</v>
      </c>
      <c r="B777" s="3" t="s">
        <v>2036</v>
      </c>
      <c r="C777" s="15">
        <v>44645.890000000014</v>
      </c>
    </row>
    <row r="778" spans="1:3" x14ac:dyDescent="0.2">
      <c r="A778" s="173" t="s">
        <v>2037</v>
      </c>
      <c r="B778" s="3" t="s">
        <v>2038</v>
      </c>
      <c r="C778" s="15">
        <v>8219.56</v>
      </c>
    </row>
    <row r="779" spans="1:3" x14ac:dyDescent="0.2">
      <c r="A779" s="173" t="s">
        <v>2039</v>
      </c>
      <c r="B779" s="3" t="s">
        <v>2040</v>
      </c>
      <c r="C779" s="15">
        <v>24472.059999999998</v>
      </c>
    </row>
    <row r="780" spans="1:3" x14ac:dyDescent="0.2">
      <c r="A780" s="173" t="s">
        <v>2041</v>
      </c>
      <c r="B780" s="3" t="s">
        <v>2042</v>
      </c>
      <c r="C780" s="15">
        <v>18498.270000000004</v>
      </c>
    </row>
    <row r="781" spans="1:3" x14ac:dyDescent="0.2">
      <c r="A781" s="173" t="s">
        <v>2043</v>
      </c>
      <c r="B781" s="3" t="s">
        <v>2044</v>
      </c>
      <c r="C781" s="15">
        <v>82847.789999999964</v>
      </c>
    </row>
    <row r="782" spans="1:3" x14ac:dyDescent="0.2">
      <c r="A782" s="173" t="s">
        <v>2045</v>
      </c>
      <c r="B782" s="3" t="s">
        <v>2046</v>
      </c>
      <c r="C782" s="15">
        <v>9979.4900000000052</v>
      </c>
    </row>
    <row r="783" spans="1:3" x14ac:dyDescent="0.2">
      <c r="A783" s="173" t="s">
        <v>2047</v>
      </c>
      <c r="B783" s="3" t="s">
        <v>2048</v>
      </c>
      <c r="C783" s="15">
        <v>16390.64</v>
      </c>
    </row>
    <row r="784" spans="1:3" x14ac:dyDescent="0.2">
      <c r="A784" s="173" t="s">
        <v>2049</v>
      </c>
      <c r="B784" s="3" t="s">
        <v>2050</v>
      </c>
      <c r="C784" s="15">
        <v>49078.3</v>
      </c>
    </row>
    <row r="785" spans="1:3" x14ac:dyDescent="0.2">
      <c r="A785" s="173" t="s">
        <v>2051</v>
      </c>
      <c r="B785" s="3" t="s">
        <v>2052</v>
      </c>
      <c r="C785" s="15">
        <v>22347.599999999999</v>
      </c>
    </row>
    <row r="786" spans="1:3" x14ac:dyDescent="0.2">
      <c r="A786" s="173" t="s">
        <v>2053</v>
      </c>
      <c r="B786" s="3" t="s">
        <v>2054</v>
      </c>
      <c r="C786" s="15">
        <v>133875.14000000001</v>
      </c>
    </row>
    <row r="787" spans="1:3" x14ac:dyDescent="0.2">
      <c r="A787" s="173" t="s">
        <v>2055</v>
      </c>
      <c r="B787" s="3" t="s">
        <v>2056</v>
      </c>
      <c r="C787" s="15">
        <v>38773.56</v>
      </c>
    </row>
    <row r="788" spans="1:3" x14ac:dyDescent="0.2">
      <c r="A788" s="173" t="s">
        <v>2057</v>
      </c>
      <c r="B788" s="3" t="s">
        <v>2058</v>
      </c>
      <c r="C788" s="15">
        <v>31232.82</v>
      </c>
    </row>
    <row r="789" spans="1:3" x14ac:dyDescent="0.2">
      <c r="A789" s="173" t="s">
        <v>2059</v>
      </c>
      <c r="B789" s="3" t="s">
        <v>2060</v>
      </c>
      <c r="C789" s="15">
        <v>49617.59</v>
      </c>
    </row>
    <row r="790" spans="1:3" x14ac:dyDescent="0.2">
      <c r="A790" s="173" t="s">
        <v>2061</v>
      </c>
      <c r="B790" s="3" t="s">
        <v>2062</v>
      </c>
      <c r="C790" s="15">
        <v>5.2295945351943374E-12</v>
      </c>
    </row>
    <row r="791" spans="1:3" x14ac:dyDescent="0.2">
      <c r="A791" s="173" t="s">
        <v>2063</v>
      </c>
      <c r="B791" s="3" t="s">
        <v>2064</v>
      </c>
      <c r="C791" s="15">
        <v>1541091.0399999998</v>
      </c>
    </row>
    <row r="792" spans="1:3" x14ac:dyDescent="0.2">
      <c r="A792" s="173" t="s">
        <v>2065</v>
      </c>
      <c r="B792" s="3" t="s">
        <v>2066</v>
      </c>
      <c r="C792" s="15">
        <v>54686.119999999995</v>
      </c>
    </row>
    <row r="793" spans="1:3" x14ac:dyDescent="0.2">
      <c r="A793" s="173" t="s">
        <v>2067</v>
      </c>
      <c r="B793" s="3" t="s">
        <v>2068</v>
      </c>
      <c r="C793" s="15">
        <v>4062.8999999999996</v>
      </c>
    </row>
    <row r="794" spans="1:3" x14ac:dyDescent="0.2">
      <c r="A794" s="173" t="s">
        <v>2069</v>
      </c>
      <c r="B794" s="3" t="s">
        <v>2070</v>
      </c>
      <c r="C794" s="15">
        <v>20452.829999999998</v>
      </c>
    </row>
    <row r="795" spans="1:3" x14ac:dyDescent="0.2">
      <c r="A795" s="173" t="s">
        <v>2071</v>
      </c>
      <c r="B795" s="3" t="s">
        <v>2072</v>
      </c>
      <c r="C795" s="15">
        <v>18672</v>
      </c>
    </row>
    <row r="796" spans="1:3" x14ac:dyDescent="0.2">
      <c r="A796" s="173" t="s">
        <v>2073</v>
      </c>
      <c r="B796" s="3" t="s">
        <v>2074</v>
      </c>
      <c r="C796" s="15">
        <v>29874</v>
      </c>
    </row>
    <row r="797" spans="1:3" x14ac:dyDescent="0.2">
      <c r="A797" s="173" t="s">
        <v>2075</v>
      </c>
      <c r="B797" s="3" t="s">
        <v>2076</v>
      </c>
      <c r="C797" s="15">
        <v>28791.950000000004</v>
      </c>
    </row>
    <row r="798" spans="1:3" x14ac:dyDescent="0.2">
      <c r="A798" s="173" t="s">
        <v>2077</v>
      </c>
      <c r="B798" s="3" t="s">
        <v>2078</v>
      </c>
      <c r="C798" s="15">
        <v>38729.440000000002</v>
      </c>
    </row>
    <row r="799" spans="1:3" x14ac:dyDescent="0.2">
      <c r="A799" s="173" t="s">
        <v>2079</v>
      </c>
      <c r="B799" s="3" t="s">
        <v>2080</v>
      </c>
      <c r="C799" s="15">
        <v>14648.35</v>
      </c>
    </row>
    <row r="800" spans="1:3" x14ac:dyDescent="0.2">
      <c r="A800" s="173" t="s">
        <v>2081</v>
      </c>
      <c r="B800" s="3" t="s">
        <v>2082</v>
      </c>
      <c r="C800" s="15">
        <v>24472.05</v>
      </c>
    </row>
    <row r="801" spans="1:3" x14ac:dyDescent="0.2">
      <c r="A801" s="173" t="s">
        <v>2083</v>
      </c>
      <c r="B801" s="3" t="s">
        <v>2084</v>
      </c>
      <c r="C801" s="15">
        <v>19136.740000000002</v>
      </c>
    </row>
    <row r="802" spans="1:3" x14ac:dyDescent="0.2">
      <c r="A802" s="173" t="s">
        <v>2085</v>
      </c>
      <c r="B802" s="3" t="s">
        <v>2086</v>
      </c>
      <c r="C802" s="15">
        <v>12453.890000000001</v>
      </c>
    </row>
    <row r="803" spans="1:3" x14ac:dyDescent="0.2">
      <c r="A803" s="173" t="s">
        <v>2087</v>
      </c>
      <c r="B803" s="3" t="s">
        <v>2088</v>
      </c>
      <c r="C803" s="15">
        <v>161598.32999999999</v>
      </c>
    </row>
    <row r="804" spans="1:3" x14ac:dyDescent="0.2">
      <c r="A804" s="173" t="s">
        <v>2089</v>
      </c>
      <c r="B804" s="3" t="s">
        <v>2090</v>
      </c>
      <c r="C804" s="15">
        <v>46516.22</v>
      </c>
    </row>
    <row r="805" spans="1:3" x14ac:dyDescent="0.2">
      <c r="A805" s="173" t="s">
        <v>2091</v>
      </c>
      <c r="B805" s="3" t="s">
        <v>2092</v>
      </c>
      <c r="C805" s="15">
        <v>89491.77</v>
      </c>
    </row>
    <row r="806" spans="1:3" x14ac:dyDescent="0.2">
      <c r="A806" s="173" t="s">
        <v>2093</v>
      </c>
      <c r="B806" s="3" t="s">
        <v>2094</v>
      </c>
      <c r="C806" s="15">
        <v>91186.53</v>
      </c>
    </row>
    <row r="807" spans="1:3" x14ac:dyDescent="0.2">
      <c r="A807" s="173" t="s">
        <v>2095</v>
      </c>
      <c r="B807" s="3" t="s">
        <v>2096</v>
      </c>
      <c r="C807" s="15">
        <v>59610.31</v>
      </c>
    </row>
    <row r="808" spans="1:3" x14ac:dyDescent="0.2">
      <c r="A808" s="173" t="s">
        <v>2097</v>
      </c>
      <c r="B808" s="3" t="s">
        <v>2098</v>
      </c>
      <c r="C808" s="15">
        <v>20928.519999999997</v>
      </c>
    </row>
    <row r="809" spans="1:3" x14ac:dyDescent="0.2">
      <c r="A809" s="173" t="s">
        <v>2099</v>
      </c>
      <c r="B809" s="3" t="s">
        <v>2100</v>
      </c>
      <c r="C809" s="15">
        <v>18687.330000000002</v>
      </c>
    </row>
    <row r="810" spans="1:3" x14ac:dyDescent="0.2">
      <c r="A810" s="173" t="s">
        <v>2101</v>
      </c>
      <c r="B810" s="3" t="s">
        <v>2102</v>
      </c>
      <c r="C810" s="15">
        <v>7453.78</v>
      </c>
    </row>
    <row r="811" spans="1:3" x14ac:dyDescent="0.2">
      <c r="A811" s="173" t="s">
        <v>2103</v>
      </c>
      <c r="B811" s="3" t="s">
        <v>2104</v>
      </c>
      <c r="C811" s="15">
        <v>68020.95</v>
      </c>
    </row>
    <row r="812" spans="1:3" x14ac:dyDescent="0.2">
      <c r="A812" s="173" t="s">
        <v>2105</v>
      </c>
      <c r="B812" s="3" t="s">
        <v>2106</v>
      </c>
      <c r="C812" s="15">
        <v>1084.68</v>
      </c>
    </row>
    <row r="813" spans="1:3" x14ac:dyDescent="0.2">
      <c r="A813" s="173" t="s">
        <v>2107</v>
      </c>
      <c r="B813" s="3" t="s">
        <v>2108</v>
      </c>
      <c r="C813" s="15">
        <v>12356.31</v>
      </c>
    </row>
    <row r="814" spans="1:3" x14ac:dyDescent="0.2">
      <c r="A814" s="173" t="s">
        <v>2109</v>
      </c>
      <c r="B814" s="3" t="s">
        <v>2110</v>
      </c>
      <c r="C814" s="15">
        <v>16385.64</v>
      </c>
    </row>
    <row r="815" spans="1:3" x14ac:dyDescent="0.2">
      <c r="A815" s="173" t="s">
        <v>2111</v>
      </c>
      <c r="B815" s="3" t="s">
        <v>2112</v>
      </c>
      <c r="C815" s="15">
        <v>37647.25</v>
      </c>
    </row>
    <row r="816" spans="1:3" x14ac:dyDescent="0.2">
      <c r="A816" s="173" t="s">
        <v>2113</v>
      </c>
      <c r="B816" s="3" t="s">
        <v>2114</v>
      </c>
      <c r="C816" s="15">
        <v>23736.16</v>
      </c>
    </row>
    <row r="817" spans="1:3" x14ac:dyDescent="0.2">
      <c r="A817" s="173" t="s">
        <v>2115</v>
      </c>
      <c r="B817" s="3" t="s">
        <v>2116</v>
      </c>
      <c r="C817" s="15">
        <v>14427.79</v>
      </c>
    </row>
    <row r="818" spans="1:3" x14ac:dyDescent="0.2">
      <c r="A818" s="173" t="s">
        <v>2117</v>
      </c>
      <c r="B818" s="3" t="s">
        <v>2118</v>
      </c>
      <c r="C818" s="15">
        <v>23121.46</v>
      </c>
    </row>
    <row r="819" spans="1:3" x14ac:dyDescent="0.2">
      <c r="A819" s="173" t="s">
        <v>2119</v>
      </c>
      <c r="B819" s="3" t="s">
        <v>2120</v>
      </c>
      <c r="C819" s="15">
        <v>31328.97</v>
      </c>
    </row>
    <row r="820" spans="1:3" x14ac:dyDescent="0.2">
      <c r="A820" s="173" t="s">
        <v>2121</v>
      </c>
      <c r="B820" s="3" t="s">
        <v>2122</v>
      </c>
      <c r="C820" s="15">
        <v>28679.439999999999</v>
      </c>
    </row>
    <row r="821" spans="1:3" x14ac:dyDescent="0.2">
      <c r="A821" s="173" t="s">
        <v>2123</v>
      </c>
      <c r="B821" s="3" t="s">
        <v>2124</v>
      </c>
      <c r="C821" s="15">
        <v>37912.28</v>
      </c>
    </row>
    <row r="822" spans="1:3" x14ac:dyDescent="0.2">
      <c r="A822" s="173" t="s">
        <v>2125</v>
      </c>
      <c r="B822" s="3" t="s">
        <v>2126</v>
      </c>
      <c r="C822" s="15">
        <v>21274.079999999998</v>
      </c>
    </row>
    <row r="823" spans="1:3" x14ac:dyDescent="0.2">
      <c r="A823" s="173" t="s">
        <v>2127</v>
      </c>
      <c r="B823" s="3" t="s">
        <v>2128</v>
      </c>
      <c r="C823" s="15">
        <v>42828.07</v>
      </c>
    </row>
    <row r="824" spans="1:3" x14ac:dyDescent="0.2">
      <c r="A824" s="173" t="s">
        <v>2129</v>
      </c>
      <c r="B824" s="3" t="s">
        <v>2130</v>
      </c>
      <c r="C824" s="15">
        <v>0</v>
      </c>
    </row>
    <row r="825" spans="1:3" x14ac:dyDescent="0.2">
      <c r="A825" s="173" t="s">
        <v>2131</v>
      </c>
      <c r="B825" s="3" t="s">
        <v>2132</v>
      </c>
      <c r="C825" s="15">
        <v>13113.299999999996</v>
      </c>
    </row>
    <row r="826" spans="1:3" x14ac:dyDescent="0.2">
      <c r="A826" s="173" t="s">
        <v>2133</v>
      </c>
      <c r="B826" s="3" t="s">
        <v>2134</v>
      </c>
      <c r="C826" s="15">
        <v>830850.48</v>
      </c>
    </row>
    <row r="827" spans="1:3" x14ac:dyDescent="0.2">
      <c r="A827" s="173" t="s">
        <v>2135</v>
      </c>
      <c r="B827" s="3" t="s">
        <v>2136</v>
      </c>
      <c r="C827" s="15">
        <v>-1355.1799999999998</v>
      </c>
    </row>
    <row r="828" spans="1:3" x14ac:dyDescent="0.2">
      <c r="A828" s="173" t="s">
        <v>2137</v>
      </c>
      <c r="B828" s="3" t="s">
        <v>2138</v>
      </c>
      <c r="C828" s="15">
        <v>75323.600000000006</v>
      </c>
    </row>
    <row r="829" spans="1:3" x14ac:dyDescent="0.2">
      <c r="A829" s="173" t="s">
        <v>2139</v>
      </c>
      <c r="B829" s="3" t="s">
        <v>2140</v>
      </c>
      <c r="C829" s="15">
        <v>38320.260000000009</v>
      </c>
    </row>
    <row r="830" spans="1:3" x14ac:dyDescent="0.2">
      <c r="A830" s="173" t="s">
        <v>2141</v>
      </c>
      <c r="B830" s="3" t="s">
        <v>2142</v>
      </c>
      <c r="C830" s="15">
        <v>0</v>
      </c>
    </row>
    <row r="831" spans="1:3" x14ac:dyDescent="0.2">
      <c r="A831" s="173" t="s">
        <v>2143</v>
      </c>
      <c r="B831" s="3" t="s">
        <v>2144</v>
      </c>
      <c r="C831" s="15">
        <v>0</v>
      </c>
    </row>
    <row r="832" spans="1:3" x14ac:dyDescent="0.2">
      <c r="A832" s="173" t="s">
        <v>2145</v>
      </c>
      <c r="B832" s="3" t="s">
        <v>2146</v>
      </c>
      <c r="C832" s="15">
        <v>-184.8</v>
      </c>
    </row>
    <row r="833" spans="1:3" x14ac:dyDescent="0.2">
      <c r="A833" s="173" t="s">
        <v>2147</v>
      </c>
      <c r="B833" s="3" t="s">
        <v>2148</v>
      </c>
      <c r="C833" s="15">
        <v>272656.11000000004</v>
      </c>
    </row>
    <row r="834" spans="1:3" x14ac:dyDescent="0.2">
      <c r="A834" s="173" t="s">
        <v>2149</v>
      </c>
      <c r="B834" s="3" t="s">
        <v>2150</v>
      </c>
      <c r="C834" s="15">
        <v>1859.5100000000004</v>
      </c>
    </row>
    <row r="835" spans="1:3" x14ac:dyDescent="0.2">
      <c r="A835" s="173" t="s">
        <v>2151</v>
      </c>
      <c r="B835" s="3" t="s">
        <v>2152</v>
      </c>
      <c r="C835" s="15">
        <v>465338.13999999996</v>
      </c>
    </row>
    <row r="836" spans="1:3" x14ac:dyDescent="0.2">
      <c r="A836" s="173" t="s">
        <v>2153</v>
      </c>
      <c r="B836" s="3" t="s">
        <v>2154</v>
      </c>
      <c r="C836" s="15">
        <v>-10455.159999999998</v>
      </c>
    </row>
    <row r="837" spans="1:3" x14ac:dyDescent="0.2">
      <c r="A837" s="173" t="s">
        <v>2155</v>
      </c>
      <c r="B837" s="3" t="s">
        <v>2156</v>
      </c>
      <c r="C837" s="15">
        <v>0</v>
      </c>
    </row>
    <row r="838" spans="1:3" x14ac:dyDescent="0.2">
      <c r="A838" s="173" t="s">
        <v>2157</v>
      </c>
      <c r="B838" s="3" t="s">
        <v>2158</v>
      </c>
      <c r="C838" s="15">
        <v>-0.01</v>
      </c>
    </row>
    <row r="839" spans="1:3" x14ac:dyDescent="0.2">
      <c r="A839" s="173" t="s">
        <v>2159</v>
      </c>
      <c r="B839" s="3" t="s">
        <v>2160</v>
      </c>
      <c r="C839" s="15">
        <v>118894.52000000003</v>
      </c>
    </row>
    <row r="840" spans="1:3" x14ac:dyDescent="0.2">
      <c r="A840" s="173" t="s">
        <v>2161</v>
      </c>
      <c r="B840" s="3" t="s">
        <v>2162</v>
      </c>
      <c r="C840" s="15">
        <v>119975.43999999999</v>
      </c>
    </row>
    <row r="841" spans="1:3" x14ac:dyDescent="0.2">
      <c r="A841" s="173" t="s">
        <v>2163</v>
      </c>
      <c r="B841" s="3" t="s">
        <v>2164</v>
      </c>
      <c r="C841" s="15">
        <v>20264.39</v>
      </c>
    </row>
    <row r="842" spans="1:3" x14ac:dyDescent="0.2">
      <c r="A842" s="173" t="s">
        <v>2165</v>
      </c>
      <c r="B842" s="3" t="s">
        <v>2166</v>
      </c>
      <c r="C842" s="15">
        <v>2.1199999999999974</v>
      </c>
    </row>
    <row r="843" spans="1:3" x14ac:dyDescent="0.2">
      <c r="A843" s="173" t="s">
        <v>2167</v>
      </c>
      <c r="B843" s="3" t="s">
        <v>2168</v>
      </c>
      <c r="C843" s="15">
        <v>38196.399999999994</v>
      </c>
    </row>
    <row r="844" spans="1:3" x14ac:dyDescent="0.2">
      <c r="A844" s="173" t="s">
        <v>2169</v>
      </c>
      <c r="B844" s="3" t="s">
        <v>2170</v>
      </c>
      <c r="C844" s="15">
        <v>546589.65999999992</v>
      </c>
    </row>
    <row r="845" spans="1:3" x14ac:dyDescent="0.2">
      <c r="A845" s="173" t="s">
        <v>2171</v>
      </c>
      <c r="B845" s="3" t="s">
        <v>2172</v>
      </c>
      <c r="C845" s="15">
        <v>241625.81999999989</v>
      </c>
    </row>
    <row r="846" spans="1:3" x14ac:dyDescent="0.2">
      <c r="A846" s="173" t="s">
        <v>2173</v>
      </c>
      <c r="B846" s="3" t="s">
        <v>2174</v>
      </c>
      <c r="C846" s="15">
        <v>7188186.3900000034</v>
      </c>
    </row>
    <row r="847" spans="1:3" x14ac:dyDescent="0.2">
      <c r="A847" s="173" t="s">
        <v>2175</v>
      </c>
      <c r="B847" s="3" t="s">
        <v>2176</v>
      </c>
      <c r="C847" s="15">
        <v>-2304.7800000000002</v>
      </c>
    </row>
    <row r="848" spans="1:3" x14ac:dyDescent="0.2">
      <c r="A848" s="173" t="s">
        <v>2177</v>
      </c>
      <c r="B848" s="3" t="s">
        <v>2178</v>
      </c>
      <c r="C848" s="15">
        <v>381.04000000000008</v>
      </c>
    </row>
    <row r="849" spans="1:3" x14ac:dyDescent="0.2">
      <c r="A849" s="173" t="s">
        <v>2179</v>
      </c>
      <c r="B849" s="3" t="s">
        <v>2180</v>
      </c>
      <c r="C849" s="15">
        <v>-17207.88</v>
      </c>
    </row>
    <row r="850" spans="1:3" x14ac:dyDescent="0.2">
      <c r="A850" s="173" t="s">
        <v>2181</v>
      </c>
      <c r="B850" s="3" t="s">
        <v>2182</v>
      </c>
      <c r="C850" s="15">
        <v>37116.910000000011</v>
      </c>
    </row>
    <row r="851" spans="1:3" x14ac:dyDescent="0.2">
      <c r="A851" s="173" t="s">
        <v>2183</v>
      </c>
      <c r="B851" s="3" t="s">
        <v>2184</v>
      </c>
      <c r="C851" s="15">
        <v>779235.80000000016</v>
      </c>
    </row>
    <row r="852" spans="1:3" x14ac:dyDescent="0.2">
      <c r="A852" s="173" t="s">
        <v>2185</v>
      </c>
      <c r="B852" s="3" t="s">
        <v>2186</v>
      </c>
      <c r="C852" s="15">
        <v>83632.420000000027</v>
      </c>
    </row>
    <row r="853" spans="1:3" x14ac:dyDescent="0.2">
      <c r="A853" s="173" t="s">
        <v>2187</v>
      </c>
      <c r="B853" s="3" t="s">
        <v>2188</v>
      </c>
      <c r="C853" s="15">
        <v>4154.16</v>
      </c>
    </row>
    <row r="854" spans="1:3" x14ac:dyDescent="0.2">
      <c r="A854" s="173" t="s">
        <v>2189</v>
      </c>
      <c r="B854" s="3" t="s">
        <v>2190</v>
      </c>
      <c r="C854" s="15">
        <v>0</v>
      </c>
    </row>
    <row r="855" spans="1:3" x14ac:dyDescent="0.2">
      <c r="A855" s="173" t="s">
        <v>2191</v>
      </c>
      <c r="B855" s="3" t="s">
        <v>2192</v>
      </c>
      <c r="C855" s="15">
        <v>67522</v>
      </c>
    </row>
    <row r="856" spans="1:3" x14ac:dyDescent="0.2">
      <c r="A856" s="173" t="s">
        <v>2193</v>
      </c>
      <c r="B856" s="3" t="s">
        <v>2194</v>
      </c>
      <c r="C856" s="15">
        <v>4499.28</v>
      </c>
    </row>
    <row r="857" spans="1:3" x14ac:dyDescent="0.2">
      <c r="A857" s="173" t="s">
        <v>2195</v>
      </c>
      <c r="B857" s="3" t="s">
        <v>2196</v>
      </c>
      <c r="C857" s="15">
        <v>-13669.62</v>
      </c>
    </row>
    <row r="858" spans="1:3" x14ac:dyDescent="0.2">
      <c r="A858" s="173" t="s">
        <v>2197</v>
      </c>
      <c r="B858" s="3" t="s">
        <v>2198</v>
      </c>
      <c r="C858" s="15">
        <v>0</v>
      </c>
    </row>
    <row r="859" spans="1:3" x14ac:dyDescent="0.2">
      <c r="A859" s="173" t="s">
        <v>2199</v>
      </c>
      <c r="B859" s="3" t="s">
        <v>2200</v>
      </c>
      <c r="C859" s="15">
        <v>12634.769999999999</v>
      </c>
    </row>
    <row r="860" spans="1:3" x14ac:dyDescent="0.2">
      <c r="A860" s="173" t="s">
        <v>2201</v>
      </c>
      <c r="B860" s="3" t="s">
        <v>2202</v>
      </c>
      <c r="C860" s="15">
        <v>1631634.85</v>
      </c>
    </row>
    <row r="861" spans="1:3" x14ac:dyDescent="0.2">
      <c r="A861" s="173" t="s">
        <v>2203</v>
      </c>
      <c r="B861" s="3" t="s">
        <v>2204</v>
      </c>
      <c r="C861" s="15">
        <v>50243.039999999979</v>
      </c>
    </row>
    <row r="862" spans="1:3" x14ac:dyDescent="0.2">
      <c r="A862" s="173" t="s">
        <v>2205</v>
      </c>
      <c r="B862" s="3" t="s">
        <v>2206</v>
      </c>
      <c r="C862" s="15">
        <v>27895.320000000003</v>
      </c>
    </row>
    <row r="863" spans="1:3" x14ac:dyDescent="0.2">
      <c r="A863" s="173" t="s">
        <v>2207</v>
      </c>
      <c r="B863" s="3" t="s">
        <v>2208</v>
      </c>
      <c r="C863" s="15">
        <v>66836.519999999975</v>
      </c>
    </row>
    <row r="864" spans="1:3" x14ac:dyDescent="0.2">
      <c r="A864" s="173" t="s">
        <v>2209</v>
      </c>
      <c r="B864" s="3" t="s">
        <v>2210</v>
      </c>
      <c r="C864" s="15">
        <v>15927.52</v>
      </c>
    </row>
    <row r="865" spans="1:3" x14ac:dyDescent="0.2">
      <c r="A865" s="173" t="s">
        <v>2211</v>
      </c>
      <c r="B865" s="3" t="s">
        <v>2212</v>
      </c>
      <c r="C865" s="15">
        <v>3931</v>
      </c>
    </row>
    <row r="866" spans="1:3" x14ac:dyDescent="0.2">
      <c r="A866" s="173" t="s">
        <v>2213</v>
      </c>
      <c r="B866" s="3" t="s">
        <v>2214</v>
      </c>
      <c r="C866" s="15">
        <v>16329.94</v>
      </c>
    </row>
    <row r="867" spans="1:3" x14ac:dyDescent="0.2">
      <c r="A867" s="173" t="s">
        <v>2215</v>
      </c>
      <c r="B867" s="3" t="s">
        <v>2216</v>
      </c>
      <c r="C867" s="15">
        <v>42342.76</v>
      </c>
    </row>
    <row r="868" spans="1:3" x14ac:dyDescent="0.2">
      <c r="A868" s="173" t="s">
        <v>2217</v>
      </c>
      <c r="B868" s="3" t="s">
        <v>2218</v>
      </c>
      <c r="C868" s="15">
        <v>1848</v>
      </c>
    </row>
    <row r="869" spans="1:3" x14ac:dyDescent="0.2">
      <c r="A869" s="173" t="s">
        <v>2219</v>
      </c>
      <c r="B869" s="3" t="s">
        <v>2220</v>
      </c>
      <c r="C869" s="15">
        <v>3734.6800000000007</v>
      </c>
    </row>
    <row r="870" spans="1:3" x14ac:dyDescent="0.2">
      <c r="A870" s="173" t="s">
        <v>2221</v>
      </c>
      <c r="B870" s="3" t="s">
        <v>2222</v>
      </c>
      <c r="C870" s="15">
        <v>2903.83</v>
      </c>
    </row>
    <row r="871" spans="1:3" x14ac:dyDescent="0.2">
      <c r="A871" s="173" t="s">
        <v>2223</v>
      </c>
      <c r="B871" s="3" t="s">
        <v>2224</v>
      </c>
      <c r="C871" s="15">
        <v>4918.2400000000007</v>
      </c>
    </row>
    <row r="872" spans="1:3" x14ac:dyDescent="0.2">
      <c r="A872" s="173" t="s">
        <v>2225</v>
      </c>
      <c r="B872" s="3" t="s">
        <v>2226</v>
      </c>
      <c r="C872" s="15">
        <v>20564</v>
      </c>
    </row>
    <row r="873" spans="1:3" x14ac:dyDescent="0.2">
      <c r="A873" s="173" t="s">
        <v>2227</v>
      </c>
      <c r="B873" s="3" t="s">
        <v>2228</v>
      </c>
      <c r="C873" s="15">
        <v>2056.4699999999998</v>
      </c>
    </row>
    <row r="874" spans="1:3" x14ac:dyDescent="0.2">
      <c r="A874" s="173" t="s">
        <v>2229</v>
      </c>
      <c r="B874" s="3" t="s">
        <v>2230</v>
      </c>
      <c r="C874" s="15">
        <v>15431.89</v>
      </c>
    </row>
    <row r="875" spans="1:3" x14ac:dyDescent="0.2">
      <c r="A875" s="173" t="s">
        <v>2231</v>
      </c>
      <c r="B875" s="3" t="s">
        <v>2232</v>
      </c>
      <c r="C875" s="15">
        <v>20565.599999999999</v>
      </c>
    </row>
    <row r="876" spans="1:3" x14ac:dyDescent="0.2">
      <c r="A876" s="173" t="s">
        <v>2233</v>
      </c>
      <c r="B876" s="3" t="s">
        <v>2234</v>
      </c>
      <c r="C876" s="15">
        <v>71089.609999999986</v>
      </c>
    </row>
    <row r="877" spans="1:3" x14ac:dyDescent="0.2">
      <c r="A877" s="173" t="s">
        <v>2235</v>
      </c>
      <c r="B877" s="3" t="s">
        <v>2236</v>
      </c>
      <c r="C877" s="15">
        <v>-3132.79</v>
      </c>
    </row>
    <row r="878" spans="1:3" x14ac:dyDescent="0.2">
      <c r="A878" s="173" t="s">
        <v>2237</v>
      </c>
      <c r="B878" s="3" t="s">
        <v>2238</v>
      </c>
      <c r="C878" s="15">
        <v>76896.98</v>
      </c>
    </row>
    <row r="879" spans="1:3" x14ac:dyDescent="0.2">
      <c r="A879" s="173" t="s">
        <v>2239</v>
      </c>
      <c r="B879" s="3" t="s">
        <v>2240</v>
      </c>
      <c r="C879" s="15">
        <v>0</v>
      </c>
    </row>
    <row r="880" spans="1:3" x14ac:dyDescent="0.2">
      <c r="A880" s="173" t="s">
        <v>2241</v>
      </c>
      <c r="B880" s="3" t="s">
        <v>2242</v>
      </c>
      <c r="C880" s="15">
        <v>1558.2</v>
      </c>
    </row>
    <row r="881" spans="1:3" x14ac:dyDescent="0.2">
      <c r="A881" s="173" t="s">
        <v>2243</v>
      </c>
      <c r="B881" s="3" t="s">
        <v>2244</v>
      </c>
      <c r="C881" s="15">
        <v>-10536.99</v>
      </c>
    </row>
    <row r="882" spans="1:3" x14ac:dyDescent="0.2">
      <c r="A882" s="173" t="s">
        <v>2245</v>
      </c>
      <c r="B882" s="3" t="s">
        <v>2246</v>
      </c>
      <c r="C882" s="15">
        <v>3379.2</v>
      </c>
    </row>
    <row r="883" spans="1:3" x14ac:dyDescent="0.2">
      <c r="A883" s="173" t="s">
        <v>2247</v>
      </c>
      <c r="B883" s="3" t="s">
        <v>2248</v>
      </c>
      <c r="C883" s="15">
        <v>10146.49</v>
      </c>
    </row>
    <row r="884" spans="1:3" x14ac:dyDescent="0.2">
      <c r="A884" s="173" t="s">
        <v>2249</v>
      </c>
      <c r="B884" s="3" t="s">
        <v>2250</v>
      </c>
      <c r="C884" s="15">
        <v>2798.4</v>
      </c>
    </row>
    <row r="885" spans="1:3" x14ac:dyDescent="0.2">
      <c r="A885" s="173" t="s">
        <v>2251</v>
      </c>
      <c r="B885" s="3" t="s">
        <v>2252</v>
      </c>
      <c r="C885" s="15">
        <v>3814.3399999999997</v>
      </c>
    </row>
    <row r="886" spans="1:3" x14ac:dyDescent="0.2">
      <c r="A886" s="173" t="s">
        <v>2253</v>
      </c>
      <c r="B886" s="3" t="s">
        <v>2254</v>
      </c>
      <c r="C886" s="15">
        <v>1602.85</v>
      </c>
    </row>
    <row r="887" spans="1:3" x14ac:dyDescent="0.2">
      <c r="A887" s="173" t="s">
        <v>2255</v>
      </c>
      <c r="B887" s="3" t="s">
        <v>2256</v>
      </c>
      <c r="C887" s="15">
        <v>-1605.41</v>
      </c>
    </row>
    <row r="888" spans="1:3" x14ac:dyDescent="0.2">
      <c r="A888" s="173" t="s">
        <v>2257</v>
      </c>
      <c r="B888" s="3" t="s">
        <v>2258</v>
      </c>
      <c r="C888" s="15">
        <v>8462.57</v>
      </c>
    </row>
    <row r="889" spans="1:3" x14ac:dyDescent="0.2">
      <c r="A889" s="173" t="s">
        <v>2259</v>
      </c>
      <c r="B889" s="3" t="s">
        <v>2260</v>
      </c>
      <c r="C889" s="15">
        <v>46717.369999999995</v>
      </c>
    </row>
    <row r="890" spans="1:3" x14ac:dyDescent="0.2">
      <c r="A890" s="173" t="s">
        <v>2261</v>
      </c>
      <c r="B890" s="3" t="s">
        <v>2262</v>
      </c>
      <c r="C890" s="15">
        <v>26295.670000000002</v>
      </c>
    </row>
    <row r="891" spans="1:3" x14ac:dyDescent="0.2">
      <c r="A891" s="173" t="s">
        <v>2263</v>
      </c>
      <c r="B891" s="3" t="s">
        <v>2264</v>
      </c>
      <c r="C891" s="15">
        <v>4761.55</v>
      </c>
    </row>
    <row r="892" spans="1:3" x14ac:dyDescent="0.2">
      <c r="A892" s="173" t="s">
        <v>2265</v>
      </c>
      <c r="B892" s="3" t="s">
        <v>2266</v>
      </c>
      <c r="C892" s="15">
        <v>2247.1999999999998</v>
      </c>
    </row>
    <row r="893" spans="1:3" x14ac:dyDescent="0.2">
      <c r="A893" s="173" t="s">
        <v>2267</v>
      </c>
      <c r="B893" s="3" t="s">
        <v>2268</v>
      </c>
      <c r="C893" s="15">
        <v>24390.839999999997</v>
      </c>
    </row>
    <row r="894" spans="1:3" x14ac:dyDescent="0.2">
      <c r="A894" s="173" t="s">
        <v>2269</v>
      </c>
      <c r="B894" s="3" t="s">
        <v>2270</v>
      </c>
      <c r="C894" s="15">
        <v>116133.6</v>
      </c>
    </row>
    <row r="895" spans="1:3" x14ac:dyDescent="0.2">
      <c r="A895" s="173" t="s">
        <v>2271</v>
      </c>
      <c r="B895" s="3" t="s">
        <v>2272</v>
      </c>
      <c r="C895" s="15">
        <v>51344.390000000007</v>
      </c>
    </row>
    <row r="896" spans="1:3" x14ac:dyDescent="0.2">
      <c r="A896" s="173" t="s">
        <v>2273</v>
      </c>
      <c r="B896" s="3" t="s">
        <v>2274</v>
      </c>
      <c r="C896" s="15">
        <v>16032.5</v>
      </c>
    </row>
    <row r="897" spans="1:3" x14ac:dyDescent="0.2">
      <c r="A897" s="173" t="s">
        <v>2275</v>
      </c>
      <c r="B897" s="3" t="s">
        <v>2276</v>
      </c>
      <c r="C897" s="15">
        <v>0</v>
      </c>
    </row>
    <row r="898" spans="1:3" x14ac:dyDescent="0.2">
      <c r="A898" s="173" t="s">
        <v>2277</v>
      </c>
      <c r="B898" s="3" t="s">
        <v>2278</v>
      </c>
      <c r="C898" s="15">
        <v>2238.7199999999998</v>
      </c>
    </row>
    <row r="899" spans="1:3" x14ac:dyDescent="0.2">
      <c r="A899" s="173" t="s">
        <v>2279</v>
      </c>
      <c r="B899" s="3" t="s">
        <v>2280</v>
      </c>
      <c r="C899" s="15">
        <v>126637.59000000001</v>
      </c>
    </row>
    <row r="900" spans="1:3" x14ac:dyDescent="0.2">
      <c r="A900" s="173" t="s">
        <v>2281</v>
      </c>
      <c r="B900" s="3" t="s">
        <v>2282</v>
      </c>
      <c r="C900" s="15">
        <v>34221.660000000003</v>
      </c>
    </row>
    <row r="901" spans="1:3" x14ac:dyDescent="0.2">
      <c r="A901" s="173" t="s">
        <v>2283</v>
      </c>
      <c r="B901" s="3" t="s">
        <v>2284</v>
      </c>
      <c r="C901" s="15">
        <v>44885.909999999982</v>
      </c>
    </row>
    <row r="902" spans="1:3" x14ac:dyDescent="0.2">
      <c r="A902" s="173" t="s">
        <v>2285</v>
      </c>
      <c r="B902" s="3" t="s">
        <v>2286</v>
      </c>
      <c r="C902" s="15">
        <v>15900</v>
      </c>
    </row>
    <row r="903" spans="1:3" x14ac:dyDescent="0.2">
      <c r="A903" s="173" t="s">
        <v>2287</v>
      </c>
      <c r="B903" s="3" t="s">
        <v>2288</v>
      </c>
      <c r="C903" s="15">
        <v>76736.340000000011</v>
      </c>
    </row>
    <row r="904" spans="1:3" x14ac:dyDescent="0.2">
      <c r="A904" s="173" t="s">
        <v>2289</v>
      </c>
      <c r="B904" s="3" t="s">
        <v>2290</v>
      </c>
      <c r="C904" s="15">
        <v>0</v>
      </c>
    </row>
    <row r="905" spans="1:3" x14ac:dyDescent="0.2">
      <c r="A905" s="173" t="s">
        <v>2291</v>
      </c>
      <c r="B905" s="3" t="s">
        <v>2292</v>
      </c>
      <c r="C905" s="15">
        <v>53356.95</v>
      </c>
    </row>
    <row r="906" spans="1:3" x14ac:dyDescent="0.2">
      <c r="A906" s="173" t="s">
        <v>2293</v>
      </c>
      <c r="B906" s="3" t="s">
        <v>2294</v>
      </c>
      <c r="C906" s="15">
        <v>100112.76</v>
      </c>
    </row>
    <row r="907" spans="1:3" x14ac:dyDescent="0.2">
      <c r="A907" s="173" t="s">
        <v>2295</v>
      </c>
      <c r="B907" s="3" t="s">
        <v>2296</v>
      </c>
      <c r="C907" s="15">
        <v>0</v>
      </c>
    </row>
    <row r="908" spans="1:3" x14ac:dyDescent="0.2">
      <c r="A908" s="173" t="s">
        <v>2297</v>
      </c>
      <c r="B908" s="3" t="s">
        <v>2298</v>
      </c>
      <c r="C908" s="15">
        <v>5841.08</v>
      </c>
    </row>
    <row r="909" spans="1:3" x14ac:dyDescent="0.2">
      <c r="A909" s="173" t="s">
        <v>2299</v>
      </c>
      <c r="B909" s="3" t="s">
        <v>2300</v>
      </c>
      <c r="C909" s="15">
        <v>49479.21</v>
      </c>
    </row>
    <row r="910" spans="1:3" x14ac:dyDescent="0.2">
      <c r="A910" s="173" t="s">
        <v>2301</v>
      </c>
      <c r="B910" s="3" t="s">
        <v>2302</v>
      </c>
      <c r="C910" s="15">
        <v>306139.13</v>
      </c>
    </row>
    <row r="911" spans="1:3" x14ac:dyDescent="0.2">
      <c r="A911" s="173" t="s">
        <v>2303</v>
      </c>
      <c r="B911" s="3" t="s">
        <v>2304</v>
      </c>
      <c r="C911" s="15">
        <v>293174.94</v>
      </c>
    </row>
    <row r="912" spans="1:3" x14ac:dyDescent="0.2">
      <c r="A912" s="173" t="s">
        <v>2305</v>
      </c>
      <c r="B912" s="3" t="s">
        <v>2306</v>
      </c>
      <c r="C912" s="15">
        <v>3033.72</v>
      </c>
    </row>
    <row r="913" spans="1:3" x14ac:dyDescent="0.2">
      <c r="A913" s="173" t="s">
        <v>2307</v>
      </c>
      <c r="B913" s="3" t="s">
        <v>2308</v>
      </c>
      <c r="C913" s="15">
        <v>2037741.2000000002</v>
      </c>
    </row>
    <row r="914" spans="1:3" x14ac:dyDescent="0.2">
      <c r="A914" s="173" t="s">
        <v>2309</v>
      </c>
      <c r="B914" s="3" t="s">
        <v>2310</v>
      </c>
      <c r="C914" s="15">
        <v>111510.74000000002</v>
      </c>
    </row>
    <row r="915" spans="1:3" x14ac:dyDescent="0.2">
      <c r="A915" s="173" t="s">
        <v>2311</v>
      </c>
      <c r="B915" s="3" t="s">
        <v>2312</v>
      </c>
      <c r="C915" s="15">
        <v>342822.71000000008</v>
      </c>
    </row>
    <row r="916" spans="1:3" x14ac:dyDescent="0.2">
      <c r="A916" s="173" t="s">
        <v>2313</v>
      </c>
      <c r="B916" s="3" t="s">
        <v>2314</v>
      </c>
      <c r="C916" s="15">
        <v>290987.28999999998</v>
      </c>
    </row>
    <row r="917" spans="1:3" x14ac:dyDescent="0.2">
      <c r="A917" s="173" t="s">
        <v>2315</v>
      </c>
      <c r="B917" s="3" t="s">
        <v>2316</v>
      </c>
      <c r="C917" s="15">
        <v>493353.53</v>
      </c>
    </row>
    <row r="918" spans="1:3" x14ac:dyDescent="0.2">
      <c r="A918" s="173" t="s">
        <v>2317</v>
      </c>
      <c r="B918" s="3" t="s">
        <v>2318</v>
      </c>
      <c r="C918" s="15">
        <v>32426.420000000002</v>
      </c>
    </row>
    <row r="919" spans="1:3" x14ac:dyDescent="0.2">
      <c r="A919" s="173" t="s">
        <v>2319</v>
      </c>
      <c r="B919" s="3" t="s">
        <v>2320</v>
      </c>
      <c r="C919" s="15">
        <v>99654.400000000038</v>
      </c>
    </row>
    <row r="920" spans="1:3" x14ac:dyDescent="0.2">
      <c r="A920" s="173" t="s">
        <v>2321</v>
      </c>
      <c r="B920" s="3" t="s">
        <v>2322</v>
      </c>
      <c r="C920" s="15">
        <v>28684.420000000002</v>
      </c>
    </row>
    <row r="921" spans="1:3" x14ac:dyDescent="0.2">
      <c r="A921" s="173" t="s">
        <v>2323</v>
      </c>
      <c r="B921" s="3" t="s">
        <v>2324</v>
      </c>
      <c r="C921" s="15">
        <v>1950468.5699999994</v>
      </c>
    </row>
    <row r="922" spans="1:3" x14ac:dyDescent="0.2">
      <c r="A922" s="173" t="s">
        <v>2325</v>
      </c>
      <c r="B922" s="3" t="s">
        <v>2326</v>
      </c>
      <c r="C922" s="15">
        <v>52264.359999999993</v>
      </c>
    </row>
    <row r="923" spans="1:3" x14ac:dyDescent="0.2">
      <c r="A923" s="173" t="s">
        <v>2327</v>
      </c>
      <c r="B923" s="3" t="s">
        <v>2328</v>
      </c>
      <c r="C923" s="15">
        <v>64441.780000000013</v>
      </c>
    </row>
    <row r="924" spans="1:3" x14ac:dyDescent="0.2">
      <c r="A924" s="173" t="s">
        <v>2329</v>
      </c>
      <c r="B924" s="3" t="s">
        <v>2330</v>
      </c>
      <c r="C924" s="15">
        <v>256888.98999999996</v>
      </c>
    </row>
    <row r="925" spans="1:3" x14ac:dyDescent="0.2">
      <c r="A925" s="173" t="s">
        <v>2331</v>
      </c>
      <c r="B925" s="3" t="s">
        <v>2332</v>
      </c>
      <c r="C925" s="15">
        <v>104577.08999999994</v>
      </c>
    </row>
    <row r="926" spans="1:3" x14ac:dyDescent="0.2">
      <c r="A926" s="173" t="s">
        <v>2333</v>
      </c>
      <c r="B926" s="3" t="s">
        <v>2334</v>
      </c>
      <c r="C926" s="15">
        <v>16000</v>
      </c>
    </row>
    <row r="927" spans="1:3" x14ac:dyDescent="0.2">
      <c r="A927" s="173" t="s">
        <v>2335</v>
      </c>
      <c r="B927" s="3" t="s">
        <v>2336</v>
      </c>
      <c r="C927" s="15">
        <v>575052.77000000014</v>
      </c>
    </row>
    <row r="928" spans="1:3" x14ac:dyDescent="0.2">
      <c r="A928" s="173" t="s">
        <v>2337</v>
      </c>
      <c r="B928" s="3" t="s">
        <v>2338</v>
      </c>
      <c r="C928" s="15">
        <v>9395.5499999999993</v>
      </c>
    </row>
    <row r="929" spans="1:3" x14ac:dyDescent="0.2">
      <c r="A929" s="173" t="s">
        <v>2339</v>
      </c>
      <c r="B929" s="3" t="s">
        <v>2340</v>
      </c>
      <c r="C929" s="15">
        <v>2168712.4299999992</v>
      </c>
    </row>
    <row r="930" spans="1:3" x14ac:dyDescent="0.2">
      <c r="A930" s="173" t="s">
        <v>2341</v>
      </c>
      <c r="B930" s="3" t="s">
        <v>2342</v>
      </c>
      <c r="C930" s="15">
        <v>2397255.6300000022</v>
      </c>
    </row>
    <row r="931" spans="1:3" x14ac:dyDescent="0.2">
      <c r="A931" s="173" t="s">
        <v>2343</v>
      </c>
      <c r="B931" s="3" t="s">
        <v>2344</v>
      </c>
      <c r="C931" s="15">
        <v>167764.29</v>
      </c>
    </row>
    <row r="932" spans="1:3" x14ac:dyDescent="0.2">
      <c r="A932" s="173" t="s">
        <v>2345</v>
      </c>
      <c r="B932" s="3" t="s">
        <v>2346</v>
      </c>
      <c r="C932" s="15">
        <v>-3.0000000000427463E-2</v>
      </c>
    </row>
    <row r="933" spans="1:3" x14ac:dyDescent="0.2">
      <c r="A933" s="173" t="s">
        <v>2347</v>
      </c>
      <c r="B933" s="3" t="s">
        <v>2348</v>
      </c>
      <c r="C933" s="15">
        <v>138163.24</v>
      </c>
    </row>
    <row r="934" spans="1:3" x14ac:dyDescent="0.2">
      <c r="A934" s="173" t="s">
        <v>2349</v>
      </c>
      <c r="B934" s="3" t="s">
        <v>2350</v>
      </c>
      <c r="C934" s="15">
        <v>188296.93999999992</v>
      </c>
    </row>
    <row r="935" spans="1:3" x14ac:dyDescent="0.2">
      <c r="A935" s="173" t="s">
        <v>2351</v>
      </c>
      <c r="B935" s="3" t="s">
        <v>2352</v>
      </c>
      <c r="C935" s="15">
        <v>18.899999999999999</v>
      </c>
    </row>
    <row r="936" spans="1:3" x14ac:dyDescent="0.2">
      <c r="A936" s="173" t="s">
        <v>2353</v>
      </c>
      <c r="B936" s="3" t="s">
        <v>2354</v>
      </c>
      <c r="C936" s="15">
        <v>-223521.72999999998</v>
      </c>
    </row>
    <row r="937" spans="1:3" x14ac:dyDescent="0.2">
      <c r="A937" s="173" t="s">
        <v>2355</v>
      </c>
      <c r="B937" s="3" t="s">
        <v>2356</v>
      </c>
      <c r="C937" s="15">
        <v>2287030.7600000007</v>
      </c>
    </row>
    <row r="938" spans="1:3" x14ac:dyDescent="0.2">
      <c r="A938" s="173" t="s">
        <v>2357</v>
      </c>
      <c r="B938" s="3" t="s">
        <v>2358</v>
      </c>
      <c r="C938" s="15">
        <v>4700751.4600000018</v>
      </c>
    </row>
    <row r="939" spans="1:3" x14ac:dyDescent="0.2">
      <c r="A939" s="173" t="s">
        <v>2359</v>
      </c>
      <c r="B939" s="3" t="s">
        <v>2360</v>
      </c>
      <c r="C939" s="15">
        <v>4295008.7300000014</v>
      </c>
    </row>
    <row r="940" spans="1:3" x14ac:dyDescent="0.2">
      <c r="A940" s="173" t="s">
        <v>2361</v>
      </c>
      <c r="B940" s="3" t="s">
        <v>2362</v>
      </c>
      <c r="C940" s="15">
        <v>30252.969999999994</v>
      </c>
    </row>
    <row r="941" spans="1:3" x14ac:dyDescent="0.2">
      <c r="A941" s="173" t="s">
        <v>2363</v>
      </c>
      <c r="B941" s="3" t="s">
        <v>2364</v>
      </c>
      <c r="C941" s="15">
        <v>13856.649999999989</v>
      </c>
    </row>
    <row r="942" spans="1:3" x14ac:dyDescent="0.2">
      <c r="A942" s="173" t="s">
        <v>2365</v>
      </c>
      <c r="B942" s="3" t="s">
        <v>2366</v>
      </c>
      <c r="C942" s="15">
        <v>1714000.7299999979</v>
      </c>
    </row>
    <row r="943" spans="1:3" x14ac:dyDescent="0.2">
      <c r="A943" s="173" t="s">
        <v>2367</v>
      </c>
      <c r="B943" s="3" t="s">
        <v>2368</v>
      </c>
      <c r="C943" s="15">
        <v>9046.2099999999882</v>
      </c>
    </row>
    <row r="944" spans="1:3" x14ac:dyDescent="0.2">
      <c r="A944" s="173" t="s">
        <v>2369</v>
      </c>
      <c r="B944" s="3" t="s">
        <v>2370</v>
      </c>
      <c r="C944" s="15">
        <v>1399660.0400000003</v>
      </c>
    </row>
    <row r="945" spans="1:3" x14ac:dyDescent="0.2">
      <c r="A945" s="173" t="s">
        <v>2371</v>
      </c>
      <c r="B945" s="3" t="s">
        <v>2372</v>
      </c>
      <c r="C945" s="15">
        <v>5849099.1100000013</v>
      </c>
    </row>
    <row r="946" spans="1:3" x14ac:dyDescent="0.2">
      <c r="A946" s="173" t="s">
        <v>2373</v>
      </c>
      <c r="B946" s="3" t="s">
        <v>2374</v>
      </c>
      <c r="C946" s="15">
        <v>160801.66999999995</v>
      </c>
    </row>
    <row r="947" spans="1:3" x14ac:dyDescent="0.2">
      <c r="A947" s="173" t="s">
        <v>2375</v>
      </c>
      <c r="B947" s="3" t="s">
        <v>2376</v>
      </c>
      <c r="C947" s="15">
        <v>654266.84</v>
      </c>
    </row>
    <row r="948" spans="1:3" x14ac:dyDescent="0.2">
      <c r="A948" s="173" t="s">
        <v>2377</v>
      </c>
      <c r="B948" s="3" t="s">
        <v>2378</v>
      </c>
      <c r="C948" s="15">
        <v>1210261.7299999991</v>
      </c>
    </row>
    <row r="949" spans="1:3" x14ac:dyDescent="0.2">
      <c r="A949" s="173" t="s">
        <v>2379</v>
      </c>
      <c r="B949" s="3" t="s">
        <v>2380</v>
      </c>
      <c r="C949" s="15">
        <v>618675.6999999996</v>
      </c>
    </row>
    <row r="950" spans="1:3" x14ac:dyDescent="0.2">
      <c r="A950" s="173" t="s">
        <v>2381</v>
      </c>
      <c r="B950" s="3" t="s">
        <v>2382</v>
      </c>
      <c r="C950" s="15">
        <v>1346140.3100000003</v>
      </c>
    </row>
    <row r="951" spans="1:3" x14ac:dyDescent="0.2">
      <c r="A951" s="173" t="s">
        <v>2383</v>
      </c>
      <c r="B951" s="3" t="s">
        <v>2384</v>
      </c>
      <c r="C951" s="15">
        <v>1114655.719999999</v>
      </c>
    </row>
    <row r="952" spans="1:3" x14ac:dyDescent="0.2">
      <c r="A952" s="173" t="s">
        <v>2385</v>
      </c>
      <c r="B952" s="3" t="s">
        <v>2386</v>
      </c>
      <c r="C952" s="15">
        <v>160399.83000000002</v>
      </c>
    </row>
    <row r="953" spans="1:3" x14ac:dyDescent="0.2">
      <c r="A953" s="173" t="s">
        <v>2387</v>
      </c>
      <c r="B953" s="3" t="s">
        <v>2388</v>
      </c>
      <c r="C953" s="15">
        <v>148188.56000000014</v>
      </c>
    </row>
    <row r="954" spans="1:3" x14ac:dyDescent="0.2">
      <c r="A954" s="173" t="s">
        <v>2389</v>
      </c>
      <c r="B954" s="3" t="s">
        <v>2390</v>
      </c>
      <c r="C954" s="15">
        <v>805449.53999999957</v>
      </c>
    </row>
    <row r="955" spans="1:3" x14ac:dyDescent="0.2">
      <c r="A955" s="173" t="s">
        <v>2391</v>
      </c>
      <c r="B955" s="3" t="s">
        <v>2392</v>
      </c>
      <c r="C955" s="15">
        <v>4138924.71</v>
      </c>
    </row>
    <row r="956" spans="1:3" x14ac:dyDescent="0.2">
      <c r="A956" s="173" t="s">
        <v>2393</v>
      </c>
      <c r="B956" s="3" t="s">
        <v>2394</v>
      </c>
      <c r="C956" s="15">
        <v>661117.88</v>
      </c>
    </row>
    <row r="957" spans="1:3" x14ac:dyDescent="0.2">
      <c r="A957" s="173" t="s">
        <v>2395</v>
      </c>
      <c r="B957" s="3" t="s">
        <v>2396</v>
      </c>
      <c r="C957" s="15">
        <v>594806.96000000043</v>
      </c>
    </row>
    <row r="958" spans="1:3" x14ac:dyDescent="0.2">
      <c r="A958" s="173" t="s">
        <v>2397</v>
      </c>
      <c r="B958" s="3" t="s">
        <v>2398</v>
      </c>
      <c r="C958" s="15">
        <v>39920.92</v>
      </c>
    </row>
    <row r="959" spans="1:3" x14ac:dyDescent="0.2">
      <c r="A959" s="173" t="s">
        <v>2399</v>
      </c>
      <c r="B959" s="3" t="s">
        <v>2400</v>
      </c>
      <c r="C959" s="15">
        <v>280723.93999999971</v>
      </c>
    </row>
    <row r="960" spans="1:3" x14ac:dyDescent="0.2">
      <c r="A960" s="173" t="s">
        <v>2401</v>
      </c>
      <c r="B960" s="3" t="s">
        <v>2402</v>
      </c>
      <c r="C960" s="15">
        <v>57573.860000000022</v>
      </c>
    </row>
    <row r="961" spans="1:3" x14ac:dyDescent="0.2">
      <c r="A961" s="173" t="s">
        <v>2403</v>
      </c>
      <c r="B961" s="3" t="s">
        <v>2404</v>
      </c>
      <c r="C961" s="15">
        <v>58265.98000000001</v>
      </c>
    </row>
    <row r="962" spans="1:3" x14ac:dyDescent="0.2">
      <c r="A962" s="173" t="s">
        <v>2405</v>
      </c>
      <c r="B962" s="3" t="s">
        <v>2406</v>
      </c>
      <c r="C962" s="15">
        <v>3304156.9900000012</v>
      </c>
    </row>
    <row r="963" spans="1:3" x14ac:dyDescent="0.2">
      <c r="A963" s="173" t="s">
        <v>2407</v>
      </c>
      <c r="B963" s="3" t="s">
        <v>2408</v>
      </c>
      <c r="C963" s="15">
        <v>2931054.790000001</v>
      </c>
    </row>
    <row r="964" spans="1:3" x14ac:dyDescent="0.2">
      <c r="A964" s="173" t="s">
        <v>2409</v>
      </c>
      <c r="B964" s="3" t="s">
        <v>2410</v>
      </c>
      <c r="C964" s="15">
        <v>597364.43999999994</v>
      </c>
    </row>
    <row r="965" spans="1:3" x14ac:dyDescent="0.2">
      <c r="A965" s="173" t="s">
        <v>2411</v>
      </c>
      <c r="B965" s="3" t="s">
        <v>2412</v>
      </c>
      <c r="C965" s="15">
        <v>401891.82000000007</v>
      </c>
    </row>
    <row r="966" spans="1:3" x14ac:dyDescent="0.2">
      <c r="A966" s="173" t="s">
        <v>2413</v>
      </c>
      <c r="B966" s="3" t="s">
        <v>2414</v>
      </c>
      <c r="C966" s="15">
        <v>1373878.2999999989</v>
      </c>
    </row>
    <row r="967" spans="1:3" x14ac:dyDescent="0.2">
      <c r="A967" s="173" t="s">
        <v>2415</v>
      </c>
      <c r="B967" s="3" t="s">
        <v>2416</v>
      </c>
      <c r="C967" s="15">
        <v>1232970.1100000001</v>
      </c>
    </row>
    <row r="968" spans="1:3" x14ac:dyDescent="0.2">
      <c r="A968" s="173" t="s">
        <v>2417</v>
      </c>
      <c r="B968" s="3" t="s">
        <v>2418</v>
      </c>
      <c r="C968" s="15">
        <v>433814.34000000008</v>
      </c>
    </row>
    <row r="969" spans="1:3" x14ac:dyDescent="0.2">
      <c r="A969" s="173" t="s">
        <v>2419</v>
      </c>
      <c r="B969" s="3" t="s">
        <v>2420</v>
      </c>
      <c r="C969" s="15">
        <v>761922.32999999961</v>
      </c>
    </row>
    <row r="970" spans="1:3" x14ac:dyDescent="0.2">
      <c r="A970" s="173" t="s">
        <v>2421</v>
      </c>
      <c r="B970" s="3" t="s">
        <v>2422</v>
      </c>
      <c r="C970" s="15">
        <v>544438</v>
      </c>
    </row>
    <row r="971" spans="1:3" x14ac:dyDescent="0.2">
      <c r="A971" s="173" t="s">
        <v>2423</v>
      </c>
      <c r="B971" s="3" t="s">
        <v>2424</v>
      </c>
      <c r="C971" s="15">
        <v>398775.57999999984</v>
      </c>
    </row>
    <row r="972" spans="1:3" x14ac:dyDescent="0.2">
      <c r="A972" s="173" t="s">
        <v>2425</v>
      </c>
      <c r="B972" s="3" t="s">
        <v>2426</v>
      </c>
      <c r="C972" s="15">
        <v>3683440.5400000014</v>
      </c>
    </row>
    <row r="973" spans="1:3" x14ac:dyDescent="0.2">
      <c r="A973" s="173" t="s">
        <v>2427</v>
      </c>
      <c r="B973" s="3" t="s">
        <v>2428</v>
      </c>
      <c r="C973" s="15">
        <v>1354640.0099999991</v>
      </c>
    </row>
    <row r="974" spans="1:3" x14ac:dyDescent="0.2">
      <c r="A974" s="173" t="s">
        <v>2429</v>
      </c>
      <c r="B974" s="3" t="s">
        <v>2430</v>
      </c>
      <c r="C974" s="15">
        <v>52775.149999999994</v>
      </c>
    </row>
    <row r="975" spans="1:3" x14ac:dyDescent="0.2">
      <c r="A975" s="173" t="s">
        <v>2431</v>
      </c>
      <c r="B975" s="3" t="s">
        <v>2432</v>
      </c>
      <c r="C975" s="15">
        <v>638613.0499999997</v>
      </c>
    </row>
    <row r="976" spans="1:3" x14ac:dyDescent="0.2">
      <c r="A976" s="173" t="s">
        <v>2433</v>
      </c>
      <c r="B976" s="3" t="s">
        <v>2434</v>
      </c>
      <c r="C976" s="15">
        <v>183657.32000000021</v>
      </c>
    </row>
    <row r="977" spans="1:3" x14ac:dyDescent="0.2">
      <c r="A977" s="173" t="s">
        <v>2435</v>
      </c>
      <c r="B977" s="3" t="s">
        <v>2436</v>
      </c>
      <c r="C977" s="15">
        <v>1089757.5199999996</v>
      </c>
    </row>
    <row r="978" spans="1:3" x14ac:dyDescent="0.2">
      <c r="A978" s="173" t="s">
        <v>2437</v>
      </c>
      <c r="B978" s="3" t="s">
        <v>2438</v>
      </c>
      <c r="C978" s="15">
        <v>4090595.04</v>
      </c>
    </row>
    <row r="979" spans="1:3" x14ac:dyDescent="0.2">
      <c r="A979" s="173" t="s">
        <v>2439</v>
      </c>
      <c r="B979" s="3" t="s">
        <v>2440</v>
      </c>
      <c r="C979" s="15">
        <v>586203.53999999946</v>
      </c>
    </row>
    <row r="980" spans="1:3" x14ac:dyDescent="0.2">
      <c r="A980" s="173" t="s">
        <v>2441</v>
      </c>
      <c r="B980" s="3" t="s">
        <v>2442</v>
      </c>
      <c r="C980" s="15">
        <v>8093242.3799999999</v>
      </c>
    </row>
    <row r="981" spans="1:3" x14ac:dyDescent="0.2">
      <c r="A981" s="173" t="s">
        <v>2443</v>
      </c>
      <c r="B981" s="3" t="s">
        <v>2444</v>
      </c>
      <c r="C981" s="15">
        <v>23827192.99999997</v>
      </c>
    </row>
    <row r="982" spans="1:3" x14ac:dyDescent="0.2">
      <c r="A982" s="173" t="s">
        <v>2445</v>
      </c>
      <c r="B982" s="3" t="s">
        <v>2446</v>
      </c>
      <c r="C982" s="15">
        <v>208237.22</v>
      </c>
    </row>
    <row r="983" spans="1:3" x14ac:dyDescent="0.2">
      <c r="A983" s="173" t="s">
        <v>2447</v>
      </c>
      <c r="B983" s="3" t="s">
        <v>2448</v>
      </c>
      <c r="C983" s="15">
        <v>163838.52999999997</v>
      </c>
    </row>
    <row r="984" spans="1:3" x14ac:dyDescent="0.2">
      <c r="A984" s="173" t="s">
        <v>2449</v>
      </c>
      <c r="B984" s="3" t="s">
        <v>2450</v>
      </c>
      <c r="C984" s="15">
        <v>18741.490000000002</v>
      </c>
    </row>
    <row r="985" spans="1:3" x14ac:dyDescent="0.2">
      <c r="A985" s="173" t="s">
        <v>2451</v>
      </c>
      <c r="B985" s="3" t="s">
        <v>2452</v>
      </c>
      <c r="C985" s="15">
        <v>132584.65</v>
      </c>
    </row>
    <row r="986" spans="1:3" x14ac:dyDescent="0.2">
      <c r="A986" s="173" t="s">
        <v>2453</v>
      </c>
      <c r="B986" s="3" t="s">
        <v>2454</v>
      </c>
      <c r="C986" s="15">
        <v>217629.39</v>
      </c>
    </row>
    <row r="987" spans="1:3" x14ac:dyDescent="0.2">
      <c r="A987" s="173" t="s">
        <v>2455</v>
      </c>
      <c r="B987" s="3" t="s">
        <v>2456</v>
      </c>
      <c r="C987" s="15">
        <v>12811.970000000003</v>
      </c>
    </row>
    <row r="988" spans="1:3" x14ac:dyDescent="0.2">
      <c r="A988" s="173" t="s">
        <v>2457</v>
      </c>
      <c r="B988" s="3" t="s">
        <v>2458</v>
      </c>
      <c r="C988" s="15">
        <v>1372.8</v>
      </c>
    </row>
    <row r="989" spans="1:3" x14ac:dyDescent="0.2">
      <c r="A989" s="173" t="s">
        <v>2459</v>
      </c>
      <c r="B989" s="3" t="s">
        <v>2460</v>
      </c>
      <c r="C989" s="15">
        <v>-4.5474735088646412E-13</v>
      </c>
    </row>
    <row r="990" spans="1:3" x14ac:dyDescent="0.2">
      <c r="A990" s="173" t="s">
        <v>2461</v>
      </c>
      <c r="B990" s="3" t="s">
        <v>2462</v>
      </c>
      <c r="C990" s="15">
        <v>6830.6900000000014</v>
      </c>
    </row>
    <row r="991" spans="1:3" x14ac:dyDescent="0.2">
      <c r="A991" s="173" t="s">
        <v>2463</v>
      </c>
      <c r="B991" s="3" t="s">
        <v>2464</v>
      </c>
      <c r="C991" s="15">
        <v>53394.840000000113</v>
      </c>
    </row>
    <row r="992" spans="1:3" x14ac:dyDescent="0.2">
      <c r="A992" s="173" t="s">
        <v>2465</v>
      </c>
      <c r="B992" s="3" t="s">
        <v>2466</v>
      </c>
      <c r="C992" s="15">
        <v>82107.410000000018</v>
      </c>
    </row>
    <row r="993" spans="1:3" x14ac:dyDescent="0.2">
      <c r="A993" s="173" t="s">
        <v>2467</v>
      </c>
      <c r="B993" s="3" t="s">
        <v>2468</v>
      </c>
      <c r="C993" s="15">
        <v>169279.40999999986</v>
      </c>
    </row>
    <row r="994" spans="1:3" x14ac:dyDescent="0.2">
      <c r="A994" s="173" t="s">
        <v>2469</v>
      </c>
      <c r="B994" s="3" t="s">
        <v>2470</v>
      </c>
      <c r="C994" s="15">
        <v>1399939.1699999983</v>
      </c>
    </row>
    <row r="995" spans="1:3" x14ac:dyDescent="0.2">
      <c r="A995" s="173" t="s">
        <v>2471</v>
      </c>
      <c r="B995" s="3" t="s">
        <v>2472</v>
      </c>
      <c r="C995" s="15">
        <v>43015.42</v>
      </c>
    </row>
    <row r="996" spans="1:3" x14ac:dyDescent="0.2">
      <c r="A996" s="173" t="s">
        <v>2473</v>
      </c>
      <c r="B996" s="3" t="s">
        <v>2474</v>
      </c>
      <c r="C996" s="15">
        <v>2631.2900000000009</v>
      </c>
    </row>
    <row r="997" spans="1:3" x14ac:dyDescent="0.2">
      <c r="A997" s="173" t="s">
        <v>2475</v>
      </c>
      <c r="B997" s="3" t="s">
        <v>2476</v>
      </c>
      <c r="C997" s="15">
        <v>0.14000000000000001</v>
      </c>
    </row>
    <row r="998" spans="1:3" x14ac:dyDescent="0.2">
      <c r="A998" s="173" t="s">
        <v>2477</v>
      </c>
      <c r="B998" s="3" t="s">
        <v>2478</v>
      </c>
      <c r="C998" s="15">
        <v>-1.3500311979441904E-12</v>
      </c>
    </row>
    <row r="999" spans="1:3" x14ac:dyDescent="0.2">
      <c r="A999" s="173" t="s">
        <v>2479</v>
      </c>
      <c r="B999" s="3" t="s">
        <v>2480</v>
      </c>
      <c r="C999" s="15">
        <v>1062.4099999999999</v>
      </c>
    </row>
    <row r="1000" spans="1:3" x14ac:dyDescent="0.2">
      <c r="A1000" s="173" t="s">
        <v>2481</v>
      </c>
      <c r="B1000" s="3" t="s">
        <v>2482</v>
      </c>
      <c r="C1000" s="15">
        <v>-11974.420000000002</v>
      </c>
    </row>
    <row r="1001" spans="1:3" x14ac:dyDescent="0.2">
      <c r="A1001" s="173" t="s">
        <v>2483</v>
      </c>
      <c r="B1001" s="3" t="s">
        <v>2484</v>
      </c>
      <c r="C1001" s="15">
        <v>16136.340000000002</v>
      </c>
    </row>
    <row r="1002" spans="1:3" x14ac:dyDescent="0.2">
      <c r="A1002" s="173" t="s">
        <v>2485</v>
      </c>
      <c r="B1002" s="3" t="s">
        <v>2486</v>
      </c>
      <c r="C1002" s="15">
        <v>525476.11</v>
      </c>
    </row>
    <row r="1003" spans="1:3" x14ac:dyDescent="0.2">
      <c r="A1003" s="173" t="s">
        <v>2487</v>
      </c>
      <c r="B1003" s="3" t="s">
        <v>2488</v>
      </c>
      <c r="C1003" s="15">
        <v>0</v>
      </c>
    </row>
    <row r="1004" spans="1:3" x14ac:dyDescent="0.2">
      <c r="A1004" s="173" t="s">
        <v>2489</v>
      </c>
      <c r="B1004" s="3" t="s">
        <v>2490</v>
      </c>
      <c r="C1004" s="15">
        <v>297614.18999999983</v>
      </c>
    </row>
    <row r="1005" spans="1:3" x14ac:dyDescent="0.2">
      <c r="A1005" s="173" t="s">
        <v>2491</v>
      </c>
      <c r="B1005" s="3" t="s">
        <v>2492</v>
      </c>
      <c r="C1005" s="15">
        <v>22490.850000000002</v>
      </c>
    </row>
    <row r="1006" spans="1:3" x14ac:dyDescent="0.2">
      <c r="A1006" s="173" t="s">
        <v>2493</v>
      </c>
      <c r="B1006" s="3" t="s">
        <v>2494</v>
      </c>
      <c r="C1006" s="15">
        <v>-12082.280000000002</v>
      </c>
    </row>
    <row r="1007" spans="1:3" x14ac:dyDescent="0.2">
      <c r="A1007" s="173" t="s">
        <v>2495</v>
      </c>
      <c r="B1007" s="3" t="s">
        <v>2496</v>
      </c>
      <c r="C1007" s="15">
        <v>160477.23999999996</v>
      </c>
    </row>
    <row r="1008" spans="1:3" x14ac:dyDescent="0.2">
      <c r="A1008" s="173" t="s">
        <v>2497</v>
      </c>
      <c r="B1008" s="3" t="s">
        <v>2498</v>
      </c>
      <c r="C1008" s="15">
        <v>6929.380000000001</v>
      </c>
    </row>
    <row r="1009" spans="1:3" x14ac:dyDescent="0.2">
      <c r="A1009" s="173" t="s">
        <v>2499</v>
      </c>
      <c r="B1009" s="3" t="s">
        <v>2500</v>
      </c>
      <c r="C1009" s="15">
        <v>-188472.54999999996</v>
      </c>
    </row>
    <row r="1010" spans="1:3" x14ac:dyDescent="0.2">
      <c r="A1010" s="173" t="s">
        <v>2501</v>
      </c>
      <c r="B1010" s="3" t="s">
        <v>2502</v>
      </c>
      <c r="C1010" s="15">
        <v>278611.01</v>
      </c>
    </row>
    <row r="1011" spans="1:3" x14ac:dyDescent="0.2">
      <c r="A1011" s="173" t="s">
        <v>2503</v>
      </c>
      <c r="B1011" s="3" t="s">
        <v>2504</v>
      </c>
      <c r="C1011" s="15">
        <v>4.5474735088646412E-13</v>
      </c>
    </row>
    <row r="1012" spans="1:3" x14ac:dyDescent="0.2">
      <c r="A1012" s="173" t="s">
        <v>2505</v>
      </c>
      <c r="B1012" s="3" t="s">
        <v>2506</v>
      </c>
      <c r="C1012" s="15">
        <v>246570.4800000001</v>
      </c>
    </row>
    <row r="1013" spans="1:3" x14ac:dyDescent="0.2">
      <c r="A1013" s="173" t="s">
        <v>2507</v>
      </c>
      <c r="B1013" s="3" t="s">
        <v>2508</v>
      </c>
      <c r="C1013" s="15">
        <v>11100123.040000014</v>
      </c>
    </row>
    <row r="1014" spans="1:3" x14ac:dyDescent="0.2">
      <c r="A1014" s="173" t="s">
        <v>2509</v>
      </c>
      <c r="B1014" s="3" t="s">
        <v>2510</v>
      </c>
      <c r="C1014" s="15">
        <v>465847.65</v>
      </c>
    </row>
    <row r="1015" spans="1:3" x14ac:dyDescent="0.2">
      <c r="A1015" s="173" t="s">
        <v>2511</v>
      </c>
      <c r="B1015" s="3" t="s">
        <v>2512</v>
      </c>
      <c r="C1015" s="15">
        <v>3645591.1899999981</v>
      </c>
    </row>
    <row r="1016" spans="1:3" x14ac:dyDescent="0.2">
      <c r="A1016" s="173" t="s">
        <v>2513</v>
      </c>
      <c r="B1016" s="3" t="s">
        <v>2514</v>
      </c>
      <c r="C1016" s="15">
        <v>-38141.53</v>
      </c>
    </row>
    <row r="1017" spans="1:3" x14ac:dyDescent="0.2">
      <c r="A1017" s="173" t="s">
        <v>2515</v>
      </c>
      <c r="B1017" s="3" t="s">
        <v>2516</v>
      </c>
      <c r="C1017" s="15">
        <v>1701026.5200000005</v>
      </c>
    </row>
    <row r="1018" spans="1:3" x14ac:dyDescent="0.2">
      <c r="A1018" s="173"/>
      <c r="B1018" s="3"/>
      <c r="C1018" s="15"/>
    </row>
    <row r="1019" spans="1:3" ht="13.5" thickBot="1" x14ac:dyDescent="0.25">
      <c r="C1019" s="174">
        <f>SUM(C6:C1018)</f>
        <v>378745466.19999987</v>
      </c>
    </row>
    <row r="1020" spans="1:3" ht="13.5" thickTop="1" x14ac:dyDescent="0.2"/>
  </sheetData>
  <mergeCells count="3">
    <mergeCell ref="A1:C1"/>
    <mergeCell ref="A2:C2"/>
    <mergeCell ref="A3:C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283"/>
  <sheetViews>
    <sheetView zoomScale="80" zoomScaleNormal="80" workbookViewId="0">
      <selection sqref="A1:N1"/>
    </sheetView>
  </sheetViews>
  <sheetFormatPr defaultRowHeight="12.75" x14ac:dyDescent="0.2"/>
  <cols>
    <col min="1" max="1" width="9.140625" style="3"/>
    <col min="2" max="2" width="39.140625" style="3" bestFit="1" customWidth="1"/>
    <col min="3" max="3" width="17.7109375" style="3" customWidth="1"/>
    <col min="4" max="4" width="1.7109375" style="3" customWidth="1"/>
    <col min="5" max="5" width="17.7109375" style="3" customWidth="1"/>
    <col min="6" max="6" width="1.7109375" style="3" customWidth="1"/>
    <col min="7" max="7" width="17.7109375" style="3" customWidth="1"/>
    <col min="8" max="8" width="1.7109375" style="3" customWidth="1"/>
    <col min="9" max="9" width="17.7109375" style="3" customWidth="1"/>
    <col min="10" max="10" width="1.7109375" style="3" customWidth="1"/>
    <col min="11" max="11" width="17.7109375" style="3" customWidth="1"/>
    <col min="12" max="12" width="1.7109375" style="3" customWidth="1"/>
    <col min="13" max="13" width="17.7109375" style="3" customWidth="1"/>
    <col min="14" max="14" width="1.7109375" style="3" customWidth="1"/>
    <col min="15" max="15" width="17.7109375" style="3" customWidth="1"/>
    <col min="16" max="16" width="1.7109375" style="3" customWidth="1"/>
    <col min="17" max="17" width="18.28515625" style="3" bestFit="1" customWidth="1"/>
    <col min="18" max="18" width="1.7109375" style="3" customWidth="1"/>
    <col min="19" max="19" width="17.7109375" style="3" bestFit="1" customWidth="1"/>
    <col min="20" max="20" width="2.85546875" style="3" customWidth="1"/>
    <col min="21" max="21" width="16.7109375" style="3" customWidth="1"/>
    <col min="22" max="22" width="17.140625" style="3" customWidth="1"/>
    <col min="23" max="23" width="15.85546875" style="3" bestFit="1" customWidth="1"/>
    <col min="24" max="16384" width="9.140625" style="3"/>
  </cols>
  <sheetData>
    <row r="1" spans="1:24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4" x14ac:dyDescent="0.2">
      <c r="A2" s="200" t="s">
        <v>2517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2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24" x14ac:dyDescent="0.2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4" x14ac:dyDescent="0.2">
      <c r="A5" s="5"/>
      <c r="B5" s="5"/>
      <c r="C5" s="8"/>
      <c r="D5" s="5"/>
      <c r="E5" s="8"/>
      <c r="F5" s="5"/>
      <c r="G5" s="8" t="s">
        <v>2518</v>
      </c>
      <c r="H5" s="5"/>
      <c r="I5" s="8" t="s">
        <v>2518</v>
      </c>
      <c r="J5" s="5"/>
      <c r="K5" s="8" t="s">
        <v>2518</v>
      </c>
      <c r="L5" s="5"/>
      <c r="M5" s="8" t="s">
        <v>2518</v>
      </c>
      <c r="N5" s="5"/>
      <c r="O5" s="8" t="s">
        <v>2518</v>
      </c>
      <c r="P5" s="5"/>
      <c r="Q5" s="8" t="s">
        <v>2518</v>
      </c>
      <c r="R5" s="5"/>
      <c r="S5" s="8" t="s">
        <v>2518</v>
      </c>
      <c r="T5" s="5"/>
      <c r="U5" s="8"/>
    </row>
    <row r="6" spans="1:24" x14ac:dyDescent="0.2">
      <c r="C6" s="8" t="s">
        <v>2518</v>
      </c>
      <c r="D6" s="1"/>
      <c r="E6" s="8" t="s">
        <v>2518</v>
      </c>
      <c r="F6" s="1"/>
      <c r="G6" s="18" t="s">
        <v>2519</v>
      </c>
      <c r="H6" s="1"/>
      <c r="I6" s="8" t="s">
        <v>2520</v>
      </c>
      <c r="J6" s="1"/>
      <c r="K6" s="8" t="s">
        <v>2521</v>
      </c>
      <c r="L6" s="1"/>
      <c r="M6" s="8" t="s">
        <v>2522</v>
      </c>
      <c r="N6" s="1"/>
      <c r="O6" s="8" t="s">
        <v>2523</v>
      </c>
      <c r="P6" s="1"/>
      <c r="Q6" s="8" t="s">
        <v>2524</v>
      </c>
      <c r="R6" s="1"/>
      <c r="S6" s="8" t="s">
        <v>2525</v>
      </c>
      <c r="T6" s="1"/>
      <c r="U6" s="8"/>
    </row>
    <row r="7" spans="1:24" x14ac:dyDescent="0.2">
      <c r="A7" s="10"/>
      <c r="C7" s="12" t="s">
        <v>70</v>
      </c>
      <c r="D7" s="1"/>
      <c r="E7" s="12" t="s">
        <v>2526</v>
      </c>
      <c r="F7" s="1"/>
      <c r="G7" s="12" t="s">
        <v>2527</v>
      </c>
      <c r="H7" s="1"/>
      <c r="I7" s="12" t="s">
        <v>2528</v>
      </c>
      <c r="J7" s="1"/>
      <c r="K7" s="12" t="s">
        <v>2528</v>
      </c>
      <c r="L7" s="1"/>
      <c r="M7" s="12" t="s">
        <v>2529</v>
      </c>
      <c r="N7" s="1"/>
      <c r="O7" s="12" t="s">
        <v>2530</v>
      </c>
      <c r="P7" s="1"/>
      <c r="Q7" s="12" t="s">
        <v>2531</v>
      </c>
      <c r="R7" s="1"/>
      <c r="S7" s="12" t="s">
        <v>2532</v>
      </c>
      <c r="T7" s="1"/>
      <c r="U7" s="12" t="s">
        <v>2533</v>
      </c>
    </row>
    <row r="8" spans="1:24" x14ac:dyDescent="0.2">
      <c r="A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x14ac:dyDescent="0.2">
      <c r="A9" s="10" t="s">
        <v>2534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4" x14ac:dyDescent="0.2">
      <c r="B10" s="3" t="s">
        <v>14</v>
      </c>
      <c r="C10" s="15">
        <f>'Summary - Reserve - PG 2 (Reg)'!E10+'Summary - Reserve - PG 2 (Reg)'!E36+'Summary - Reserve - PG 2 (Reg)'!E52</f>
        <v>-10286844.49</v>
      </c>
      <c r="D10" s="15"/>
      <c r="E10" s="15">
        <v>0</v>
      </c>
      <c r="F10" s="15"/>
      <c r="G10" s="15"/>
      <c r="H10" s="15"/>
      <c r="I10" s="15">
        <v>0</v>
      </c>
      <c r="J10" s="15"/>
      <c r="K10" s="15">
        <v>0</v>
      </c>
      <c r="L10" s="15"/>
      <c r="M10" s="15">
        <v>0</v>
      </c>
      <c r="N10" s="15"/>
      <c r="O10" s="15">
        <f>2937.04+2880.89+2880.9+2880.91+2880.91+2806.58+2957.49+3182.71+3182.71+3182.7+3182.71+3182.7</f>
        <v>36138.25</v>
      </c>
      <c r="P10" s="15"/>
      <c r="Q10" s="15">
        <v>0</v>
      </c>
      <c r="R10" s="15"/>
      <c r="S10" s="15">
        <v>0</v>
      </c>
      <c r="T10" s="15"/>
      <c r="U10" s="15">
        <f>C10-E10+I10+K10+M10+O10+Q10+S10+G10</f>
        <v>-10250706.24</v>
      </c>
      <c r="V10" s="15"/>
    </row>
    <row r="11" spans="1:24" x14ac:dyDescent="0.2">
      <c r="B11" s="3" t="s">
        <v>77</v>
      </c>
      <c r="C11" s="15">
        <f>'Summary - Reserve - PG 2 (Reg)'!E11</f>
        <v>0</v>
      </c>
      <c r="D11" s="15"/>
      <c r="E11" s="15">
        <v>0</v>
      </c>
      <c r="F11" s="15"/>
      <c r="G11" s="15">
        <f>-C11</f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  <c r="P11" s="15"/>
      <c r="Q11" s="15">
        <v>0</v>
      </c>
      <c r="R11" s="15"/>
      <c r="S11" s="15">
        <v>0</v>
      </c>
      <c r="T11" s="15"/>
      <c r="U11" s="15">
        <f>C11-E11+I11+K11+M11+O11+Q11+S11+G11</f>
        <v>0</v>
      </c>
      <c r="V11" s="15"/>
    </row>
    <row r="12" spans="1:24" x14ac:dyDescent="0.2">
      <c r="B12" s="3" t="s">
        <v>54</v>
      </c>
      <c r="C12" s="15">
        <f>'Summary - Reserve - PG 2 (Reg)'!E31+'Summary - Reserve - PG 2 (Reg)'!E32+'Summary - Reserve - PG 2 (Reg)'!E48+'Summary - Reserve - PG 2 (Reg)'!E64</f>
        <v>0</v>
      </c>
      <c r="D12" s="15"/>
      <c r="E12" s="15">
        <v>0</v>
      </c>
      <c r="F12" s="15"/>
      <c r="G12" s="15"/>
      <c r="H12" s="15"/>
      <c r="I12" s="15">
        <v>0</v>
      </c>
      <c r="J12" s="15"/>
      <c r="K12" s="15">
        <v>0</v>
      </c>
      <c r="L12" s="15"/>
      <c r="M12" s="15">
        <v>0</v>
      </c>
      <c r="N12" s="15"/>
      <c r="O12" s="15">
        <v>0</v>
      </c>
      <c r="P12" s="15"/>
      <c r="Q12" s="15">
        <v>0</v>
      </c>
      <c r="R12" s="15"/>
      <c r="S12" s="15">
        <v>0</v>
      </c>
      <c r="T12" s="15"/>
      <c r="U12" s="15">
        <f>C12-E12+I12+K12+M12+O12+Q12+S12+G12</f>
        <v>0</v>
      </c>
      <c r="V12" s="15"/>
    </row>
    <row r="13" spans="1:24" x14ac:dyDescent="0.2">
      <c r="B13" s="3" t="s">
        <v>2535</v>
      </c>
      <c r="C13" s="21">
        <f>SUM(C10:C12)</f>
        <v>-10286844.49</v>
      </c>
      <c r="D13" s="15"/>
      <c r="E13" s="21">
        <f>SUM(E10:E12)</f>
        <v>0</v>
      </c>
      <c r="F13" s="15"/>
      <c r="G13" s="21">
        <f>SUM(G10:G12)</f>
        <v>0</v>
      </c>
      <c r="H13" s="15"/>
      <c r="I13" s="21">
        <f>SUM(I10:I12)</f>
        <v>0</v>
      </c>
      <c r="J13" s="15"/>
      <c r="K13" s="21">
        <f>SUM(K10:K12)</f>
        <v>0</v>
      </c>
      <c r="L13" s="15"/>
      <c r="M13" s="21">
        <f>SUM(M10:M12)</f>
        <v>0</v>
      </c>
      <c r="N13" s="15"/>
      <c r="O13" s="21">
        <f>SUM(O10:O12)</f>
        <v>36138.25</v>
      </c>
      <c r="P13" s="15"/>
      <c r="Q13" s="21">
        <f>SUM(Q10:Q12)</f>
        <v>0</v>
      </c>
      <c r="R13" s="15"/>
      <c r="S13" s="21">
        <f>SUM(S10:S12)</f>
        <v>0</v>
      </c>
      <c r="T13" s="15"/>
      <c r="U13" s="21">
        <f>SUM(U10:U12)</f>
        <v>-10250706.24</v>
      </c>
      <c r="V13" s="15"/>
    </row>
    <row r="14" spans="1:24" x14ac:dyDescent="0.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3" t="s">
        <v>2536</v>
      </c>
      <c r="X14" s="3" t="s">
        <v>66</v>
      </c>
    </row>
    <row r="15" spans="1:24" x14ac:dyDescent="0.2">
      <c r="B15" s="3" t="s">
        <v>18</v>
      </c>
      <c r="C15" s="15">
        <f>'Summary - Reserve - PG 2 (Reg)'!E12+'Summary - Reserve - PG 2 (Reg)'!E37+'Summary - Reserve - PG 2 (Reg)'!E53</f>
        <v>-33427902.330000002</v>
      </c>
      <c r="D15" s="15"/>
      <c r="E15" s="15">
        <v>0</v>
      </c>
      <c r="F15" s="15"/>
      <c r="G15" s="15"/>
      <c r="H15" s="15"/>
      <c r="I15" s="15">
        <v>0</v>
      </c>
      <c r="J15" s="15"/>
      <c r="K15" s="15">
        <v>0</v>
      </c>
      <c r="L15" s="15"/>
      <c r="M15" s="15">
        <v>0</v>
      </c>
      <c r="N15" s="15"/>
      <c r="O15" s="15">
        <v>0</v>
      </c>
      <c r="P15" s="15"/>
      <c r="Q15" s="15">
        <v>0</v>
      </c>
      <c r="R15" s="15"/>
      <c r="S15" s="15">
        <v>0</v>
      </c>
      <c r="T15" s="15"/>
      <c r="U15" s="15">
        <f>C15-E15+I15+K15+M15+O15+Q15+S15+G15</f>
        <v>-33427902.330000002</v>
      </c>
      <c r="V15" s="15"/>
      <c r="W15" s="39">
        <f>U15</f>
        <v>-33427902.330000002</v>
      </c>
    </row>
    <row r="16" spans="1:24" x14ac:dyDescent="0.2">
      <c r="B16" s="3" t="s">
        <v>78</v>
      </c>
      <c r="C16" s="15">
        <f>'Summary - Reserve - PG 2 (Reg)'!E13</f>
        <v>-7460.06</v>
      </c>
      <c r="D16" s="15"/>
      <c r="E16" s="15">
        <v>0</v>
      </c>
      <c r="F16" s="15"/>
      <c r="G16" s="15">
        <f>-C16</f>
        <v>7460.06</v>
      </c>
      <c r="H16" s="15"/>
      <c r="I16" s="15">
        <v>0</v>
      </c>
      <c r="J16" s="15"/>
      <c r="K16" s="15">
        <v>0</v>
      </c>
      <c r="L16" s="15"/>
      <c r="M16" s="15">
        <v>0</v>
      </c>
      <c r="N16" s="15"/>
      <c r="O16" s="15">
        <v>0</v>
      </c>
      <c r="P16" s="15"/>
      <c r="Q16" s="15">
        <v>0</v>
      </c>
      <c r="R16" s="15"/>
      <c r="S16" s="15">
        <v>0</v>
      </c>
      <c r="T16" s="15"/>
      <c r="U16" s="15">
        <f t="shared" ref="U16:U25" si="0">C16-E16+I16+K16+M16+O16+Q16+S16+G16</f>
        <v>0</v>
      </c>
      <c r="V16" s="15"/>
      <c r="X16" s="39">
        <f>U16</f>
        <v>0</v>
      </c>
    </row>
    <row r="17" spans="2:24" x14ac:dyDescent="0.2">
      <c r="B17" s="3" t="s">
        <v>19</v>
      </c>
      <c r="C17" s="15">
        <f>'Summary - Reserve - PG 2 (Reg)'!E14+'Summary - Reserve - PG 2 (Reg)'!E38+'Summary - Reserve - PG 2 (Reg)'!E54</f>
        <v>-1733731.0899999999</v>
      </c>
      <c r="D17" s="15"/>
      <c r="E17" s="15">
        <v>0</v>
      </c>
      <c r="F17" s="15"/>
      <c r="G17" s="15"/>
      <c r="H17" s="15"/>
      <c r="I17" s="15">
        <v>0</v>
      </c>
      <c r="J17" s="15"/>
      <c r="K17" s="15">
        <v>0</v>
      </c>
      <c r="L17" s="15"/>
      <c r="M17" s="15">
        <v>0</v>
      </c>
      <c r="N17" s="15"/>
      <c r="O17" s="15">
        <f>36504.71+36504.71+36790.02+38054.67+39347.83+53520.93+67636.06+68053.25+68350.47+69343.76+70336.97+70337.02</f>
        <v>654780.4</v>
      </c>
      <c r="P17" s="15"/>
      <c r="Q17" s="15">
        <v>0</v>
      </c>
      <c r="R17" s="15"/>
      <c r="S17" s="15">
        <v>0</v>
      </c>
      <c r="T17" s="15"/>
      <c r="U17" s="15">
        <f t="shared" si="0"/>
        <v>-1078950.69</v>
      </c>
      <c r="V17" s="15"/>
      <c r="W17" s="39">
        <f>U17</f>
        <v>-1078950.69</v>
      </c>
    </row>
    <row r="18" spans="2:24" x14ac:dyDescent="0.2">
      <c r="B18" s="3" t="s">
        <v>20</v>
      </c>
      <c r="C18" s="15">
        <f>'Summary - Reserve - PG 2 (Reg)'!E15+'Summary - Reserve - PG 2 (Reg)'!E39+'Summary - Reserve - PG 2 (Reg)'!E55</f>
        <v>-2921674.4</v>
      </c>
      <c r="D18" s="15"/>
      <c r="E18" s="15">
        <v>0</v>
      </c>
      <c r="F18" s="15"/>
      <c r="G18" s="15"/>
      <c r="H18" s="15"/>
      <c r="I18" s="15">
        <v>0</v>
      </c>
      <c r="J18" s="15"/>
      <c r="K18" s="15">
        <v>0</v>
      </c>
      <c r="L18" s="15"/>
      <c r="M18" s="15">
        <v>0</v>
      </c>
      <c r="N18" s="15"/>
      <c r="O18" s="15">
        <v>0</v>
      </c>
      <c r="P18" s="15"/>
      <c r="Q18" s="15">
        <v>0</v>
      </c>
      <c r="R18" s="15"/>
      <c r="S18" s="15">
        <v>0</v>
      </c>
      <c r="T18" s="15"/>
      <c r="U18" s="15">
        <f t="shared" si="0"/>
        <v>-2921674.4</v>
      </c>
      <c r="V18" s="15"/>
      <c r="W18" s="39">
        <f>U18</f>
        <v>-2921674.4</v>
      </c>
    </row>
    <row r="19" spans="2:24" x14ac:dyDescent="0.2">
      <c r="B19" s="3" t="s">
        <v>79</v>
      </c>
      <c r="C19" s="15">
        <f>'Summary - Reserve - PG 2 (Reg)'!E16</f>
        <v>-4728.41</v>
      </c>
      <c r="D19" s="15"/>
      <c r="E19" s="15">
        <v>0</v>
      </c>
      <c r="F19" s="15"/>
      <c r="G19" s="15">
        <f>-C19</f>
        <v>4728.41</v>
      </c>
      <c r="H19" s="15"/>
      <c r="I19" s="15">
        <v>0</v>
      </c>
      <c r="J19" s="15"/>
      <c r="K19" s="15">
        <v>0</v>
      </c>
      <c r="L19" s="15"/>
      <c r="M19" s="15">
        <v>0</v>
      </c>
      <c r="N19" s="15"/>
      <c r="O19" s="15">
        <v>0</v>
      </c>
      <c r="P19" s="15"/>
      <c r="Q19" s="15">
        <v>0</v>
      </c>
      <c r="R19" s="15"/>
      <c r="S19" s="15">
        <v>0</v>
      </c>
      <c r="T19" s="15"/>
      <c r="U19" s="15">
        <f t="shared" si="0"/>
        <v>0</v>
      </c>
      <c r="V19" s="15"/>
      <c r="X19" s="39">
        <f>U19</f>
        <v>0</v>
      </c>
    </row>
    <row r="20" spans="2:24" x14ac:dyDescent="0.2">
      <c r="B20" s="3" t="s">
        <v>22</v>
      </c>
      <c r="C20" s="15">
        <f>'Summary - Reserve - PG 2 (Reg)'!E17+'Summary - Reserve - PG 2 (Reg)'!E40+'Summary - Reserve - PG 2 (Reg)'!E56</f>
        <v>-14024332.030000001</v>
      </c>
      <c r="D20" s="15"/>
      <c r="E20" s="15">
        <v>0</v>
      </c>
      <c r="F20" s="15"/>
      <c r="G20" s="15"/>
      <c r="H20" s="15"/>
      <c r="I20" s="15">
        <v>0</v>
      </c>
      <c r="J20" s="15"/>
      <c r="K20" s="15">
        <v>0</v>
      </c>
      <c r="L20" s="15"/>
      <c r="M20" s="37">
        <f>20605.22+20601.64+20601.57+20601.49+20601.49+20601.49+20601.49+20601.49+20601.49+20601.49+20601.49+20603.55</f>
        <v>247223.89999999997</v>
      </c>
      <c r="N20" s="15"/>
      <c r="O20" s="15">
        <v>0</v>
      </c>
      <c r="P20" s="15"/>
      <c r="Q20" s="15">
        <v>0</v>
      </c>
      <c r="R20" s="15"/>
      <c r="S20" s="15">
        <v>0</v>
      </c>
      <c r="T20" s="15"/>
      <c r="U20" s="15">
        <f t="shared" si="0"/>
        <v>-13777108.130000001</v>
      </c>
      <c r="V20" s="15"/>
      <c r="W20" s="39">
        <f>U20</f>
        <v>-13777108.130000001</v>
      </c>
    </row>
    <row r="21" spans="2:24" x14ac:dyDescent="0.2">
      <c r="B21" s="3" t="s">
        <v>80</v>
      </c>
      <c r="C21" s="15">
        <f>'Summary - Reserve - PG 2 (Reg)'!E18</f>
        <v>-3137.93</v>
      </c>
      <c r="D21" s="15"/>
      <c r="E21" s="15">
        <v>0</v>
      </c>
      <c r="F21" s="15"/>
      <c r="G21" s="15">
        <f>-C21</f>
        <v>3137.93</v>
      </c>
      <c r="H21" s="15"/>
      <c r="I21" s="15">
        <v>0</v>
      </c>
      <c r="J21" s="15"/>
      <c r="K21" s="15">
        <v>0</v>
      </c>
      <c r="L21" s="15"/>
      <c r="M21" s="15">
        <v>0</v>
      </c>
      <c r="N21" s="15"/>
      <c r="O21" s="15">
        <v>0</v>
      </c>
      <c r="P21" s="15"/>
      <c r="Q21" s="15">
        <v>0</v>
      </c>
      <c r="R21" s="15"/>
      <c r="S21" s="15">
        <v>0</v>
      </c>
      <c r="T21" s="15"/>
      <c r="U21" s="15">
        <f t="shared" si="0"/>
        <v>0</v>
      </c>
      <c r="V21" s="15"/>
      <c r="X21" s="39">
        <f>U21</f>
        <v>0</v>
      </c>
    </row>
    <row r="22" spans="2:24" x14ac:dyDescent="0.2">
      <c r="B22" s="3" t="s">
        <v>23</v>
      </c>
      <c r="C22" s="15">
        <f>'Summary - Reserve - PG 2 (Reg)'!E19+'Summary - Reserve - PG 2 (Reg)'!E41+'Summary - Reserve - PG 2 (Reg)'!E57</f>
        <v>-61162679.549999997</v>
      </c>
      <c r="D22" s="15"/>
      <c r="E22" s="15">
        <v>0</v>
      </c>
      <c r="F22" s="15"/>
      <c r="G22" s="15"/>
      <c r="H22" s="15"/>
      <c r="I22" s="15">
        <v>0</v>
      </c>
      <c r="J22" s="15"/>
      <c r="K22" s="15">
        <f>-62428.84</f>
        <v>-62428.84</v>
      </c>
      <c r="L22" s="15"/>
      <c r="M22" s="15">
        <v>0</v>
      </c>
      <c r="N22" s="15"/>
      <c r="O22" s="15">
        <v>0</v>
      </c>
      <c r="P22" s="15"/>
      <c r="Q22" s="15">
        <v>0</v>
      </c>
      <c r="R22" s="15"/>
      <c r="S22" s="15">
        <f>-'KY_Res by Plant Acct-P29 (Reg)'!D217</f>
        <v>20968.2</v>
      </c>
      <c r="T22" s="15"/>
      <c r="U22" s="15">
        <f t="shared" si="0"/>
        <v>-61204140.189999998</v>
      </c>
      <c r="V22" s="15"/>
      <c r="W22" s="39">
        <f>U22</f>
        <v>-61204140.189999998</v>
      </c>
    </row>
    <row r="23" spans="2:24" x14ac:dyDescent="0.2">
      <c r="B23" s="3" t="s">
        <v>81</v>
      </c>
      <c r="C23" s="15">
        <f>'Summary - Reserve - PG 2 (Reg)'!E20</f>
        <v>-19024259.27</v>
      </c>
      <c r="D23" s="15"/>
      <c r="E23" s="15"/>
      <c r="F23" s="15"/>
      <c r="G23" s="15">
        <f>-C23</f>
        <v>19024259.27</v>
      </c>
      <c r="H23" s="15"/>
      <c r="I23" s="15">
        <v>0</v>
      </c>
      <c r="J23" s="15"/>
      <c r="K23" s="15">
        <v>0</v>
      </c>
      <c r="L23" s="15"/>
      <c r="M23" s="15">
        <v>0</v>
      </c>
      <c r="N23" s="15"/>
      <c r="O23" s="15">
        <v>0</v>
      </c>
      <c r="P23" s="15"/>
      <c r="Q23" s="15">
        <v>0</v>
      </c>
      <c r="R23" s="15"/>
      <c r="S23" s="15">
        <v>0</v>
      </c>
      <c r="T23" s="15"/>
      <c r="U23" s="15">
        <f t="shared" si="0"/>
        <v>0</v>
      </c>
      <c r="V23" s="15"/>
      <c r="X23" s="39">
        <f>U23</f>
        <v>0</v>
      </c>
    </row>
    <row r="24" spans="2:24" x14ac:dyDescent="0.2">
      <c r="B24" s="3" t="s">
        <v>24</v>
      </c>
      <c r="C24" s="15">
        <f>'Summary - Reserve - PG 2 (Reg)'!E21+'Summary - Reserve - PG 2 (Reg)'!E42+'Summary - Reserve - PG 2 (Reg)'!E58</f>
        <v>-7885006.96</v>
      </c>
      <c r="D24" s="15"/>
      <c r="E24" s="15">
        <v>0</v>
      </c>
      <c r="F24" s="15"/>
      <c r="G24" s="15"/>
      <c r="H24" s="15"/>
      <c r="I24" s="15">
        <v>0</v>
      </c>
      <c r="J24" s="15"/>
      <c r="K24" s="15">
        <v>0</v>
      </c>
      <c r="L24" s="15"/>
      <c r="M24" s="15">
        <v>0</v>
      </c>
      <c r="N24" s="15"/>
      <c r="O24" s="15">
        <v>0</v>
      </c>
      <c r="P24" s="15"/>
      <c r="Q24" s="15">
        <v>0</v>
      </c>
      <c r="R24" s="15"/>
      <c r="S24" s="15">
        <v>0</v>
      </c>
      <c r="T24" s="15"/>
      <c r="U24" s="15">
        <f t="shared" si="0"/>
        <v>-7885006.96</v>
      </c>
      <c r="V24" s="15"/>
      <c r="W24" s="39">
        <f>U24</f>
        <v>-7885006.96</v>
      </c>
    </row>
    <row r="25" spans="2:24" x14ac:dyDescent="0.2">
      <c r="B25" s="3" t="s">
        <v>82</v>
      </c>
      <c r="C25" s="15">
        <f>'Summary - Reserve - PG 2 (Reg)'!E22</f>
        <v>-5564.8</v>
      </c>
      <c r="D25" s="15"/>
      <c r="E25" s="15">
        <v>0</v>
      </c>
      <c r="F25" s="15"/>
      <c r="G25" s="15">
        <f>-C25</f>
        <v>5564.8</v>
      </c>
      <c r="H25" s="15"/>
      <c r="I25" s="15">
        <v>0</v>
      </c>
      <c r="J25" s="15"/>
      <c r="K25" s="15">
        <v>0</v>
      </c>
      <c r="L25" s="15"/>
      <c r="M25" s="15">
        <v>0</v>
      </c>
      <c r="N25" s="15"/>
      <c r="O25" s="15">
        <v>0</v>
      </c>
      <c r="P25" s="15"/>
      <c r="Q25" s="15">
        <v>0</v>
      </c>
      <c r="R25" s="15"/>
      <c r="S25" s="15">
        <v>0</v>
      </c>
      <c r="T25" s="15"/>
      <c r="U25" s="15">
        <f t="shared" si="0"/>
        <v>0</v>
      </c>
      <c r="V25" s="15"/>
      <c r="X25" s="39">
        <f>U25</f>
        <v>0</v>
      </c>
    </row>
    <row r="26" spans="2:24" x14ac:dyDescent="0.2">
      <c r="B26" s="3" t="s">
        <v>2537</v>
      </c>
      <c r="C26" s="21">
        <f>SUM(C15:C25)</f>
        <v>-140200476.83000001</v>
      </c>
      <c r="D26" s="15"/>
      <c r="E26" s="21">
        <f>SUM(E15:E25)</f>
        <v>0</v>
      </c>
      <c r="F26" s="15"/>
      <c r="G26" s="21">
        <f>SUM(G15:G25)</f>
        <v>19045150.469999999</v>
      </c>
      <c r="H26" s="15"/>
      <c r="I26" s="21">
        <f>SUM(I15:I25)</f>
        <v>0</v>
      </c>
      <c r="J26" s="15"/>
      <c r="K26" s="21">
        <f>SUM(K15:K25)</f>
        <v>-62428.84</v>
      </c>
      <c r="L26" s="15"/>
      <c r="M26" s="21">
        <f>SUM(M15:M25)</f>
        <v>247223.89999999997</v>
      </c>
      <c r="N26" s="15"/>
      <c r="O26" s="21">
        <f>SUM(O15:O25)</f>
        <v>654780.4</v>
      </c>
      <c r="P26" s="15"/>
      <c r="Q26" s="21">
        <f>SUM(Q15:Q25)</f>
        <v>0</v>
      </c>
      <c r="R26" s="15"/>
      <c r="S26" s="21">
        <f>SUM(S15:S25)</f>
        <v>20968.2</v>
      </c>
      <c r="T26" s="15"/>
      <c r="U26" s="21">
        <f>SUM(U15:U25)</f>
        <v>-120294782.7</v>
      </c>
      <c r="V26" s="15"/>
      <c r="W26" s="21">
        <f>SUM(W15:W25)</f>
        <v>-120294782.7</v>
      </c>
      <c r="X26" s="21">
        <f>SUM(X15:X25)</f>
        <v>0</v>
      </c>
    </row>
    <row r="27" spans="2:24" x14ac:dyDescent="0.2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4" x14ac:dyDescent="0.2">
      <c r="B28" s="3" t="s">
        <v>27</v>
      </c>
      <c r="C28" s="15">
        <f>'Summary - Reserve - PG 2 (Reg)'!E23+'Summary - Reserve - PG 2 (Reg)'!E43+'Summary - Reserve - PG 2 (Reg)'!E59</f>
        <v>-24195002.199999999</v>
      </c>
      <c r="D28" s="15"/>
      <c r="E28" s="15">
        <v>0</v>
      </c>
      <c r="F28" s="15"/>
      <c r="G28" s="15"/>
      <c r="H28" s="15"/>
      <c r="I28" s="15">
        <v>0</v>
      </c>
      <c r="J28" s="15"/>
      <c r="K28" s="15">
        <v>0</v>
      </c>
      <c r="L28" s="15"/>
      <c r="M28" s="15">
        <v>0</v>
      </c>
      <c r="N28" s="15"/>
      <c r="O28" s="15">
        <v>0</v>
      </c>
      <c r="P28" s="15"/>
      <c r="Q28" s="15">
        <v>0</v>
      </c>
      <c r="R28" s="15"/>
      <c r="S28" s="15">
        <v>0</v>
      </c>
      <c r="T28" s="15"/>
      <c r="U28" s="15">
        <f t="shared" ref="U28:U35" si="1">C28-E28+I28+K28+M28+O28+Q28+S28+G28</f>
        <v>-24195002.199999999</v>
      </c>
      <c r="V28" s="15"/>
    </row>
    <row r="29" spans="2:24" x14ac:dyDescent="0.2">
      <c r="B29" s="3" t="s">
        <v>83</v>
      </c>
      <c r="C29" s="15">
        <f>'Summary - Reserve - PG 2 (Reg)'!E24</f>
        <v>-622075.52</v>
      </c>
      <c r="D29" s="15"/>
      <c r="E29" s="15">
        <v>0</v>
      </c>
      <c r="F29" s="15"/>
      <c r="G29" s="15">
        <f>-C29</f>
        <v>622075.52</v>
      </c>
      <c r="H29" s="15"/>
      <c r="I29" s="15">
        <v>0</v>
      </c>
      <c r="J29" s="15"/>
      <c r="K29" s="15">
        <v>0</v>
      </c>
      <c r="L29" s="15"/>
      <c r="M29" s="15">
        <v>0</v>
      </c>
      <c r="N29" s="15"/>
      <c r="O29" s="15">
        <v>0</v>
      </c>
      <c r="P29" s="15"/>
      <c r="Q29" s="15">
        <v>0</v>
      </c>
      <c r="R29" s="15"/>
      <c r="S29" s="15">
        <v>0</v>
      </c>
      <c r="T29" s="15"/>
      <c r="U29" s="15">
        <f t="shared" si="1"/>
        <v>0</v>
      </c>
      <c r="V29" s="15"/>
    </row>
    <row r="30" spans="2:24" x14ac:dyDescent="0.2">
      <c r="B30" s="3" t="s">
        <v>28</v>
      </c>
      <c r="C30" s="15">
        <f>'Summary - Reserve - PG 2 (Reg)'!E25+'Summary - Reserve - PG 2 (Reg)'!E44+'Summary - Reserve - PG 2 (Reg)'!E60</f>
        <v>-628519.6</v>
      </c>
      <c r="D30" s="15"/>
      <c r="E30" s="15">
        <v>0</v>
      </c>
      <c r="F30" s="15"/>
      <c r="G30" s="15"/>
      <c r="H30" s="15"/>
      <c r="I30" s="15">
        <v>0</v>
      </c>
      <c r="J30" s="15"/>
      <c r="K30" s="15">
        <v>0</v>
      </c>
      <c r="L30" s="15"/>
      <c r="M30" s="15">
        <v>0</v>
      </c>
      <c r="N30" s="15"/>
      <c r="O30" s="15">
        <f>18573.02+18938.11+19303.21+20313.3+21323.37+22335.25+23632.41+23943.47+23917.71+26169.04+28420.32+28420.34</f>
        <v>275289.55</v>
      </c>
      <c r="P30" s="15"/>
      <c r="Q30" s="15">
        <v>0</v>
      </c>
      <c r="R30" s="15"/>
      <c r="S30" s="15">
        <v>0</v>
      </c>
      <c r="T30" s="15"/>
      <c r="U30" s="15">
        <f t="shared" si="1"/>
        <v>-353230.05</v>
      </c>
      <c r="V30" s="15"/>
    </row>
    <row r="31" spans="2:24" x14ac:dyDescent="0.2">
      <c r="B31" s="3" t="s">
        <v>30</v>
      </c>
      <c r="C31" s="15">
        <f>'Summary - Reserve - PG 2 (Reg)'!E26+'Summary - Reserve - PG 2 (Reg)'!E45+'Summary - Reserve - PG 2 (Reg)'!E61</f>
        <v>-2879975.27</v>
      </c>
      <c r="D31" s="15"/>
      <c r="E31" s="15">
        <v>0</v>
      </c>
      <c r="F31" s="15"/>
      <c r="G31" s="15"/>
      <c r="H31" s="15"/>
      <c r="I31" s="15">
        <v>0</v>
      </c>
      <c r="J31" s="15"/>
      <c r="K31" s="15">
        <v>0</v>
      </c>
      <c r="L31" s="15"/>
      <c r="M31" s="15">
        <v>0</v>
      </c>
      <c r="N31" s="15"/>
      <c r="O31" s="15">
        <v>0</v>
      </c>
      <c r="P31" s="15"/>
      <c r="Q31" s="15">
        <v>0</v>
      </c>
      <c r="R31" s="15"/>
      <c r="S31" s="15">
        <v>0</v>
      </c>
      <c r="T31" s="15"/>
      <c r="U31" s="15">
        <f t="shared" si="1"/>
        <v>-2879975.27</v>
      </c>
      <c r="V31" s="15"/>
    </row>
    <row r="32" spans="2:24" x14ac:dyDescent="0.2">
      <c r="B32" s="3" t="s">
        <v>84</v>
      </c>
      <c r="C32" s="15">
        <f>'Summary - Reserve - PG 2 (Reg)'!E27</f>
        <v>-203291.15</v>
      </c>
      <c r="D32" s="15"/>
      <c r="E32" s="15">
        <v>0</v>
      </c>
      <c r="F32" s="15"/>
      <c r="G32" s="15">
        <f>-C32</f>
        <v>203291.15</v>
      </c>
      <c r="H32" s="15"/>
      <c r="I32" s="15">
        <v>0</v>
      </c>
      <c r="J32" s="15"/>
      <c r="K32" s="15">
        <v>0</v>
      </c>
      <c r="L32" s="15"/>
      <c r="M32" s="15">
        <v>0</v>
      </c>
      <c r="N32" s="15"/>
      <c r="O32" s="15">
        <v>0</v>
      </c>
      <c r="P32" s="15"/>
      <c r="Q32" s="15">
        <v>0</v>
      </c>
      <c r="R32" s="15"/>
      <c r="S32" s="15">
        <v>0</v>
      </c>
      <c r="T32" s="15"/>
      <c r="U32" s="15">
        <f t="shared" si="1"/>
        <v>0</v>
      </c>
      <c r="V32" s="15"/>
    </row>
    <row r="33" spans="1:22" x14ac:dyDescent="0.2">
      <c r="B33" s="3" t="s">
        <v>51</v>
      </c>
      <c r="C33" s="15">
        <f>'Summary - Reserve - PG 2 (Reg)'!E28+'Summary - Reserve - PG 2 (Reg)'!E46+'Summary - Reserve - PG 2 (Reg)'!E62</f>
        <v>0</v>
      </c>
      <c r="D33" s="15"/>
      <c r="E33" s="15">
        <v>0</v>
      </c>
      <c r="F33" s="15"/>
      <c r="G33" s="15"/>
      <c r="H33" s="15"/>
      <c r="I33" s="15">
        <v>0</v>
      </c>
      <c r="J33" s="15"/>
      <c r="K33" s="15">
        <v>0</v>
      </c>
      <c r="L33" s="15"/>
      <c r="M33" s="15">
        <v>0</v>
      </c>
      <c r="N33" s="15"/>
      <c r="O33" s="15">
        <v>0</v>
      </c>
      <c r="P33" s="15"/>
      <c r="Q33" s="15">
        <v>0</v>
      </c>
      <c r="R33" s="15"/>
      <c r="S33" s="15">
        <v>0</v>
      </c>
      <c r="T33" s="15"/>
      <c r="U33" s="15">
        <f t="shared" si="1"/>
        <v>0</v>
      </c>
      <c r="V33" s="15"/>
    </row>
    <row r="34" spans="1:22" x14ac:dyDescent="0.2">
      <c r="B34" s="3" t="s">
        <v>31</v>
      </c>
      <c r="C34" s="15">
        <f>'Summary - Reserve - PG 2 (Reg)'!E29+'Summary - Reserve - PG 2 (Reg)'!E47+'Summary - Reserve - PG 2 (Reg)'!E63</f>
        <v>-407841.56</v>
      </c>
      <c r="D34" s="15"/>
      <c r="E34" s="15">
        <v>0</v>
      </c>
      <c r="F34" s="15"/>
      <c r="G34" s="15"/>
      <c r="H34" s="15"/>
      <c r="I34" s="15">
        <v>0</v>
      </c>
      <c r="J34" s="15"/>
      <c r="K34" s="15">
        <v>0</v>
      </c>
      <c r="L34" s="15"/>
      <c r="M34" s="15">
        <v>0</v>
      </c>
      <c r="N34" s="15"/>
      <c r="O34" s="15">
        <v>0</v>
      </c>
      <c r="P34" s="15"/>
      <c r="Q34" s="15">
        <v>0</v>
      </c>
      <c r="R34" s="15"/>
      <c r="S34" s="15">
        <v>0</v>
      </c>
      <c r="T34" s="15"/>
      <c r="U34" s="15">
        <f t="shared" si="1"/>
        <v>-407841.56</v>
      </c>
      <c r="V34" s="15"/>
    </row>
    <row r="35" spans="1:22" x14ac:dyDescent="0.2">
      <c r="B35" s="3" t="s">
        <v>85</v>
      </c>
      <c r="C35" s="16">
        <f>+'Summary - Reserve - PG 2 (Reg)'!E30</f>
        <v>-40027.08</v>
      </c>
      <c r="D35" s="17"/>
      <c r="E35" s="16">
        <v>0</v>
      </c>
      <c r="F35" s="17"/>
      <c r="G35" s="15">
        <f>-C35</f>
        <v>40027.08</v>
      </c>
      <c r="H35" s="17"/>
      <c r="I35" s="15">
        <v>0</v>
      </c>
      <c r="J35" s="17"/>
      <c r="K35" s="16">
        <v>0</v>
      </c>
      <c r="L35" s="17"/>
      <c r="M35" s="16">
        <v>0</v>
      </c>
      <c r="N35" s="17"/>
      <c r="O35" s="16">
        <v>0</v>
      </c>
      <c r="P35" s="17"/>
      <c r="Q35" s="16">
        <v>0</v>
      </c>
      <c r="R35" s="17"/>
      <c r="S35" s="16">
        <v>0</v>
      </c>
      <c r="T35" s="17"/>
      <c r="U35" s="15">
        <f t="shared" si="1"/>
        <v>0</v>
      </c>
      <c r="V35" s="15"/>
    </row>
    <row r="36" spans="1:22" x14ac:dyDescent="0.2">
      <c r="B36" s="3" t="s">
        <v>2538</v>
      </c>
      <c r="C36" s="21">
        <f>SUM(C28:C35)</f>
        <v>-28976732.379999995</v>
      </c>
      <c r="D36" s="17"/>
      <c r="E36" s="21">
        <f>SUM(E28:E35)</f>
        <v>0</v>
      </c>
      <c r="F36" s="17"/>
      <c r="G36" s="21">
        <f>SUM(G28:G35)</f>
        <v>865393.75</v>
      </c>
      <c r="H36" s="17"/>
      <c r="I36" s="21">
        <f>SUM(I28:I35)</f>
        <v>0</v>
      </c>
      <c r="J36" s="17"/>
      <c r="K36" s="21">
        <f>SUM(K28:K35)</f>
        <v>0</v>
      </c>
      <c r="L36" s="17"/>
      <c r="M36" s="21">
        <f>SUM(M28:M35)</f>
        <v>0</v>
      </c>
      <c r="N36" s="17"/>
      <c r="O36" s="21">
        <f>SUM(O28:O35)</f>
        <v>275289.55</v>
      </c>
      <c r="P36" s="17"/>
      <c r="Q36" s="21">
        <f>SUM(Q28:Q35)</f>
        <v>0</v>
      </c>
      <c r="R36" s="17"/>
      <c r="S36" s="21">
        <f>SUM(S28:S35)</f>
        <v>0</v>
      </c>
      <c r="T36" s="17"/>
      <c r="U36" s="21">
        <f>SUM(U28:U35)</f>
        <v>-27836049.079999998</v>
      </c>
      <c r="V36" s="15"/>
    </row>
    <row r="37" spans="1:22" x14ac:dyDescent="0.2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5"/>
    </row>
    <row r="38" spans="1:22" ht="13.5" thickBot="1" x14ac:dyDescent="0.25">
      <c r="B38" s="19" t="s">
        <v>2539</v>
      </c>
      <c r="C38" s="41">
        <f>C36+C26+C13</f>
        <v>-179464053.70000002</v>
      </c>
      <c r="D38" s="17"/>
      <c r="E38" s="41">
        <f>E36+E26+E13</f>
        <v>0</v>
      </c>
      <c r="F38" s="17"/>
      <c r="G38" s="41">
        <f>G36+G26+G13</f>
        <v>19910544.219999999</v>
      </c>
      <c r="H38" s="17"/>
      <c r="I38" s="41">
        <f>I36+I26+I13</f>
        <v>0</v>
      </c>
      <c r="J38" s="17"/>
      <c r="K38" s="41">
        <f>K36+K26+K13</f>
        <v>-62428.84</v>
      </c>
      <c r="L38" s="17"/>
      <c r="M38" s="41">
        <f>M36+M26+M13</f>
        <v>247223.89999999997</v>
      </c>
      <c r="N38" s="17"/>
      <c r="O38" s="41">
        <f>O36+O26+O13</f>
        <v>966208.2</v>
      </c>
      <c r="P38" s="17"/>
      <c r="Q38" s="41">
        <f>Q36+Q26+Q13</f>
        <v>0</v>
      </c>
      <c r="R38" s="17"/>
      <c r="S38" s="41">
        <f>S36+S26+S13</f>
        <v>20968.2</v>
      </c>
      <c r="T38" s="17"/>
      <c r="U38" s="41">
        <f>U36+U26+U13</f>
        <v>-158381538.02000001</v>
      </c>
      <c r="V38" s="15"/>
    </row>
    <row r="39" spans="1:22" ht="13.5" thickTop="1" x14ac:dyDescent="0.2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2" x14ac:dyDescent="0.2">
      <c r="A40" s="10" t="s">
        <v>95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5"/>
    </row>
    <row r="41" spans="1:22" x14ac:dyDescent="0.2">
      <c r="B41" s="3" t="s">
        <v>13</v>
      </c>
      <c r="C41" s="17">
        <f>'Summary - Reserve - PG 2 (Reg)'!E82</f>
        <v>-11392872.48</v>
      </c>
      <c r="D41" s="17"/>
      <c r="E41" s="17">
        <v>0</v>
      </c>
      <c r="F41" s="17"/>
      <c r="G41" s="17">
        <v>0</v>
      </c>
      <c r="H41" s="17"/>
      <c r="I41" s="17">
        <v>0</v>
      </c>
      <c r="J41" s="17"/>
      <c r="K41" s="17">
        <v>0</v>
      </c>
      <c r="L41" s="17"/>
      <c r="M41" s="17">
        <v>0</v>
      </c>
      <c r="N41" s="17"/>
      <c r="O41" s="17">
        <v>0</v>
      </c>
      <c r="P41" s="17"/>
      <c r="Q41" s="17">
        <v>0</v>
      </c>
      <c r="R41" s="17"/>
      <c r="S41" s="17">
        <v>0</v>
      </c>
      <c r="T41" s="17"/>
      <c r="U41" s="17">
        <f>S41+Q41+O41+M41+K41+I41+E41+C41</f>
        <v>-11392872.48</v>
      </c>
      <c r="V41" s="15"/>
    </row>
    <row r="42" spans="1:22" x14ac:dyDescent="0.2">
      <c r="B42" s="3" t="s">
        <v>17</v>
      </c>
      <c r="C42" s="17">
        <f>'Summary - Reserve - PG 2 (Reg)'!E83</f>
        <v>0</v>
      </c>
      <c r="D42" s="17"/>
      <c r="E42" s="17">
        <v>0</v>
      </c>
      <c r="F42" s="17"/>
      <c r="G42" s="17">
        <v>0</v>
      </c>
      <c r="H42" s="17"/>
      <c r="I42" s="17">
        <v>0</v>
      </c>
      <c r="J42" s="17"/>
      <c r="K42" s="17">
        <v>0</v>
      </c>
      <c r="L42" s="17"/>
      <c r="M42" s="17">
        <v>0</v>
      </c>
      <c r="N42" s="17"/>
      <c r="O42" s="17">
        <v>0</v>
      </c>
      <c r="P42" s="17"/>
      <c r="Q42" s="17">
        <v>0</v>
      </c>
      <c r="R42" s="17"/>
      <c r="S42" s="17">
        <v>0</v>
      </c>
      <c r="T42" s="17"/>
      <c r="U42" s="17">
        <f>S42+Q42+O42+M42+K42+I42+E42+C42</f>
        <v>0</v>
      </c>
      <c r="V42" s="15"/>
    </row>
    <row r="43" spans="1:22" x14ac:dyDescent="0.2">
      <c r="B43" s="3" t="s">
        <v>26</v>
      </c>
      <c r="C43" s="16">
        <f>'Summary - Reserve - PG 2 (Reg)'!E84</f>
        <v>-41.04</v>
      </c>
      <c r="D43" s="17"/>
      <c r="E43" s="16">
        <v>0</v>
      </c>
      <c r="F43" s="17"/>
      <c r="G43" s="17">
        <v>0</v>
      </c>
      <c r="H43" s="17"/>
      <c r="I43" s="16">
        <v>0</v>
      </c>
      <c r="J43" s="17"/>
      <c r="K43" s="16">
        <v>0</v>
      </c>
      <c r="L43" s="17"/>
      <c r="M43" s="16">
        <v>0</v>
      </c>
      <c r="N43" s="17"/>
      <c r="O43" s="16">
        <v>0</v>
      </c>
      <c r="P43" s="17"/>
      <c r="Q43" s="16">
        <v>0</v>
      </c>
      <c r="R43" s="17"/>
      <c r="S43" s="16">
        <v>0</v>
      </c>
      <c r="T43" s="17"/>
      <c r="U43" s="16">
        <f>S43+Q43+O43+M43+K43+I43+E43+C43</f>
        <v>-41.04</v>
      </c>
      <c r="V43" s="15"/>
    </row>
    <row r="44" spans="1:22" x14ac:dyDescent="0.2">
      <c r="B44" s="120"/>
      <c r="C44" s="17">
        <f>SUM(C41:C43)</f>
        <v>-11392913.52</v>
      </c>
      <c r="D44" s="17"/>
      <c r="E44" s="17">
        <f>SUM(E41:E43)</f>
        <v>0</v>
      </c>
      <c r="F44" s="17"/>
      <c r="G44" s="20">
        <f>SUM(G41:G43)</f>
        <v>0</v>
      </c>
      <c r="H44" s="17"/>
      <c r="I44" s="17">
        <f>SUM(I41:I43)</f>
        <v>0</v>
      </c>
      <c r="J44" s="17"/>
      <c r="K44" s="17">
        <f>SUM(K41:K43)</f>
        <v>0</v>
      </c>
      <c r="L44" s="17"/>
      <c r="M44" s="17">
        <f>SUM(M41:M43)</f>
        <v>0</v>
      </c>
      <c r="N44" s="17"/>
      <c r="O44" s="17">
        <f>SUM(O41:O43)</f>
        <v>0</v>
      </c>
      <c r="P44" s="17"/>
      <c r="Q44" s="17">
        <f>SUM(Q41:Q43)</f>
        <v>0</v>
      </c>
      <c r="R44" s="17"/>
      <c r="S44" s="17">
        <f>SUM(S41:S43)</f>
        <v>0</v>
      </c>
      <c r="T44" s="17"/>
      <c r="U44" s="17">
        <f>SUM(U41:U43)</f>
        <v>-11392913.52</v>
      </c>
      <c r="V44" s="15"/>
    </row>
    <row r="45" spans="1:22" x14ac:dyDescent="0.2">
      <c r="B45" s="120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5"/>
    </row>
    <row r="46" spans="1:22" x14ac:dyDescent="0.2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3.5" thickBot="1" x14ac:dyDescent="0.25">
      <c r="B47" s="10" t="s">
        <v>2540</v>
      </c>
      <c r="C47" s="41">
        <f>C38+C44</f>
        <v>-190856967.22000003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41">
        <f>U38+U44</f>
        <v>-169774451.54000002</v>
      </c>
      <c r="V47" s="15"/>
    </row>
    <row r="48" spans="1:22" ht="13.5" thickTop="1" x14ac:dyDescent="0.2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1" x14ac:dyDescent="0.2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x14ac:dyDescent="0.2">
      <c r="C50" s="166" t="s">
        <v>2541</v>
      </c>
      <c r="D50" s="166"/>
      <c r="E50" s="166"/>
      <c r="F50" s="166"/>
      <c r="G50" s="166"/>
      <c r="H50" s="54"/>
      <c r="I50" s="54"/>
      <c r="J50" s="54"/>
      <c r="K50" s="166" t="s">
        <v>2542</v>
      </c>
      <c r="L50" s="166"/>
      <c r="M50" s="166"/>
      <c r="N50" s="54"/>
      <c r="O50" s="54"/>
      <c r="P50" s="54"/>
      <c r="Q50" s="54"/>
      <c r="R50" s="54"/>
      <c r="S50" s="54"/>
      <c r="T50" s="54"/>
    </row>
    <row r="51" spans="3:21" x14ac:dyDescent="0.2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39"/>
    </row>
    <row r="52" spans="3:21" x14ac:dyDescent="0.2">
      <c r="C52" s="54" t="s">
        <v>2543</v>
      </c>
      <c r="D52" s="54"/>
      <c r="E52" s="54" t="s">
        <v>2544</v>
      </c>
      <c r="F52" s="54"/>
      <c r="G52" s="54">
        <v>7975010.6900000004</v>
      </c>
      <c r="H52" s="54"/>
      <c r="I52" s="54"/>
      <c r="J52" s="54"/>
      <c r="K52" s="54" t="s">
        <v>2543</v>
      </c>
      <c r="L52" s="54"/>
      <c r="M52" s="54" t="s">
        <v>2545</v>
      </c>
      <c r="N52" s="54"/>
      <c r="O52" s="54">
        <v>127470277.11</v>
      </c>
      <c r="P52" s="54"/>
      <c r="Q52" s="54"/>
      <c r="R52" s="54"/>
      <c r="S52" s="54"/>
      <c r="T52" s="54"/>
    </row>
    <row r="53" spans="3:21" x14ac:dyDescent="0.2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 t="s">
        <v>2546</v>
      </c>
      <c r="N53" s="54"/>
      <c r="O53" s="54">
        <v>0</v>
      </c>
      <c r="P53" s="54"/>
      <c r="Q53" s="54"/>
      <c r="R53" s="54"/>
      <c r="S53" s="54"/>
      <c r="T53" s="54"/>
    </row>
    <row r="54" spans="3:21" x14ac:dyDescent="0.2">
      <c r="C54" s="54"/>
      <c r="D54" s="54"/>
      <c r="E54" s="54"/>
      <c r="F54" s="54"/>
      <c r="G54" s="167">
        <f>SUM(G52:G53)</f>
        <v>7975010.6900000004</v>
      </c>
      <c r="H54" s="54"/>
      <c r="I54" s="54"/>
      <c r="J54" s="54"/>
      <c r="K54" s="54"/>
      <c r="L54" s="54"/>
      <c r="M54" s="54"/>
      <c r="N54" s="54"/>
      <c r="O54" s="167">
        <f>SUM(O52:O53)</f>
        <v>127470277.11</v>
      </c>
      <c r="P54" s="54"/>
      <c r="Q54" s="54"/>
      <c r="R54" s="54"/>
      <c r="S54" s="54"/>
      <c r="T54" s="54"/>
    </row>
    <row r="55" spans="3:21" x14ac:dyDescent="0.2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3:21" x14ac:dyDescent="0.2">
      <c r="C56" s="54" t="s">
        <v>2547</v>
      </c>
      <c r="D56" s="54"/>
      <c r="E56" s="54"/>
      <c r="F56" s="54"/>
      <c r="G56" s="54"/>
      <c r="H56" s="54"/>
      <c r="I56" s="54"/>
      <c r="J56" s="54"/>
      <c r="K56" s="54" t="s">
        <v>2547</v>
      </c>
      <c r="L56" s="54"/>
      <c r="M56" s="54"/>
      <c r="N56" s="54"/>
      <c r="O56" s="54"/>
      <c r="P56" s="54"/>
      <c r="Q56" s="54"/>
      <c r="R56" s="54"/>
      <c r="S56" s="54"/>
      <c r="T56" s="54"/>
    </row>
    <row r="57" spans="3:21" x14ac:dyDescent="0.2">
      <c r="C57" s="54"/>
      <c r="D57" s="54"/>
      <c r="E57" s="54" t="s">
        <v>2537</v>
      </c>
      <c r="F57" s="54"/>
      <c r="G57" s="54">
        <f>-U42</f>
        <v>0</v>
      </c>
      <c r="H57" s="54"/>
      <c r="I57" s="54"/>
      <c r="J57" s="54"/>
      <c r="K57" s="54"/>
      <c r="L57" s="54"/>
      <c r="M57" s="54" t="s">
        <v>2537</v>
      </c>
      <c r="N57" s="54"/>
      <c r="O57" s="54">
        <f>-U26</f>
        <v>120294782.7</v>
      </c>
      <c r="P57" s="54"/>
      <c r="Q57" s="54"/>
      <c r="R57" s="54"/>
      <c r="S57" s="54"/>
      <c r="T57" s="54"/>
    </row>
    <row r="58" spans="3:21" x14ac:dyDescent="0.2">
      <c r="C58" s="54"/>
      <c r="D58" s="54"/>
      <c r="E58" s="168" t="s">
        <v>2548</v>
      </c>
      <c r="F58" s="54"/>
      <c r="G58" s="54">
        <f>-U41*0.7</f>
        <v>7975010.7359999996</v>
      </c>
      <c r="H58" s="54"/>
      <c r="I58" s="54"/>
      <c r="J58" s="54"/>
      <c r="K58" s="54" t="s">
        <v>2535</v>
      </c>
      <c r="L58" s="54"/>
      <c r="M58" s="54">
        <f>-U13</f>
        <v>10250706.24</v>
      </c>
      <c r="P58" s="54"/>
      <c r="Q58" s="54"/>
      <c r="R58" s="54"/>
      <c r="S58" s="54"/>
      <c r="T58" s="54"/>
    </row>
    <row r="59" spans="3:21" x14ac:dyDescent="0.2">
      <c r="C59" s="54"/>
      <c r="D59" s="54"/>
      <c r="E59" s="54"/>
      <c r="F59" s="54"/>
      <c r="G59" s="167">
        <f>SUM(G57:G58)</f>
        <v>7975010.7359999996</v>
      </c>
      <c r="H59" s="54"/>
      <c r="I59" s="54"/>
      <c r="J59" s="54"/>
      <c r="K59" s="3" t="s">
        <v>2549</v>
      </c>
      <c r="M59" s="39">
        <f>+'KY_Res by Plant Acct-P29 (Reg)'!D477</f>
        <v>0</v>
      </c>
      <c r="O59" s="39">
        <f>-M59</f>
        <v>0</v>
      </c>
      <c r="P59" s="54"/>
      <c r="Q59" s="54"/>
      <c r="R59" s="54"/>
      <c r="S59" s="54"/>
      <c r="T59" s="54"/>
    </row>
    <row r="60" spans="3:21" x14ac:dyDescent="0.2">
      <c r="C60" s="54"/>
      <c r="D60" s="54"/>
      <c r="E60" s="54"/>
      <c r="F60" s="54"/>
      <c r="G60" s="54"/>
      <c r="H60" s="54"/>
      <c r="I60" s="54"/>
      <c r="J60" s="54"/>
      <c r="K60" s="54" t="s">
        <v>2535</v>
      </c>
      <c r="M60" s="167">
        <f>+M58+M59</f>
        <v>10250706.24</v>
      </c>
      <c r="P60" s="54"/>
      <c r="Q60" s="54"/>
      <c r="R60" s="54"/>
      <c r="S60" s="54"/>
      <c r="T60" s="54"/>
    </row>
    <row r="61" spans="3:21" ht="13.5" thickBot="1" x14ac:dyDescent="0.25">
      <c r="C61" s="54"/>
      <c r="D61" s="54"/>
      <c r="E61" s="54" t="s">
        <v>2550</v>
      </c>
      <c r="F61" s="54"/>
      <c r="G61" s="169">
        <f>G59-G54</f>
        <v>4.5999999158084393E-2</v>
      </c>
      <c r="H61" s="54"/>
      <c r="I61" s="54"/>
      <c r="J61" s="54"/>
      <c r="K61" s="54" t="s">
        <v>2551</v>
      </c>
      <c r="L61" s="54"/>
      <c r="M61" s="170">
        <v>0.7</v>
      </c>
      <c r="O61" s="54">
        <f>ROUND(+M60*M61,2)</f>
        <v>7175494.3700000001</v>
      </c>
      <c r="P61" s="54"/>
      <c r="Q61" s="102"/>
      <c r="R61" s="54"/>
      <c r="S61" s="54"/>
      <c r="T61" s="54"/>
    </row>
    <row r="62" spans="3:21" ht="13.5" thickTop="1" x14ac:dyDescent="0.2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167">
        <f>SUM(O57:O61)</f>
        <v>127470277.07000001</v>
      </c>
      <c r="P62" s="54"/>
      <c r="Q62" s="102"/>
      <c r="R62" s="54"/>
      <c r="S62" s="54"/>
      <c r="T62" s="54"/>
    </row>
    <row r="63" spans="3:21" x14ac:dyDescent="0.2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3:21" ht="13.5" thickBot="1" x14ac:dyDescent="0.2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 t="s">
        <v>2550</v>
      </c>
      <c r="N64" s="54"/>
      <c r="O64" s="169">
        <f>O62-O54</f>
        <v>-3.9999991655349731E-2</v>
      </c>
      <c r="P64" s="54"/>
      <c r="Q64" s="54"/>
      <c r="R64" s="54"/>
      <c r="S64" s="54"/>
      <c r="T64" s="54"/>
    </row>
    <row r="65" spans="3:20" ht="13.5" thickTop="1" x14ac:dyDescent="0.2">
      <c r="C65" s="168" t="s">
        <v>2552</v>
      </c>
      <c r="D65" s="54"/>
      <c r="E65" s="54" t="s">
        <v>2544</v>
      </c>
      <c r="F65" s="54"/>
      <c r="G65" s="54">
        <v>3417902.83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3:20" x14ac:dyDescent="0.2">
      <c r="C66" s="54"/>
      <c r="D66" s="54"/>
      <c r="E66" s="54"/>
      <c r="F66" s="54"/>
      <c r="G66" s="54"/>
      <c r="H66" s="54"/>
      <c r="I66" s="54"/>
      <c r="J66" s="54"/>
      <c r="K66" s="168" t="s">
        <v>2552</v>
      </c>
      <c r="L66" s="54"/>
      <c r="M66" s="54" t="s">
        <v>2545</v>
      </c>
      <c r="N66" s="54"/>
      <c r="O66" s="54">
        <v>30911260.98</v>
      </c>
      <c r="P66" s="54"/>
      <c r="Q66" s="54"/>
      <c r="R66" s="54"/>
      <c r="S66" s="54"/>
      <c r="T66" s="54"/>
    </row>
    <row r="67" spans="3:20" x14ac:dyDescent="0.2">
      <c r="C67" s="54"/>
      <c r="D67" s="54"/>
      <c r="E67" s="54"/>
      <c r="F67" s="54"/>
      <c r="G67" s="167">
        <f>SUM(G65:G66)</f>
        <v>3417902.83</v>
      </c>
      <c r="H67" s="54"/>
      <c r="I67" s="54"/>
      <c r="J67" s="54"/>
      <c r="K67" s="54"/>
      <c r="L67" s="54"/>
      <c r="M67" s="54" t="s">
        <v>2546</v>
      </c>
      <c r="N67" s="54"/>
      <c r="O67" s="54">
        <v>0</v>
      </c>
      <c r="P67" s="54"/>
      <c r="Q67" s="54"/>
      <c r="R67" s="54"/>
      <c r="S67" s="54"/>
      <c r="T67" s="54"/>
    </row>
    <row r="68" spans="3:20" x14ac:dyDescent="0.2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167">
        <f>SUM(O66:O67)</f>
        <v>30911260.98</v>
      </c>
      <c r="P68" s="54"/>
      <c r="Q68" s="54"/>
      <c r="R68" s="54"/>
      <c r="S68" s="54"/>
      <c r="T68" s="54"/>
    </row>
    <row r="69" spans="3:20" x14ac:dyDescent="0.2">
      <c r="C69" s="54" t="s">
        <v>2547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3:20" x14ac:dyDescent="0.2">
      <c r="C70" s="54"/>
      <c r="D70" s="54"/>
      <c r="E70" s="54" t="s">
        <v>2553</v>
      </c>
      <c r="F70" s="54"/>
      <c r="G70" s="54">
        <f>-U43</f>
        <v>41.04</v>
      </c>
      <c r="H70" s="54"/>
      <c r="I70" s="54"/>
      <c r="J70" s="54"/>
      <c r="K70" s="54" t="s">
        <v>2547</v>
      </c>
      <c r="L70" s="54"/>
      <c r="M70" s="54"/>
      <c r="N70" s="54"/>
      <c r="O70" s="54"/>
      <c r="P70" s="54"/>
      <c r="Q70" s="54"/>
      <c r="R70" s="54"/>
      <c r="S70" s="54"/>
      <c r="T70" s="54"/>
    </row>
    <row r="71" spans="3:20" x14ac:dyDescent="0.2">
      <c r="C71" s="54"/>
      <c r="D71" s="54"/>
      <c r="E71" s="168" t="s">
        <v>2554</v>
      </c>
      <c r="F71" s="54"/>
      <c r="G71" s="54">
        <f>-U41*0.3</f>
        <v>3417861.7439999999</v>
      </c>
      <c r="H71" s="54"/>
      <c r="I71" s="54"/>
      <c r="J71" s="54"/>
      <c r="K71" s="54"/>
      <c r="L71" s="54"/>
      <c r="M71" s="54" t="s">
        <v>2553</v>
      </c>
      <c r="N71" s="54"/>
      <c r="O71" s="54">
        <f>-U36</f>
        <v>27836049.079999998</v>
      </c>
      <c r="P71" s="54"/>
      <c r="Q71" s="54"/>
      <c r="R71" s="54"/>
      <c r="S71" s="54"/>
      <c r="T71" s="54"/>
    </row>
    <row r="72" spans="3:20" x14ac:dyDescent="0.2">
      <c r="C72" s="54"/>
      <c r="D72" s="54"/>
      <c r="E72" s="54"/>
      <c r="F72" s="54"/>
      <c r="G72" s="167">
        <f>SUM(G70:G71)</f>
        <v>3417902.784</v>
      </c>
      <c r="H72" s="54"/>
      <c r="I72" s="54"/>
      <c r="J72" s="54"/>
      <c r="K72" s="54" t="s">
        <v>2535</v>
      </c>
      <c r="L72" s="54"/>
      <c r="M72" s="54">
        <f>-U13</f>
        <v>10250706.24</v>
      </c>
      <c r="N72" s="54"/>
      <c r="O72" s="54"/>
      <c r="P72" s="54"/>
      <c r="Q72" s="54"/>
      <c r="R72" s="54"/>
      <c r="S72" s="54"/>
      <c r="T72" s="54"/>
    </row>
    <row r="73" spans="3:20" x14ac:dyDescent="0.2">
      <c r="C73" s="54"/>
      <c r="D73" s="54"/>
      <c r="E73" s="54"/>
      <c r="F73" s="54"/>
      <c r="G73" s="54"/>
      <c r="H73" s="54"/>
      <c r="I73" s="54"/>
      <c r="J73" s="54"/>
      <c r="K73" s="3" t="s">
        <v>2549</v>
      </c>
      <c r="M73" s="39">
        <f>+M59</f>
        <v>0</v>
      </c>
      <c r="N73" s="54"/>
      <c r="O73" s="54"/>
      <c r="P73" s="54"/>
      <c r="Q73" s="54"/>
      <c r="R73" s="54"/>
      <c r="S73" s="54"/>
      <c r="T73" s="54"/>
    </row>
    <row r="74" spans="3:20" ht="13.5" thickBot="1" x14ac:dyDescent="0.25">
      <c r="C74" s="54"/>
      <c r="D74" s="54"/>
      <c r="E74" s="54" t="s">
        <v>2550</v>
      </c>
      <c r="F74" s="54"/>
      <c r="G74" s="169">
        <f>G72-G67</f>
        <v>-4.6000000089406967E-2</v>
      </c>
      <c r="H74" s="54"/>
      <c r="I74" s="54"/>
      <c r="J74" s="54"/>
      <c r="K74" s="54" t="s">
        <v>2535</v>
      </c>
      <c r="M74" s="167">
        <f>+M72+M73</f>
        <v>10250706.24</v>
      </c>
      <c r="N74" s="54"/>
      <c r="O74" s="54"/>
      <c r="P74" s="54"/>
      <c r="Q74" s="102"/>
      <c r="R74" s="54"/>
      <c r="S74" s="54"/>
      <c r="T74" s="54"/>
    </row>
    <row r="75" spans="3:20" ht="13.5" thickTop="1" x14ac:dyDescent="0.2">
      <c r="C75" s="54"/>
      <c r="D75" s="54"/>
      <c r="E75" s="54"/>
      <c r="F75" s="54"/>
      <c r="G75" s="54"/>
      <c r="H75" s="54"/>
      <c r="I75" s="54"/>
      <c r="J75" s="54"/>
      <c r="K75" s="54" t="s">
        <v>2551</v>
      </c>
      <c r="L75" s="54"/>
      <c r="M75" s="170">
        <v>0.3</v>
      </c>
      <c r="N75" s="54"/>
      <c r="O75" s="54">
        <f>ROUND(+M74*M75,2)</f>
        <v>3075211.87</v>
      </c>
      <c r="P75" s="54"/>
      <c r="Q75" s="54"/>
      <c r="R75" s="54"/>
      <c r="S75" s="54"/>
      <c r="T75" s="54"/>
    </row>
    <row r="76" spans="3:20" x14ac:dyDescent="0.2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167">
        <f>SUM(O71:O75)</f>
        <v>30911260.949999999</v>
      </c>
      <c r="P76" s="54"/>
      <c r="Q76" s="54"/>
      <c r="R76" s="54"/>
      <c r="S76" s="54"/>
      <c r="T76" s="54"/>
    </row>
    <row r="77" spans="3:20" x14ac:dyDescent="0.2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3:20" ht="13.5" thickBot="1" x14ac:dyDescent="0.2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 t="s">
        <v>2550</v>
      </c>
      <c r="N78" s="54"/>
      <c r="O78" s="169">
        <f>O76-O68</f>
        <v>-3.0000001192092896E-2</v>
      </c>
      <c r="P78" s="54"/>
      <c r="Q78" s="54"/>
      <c r="R78" s="54"/>
      <c r="S78" s="54"/>
      <c r="T78" s="54"/>
    </row>
    <row r="79" spans="3:20" ht="13.5" thickTop="1" x14ac:dyDescent="0.2">
      <c r="C79" s="54"/>
      <c r="D79" s="54"/>
      <c r="E79" s="54"/>
      <c r="F79" s="54"/>
      <c r="G79" s="54"/>
      <c r="H79" s="54"/>
      <c r="I79" s="54"/>
      <c r="J79" s="54"/>
      <c r="P79" s="54"/>
      <c r="Q79" s="54"/>
      <c r="R79" s="54"/>
      <c r="S79" s="54"/>
      <c r="T79" s="54"/>
    </row>
    <row r="80" spans="3:20" x14ac:dyDescent="0.2">
      <c r="C80" s="54"/>
      <c r="D80" s="54"/>
      <c r="E80" s="54"/>
      <c r="F80" s="54"/>
      <c r="G80" s="54"/>
      <c r="H80" s="54"/>
      <c r="I80" s="54"/>
      <c r="J80" s="54"/>
      <c r="O80" s="54">
        <f>O64+O78</f>
        <v>-6.9999992847442627E-2</v>
      </c>
      <c r="P80" s="54"/>
      <c r="Q80" s="54"/>
      <c r="R80" s="54"/>
      <c r="S80" s="54"/>
      <c r="T80" s="54"/>
    </row>
    <row r="81" spans="3:20" x14ac:dyDescent="0.2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3:20" x14ac:dyDescent="0.2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3:20" x14ac:dyDescent="0.2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3:20" x14ac:dyDescent="0.2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3:20" x14ac:dyDescent="0.2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3:20" x14ac:dyDescent="0.2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3:20" x14ac:dyDescent="0.2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3:20" x14ac:dyDescent="0.2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20" x14ac:dyDescent="0.2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3:20" x14ac:dyDescent="0.2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20" x14ac:dyDescent="0.2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3:20" x14ac:dyDescent="0.2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3:20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3:20" x14ac:dyDescent="0.2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3:20" x14ac:dyDescent="0.2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3:20" x14ac:dyDescent="0.2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  <row r="97" spans="3:20" x14ac:dyDescent="0.2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</row>
    <row r="98" spans="3:20" x14ac:dyDescent="0.2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</row>
    <row r="99" spans="3:20" x14ac:dyDescent="0.2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</row>
    <row r="100" spans="3:20" x14ac:dyDescent="0.2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3:20" x14ac:dyDescent="0.2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3:20" x14ac:dyDescent="0.2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3:20" x14ac:dyDescent="0.2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3:20" x14ac:dyDescent="0.2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3:20" x14ac:dyDescent="0.2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3:20" x14ac:dyDescent="0.2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3:20" x14ac:dyDescent="0.2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3:20" x14ac:dyDescent="0.2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3:20" x14ac:dyDescent="0.2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3:20" x14ac:dyDescent="0.2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3:20" x14ac:dyDescent="0.2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3:20" x14ac:dyDescent="0.2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3:20" x14ac:dyDescent="0.2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3:20" x14ac:dyDescent="0.2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3:20" x14ac:dyDescent="0.2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3:20" x14ac:dyDescent="0.2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3:20" x14ac:dyDescent="0.2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</row>
    <row r="118" spans="3:20" x14ac:dyDescent="0.2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</row>
    <row r="119" spans="3:20" x14ac:dyDescent="0.2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</row>
    <row r="120" spans="3:20" x14ac:dyDescent="0.2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</row>
    <row r="121" spans="3:20" x14ac:dyDescent="0.2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</row>
    <row r="122" spans="3:20" x14ac:dyDescent="0.2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</row>
    <row r="123" spans="3:20" x14ac:dyDescent="0.2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</row>
    <row r="124" spans="3:20" x14ac:dyDescent="0.2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</row>
    <row r="125" spans="3:20" x14ac:dyDescent="0.2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</row>
    <row r="126" spans="3:20" x14ac:dyDescent="0.2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</row>
    <row r="127" spans="3:20" x14ac:dyDescent="0.2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</row>
    <row r="128" spans="3:20" x14ac:dyDescent="0.2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3:20" x14ac:dyDescent="0.2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3:20" x14ac:dyDescent="0.2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3:20" x14ac:dyDescent="0.2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3:20" x14ac:dyDescent="0.2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</row>
    <row r="133" spans="3:20" x14ac:dyDescent="0.2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</row>
    <row r="134" spans="3:20" x14ac:dyDescent="0.2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</row>
    <row r="135" spans="3:20" x14ac:dyDescent="0.2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</row>
    <row r="136" spans="3:20" x14ac:dyDescent="0.2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  <row r="137" spans="3:20" x14ac:dyDescent="0.2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</row>
    <row r="138" spans="3:20" x14ac:dyDescent="0.2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</row>
    <row r="139" spans="3:20" x14ac:dyDescent="0.2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</row>
    <row r="140" spans="3:20" x14ac:dyDescent="0.2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</row>
    <row r="141" spans="3:20" x14ac:dyDescent="0.2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</row>
    <row r="142" spans="3:20" x14ac:dyDescent="0.2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</row>
    <row r="143" spans="3:20" x14ac:dyDescent="0.2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</row>
    <row r="144" spans="3:20" x14ac:dyDescent="0.2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</row>
    <row r="145" spans="3:20" x14ac:dyDescent="0.2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</row>
    <row r="146" spans="3:20" x14ac:dyDescent="0.2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</row>
    <row r="147" spans="3:20" x14ac:dyDescent="0.2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</row>
    <row r="148" spans="3:20" x14ac:dyDescent="0.2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</row>
    <row r="149" spans="3:20" x14ac:dyDescent="0.2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</row>
    <row r="150" spans="3:20" x14ac:dyDescent="0.2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</row>
    <row r="151" spans="3:20" x14ac:dyDescent="0.2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</row>
    <row r="152" spans="3:20" x14ac:dyDescent="0.2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</row>
    <row r="153" spans="3:20" x14ac:dyDescent="0.2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</row>
    <row r="154" spans="3:20" x14ac:dyDescent="0.2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</row>
    <row r="155" spans="3:20" x14ac:dyDescent="0.2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</row>
    <row r="156" spans="3:20" x14ac:dyDescent="0.2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3:20" x14ac:dyDescent="0.2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3:20" x14ac:dyDescent="0.2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3:20" x14ac:dyDescent="0.2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3:20" x14ac:dyDescent="0.2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3:20" x14ac:dyDescent="0.2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3:20" x14ac:dyDescent="0.2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3:20" x14ac:dyDescent="0.2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</row>
    <row r="164" spans="3:20" x14ac:dyDescent="0.2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</row>
    <row r="165" spans="3:20" x14ac:dyDescent="0.2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</row>
    <row r="166" spans="3:20" x14ac:dyDescent="0.2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</row>
    <row r="167" spans="3:20" x14ac:dyDescent="0.2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</row>
    <row r="168" spans="3:20" x14ac:dyDescent="0.2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</row>
    <row r="169" spans="3:20" x14ac:dyDescent="0.2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</row>
    <row r="170" spans="3:20" x14ac:dyDescent="0.2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</row>
    <row r="171" spans="3:20" x14ac:dyDescent="0.2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</row>
    <row r="172" spans="3:20" x14ac:dyDescent="0.2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spans="3:20" x14ac:dyDescent="0.2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</row>
    <row r="174" spans="3:20" x14ac:dyDescent="0.2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</row>
    <row r="175" spans="3:20" x14ac:dyDescent="0.2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</row>
    <row r="176" spans="3:20" x14ac:dyDescent="0.2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</row>
    <row r="177" spans="3:20" x14ac:dyDescent="0.2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</row>
    <row r="178" spans="3:20" x14ac:dyDescent="0.2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</row>
    <row r="179" spans="3:20" x14ac:dyDescent="0.2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</row>
    <row r="180" spans="3:20" x14ac:dyDescent="0.2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</row>
    <row r="181" spans="3:20" x14ac:dyDescent="0.2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</row>
    <row r="182" spans="3:20" x14ac:dyDescent="0.2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</row>
    <row r="183" spans="3:20" x14ac:dyDescent="0.2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</row>
    <row r="184" spans="3:20" x14ac:dyDescent="0.2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3:20" x14ac:dyDescent="0.2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</row>
    <row r="186" spans="3:20" x14ac:dyDescent="0.2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</row>
    <row r="187" spans="3:20" x14ac:dyDescent="0.2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3:20" x14ac:dyDescent="0.2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</row>
    <row r="189" spans="3:20" x14ac:dyDescent="0.2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</row>
    <row r="190" spans="3:20" x14ac:dyDescent="0.2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</row>
    <row r="191" spans="3:20" x14ac:dyDescent="0.2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</row>
    <row r="192" spans="3:20" x14ac:dyDescent="0.2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</row>
    <row r="193" spans="3:20" x14ac:dyDescent="0.2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</row>
    <row r="194" spans="3:20" x14ac:dyDescent="0.2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</row>
    <row r="195" spans="3:20" x14ac:dyDescent="0.2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</row>
    <row r="196" spans="3:20" x14ac:dyDescent="0.2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</row>
    <row r="197" spans="3:20" x14ac:dyDescent="0.2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</row>
    <row r="198" spans="3:20" x14ac:dyDescent="0.2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</row>
    <row r="199" spans="3:20" x14ac:dyDescent="0.2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</row>
    <row r="200" spans="3:20" x14ac:dyDescent="0.2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</row>
    <row r="201" spans="3:20" x14ac:dyDescent="0.2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</row>
    <row r="202" spans="3:20" x14ac:dyDescent="0.2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</row>
    <row r="203" spans="3:20" x14ac:dyDescent="0.2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</row>
    <row r="204" spans="3:20" x14ac:dyDescent="0.2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</row>
    <row r="205" spans="3:20" x14ac:dyDescent="0.2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</row>
    <row r="206" spans="3:20" x14ac:dyDescent="0.2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</row>
    <row r="207" spans="3:20" x14ac:dyDescent="0.2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</row>
    <row r="208" spans="3:20" x14ac:dyDescent="0.2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</row>
    <row r="209" spans="3:20" x14ac:dyDescent="0.2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</row>
    <row r="210" spans="3:20" x14ac:dyDescent="0.2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</row>
    <row r="211" spans="3:20" x14ac:dyDescent="0.2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3:20" x14ac:dyDescent="0.2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3:20" x14ac:dyDescent="0.2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</row>
    <row r="214" spans="3:20" x14ac:dyDescent="0.2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</row>
    <row r="215" spans="3:20" x14ac:dyDescent="0.2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3:20" x14ac:dyDescent="0.2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3:20" x14ac:dyDescent="0.2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spans="3:20" x14ac:dyDescent="0.2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</row>
    <row r="219" spans="3:20" x14ac:dyDescent="0.2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</row>
    <row r="220" spans="3:20" x14ac:dyDescent="0.2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</row>
    <row r="221" spans="3:20" x14ac:dyDescent="0.2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</row>
    <row r="222" spans="3:20" x14ac:dyDescent="0.2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</row>
    <row r="223" spans="3:20" x14ac:dyDescent="0.2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</row>
    <row r="224" spans="3:20" x14ac:dyDescent="0.2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</row>
    <row r="225" spans="3:20" x14ac:dyDescent="0.2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</row>
    <row r="226" spans="3:20" x14ac:dyDescent="0.2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</row>
    <row r="227" spans="3:20" x14ac:dyDescent="0.2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</row>
    <row r="228" spans="3:20" x14ac:dyDescent="0.2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</row>
    <row r="229" spans="3:20" x14ac:dyDescent="0.2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</row>
    <row r="230" spans="3:20" x14ac:dyDescent="0.2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</row>
    <row r="231" spans="3:20" x14ac:dyDescent="0.2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</row>
    <row r="232" spans="3:20" x14ac:dyDescent="0.2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</row>
    <row r="233" spans="3:20" x14ac:dyDescent="0.2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</row>
    <row r="234" spans="3:20" x14ac:dyDescent="0.2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</row>
    <row r="235" spans="3:20" x14ac:dyDescent="0.2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3:20" x14ac:dyDescent="0.2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</row>
    <row r="237" spans="3:20" x14ac:dyDescent="0.2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</row>
    <row r="238" spans="3:20" x14ac:dyDescent="0.2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</row>
    <row r="239" spans="3:20" x14ac:dyDescent="0.2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</row>
    <row r="240" spans="3:20" x14ac:dyDescent="0.2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</row>
    <row r="241" spans="3:20" x14ac:dyDescent="0.2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</row>
    <row r="242" spans="3:20" x14ac:dyDescent="0.2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</row>
    <row r="243" spans="3:20" x14ac:dyDescent="0.2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</row>
    <row r="244" spans="3:20" x14ac:dyDescent="0.2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</row>
    <row r="245" spans="3:20" x14ac:dyDescent="0.2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</row>
    <row r="246" spans="3:20" x14ac:dyDescent="0.2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</row>
    <row r="247" spans="3:20" x14ac:dyDescent="0.2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</row>
    <row r="248" spans="3:20" x14ac:dyDescent="0.2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</row>
    <row r="249" spans="3:20" x14ac:dyDescent="0.2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</row>
    <row r="250" spans="3:20" x14ac:dyDescent="0.2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</row>
    <row r="251" spans="3:20" x14ac:dyDescent="0.2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</row>
    <row r="252" spans="3:20" x14ac:dyDescent="0.2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</row>
    <row r="253" spans="3:20" x14ac:dyDescent="0.2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</row>
    <row r="254" spans="3:20" x14ac:dyDescent="0.2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</row>
    <row r="255" spans="3:20" x14ac:dyDescent="0.2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</row>
    <row r="256" spans="3:20" x14ac:dyDescent="0.2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</row>
    <row r="257" spans="3:20" x14ac:dyDescent="0.2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</row>
    <row r="258" spans="3:20" x14ac:dyDescent="0.2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spans="3:20" x14ac:dyDescent="0.2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3:20" x14ac:dyDescent="0.2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3:20" x14ac:dyDescent="0.2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</row>
    <row r="262" spans="3:20" x14ac:dyDescent="0.2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</row>
    <row r="263" spans="3:20" x14ac:dyDescent="0.2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</row>
    <row r="264" spans="3:20" x14ac:dyDescent="0.2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</row>
    <row r="265" spans="3:20" x14ac:dyDescent="0.2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</row>
    <row r="266" spans="3:20" x14ac:dyDescent="0.2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</row>
    <row r="267" spans="3:20" x14ac:dyDescent="0.2"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</row>
    <row r="268" spans="3:20" x14ac:dyDescent="0.2"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</row>
    <row r="269" spans="3:20" x14ac:dyDescent="0.2"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</row>
    <row r="270" spans="3:20" x14ac:dyDescent="0.2"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</row>
    <row r="271" spans="3:20" x14ac:dyDescent="0.2"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</row>
    <row r="272" spans="3:20" x14ac:dyDescent="0.2"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</row>
    <row r="273" spans="3:20" x14ac:dyDescent="0.2"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</row>
    <row r="274" spans="3:20" x14ac:dyDescent="0.2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</row>
    <row r="275" spans="3:20" x14ac:dyDescent="0.2"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</row>
    <row r="276" spans="3:20" x14ac:dyDescent="0.2"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</row>
    <row r="277" spans="3:20" x14ac:dyDescent="0.2"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</row>
    <row r="278" spans="3:20" x14ac:dyDescent="0.2"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</row>
    <row r="279" spans="3:20" x14ac:dyDescent="0.2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</row>
    <row r="280" spans="3:20" x14ac:dyDescent="0.2"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</row>
    <row r="281" spans="3:20" x14ac:dyDescent="0.2">
      <c r="K281" s="54"/>
      <c r="L281" s="54"/>
      <c r="M281" s="54"/>
      <c r="N281" s="54"/>
      <c r="O281" s="54"/>
    </row>
    <row r="282" spans="3:20" x14ac:dyDescent="0.2">
      <c r="K282" s="54"/>
      <c r="L282" s="54"/>
      <c r="M282" s="54"/>
      <c r="N282" s="54"/>
      <c r="O282" s="54"/>
    </row>
    <row r="283" spans="3:20" x14ac:dyDescent="0.2">
      <c r="K283" s="54"/>
      <c r="L283" s="54"/>
      <c r="M283" s="54"/>
      <c r="N283" s="54"/>
      <c r="O283" s="54"/>
    </row>
  </sheetData>
  <mergeCells count="3">
    <mergeCell ref="A1:S1"/>
    <mergeCell ref="A2:S2"/>
    <mergeCell ref="A3:S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61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4" width="16.7109375" style="3" customWidth="1"/>
    <col min="15" max="15" width="2.2851562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2555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" t="s">
        <v>2556</v>
      </c>
    </row>
    <row r="7" spans="1:16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</row>
    <row r="10" spans="1:16" x14ac:dyDescent="0.2">
      <c r="A10" s="10" t="s">
        <v>2562</v>
      </c>
    </row>
    <row r="11" spans="1:16" x14ac:dyDescent="0.2">
      <c r="A11" s="3" t="s">
        <v>245</v>
      </c>
      <c r="B11" s="138">
        <f>'KY_Cost Plant Acct-Comm-P8(Reg)'!B11</f>
        <v>1564394.3699999999</v>
      </c>
      <c r="C11" s="138"/>
      <c r="D11" s="138">
        <f>'KY_Cost Plant Acct-Comm-P8(Reg)'!D11</f>
        <v>0</v>
      </c>
      <c r="E11" s="138"/>
      <c r="F11" s="138">
        <f>'KY_Cost Plant Acct-Comm-P8(Reg)'!F11</f>
        <v>0</v>
      </c>
      <c r="G11" s="138"/>
      <c r="H11" s="138">
        <f>'KY_Cost Plant Acct-Comm-P8(Reg)'!H11</f>
        <v>0</v>
      </c>
      <c r="I11" s="138"/>
      <c r="J11" s="138">
        <f t="shared" ref="J11:J40" si="0">H11+F11+D11</f>
        <v>0</v>
      </c>
      <c r="K11" s="138"/>
      <c r="L11" s="138">
        <f t="shared" ref="L11:L40" si="1">J11+B11</f>
        <v>1564394.3699999999</v>
      </c>
      <c r="M11" s="145"/>
      <c r="N11" s="39">
        <f>'KY_Res by Plant Acct-P29 (Reg)'!R462</f>
        <v>0</v>
      </c>
      <c r="P11" s="39">
        <f t="shared" ref="P11:P40" si="2">L11+N11</f>
        <v>1564394.3699999999</v>
      </c>
    </row>
    <row r="12" spans="1:16" x14ac:dyDescent="0.2">
      <c r="A12" s="3" t="s">
        <v>246</v>
      </c>
      <c r="B12" s="138">
        <f>'KY_Cost Plant Acct-Comm-P8(Reg)'!B12</f>
        <v>202094.94</v>
      </c>
      <c r="C12" s="138"/>
      <c r="D12" s="138">
        <f>'KY_Cost Plant Acct-Comm-P8(Reg)'!D12</f>
        <v>0</v>
      </c>
      <c r="E12" s="138"/>
      <c r="F12" s="138">
        <f>'KY_Cost Plant Acct-Comm-P8(Reg)'!F12</f>
        <v>0</v>
      </c>
      <c r="G12" s="138"/>
      <c r="H12" s="138">
        <f>'KY_Cost Plant Acct-Comm-P8(Reg)'!H12</f>
        <v>-202094.94</v>
      </c>
      <c r="I12" s="138"/>
      <c r="J12" s="138">
        <f t="shared" si="0"/>
        <v>-202094.94</v>
      </c>
      <c r="K12" s="138"/>
      <c r="L12" s="138">
        <f t="shared" si="1"/>
        <v>0</v>
      </c>
      <c r="M12" s="145"/>
      <c r="N12" s="39">
        <f>'KY_Res by Plant Acct-P29 (Reg)'!R463</f>
        <v>0</v>
      </c>
      <c r="P12" s="39">
        <f t="shared" si="2"/>
        <v>0</v>
      </c>
    </row>
    <row r="13" spans="1:16" x14ac:dyDescent="0.2">
      <c r="A13" s="3" t="s">
        <v>247</v>
      </c>
      <c r="B13" s="138">
        <f>'KY_Cost Plant Acct-Comm-P8(Reg)'!B13+'KY_Cost Plant Acct-Comm-P8(Reg)'!B49</f>
        <v>65673648.719999999</v>
      </c>
      <c r="C13" s="138"/>
      <c r="D13" s="138">
        <f>'KY_Cost Plant Acct-Comm-P8(Reg)'!D13+'KY_Cost Plant Acct-Comm-P8(Reg)'!D49</f>
        <v>2535402.08</v>
      </c>
      <c r="E13" s="138"/>
      <c r="F13" s="138">
        <f>'KY_Cost Plant Acct-Comm-P8(Reg)'!F13</f>
        <v>-224940.09</v>
      </c>
      <c r="G13" s="138"/>
      <c r="H13" s="138">
        <f>'KY_Cost Plant Acct-Comm-P8(Reg)'!H13</f>
        <v>-12074.4</v>
      </c>
      <c r="I13" s="138"/>
      <c r="J13" s="138">
        <f t="shared" si="0"/>
        <v>2298387.59</v>
      </c>
      <c r="K13" s="138"/>
      <c r="L13" s="138">
        <f t="shared" si="1"/>
        <v>67972036.310000002</v>
      </c>
      <c r="M13" s="145"/>
      <c r="N13" s="39">
        <f>'KY_Res by Plant Acct-P29 (Reg)'!R467+'KY_Res by Plant Acct-P29 (Reg)'!R464+'KY_Res by Plant Acct-P29 (Reg)'!R468+'KY_Res by Plant Acct-P29 (Reg)'!R466+'KY_Res by Plant Acct-P29 (Reg)'!R465</f>
        <v>-27685093.410000004</v>
      </c>
      <c r="P13" s="39">
        <f t="shared" si="2"/>
        <v>40286942.899999999</v>
      </c>
    </row>
    <row r="14" spans="1:16" x14ac:dyDescent="0.2">
      <c r="A14" s="3" t="s">
        <v>248</v>
      </c>
      <c r="B14" s="138">
        <f>'KY_Cost Plant Acct-Comm-P8(Reg)'!B14+'KY_Cost Plant Acct-Comm-P8(Reg)'!B50</f>
        <v>412150.57</v>
      </c>
      <c r="C14" s="138"/>
      <c r="D14" s="138">
        <f>'KY_Cost Plant Acct-Comm-P8(Reg)'!D14+'KY_Cost Plant Acct-Comm-P8(Reg)'!D50</f>
        <v>0</v>
      </c>
      <c r="E14" s="138"/>
      <c r="F14" s="138">
        <f>'KY_Cost Plant Acct-Comm-P8(Reg)'!F14</f>
        <v>0</v>
      </c>
      <c r="G14" s="138"/>
      <c r="H14" s="138">
        <f>'KY_Cost Plant Acct-Comm-P8(Reg)'!H14</f>
        <v>0</v>
      </c>
      <c r="I14" s="138"/>
      <c r="J14" s="138">
        <f>H14+F14+D14</f>
        <v>0</v>
      </c>
      <c r="K14" s="138"/>
      <c r="L14" s="138">
        <f>J14+B14</f>
        <v>412150.57</v>
      </c>
      <c r="M14" s="145"/>
      <c r="N14" s="39">
        <f>'KY_Res by Plant Acct-P29 (Reg)'!R469</f>
        <v>244232.80000000028</v>
      </c>
      <c r="P14" s="39">
        <f t="shared" si="2"/>
        <v>656383.37000000034</v>
      </c>
    </row>
    <row r="15" spans="1:16" x14ac:dyDescent="0.2">
      <c r="A15" s="141" t="s">
        <v>249</v>
      </c>
      <c r="B15" s="138">
        <f>'KY_Cost Plant Acct-Comm-P8(Reg)'!B15</f>
        <v>9814046.6999999993</v>
      </c>
      <c r="C15" s="138"/>
      <c r="D15" s="138">
        <f>'KY_Cost Plant Acct-Comm-P8(Reg)'!D15+'KY_Cost Plant Acct-Comm-P8(Reg)'!D51</f>
        <v>0</v>
      </c>
      <c r="E15" s="138"/>
      <c r="F15" s="138">
        <f>'KY_Cost Plant Acct-Comm-P8(Reg)'!F15+'KY_Cost Plant Acct-Comm-P8(Reg)'!F51</f>
        <v>-81110.28</v>
      </c>
      <c r="G15" s="138"/>
      <c r="H15" s="138">
        <f>'KY_Cost Plant Acct-Comm-P8(Reg)'!H15+'KY_Cost Plant Acct-Comm-P8(Reg)'!H51</f>
        <v>202094.94</v>
      </c>
      <c r="I15" s="138"/>
      <c r="J15" s="138">
        <f t="shared" si="0"/>
        <v>120984.66</v>
      </c>
      <c r="K15" s="138"/>
      <c r="L15" s="138">
        <f t="shared" si="1"/>
        <v>9935031.3599999994</v>
      </c>
      <c r="M15" s="145"/>
      <c r="N15" s="39">
        <f>'KY_Res by Plant Acct-P29 (Reg)'!R470</f>
        <v>-6782960.2799999993</v>
      </c>
      <c r="P15" s="39">
        <f t="shared" si="2"/>
        <v>3152071.08</v>
      </c>
    </row>
    <row r="16" spans="1:16" x14ac:dyDescent="0.2">
      <c r="A16" s="3" t="s">
        <v>250</v>
      </c>
      <c r="B16" s="138">
        <f>'KY_Cost Plant Acct-Comm-P8(Reg)'!B16</f>
        <v>707482.03999999992</v>
      </c>
      <c r="C16" s="138"/>
      <c r="D16" s="138">
        <f>'KY_Cost Plant Acct-Comm-P8(Reg)'!D16+'KY_Cost Plant Acct-Comm-P8(Reg)'!D52</f>
        <v>0</v>
      </c>
      <c r="E16" s="138"/>
      <c r="F16" s="138">
        <f>'KY_Cost Plant Acct-Comm-P8(Reg)'!F16</f>
        <v>0</v>
      </c>
      <c r="G16" s="138"/>
      <c r="H16" s="138">
        <f>'KY_Cost Plant Acct-Comm-P8(Reg)'!H16</f>
        <v>0</v>
      </c>
      <c r="I16" s="138"/>
      <c r="J16" s="138">
        <f t="shared" si="0"/>
        <v>0</v>
      </c>
      <c r="K16" s="138"/>
      <c r="L16" s="138">
        <f t="shared" si="1"/>
        <v>707482.03999999992</v>
      </c>
      <c r="M16" s="145"/>
      <c r="N16" s="39">
        <f>'KY_Res by Plant Acct-P29 (Reg)'!R471</f>
        <v>-198843.97000000003</v>
      </c>
      <c r="P16" s="39">
        <f t="shared" si="2"/>
        <v>508638.06999999989</v>
      </c>
    </row>
    <row r="17" spans="1:16" x14ac:dyDescent="0.2">
      <c r="A17" s="3" t="s">
        <v>251</v>
      </c>
      <c r="B17" s="138">
        <f>'KY_Cost Plant Acct-Comm-P8(Reg)'!B17+'KY_Cost Plant Acct-Comm-P8(Reg)'!B53</f>
        <v>1078816.3</v>
      </c>
      <c r="C17" s="138"/>
      <c r="D17" s="138">
        <f>'KY_Cost Plant Acct-Comm-P8(Reg)'!D17+'KY_Cost Plant Acct-Comm-P8(Reg)'!D53</f>
        <v>22809.19</v>
      </c>
      <c r="E17" s="138"/>
      <c r="F17" s="138">
        <f>'KY_Cost Plant Acct-Comm-P8(Reg)'!F17+'KY_Cost Plant Acct-Comm-P8(Reg)'!F53</f>
        <v>0</v>
      </c>
      <c r="G17" s="138"/>
      <c r="H17" s="138">
        <f>'KY_Cost Plant Acct-Comm-P8(Reg)'!H17+'KY_Cost Plant Acct-Comm-P8(Reg)'!H53</f>
        <v>0</v>
      </c>
      <c r="I17" s="138"/>
      <c r="J17" s="138">
        <f t="shared" si="0"/>
        <v>22809.19</v>
      </c>
      <c r="K17" s="138"/>
      <c r="L17" s="138">
        <f t="shared" si="1"/>
        <v>1101625.49</v>
      </c>
      <c r="M17" s="145"/>
      <c r="N17" s="39">
        <f>'KY_Res by Plant Acct-P29 (Reg)'!R472</f>
        <v>-369759.35000000003</v>
      </c>
      <c r="P17" s="39">
        <f t="shared" si="2"/>
        <v>731866.1399999999</v>
      </c>
    </row>
    <row r="18" spans="1:16" x14ac:dyDescent="0.2">
      <c r="A18" s="3" t="s">
        <v>252</v>
      </c>
      <c r="B18" s="138">
        <f>'KY_Cost Plant Acct-Comm-P8(Reg)'!B18+'KY_Cost Plant Acct-Comm-P8(Reg)'!B54</f>
        <v>6638230.8100000005</v>
      </c>
      <c r="C18" s="138"/>
      <c r="D18" s="138">
        <f>'KY_Cost Plant Acct-Comm-P8(Reg)'!D18+'KY_Cost Plant Acct-Comm-P8(Reg)'!D54</f>
        <v>741805.1</v>
      </c>
      <c r="E18" s="138"/>
      <c r="F18" s="138">
        <f>'KY_Cost Plant Acct-Comm-P8(Reg)'!F18</f>
        <v>-149020.1</v>
      </c>
      <c r="G18" s="138"/>
      <c r="H18" s="138">
        <f>'KY_Cost Plant Acct-Comm-P8(Reg)'!H18</f>
        <v>0</v>
      </c>
      <c r="I18" s="138"/>
      <c r="J18" s="138">
        <f t="shared" si="0"/>
        <v>592785</v>
      </c>
      <c r="K18" s="138"/>
      <c r="L18" s="138">
        <f t="shared" si="1"/>
        <v>7231015.8100000005</v>
      </c>
      <c r="M18" s="145"/>
      <c r="N18" s="39">
        <f>'KY_Res by Plant Acct-P29 (Reg)'!R473</f>
        <v>-6192845.7699999996</v>
      </c>
      <c r="P18" s="39">
        <f t="shared" si="2"/>
        <v>1038170.040000001</v>
      </c>
    </row>
    <row r="19" spans="1:16" x14ac:dyDescent="0.2">
      <c r="A19" s="3" t="s">
        <v>253</v>
      </c>
      <c r="B19" s="138">
        <f>'KY_Cost Plant Acct-Comm-P8(Reg)'!B19+'KY_Cost Plant Acct-Comm-P8(Reg)'!B55</f>
        <v>1249783.7199999997</v>
      </c>
      <c r="C19" s="138"/>
      <c r="D19" s="138">
        <f>'KY_Cost Plant Acct-Comm-P8(Reg)'!D19+'KY_Cost Plant Acct-Comm-P8(Reg)'!D55</f>
        <v>57027.29</v>
      </c>
      <c r="E19" s="138"/>
      <c r="F19" s="138">
        <f>'KY_Cost Plant Acct-Comm-P8(Reg)'!F19</f>
        <v>-177487.45</v>
      </c>
      <c r="G19" s="138"/>
      <c r="H19" s="138">
        <f>'KY_Cost Plant Acct-Comm-P8(Reg)'!H19</f>
        <v>0</v>
      </c>
      <c r="I19" s="138"/>
      <c r="J19" s="138">
        <f t="shared" si="0"/>
        <v>-120460.16</v>
      </c>
      <c r="K19" s="138"/>
      <c r="L19" s="138">
        <f t="shared" si="1"/>
        <v>1129323.5599999998</v>
      </c>
      <c r="M19" s="145"/>
      <c r="N19" s="39">
        <f>'KY_Res by Plant Acct-P29 (Reg)'!R474</f>
        <v>-295882.18000000028</v>
      </c>
      <c r="P19" s="39">
        <f t="shared" si="2"/>
        <v>833441.37999999954</v>
      </c>
    </row>
    <row r="20" spans="1:16" x14ac:dyDescent="0.2">
      <c r="A20" s="3" t="s">
        <v>254</v>
      </c>
      <c r="B20" s="138">
        <f>'KY_Cost Plant Acct-Comm-P8(Reg)'!B20+'KY_Cost Plant Acct-Comm-P8(Reg)'!B56</f>
        <v>23706408.169999998</v>
      </c>
      <c r="C20" s="138"/>
      <c r="D20" s="138">
        <f>'KY_Cost Plant Acct-Comm-P8(Reg)'!D20+'KY_Cost Plant Acct-Comm-P8(Reg)'!D56</f>
        <v>3365110.3699999996</v>
      </c>
      <c r="E20" s="138"/>
      <c r="F20" s="138">
        <f>'KY_Cost Plant Acct-Comm-P8(Reg)'!F20</f>
        <v>-4312339.99</v>
      </c>
      <c r="G20" s="138"/>
      <c r="H20" s="138">
        <f>'KY_Cost Plant Acct-Comm-P8(Reg)'!H20</f>
        <v>0</v>
      </c>
      <c r="I20" s="138"/>
      <c r="J20" s="138">
        <f t="shared" si="0"/>
        <v>-947229.62000000058</v>
      </c>
      <c r="K20" s="138"/>
      <c r="L20" s="138">
        <f t="shared" si="1"/>
        <v>22759178.549999997</v>
      </c>
      <c r="M20" s="145"/>
      <c r="N20" s="39">
        <f>'KY_Res by Plant Acct-P29 (Reg)'!R475</f>
        <v>-6616075.9699999988</v>
      </c>
      <c r="P20" s="39">
        <f t="shared" si="2"/>
        <v>16143102.579999998</v>
      </c>
    </row>
    <row r="21" spans="1:16" x14ac:dyDescent="0.2">
      <c r="A21" s="3" t="s">
        <v>255</v>
      </c>
      <c r="B21" s="138">
        <f>'KY_Cost Plant Acct-Comm-P8(Reg)'!B21+'KY_Cost Plant Acct-Comm-P8(Reg)'!B57</f>
        <v>6067856.1999999993</v>
      </c>
      <c r="C21" s="138"/>
      <c r="D21" s="138">
        <f>'KY_Cost Plant Acct-Comm-P8(Reg)'!D21+'KY_Cost Plant Acct-Comm-P8(Reg)'!D57</f>
        <v>238462.26</v>
      </c>
      <c r="E21" s="138"/>
      <c r="F21" s="138">
        <f>'KY_Cost Plant Acct-Comm-P8(Reg)'!F21</f>
        <v>-1228505.58</v>
      </c>
      <c r="G21" s="138"/>
      <c r="H21" s="138">
        <f>'KY_Cost Plant Acct-Comm-P8(Reg)'!H21</f>
        <v>0</v>
      </c>
      <c r="I21" s="138"/>
      <c r="J21" s="138">
        <f t="shared" si="0"/>
        <v>-990043.32000000007</v>
      </c>
      <c r="K21" s="138"/>
      <c r="L21" s="138">
        <f t="shared" si="1"/>
        <v>5077812.879999999</v>
      </c>
      <c r="M21" s="145"/>
      <c r="N21" s="39">
        <f>'KY_Res by Plant Acct-P29 (Reg)'!R476</f>
        <v>-2388130.58</v>
      </c>
      <c r="P21" s="39">
        <f t="shared" si="2"/>
        <v>2689682.2999999989</v>
      </c>
    </row>
    <row r="22" spans="1:16" x14ac:dyDescent="0.2">
      <c r="A22" s="22" t="s">
        <v>256</v>
      </c>
      <c r="B22" s="138">
        <f>'KY_Cost Plant Acct-Comm-P8(Reg)'!B22+'KY_Cost Plant Acct-Comm-P8(Reg)'!B58</f>
        <v>0</v>
      </c>
      <c r="C22" s="138"/>
      <c r="D22" s="138">
        <f>'KY_Cost Plant Acct-Comm-P8(Reg)'!D22</f>
        <v>0</v>
      </c>
      <c r="E22" s="138"/>
      <c r="F22" s="138">
        <f>'KY_Cost Plant Acct-Comm-P8(Reg)'!F22</f>
        <v>0</v>
      </c>
      <c r="G22" s="138"/>
      <c r="H22" s="138">
        <f>'KY_Cost Plant Acct-Comm-P8(Reg)'!H22</f>
        <v>0</v>
      </c>
      <c r="I22" s="138"/>
      <c r="J22" s="138">
        <f>H22+F22+D22</f>
        <v>0</v>
      </c>
      <c r="K22" s="138"/>
      <c r="L22" s="138">
        <f>J22+B22</f>
        <v>0</v>
      </c>
      <c r="M22" s="145"/>
      <c r="N22" s="39">
        <f>'KY_Res by Plant Acct-P29 (Reg)'!R477</f>
        <v>-1.4551915228366852E-11</v>
      </c>
      <c r="P22" s="39">
        <f>L22+N22</f>
        <v>-1.4551915228366852E-11</v>
      </c>
    </row>
    <row r="23" spans="1:16" x14ac:dyDescent="0.2">
      <c r="A23" s="3" t="s">
        <v>257</v>
      </c>
      <c r="B23" s="138">
        <f>'KY_Cost Plant Acct-Comm-P8(Reg)'!B23+'KY_Cost Plant Acct-Comm-P8(Reg)'!B58</f>
        <v>911530.29999999958</v>
      </c>
      <c r="C23" s="138"/>
      <c r="D23" s="138">
        <f>'KY_Cost Plant Acct-Comm-P8(Reg)'!D23+'KY_Cost Plant Acct-Comm-P8(Reg)'!D58</f>
        <v>299998.83</v>
      </c>
      <c r="E23" s="138"/>
      <c r="F23" s="138">
        <f>'KY_Cost Plant Acct-Comm-P8(Reg)'!F23</f>
        <v>-6516.09</v>
      </c>
      <c r="G23" s="138"/>
      <c r="H23" s="138">
        <f>'KY_Cost Plant Acct-Comm-P8(Reg)'!H23</f>
        <v>0</v>
      </c>
      <c r="I23" s="138"/>
      <c r="J23" s="138">
        <f t="shared" si="0"/>
        <v>293482.74</v>
      </c>
      <c r="K23" s="138"/>
      <c r="L23" s="138">
        <f t="shared" si="1"/>
        <v>1205013.0399999996</v>
      </c>
      <c r="M23" s="145"/>
      <c r="N23" s="39">
        <f>'KY_Res by Plant Acct-P29 (Reg)'!R478</f>
        <v>-643927.89</v>
      </c>
      <c r="P23" s="39">
        <f t="shared" si="2"/>
        <v>561085.14999999956</v>
      </c>
    </row>
    <row r="24" spans="1:16" x14ac:dyDescent="0.2">
      <c r="A24" s="3" t="s">
        <v>258</v>
      </c>
      <c r="B24" s="138">
        <f>'KY_Cost Plant Acct-Comm-P8(Reg)'!B24+'KY_Cost Plant Acct-Comm-P8(Reg)'!B59</f>
        <v>20757.36</v>
      </c>
      <c r="C24" s="138"/>
      <c r="D24" s="138">
        <f>'KY_Cost Plant Acct-Comm-P8(Reg)'!D24+'KY_Cost Plant Acct-Comm-P8(Reg)'!D59</f>
        <v>0</v>
      </c>
      <c r="E24" s="138"/>
      <c r="F24" s="138">
        <f>'KY_Cost Plant Acct-Comm-P8(Reg)'!F24</f>
        <v>0</v>
      </c>
      <c r="G24" s="138"/>
      <c r="H24" s="138">
        <f>'KY_Cost Plant Acct-Comm-P8(Reg)'!H24</f>
        <v>0</v>
      </c>
      <c r="I24" s="138"/>
      <c r="J24" s="138">
        <f>H24+F24+D24</f>
        <v>0</v>
      </c>
      <c r="K24" s="138"/>
      <c r="L24" s="138">
        <f>J24+B24</f>
        <v>20757.36</v>
      </c>
      <c r="M24" s="145"/>
      <c r="N24" s="39">
        <f>'KY_Res by Plant Acct-P29 (Reg)'!R479</f>
        <v>-20757.36</v>
      </c>
      <c r="P24" s="39">
        <f t="shared" si="2"/>
        <v>0</v>
      </c>
    </row>
    <row r="25" spans="1:16" x14ac:dyDescent="0.2">
      <c r="A25" s="3" t="s">
        <v>259</v>
      </c>
      <c r="B25" s="138">
        <f>'KY_Cost Plant Acct-Comm-P8(Reg)'!B25</f>
        <v>211576.31999999998</v>
      </c>
      <c r="C25" s="138"/>
      <c r="D25" s="138">
        <f>'KY_Cost Plant Acct-Comm-P8(Reg)'!D25</f>
        <v>0</v>
      </c>
      <c r="E25" s="138"/>
      <c r="F25" s="138">
        <f>'KY_Cost Plant Acct-Comm-P8(Reg)'!F25</f>
        <v>0</v>
      </c>
      <c r="G25" s="138"/>
      <c r="H25" s="138">
        <f>'KY_Cost Plant Acct-Comm-P8(Reg)'!H25</f>
        <v>0</v>
      </c>
      <c r="I25" s="138"/>
      <c r="J25" s="138">
        <f t="shared" si="0"/>
        <v>0</v>
      </c>
      <c r="K25" s="138"/>
      <c r="L25" s="138">
        <f t="shared" si="1"/>
        <v>211576.31999999998</v>
      </c>
      <c r="M25" s="145"/>
      <c r="N25" s="39">
        <f>'KY_Res by Plant Acct-P29 (Reg)'!R480</f>
        <v>-178722.7</v>
      </c>
      <c r="P25" s="39">
        <f t="shared" si="2"/>
        <v>32853.619999999966</v>
      </c>
    </row>
    <row r="26" spans="1:16" x14ac:dyDescent="0.2">
      <c r="A26" s="3" t="s">
        <v>260</v>
      </c>
      <c r="B26" s="138">
        <f>'KY_Cost Plant Acct-Comm-P8(Reg)'!B26</f>
        <v>49546.270000000004</v>
      </c>
      <c r="C26" s="138"/>
      <c r="D26" s="138">
        <f>'KY_Cost Plant Acct-Comm-P8(Reg)'!D26+'KY_Cost Plant Acct-Comm-P8(Reg)'!D59</f>
        <v>0</v>
      </c>
      <c r="E26" s="138"/>
      <c r="F26" s="138">
        <f>'KY_Cost Plant Acct-Comm-P8(Reg)'!F26</f>
        <v>-7703.58</v>
      </c>
      <c r="G26" s="138"/>
      <c r="H26" s="138">
        <f>'KY_Cost Plant Acct-Comm-P8(Reg)'!H26</f>
        <v>0</v>
      </c>
      <c r="I26" s="138"/>
      <c r="J26" s="138">
        <f t="shared" si="0"/>
        <v>-7703.58</v>
      </c>
      <c r="K26" s="138"/>
      <c r="L26" s="138">
        <f t="shared" si="1"/>
        <v>41842.69</v>
      </c>
      <c r="M26" s="145"/>
      <c r="N26" s="39">
        <f>'KY_Res by Plant Acct-P29 (Reg)'!R481</f>
        <v>-5934.8900000000012</v>
      </c>
      <c r="P26" s="39">
        <f t="shared" si="2"/>
        <v>35907.800000000003</v>
      </c>
    </row>
    <row r="27" spans="1:16" x14ac:dyDescent="0.2">
      <c r="A27" s="3" t="s">
        <v>261</v>
      </c>
      <c r="B27" s="138">
        <f>'KY_Cost Plant Acct-Comm-P8(Reg)'!B27+'KY_Cost Plant Acct-Comm-P8(Reg)'!B60</f>
        <v>1493842.34</v>
      </c>
      <c r="C27" s="138"/>
      <c r="D27" s="138">
        <f>'KY_Cost Plant Acct-Comm-P8(Reg)'!D27+'KY_Cost Plant Acct-Comm-P8(Reg)'!D60</f>
        <v>-22767.32</v>
      </c>
      <c r="E27" s="138"/>
      <c r="F27" s="138">
        <f>'KY_Cost Plant Acct-Comm-P8(Reg)'!F27</f>
        <v>0</v>
      </c>
      <c r="G27" s="138"/>
      <c r="H27" s="138">
        <f>'KY_Cost Plant Acct-Comm-P8(Reg)'!H27</f>
        <v>0</v>
      </c>
      <c r="I27" s="138"/>
      <c r="J27" s="138">
        <f t="shared" si="0"/>
        <v>-22767.32</v>
      </c>
      <c r="K27" s="138"/>
      <c r="L27" s="138">
        <f t="shared" si="1"/>
        <v>1471075.02</v>
      </c>
      <c r="M27" s="145"/>
      <c r="N27" s="39">
        <f>'KY_Res by Plant Acct-P29 (Reg)'!R482</f>
        <v>-914135.99</v>
      </c>
      <c r="P27" s="39">
        <f t="shared" si="2"/>
        <v>556939.03</v>
      </c>
    </row>
    <row r="28" spans="1:16" x14ac:dyDescent="0.2">
      <c r="A28" s="3" t="s">
        <v>262</v>
      </c>
      <c r="B28" s="138">
        <f>'KY_Cost Plant Acct-Comm-P8(Reg)'!B28+'KY_Cost Plant Acct-Comm-P8(Reg)'!B61+'IN_Cost Plant Acct-Com-P10(Reg)'!B11</f>
        <v>3983606.3400000003</v>
      </c>
      <c r="C28" s="138"/>
      <c r="D28" s="138">
        <f>'KY_Cost Plant Acct-Comm-P8(Reg)'!D28+'KY_Cost Plant Acct-Comm-P8(Reg)'!D61+'IN_Cost Plant Acct-Com-P10(Reg)'!D11</f>
        <v>85750.12999999999</v>
      </c>
      <c r="E28" s="138"/>
      <c r="F28" s="138">
        <f>'KY_Cost Plant Acct-Comm-P8(Reg)'!F28+'KY_Cost Plant Acct-Comm-P8(Reg)'!F61+'IN_Cost Plant Acct-Com-P10(Reg)'!F11</f>
        <v>0</v>
      </c>
      <c r="G28" s="138"/>
      <c r="H28" s="138">
        <f>'KY_Cost Plant Acct-Comm-P8(Reg)'!H28+'KY_Cost Plant Acct-Comm-P8(Reg)'!H61+'IN_Cost Plant Acct-Com-P10(Reg)'!H11</f>
        <v>-2817.36</v>
      </c>
      <c r="I28" s="138"/>
      <c r="J28" s="138">
        <f>'KY_Cost Plant Acct-Comm-P8(Reg)'!J28+'KY_Cost Plant Acct-Comm-P8(Reg)'!J61+'IN_Cost Plant Acct-Com-P10(Reg)'!J11</f>
        <v>82932.76999999999</v>
      </c>
      <c r="K28" s="138"/>
      <c r="L28" s="138">
        <f t="shared" si="1"/>
        <v>4066539.1100000003</v>
      </c>
      <c r="M28" s="145"/>
      <c r="N28" s="39">
        <f>'KY_Res by Plant Acct-P29 (Reg)'!R483</f>
        <v>-2208030.8799999994</v>
      </c>
      <c r="P28" s="39">
        <f t="shared" si="2"/>
        <v>1858508.2300000009</v>
      </c>
    </row>
    <row r="29" spans="1:16" x14ac:dyDescent="0.2">
      <c r="A29" s="3" t="s">
        <v>263</v>
      </c>
      <c r="B29" s="138">
        <f>'KY_Cost Plant Acct-Comm-P8(Reg)'!B29</f>
        <v>0</v>
      </c>
      <c r="C29" s="138"/>
      <c r="D29" s="138">
        <f>'KY_Cost Plant Acct-Comm-P8(Reg)'!D29</f>
        <v>0</v>
      </c>
      <c r="E29" s="138"/>
      <c r="F29" s="138">
        <f>'KY_Cost Plant Acct-Comm-P8(Reg)'!F29</f>
        <v>0</v>
      </c>
      <c r="G29" s="138"/>
      <c r="H29" s="138">
        <f>'KY_Cost Plant Acct-Comm-P8(Reg)'!H29</f>
        <v>0</v>
      </c>
      <c r="I29" s="138"/>
      <c r="J29" s="138">
        <f t="shared" si="0"/>
        <v>0</v>
      </c>
      <c r="K29" s="138"/>
      <c r="L29" s="138">
        <f t="shared" si="1"/>
        <v>0</v>
      </c>
      <c r="M29" s="145"/>
      <c r="N29" s="39">
        <f>'KY_Res by Plant Acct-P29 (Reg)'!R484</f>
        <v>1.8189894035458565E-12</v>
      </c>
      <c r="P29" s="39">
        <f t="shared" si="2"/>
        <v>1.8189894035458565E-12</v>
      </c>
    </row>
    <row r="30" spans="1:16" x14ac:dyDescent="0.2">
      <c r="A30" s="3" t="s">
        <v>2563</v>
      </c>
      <c r="B30" s="138">
        <f>'KY_Cost Plant Acct-Comm-P8(Reg)'!B30</f>
        <v>301414.67</v>
      </c>
      <c r="C30" s="138"/>
      <c r="D30" s="138">
        <f>'KY_Cost Plant Acct-Comm-P8(Reg)'!D30</f>
        <v>27024.46</v>
      </c>
      <c r="E30" s="138"/>
      <c r="F30" s="138">
        <f>'KY_Cost Plant Acct-Comm-P8(Reg)'!F30</f>
        <v>0</v>
      </c>
      <c r="G30" s="138"/>
      <c r="H30" s="138">
        <f>'KY_Cost Plant Acct-Comm-P8(Reg)'!H30</f>
        <v>0</v>
      </c>
      <c r="I30" s="138"/>
      <c r="J30" s="138">
        <f t="shared" si="0"/>
        <v>27024.46</v>
      </c>
      <c r="K30" s="138"/>
      <c r="L30" s="138">
        <f t="shared" si="1"/>
        <v>328439.13</v>
      </c>
      <c r="M30" s="145"/>
      <c r="N30" s="39">
        <f>'KY_Res by Plant Acct-P29 (Reg)'!R485</f>
        <v>-290447.81</v>
      </c>
      <c r="P30" s="39">
        <f t="shared" si="2"/>
        <v>37991.320000000007</v>
      </c>
    </row>
    <row r="31" spans="1:16" x14ac:dyDescent="0.2">
      <c r="A31" s="3" t="s">
        <v>265</v>
      </c>
      <c r="B31" s="138">
        <f>'KY_Cost Plant Acct-Comm-P8(Reg)'!B31</f>
        <v>14147.08</v>
      </c>
      <c r="C31" s="138"/>
      <c r="D31" s="138">
        <f>'KY_Cost Plant Acct-Comm-P8(Reg)'!D31</f>
        <v>0</v>
      </c>
      <c r="E31" s="138"/>
      <c r="F31" s="138">
        <f>'KY_Cost Plant Acct-Comm-P8(Reg)'!F31</f>
        <v>0</v>
      </c>
      <c r="G31" s="138"/>
      <c r="H31" s="138">
        <f>'KY_Cost Plant Acct-Comm-P8(Reg)'!H31</f>
        <v>0</v>
      </c>
      <c r="I31" s="138"/>
      <c r="J31" s="138">
        <f t="shared" si="0"/>
        <v>0</v>
      </c>
      <c r="K31" s="138"/>
      <c r="L31" s="138">
        <f t="shared" si="1"/>
        <v>14147.08</v>
      </c>
      <c r="M31" s="145"/>
      <c r="N31" s="39">
        <f>'KY_Res by Plant Acct-P29 (Reg)'!R486</f>
        <v>-13571.7</v>
      </c>
      <c r="P31" s="39">
        <f t="shared" si="2"/>
        <v>575.3799999999992</v>
      </c>
    </row>
    <row r="32" spans="1:16" x14ac:dyDescent="0.2">
      <c r="A32" s="3" t="s">
        <v>266</v>
      </c>
      <c r="B32" s="138">
        <f>+'KY_Cost Plant Acct-Comm-P8(Reg)'!B32+'KY_Cost Plant Acct-Comm-P8(Reg)'!B62+'IN_Cost Plant Acct-Com-P10(Reg)'!B12+'IN_Cost Plant Acct-Com-P10(Reg)'!B21</f>
        <v>28477141.960000005</v>
      </c>
      <c r="C32" s="138"/>
      <c r="D32" s="138">
        <f>+'KY_Cost Plant Acct-Comm-P8(Reg)'!D32+'KY_Cost Plant Acct-Comm-P8(Reg)'!D62+'IN_Cost Plant Acct-Com-P10(Reg)'!D12+'IN_Cost Plant Acct-Com-P10(Reg)'!D21</f>
        <v>2506616.19</v>
      </c>
      <c r="E32" s="138"/>
      <c r="F32" s="138">
        <f>+'KY_Cost Plant Acct-Comm-P8(Reg)'!F32+'KY_Cost Plant Acct-Comm-P8(Reg)'!F62+'IN_Cost Plant Acct-Com-P10(Reg)'!F12+'IN_Cost Plant Acct-Com-P10(Reg)'!F21</f>
        <v>-10069894.310000001</v>
      </c>
      <c r="G32" s="138"/>
      <c r="H32" s="138">
        <f>+'KY_Cost Plant Acct-Comm-P8(Reg)'!H32+'KY_Cost Plant Acct-Comm-P8(Reg)'!H62+'IN_Cost Plant Acct-Com-P10(Reg)'!H12+'IN_Cost Plant Acct-Com-P10(Reg)'!H21</f>
        <v>0</v>
      </c>
      <c r="I32" s="138"/>
      <c r="J32" s="138">
        <f t="shared" si="0"/>
        <v>-7563278.120000001</v>
      </c>
      <c r="K32" s="138"/>
      <c r="L32" s="138">
        <f t="shared" si="1"/>
        <v>20913863.840000004</v>
      </c>
      <c r="M32" s="145"/>
      <c r="N32" s="39">
        <f>'KY_Res by Plant Acct-P29 (Reg)'!R487+'IN_Res by Plant Acct-P30 (Reg)'!R43</f>
        <v>-16651324.120000001</v>
      </c>
      <c r="P32" s="39">
        <f t="shared" si="2"/>
        <v>4262539.7200000025</v>
      </c>
    </row>
    <row r="33" spans="1:16" x14ac:dyDescent="0.2">
      <c r="A33" s="3" t="s">
        <v>267</v>
      </c>
      <c r="B33" s="138">
        <f>'KY_Cost Plant Acct-Comm-P8(Reg)'!B33+'KY_Cost Plant Acct-Comm-P8(Reg)'!B63</f>
        <v>17702772.469999999</v>
      </c>
      <c r="C33" s="138"/>
      <c r="D33" s="138">
        <f>'KY_Cost Plant Acct-Comm-P8(Reg)'!D33+'KY_Cost Plant Acct-Comm-P8(Reg)'!D63</f>
        <v>356495.58000000007</v>
      </c>
      <c r="E33" s="138"/>
      <c r="F33" s="138">
        <f>'KY_Cost Plant Acct-Comm-P8(Reg)'!F33</f>
        <v>-4105438.96</v>
      </c>
      <c r="G33" s="138"/>
      <c r="H33" s="138">
        <f>'KY_Cost Plant Acct-Comm-P8(Reg)'!H33</f>
        <v>0</v>
      </c>
      <c r="I33" s="138"/>
      <c r="J33" s="138">
        <f t="shared" si="0"/>
        <v>-3748943.38</v>
      </c>
      <c r="K33" s="138"/>
      <c r="L33" s="138">
        <f t="shared" si="1"/>
        <v>13953829.09</v>
      </c>
      <c r="M33" s="145"/>
      <c r="N33" s="39">
        <f>'KY_Res by Plant Acct-P29 (Reg)'!R488</f>
        <v>-9893664.1899999976</v>
      </c>
      <c r="P33" s="39">
        <f t="shared" si="2"/>
        <v>4060164.9000000022</v>
      </c>
    </row>
    <row r="34" spans="1:16" x14ac:dyDescent="0.2">
      <c r="A34" s="3" t="s">
        <v>268</v>
      </c>
      <c r="B34" s="138">
        <f>'KY_Cost Plant Acct-Comm-P8(Reg)'!B34</f>
        <v>0</v>
      </c>
      <c r="C34" s="138"/>
      <c r="D34" s="138">
        <f>'KY_Cost Plant Acct-Comm-P8(Reg)'!D34+'KY_Cost Plant Acct-Comm-P8(Reg)'!D64</f>
        <v>0</v>
      </c>
      <c r="E34" s="138"/>
      <c r="F34" s="138">
        <f>'KY_Cost Plant Acct-Comm-P8(Reg)'!F34</f>
        <v>0</v>
      </c>
      <c r="G34" s="138"/>
      <c r="H34" s="138">
        <f>'KY_Cost Plant Acct-Comm-P8(Reg)'!H34</f>
        <v>0</v>
      </c>
      <c r="I34" s="138"/>
      <c r="J34" s="138">
        <f t="shared" si="0"/>
        <v>0</v>
      </c>
      <c r="K34" s="138"/>
      <c r="L34" s="138">
        <f t="shared" si="1"/>
        <v>0</v>
      </c>
      <c r="M34" s="145"/>
      <c r="N34" s="39">
        <f>'KY_Res by Plant Acct-P29 (Reg)'!R489</f>
        <v>6.3446350603846291E-11</v>
      </c>
      <c r="P34" s="39">
        <f t="shared" si="2"/>
        <v>6.3446350603846291E-11</v>
      </c>
    </row>
    <row r="35" spans="1:16" x14ac:dyDescent="0.2">
      <c r="A35" s="3" t="s">
        <v>269</v>
      </c>
      <c r="B35" s="138">
        <f>'KY_Cost Plant Acct-Comm-P8(Reg)'!B35</f>
        <v>0</v>
      </c>
      <c r="C35" s="138"/>
      <c r="D35" s="138">
        <f>'KY_Cost Plant Acct-Comm-P8(Reg)'!D35</f>
        <v>0</v>
      </c>
      <c r="E35" s="138"/>
      <c r="F35" s="138">
        <f>'KY_Cost Plant Acct-Comm-P8(Reg)'!F35</f>
        <v>0</v>
      </c>
      <c r="G35" s="138"/>
      <c r="H35" s="138">
        <f>'KY_Cost Plant Acct-Comm-P8(Reg)'!H35</f>
        <v>0</v>
      </c>
      <c r="I35" s="138"/>
      <c r="J35" s="138">
        <f t="shared" si="0"/>
        <v>0</v>
      </c>
      <c r="K35" s="138"/>
      <c r="L35" s="138">
        <f t="shared" si="1"/>
        <v>0</v>
      </c>
      <c r="M35" s="145"/>
      <c r="N35" s="39">
        <f>'KY_Res by Plant Acct-P29 (Reg)'!R490</f>
        <v>0</v>
      </c>
      <c r="P35" s="39">
        <f t="shared" si="2"/>
        <v>0</v>
      </c>
    </row>
    <row r="36" spans="1:16" x14ac:dyDescent="0.2">
      <c r="A36" s="3" t="s">
        <v>270</v>
      </c>
      <c r="B36" s="138">
        <f>'KY_Cost Plant Acct-Comm-P8(Reg)'!B36</f>
        <v>83782.289999999994</v>
      </c>
      <c r="C36" s="138"/>
      <c r="D36" s="138">
        <f>'KY_Cost Plant Acct-Comm-P8(Reg)'!D36</f>
        <v>0</v>
      </c>
      <c r="E36" s="138"/>
      <c r="F36" s="138">
        <f>'KY_Cost Plant Acct-Comm-P8(Reg)'!F36</f>
        <v>0</v>
      </c>
      <c r="G36" s="138"/>
      <c r="H36" s="138">
        <f>'KY_Cost Plant Acct-Comm-P8(Reg)'!H36</f>
        <v>0</v>
      </c>
      <c r="I36" s="138"/>
      <c r="J36" s="138">
        <f t="shared" si="0"/>
        <v>0</v>
      </c>
      <c r="K36" s="138"/>
      <c r="L36" s="138">
        <f t="shared" si="1"/>
        <v>83782.289999999994</v>
      </c>
      <c r="M36" s="145"/>
      <c r="N36" s="39">
        <f>'KY_Res by Plant Acct-P29 (Reg)'!R506</f>
        <v>0</v>
      </c>
      <c r="P36" s="39">
        <f t="shared" si="2"/>
        <v>83782.289999999994</v>
      </c>
    </row>
    <row r="37" spans="1:16" x14ac:dyDescent="0.2">
      <c r="A37" s="3" t="s">
        <v>271</v>
      </c>
      <c r="B37" s="138">
        <f>'KY_Cost Plant Acct-Comm-P8(Reg)'!B37</f>
        <v>0</v>
      </c>
      <c r="C37" s="138"/>
      <c r="D37" s="138">
        <f>'KY_Cost Plant Acct-Comm-P8(Reg)'!D37</f>
        <v>0</v>
      </c>
      <c r="E37" s="138"/>
      <c r="F37" s="138">
        <f>'KY_Cost Plant Acct-Comm-P8(Reg)'!F37</f>
        <v>0</v>
      </c>
      <c r="G37" s="138"/>
      <c r="H37" s="138">
        <f>'KY_Cost Plant Acct-Comm-P8(Reg)'!H37</f>
        <v>0</v>
      </c>
      <c r="I37" s="138"/>
      <c r="J37" s="138">
        <f t="shared" si="0"/>
        <v>0</v>
      </c>
      <c r="K37" s="138"/>
      <c r="L37" s="138">
        <f t="shared" si="1"/>
        <v>0</v>
      </c>
      <c r="M37" s="145"/>
      <c r="N37" s="39">
        <f>'KY_Res by Plant Acct-P29 (Reg)'!R507</f>
        <v>0</v>
      </c>
      <c r="P37" s="39">
        <f t="shared" si="2"/>
        <v>0</v>
      </c>
    </row>
    <row r="38" spans="1:16" x14ac:dyDescent="0.2">
      <c r="A38" s="3" t="s">
        <v>272</v>
      </c>
      <c r="B38" s="138">
        <f>'KY_Cost Plant Acct-Comm-P8(Reg)'!B38+'KY_Cost Plant Acct-Comm-P8(Reg)'!B65</f>
        <v>50228459.109999999</v>
      </c>
      <c r="C38" s="138"/>
      <c r="D38" s="138">
        <f>'KY_Cost Plant Acct-Comm-P8(Reg)'!D38+'KY_Cost Plant Acct-Comm-P8(Reg)'!D65</f>
        <v>10930524.149999999</v>
      </c>
      <c r="E38" s="138"/>
      <c r="F38" s="138">
        <f>'KY_Cost Plant Acct-Comm-P8(Reg)'!F38</f>
        <v>-7105652.6600000001</v>
      </c>
      <c r="G38" s="138"/>
      <c r="H38" s="138">
        <f>'KY_Cost Plant Acct-Comm-P8(Reg)'!H38</f>
        <v>0</v>
      </c>
      <c r="I38" s="138"/>
      <c r="J38" s="138">
        <f t="shared" si="0"/>
        <v>3824871.4899999984</v>
      </c>
      <c r="K38" s="138"/>
      <c r="L38" s="138">
        <f t="shared" si="1"/>
        <v>54053330.599999994</v>
      </c>
      <c r="M38" s="145"/>
      <c r="N38" s="39">
        <f>'KY_Res by Plant Acct-P29 (Reg)'!R508</f>
        <v>-17586297.250000004</v>
      </c>
      <c r="P38" s="39">
        <f t="shared" si="2"/>
        <v>36467033.349999994</v>
      </c>
    </row>
    <row r="39" spans="1:16" x14ac:dyDescent="0.2">
      <c r="A39" s="3" t="s">
        <v>273</v>
      </c>
      <c r="B39" s="138">
        <f>'KY_Cost Plant Acct-Comm-P8(Reg)'!B39+'KY_Cost Plant Acct-Comm-P8(Reg)'!B66</f>
        <v>45350035.249999993</v>
      </c>
      <c r="C39" s="138"/>
      <c r="D39" s="138">
        <f>'KY_Cost Plant Acct-Comm-P8(Reg)'!D39+'KY_Cost Plant Acct-Comm-P8(Reg)'!D66</f>
        <v>0</v>
      </c>
      <c r="E39" s="138"/>
      <c r="F39" s="138">
        <f>'KY_Cost Plant Acct-Comm-P8(Reg)'!F39</f>
        <v>0</v>
      </c>
      <c r="G39" s="138"/>
      <c r="H39" s="138">
        <f>'KY_Cost Plant Acct-Comm-P8(Reg)'!H39</f>
        <v>0</v>
      </c>
      <c r="I39" s="138"/>
      <c r="J39" s="138">
        <f t="shared" si="0"/>
        <v>0</v>
      </c>
      <c r="K39" s="138"/>
      <c r="L39" s="138">
        <f t="shared" si="1"/>
        <v>45350035.249999993</v>
      </c>
      <c r="M39" s="145"/>
      <c r="N39" s="39">
        <f>'KY_Res by Plant Acct-P29 (Reg)'!R509</f>
        <v>-33914421.810000002</v>
      </c>
      <c r="P39" s="39">
        <f t="shared" si="2"/>
        <v>11435613.43999999</v>
      </c>
    </row>
    <row r="40" spans="1:16" x14ac:dyDescent="0.2">
      <c r="A40" s="3" t="s">
        <v>274</v>
      </c>
      <c r="B40" s="149">
        <f>'KY_Cost Plant Acct-Comm-P8(Reg)'!B40</f>
        <v>0</v>
      </c>
      <c r="C40" s="135"/>
      <c r="D40" s="149">
        <f>'KY_Cost Plant Acct-Comm-P8(Reg)'!D40</f>
        <v>0</v>
      </c>
      <c r="E40" s="135"/>
      <c r="F40" s="149">
        <f>'KY_Cost Plant Acct-Comm-P8(Reg)'!F40</f>
        <v>0</v>
      </c>
      <c r="G40" s="135"/>
      <c r="H40" s="149">
        <f>'KY_Cost Plant Acct-Comm-P8(Reg)'!H40</f>
        <v>0</v>
      </c>
      <c r="I40" s="135"/>
      <c r="J40" s="149">
        <f t="shared" si="0"/>
        <v>0</v>
      </c>
      <c r="K40" s="135"/>
      <c r="L40" s="149">
        <f t="shared" si="1"/>
        <v>0</v>
      </c>
      <c r="M40" s="146"/>
      <c r="N40" s="136">
        <f>'KY_Res by Plant Acct-P29 (Reg)'!R510</f>
        <v>0</v>
      </c>
      <c r="P40" s="136">
        <f t="shared" si="2"/>
        <v>0</v>
      </c>
    </row>
    <row r="41" spans="1:16" x14ac:dyDescent="0.2">
      <c r="B41" s="135">
        <f>SUM(B11:B40)</f>
        <v>265943524.30000001</v>
      </c>
      <c r="C41" s="135"/>
      <c r="D41" s="135">
        <f>SUM(D11:D40)</f>
        <v>21144258.309999995</v>
      </c>
      <c r="E41" s="135"/>
      <c r="F41" s="135">
        <f>SUM(F11:F40)</f>
        <v>-27468609.09</v>
      </c>
      <c r="G41" s="135"/>
      <c r="H41" s="135">
        <f>SUM(H11:H40)</f>
        <v>-14891.759999999995</v>
      </c>
      <c r="I41" s="135"/>
      <c r="J41" s="135">
        <f>SUM(J11:J40)</f>
        <v>-6339242.5400000028</v>
      </c>
      <c r="K41" s="135"/>
      <c r="L41" s="135">
        <f>SUM(L11:L40)</f>
        <v>259604281.75999996</v>
      </c>
      <c r="M41" s="146"/>
      <c r="N41" s="135">
        <f>SUM(N11:N40)</f>
        <v>-132606595.30000001</v>
      </c>
      <c r="P41" s="135">
        <f>SUM(P11:P40)</f>
        <v>126997686.45999998</v>
      </c>
    </row>
    <row r="42" spans="1:16" x14ac:dyDescent="0.2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46"/>
    </row>
    <row r="43" spans="1:16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6" ht="13.5" thickBot="1" x14ac:dyDescent="0.25">
      <c r="A44" s="10" t="s">
        <v>2564</v>
      </c>
      <c r="B44" s="143">
        <f>B41</f>
        <v>265943524.30000001</v>
      </c>
      <c r="C44" s="146"/>
      <c r="D44" s="143">
        <f>D41</f>
        <v>21144258.309999995</v>
      </c>
      <c r="E44" s="146"/>
      <c r="F44" s="143">
        <f>F41</f>
        <v>-27468609.09</v>
      </c>
      <c r="G44" s="146"/>
      <c r="H44" s="143">
        <f>H41</f>
        <v>-14891.759999999995</v>
      </c>
      <c r="I44" s="146"/>
      <c r="J44" s="143">
        <f>J41</f>
        <v>-6339242.5400000028</v>
      </c>
      <c r="K44" s="146"/>
      <c r="L44" s="143">
        <f>L41</f>
        <v>259604281.75999996</v>
      </c>
      <c r="M44" s="146"/>
      <c r="N44" s="143">
        <f>N41</f>
        <v>-132606595.30000001</v>
      </c>
      <c r="P44" s="143">
        <f>P41</f>
        <v>126997686.45999998</v>
      </c>
    </row>
    <row r="45" spans="1:16" ht="13.5" thickTop="1" x14ac:dyDescent="0.2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46"/>
    </row>
    <row r="46" spans="1:16" x14ac:dyDescent="0.2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46"/>
    </row>
    <row r="47" spans="1:16" x14ac:dyDescent="0.2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45"/>
    </row>
    <row r="48" spans="1:16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2:13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2:13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2:13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2:13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2:13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2:13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2:13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2:13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2:13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2:13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2:13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2:13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2:13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2:13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2:13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2:13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2:13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2:13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2:13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2:13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2:13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2:13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2:13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2:13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2:13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2:13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2:13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2:13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2:13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2:13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2:13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  <row r="114" spans="2:13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</row>
    <row r="115" spans="2:13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</row>
    <row r="116" spans="2:13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</row>
    <row r="117" spans="2:13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</row>
    <row r="118" spans="2:13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</row>
    <row r="119" spans="2:13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</row>
    <row r="120" spans="2:13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</row>
    <row r="121" spans="2:13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</row>
    <row r="122" spans="2:13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</row>
    <row r="123" spans="2:13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</row>
    <row r="124" spans="2:13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</row>
    <row r="125" spans="2:13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</row>
    <row r="126" spans="2:13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</row>
    <row r="127" spans="2:13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</row>
    <row r="128" spans="2:13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 x14ac:dyDescent="0.2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 x14ac:dyDescent="0.2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 x14ac:dyDescent="0.2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 x14ac:dyDescent="0.2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 x14ac:dyDescent="0.2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 x14ac:dyDescent="0.2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 x14ac:dyDescent="0.2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 x14ac:dyDescent="0.2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 x14ac:dyDescent="0.2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 x14ac:dyDescent="0.2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 x14ac:dyDescent="0.2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 x14ac:dyDescent="0.2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 x14ac:dyDescent="0.2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 x14ac:dyDescent="0.2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 x14ac:dyDescent="0.2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 x14ac:dyDescent="0.2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 x14ac:dyDescent="0.2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 x14ac:dyDescent="0.2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 x14ac:dyDescent="0.2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 x14ac:dyDescent="0.2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 x14ac:dyDescent="0.2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</sheetData>
  <mergeCells count="3">
    <mergeCell ref="A1:P1"/>
    <mergeCell ref="A2:P2"/>
    <mergeCell ref="A3:P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2018-00295
Attachment 16 to Response to US DOD-2 Question No. 7   
Page &amp;P of &amp;N
Garrett</oddFooter>
  </headerFooter>
  <rowBreaks count="1" manualBreakCount="1">
    <brk id="45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F4F22A8-C701-4D32-BE88-C309F6DA4089}"/>
</file>

<file path=customXml/itemProps2.xml><?xml version="1.0" encoding="utf-8"?>
<ds:datastoreItem xmlns:ds="http://schemas.openxmlformats.org/officeDocument/2006/customXml" ds:itemID="{A0822B89-02BA-4F98-AC51-8AF43C3CAFFB}"/>
</file>

<file path=customXml/itemProps3.xml><?xml version="1.0" encoding="utf-8"?>
<ds:datastoreItem xmlns:ds="http://schemas.openxmlformats.org/officeDocument/2006/customXml" ds:itemID="{A6688A4C-EDF1-4C60-A025-DF5C950E1F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Summary - Cost - PG 1 (Reg)</vt:lpstr>
      <vt:lpstr>Summary - Reserve - PG 2 (Reg)</vt:lpstr>
      <vt:lpstr>RWIP BY ACCOUNT - PG 2A (Reg)</vt:lpstr>
      <vt:lpstr>Cash Flow Summary - PG 2B REG</vt:lpstr>
      <vt:lpstr>Transfer Detail PG 3 (Reg)</vt:lpstr>
      <vt:lpstr>Land &amp; Vehicle Retire P3A(Reg)</vt:lpstr>
      <vt:lpstr>CWIP Spend by Project P3B (Reg)</vt:lpstr>
      <vt:lpstr>Recon Depr Exp to IS P4 (Reg)</vt:lpstr>
      <vt:lpstr>Total Comm PIS_NBV-P5 (Reg)</vt:lpstr>
      <vt:lpstr>Tot Com PIS_COST SPLIT-P6 (Reg)</vt:lpstr>
      <vt:lpstr>KY_Total Comm PIS_NBV-P7 (Reg)</vt:lpstr>
      <vt:lpstr>KY_Cost Plant Acct-Comm-P8(Reg)</vt:lpstr>
      <vt:lpstr>IN_Total PIS_Comm_NBV-P9 (Reg)</vt:lpstr>
      <vt:lpstr>IN_Cost Plant Acct-Com-P10(Reg)</vt:lpstr>
      <vt:lpstr>Total Elec PIS_NBV-P11 (Reg)</vt:lpstr>
      <vt:lpstr>Tot Elec PIS Cost Split-P12(Reg</vt:lpstr>
      <vt:lpstr>KY_Total Elec PIS_NBV-P13 (Reg)</vt:lpstr>
      <vt:lpstr>KY_Cost Plant Acct-Elec-P14(Reg</vt:lpstr>
      <vt:lpstr>IN_Total PIS_Elec_NBV-P15 (Reg)</vt:lpstr>
      <vt:lpstr>IN_Cost Plant Acct-Elec-P16(Reg</vt:lpstr>
      <vt:lpstr>Total Gas PIS_NBV-P17 (Reg)</vt:lpstr>
      <vt:lpstr>Tot Gas PIS COST SPLIT-P18(Reg)</vt:lpstr>
      <vt:lpstr>KY_Total Gas PIS_NBV-P19(Reg)</vt:lpstr>
      <vt:lpstr>KY_Cost Plant Acct-Gas-P20(REG)</vt:lpstr>
      <vt:lpstr>IN_Total PIS_Gas_NBV-P21(Reg)</vt:lpstr>
      <vt:lpstr>IN_Cost Plant Acct-Gas-P22(Reg)</vt:lpstr>
      <vt:lpstr>Gas Stored NonRecov-KY P23(Reg)</vt:lpstr>
      <vt:lpstr>Gas Stored NonRecov-IN P24(Reg)</vt:lpstr>
      <vt:lpstr>Capital Leased Prop P25 (Reg)</vt:lpstr>
      <vt:lpstr>Plant Held Future Use P26 (Reg)</vt:lpstr>
      <vt:lpstr>Non Utility Property P27 (Reg)</vt:lpstr>
      <vt:lpstr>Plant Purch &amp; Sold P28 (Reg)</vt:lpstr>
      <vt:lpstr>KY_Res by Plant Acct-P29 (Reg)</vt:lpstr>
      <vt:lpstr>IN_Res by Plant Acct-P30 (Reg)</vt:lpstr>
      <vt:lpstr>Depr Study Summary Pg2</vt:lpstr>
      <vt:lpstr>Res by Plant Acct- Depr Study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2018-12-14T18:11:29Z</dcterms:created>
  <dcterms:modified xsi:type="dcterms:W3CDTF">2018-12-14T18:48:29Z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